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4.xml" ContentType="application/vnd.openxmlformats-officedocument.drawing+xml"/>
  <Override PartName="/xl/drawings/drawing3.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ctrlProps/ctrlProp11.xml" ContentType="application/vnd.ms-excel.controlproperties+xml"/>
  <Override PartName="/xl/ctrlProps/ctrlProp589.xml" ContentType="application/vnd.ms-excel.controlproperties+xml"/>
  <Override PartName="/xl/ctrlProps/ctrlProp588.xml" ContentType="application/vnd.ms-excel.controlproperties+xml"/>
  <Override PartName="/xl/ctrlProps/ctrlProp587.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90.xml" ContentType="application/vnd.ms-excel.controlproperties+xml"/>
  <Override PartName="/xl/ctrlProps/ctrlProp583.xml" ContentType="application/vnd.ms-excel.controlproperties+xml"/>
  <Override PartName="/xl/ctrlProps/ctrlProp582.xml" ContentType="application/vnd.ms-excel.controlproperties+xml"/>
  <Override PartName="/xl/ctrlProps/ctrlProp581.xml" ContentType="application/vnd.ms-excel.controlproperties+xml"/>
  <Override PartName="/xl/ctrlProps/ctrlProp580.xml" ContentType="application/vnd.ms-excel.controlproperties+xml"/>
  <Override PartName="/xl/ctrlProps/ctrlProp584.xml" ContentType="application/vnd.ms-excel.controlproperties+xml"/>
  <Override PartName="/xl/ctrlProps/ctrlProp597.xml" ContentType="application/vnd.ms-excel.controlproperties+xml"/>
  <Override PartName="/xl/ctrlProps/ctrlProp592.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599.xml" ContentType="application/vnd.ms-excel.controlproperties+xml"/>
  <Override PartName="/xl/ctrlProps/ctrlProp598.xml" ContentType="application/vnd.ms-excel.controlproperties+xml"/>
  <Override PartName="/xl/ctrlProps/ctrlProp579.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1.xml" ContentType="application/vnd.ms-excel.controlproperties+xml"/>
  <Override PartName="/xl/ctrlProps/ctrlProp605.xml" ContentType="application/vnd.ms-excel.controlproperties+xml"/>
  <Override PartName="/xl/ctrlProps/ctrlProp577.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59.xml" ContentType="application/vnd.ms-excel.controlproperties+xml"/>
  <Override PartName="/xl/ctrlProps/ctrlProp558.xml" ContentType="application/vnd.ms-excel.controlproperties+xml"/>
  <Override PartName="/xl/ctrlProps/ctrlProp557.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2.xml" ContentType="application/vnd.ms-excel.controlproperties+xml"/>
  <Override PartName="/xl/ctrlProps/ctrlProp571.xml" ContentType="application/vnd.ms-excel.controlproperties+xml"/>
  <Override PartName="/xl/ctrlProps/ctrlProp570.xml" ContentType="application/vnd.ms-excel.controlproperties+xml"/>
  <Override PartName="/xl/ctrlProps/ctrlProp569.xml" ContentType="application/vnd.ms-excel.controlproperties+xml"/>
  <Override PartName="/xl/ctrlProps/ctrlProp568.xml" ContentType="application/vnd.ms-excel.controlproperties+xml"/>
  <Override PartName="/xl/ctrlProps/ctrlProp567.xml" ContentType="application/vnd.ms-excel.controlproperties+xml"/>
  <Override PartName="/xl/ctrlProps/ctrlProp578.xml" ContentType="application/vnd.ms-excel.controlproperties+xml"/>
  <Override PartName="/xl/ctrlProps/ctrlProp612.xml" ContentType="application/vnd.ms-excel.controlproperties+xml"/>
  <Override PartName="/xl/ctrlProps/ctrlProp607.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1.xml" ContentType="application/vnd.ms-excel.controlproperties+xml"/>
  <Override PartName="/xl/ctrlProps/ctrlProp640.xml" ContentType="application/vnd.ms-excel.controlproperties+xml"/>
  <Override PartName="/xl/ctrlProps/ctrlProp639.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4.xml" ContentType="application/vnd.ms-excel.controlproperties+xml"/>
  <Override PartName="/xl/ctrlProps/ctrlProp653.xml" ContentType="application/vnd.ms-excel.controlproperties+xml"/>
  <Override PartName="/xl/ctrlProps/ctrlProp652.xml" ContentType="application/vnd.ms-excel.controlproperties+xml"/>
  <Override PartName="/xl/ctrlProps/ctrlProp651.xml" ContentType="application/vnd.ms-excel.controlproperties+xml"/>
  <Override PartName="/xl/ctrlProps/ctrlProp650.xml" ContentType="application/vnd.ms-excel.controlproperties+xml"/>
  <Override PartName="/xl/ctrlProps/ctrlProp649.xml" ContentType="application/vnd.ms-excel.controlproperties+xml"/>
  <Override PartName="/xl/ctrlProps/ctrlProp634.xml" ContentType="application/vnd.ms-excel.controlproperties+xml"/>
  <Override PartName="/xl/ctrlProps/ctrlProp633.xml" ContentType="application/vnd.ms-excel.controlproperties+xml"/>
  <Override PartName="/xl/ctrlProps/ctrlProp632.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4.xml" ContentType="application/vnd.ms-excel.controlproperties+xml"/>
  <Override PartName="/xl/ctrlProps/ctrlProp613.xml" ContentType="application/vnd.ms-excel.controlproperties+xml"/>
  <Override PartName="/xl/ctrlProps/ctrlProp552.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27.xml" ContentType="application/vnd.ms-excel.controlproperties+xml"/>
  <Override PartName="/xl/ctrlProps/ctrlProp626.xml" ContentType="application/vnd.ms-excel.controlproperties+xml"/>
  <Override PartName="/xl/ctrlProps/ctrlProp625.xml" ContentType="application/vnd.ms-excel.controlproperties+xml"/>
  <Override PartName="/xl/ctrlProps/ctrlProp624.xml" ContentType="application/vnd.ms-excel.controlproperties+xml"/>
  <Override PartName="/xl/ctrlProps/ctrlProp623.xml" ContentType="application/vnd.ms-excel.controlproperties+xml"/>
  <Override PartName="/xl/ctrlProps/ctrlProp622.xml" ContentType="application/vnd.ms-excel.controlproperties+xml"/>
  <Override PartName="/xl/ctrlProps/ctrlProp606.xml" ContentType="application/vnd.ms-excel.controlproperties+xml"/>
  <Override PartName="/xl/ctrlProps/ctrlProp544.xml" ContentType="application/vnd.ms-excel.controlproperties+xml"/>
  <Override PartName="/xl/ctrlProps/ctrlProp550.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77.xml" ContentType="application/vnd.ms-excel.controlproperties+xml"/>
  <Override PartName="/xl/ctrlProps/ctrlProp476.xml" ContentType="application/vnd.ms-excel.controlproperties+xml"/>
  <Override PartName="/xl/ctrlProps/ctrlProp475.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1.xml" ContentType="application/vnd.ms-excel.controlproperties+xml"/>
  <Override PartName="/xl/ctrlProps/ctrlProp490.xml" ContentType="application/vnd.ms-excel.controlproperties+xml"/>
  <Override PartName="/xl/ctrlProps/ctrlProp489.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70.xml" ContentType="application/vnd.ms-excel.controlproperties+xml"/>
  <Override PartName="/xl/ctrlProps/ctrlProp469.xml" ContentType="application/vnd.ms-excel.controlproperties+xml"/>
  <Override PartName="/xl/ctrlProps/ctrlProp468.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0.xml" ContentType="application/vnd.ms-excel.controlproperties+xml"/>
  <Override PartName="/xl/ctrlProps/ctrlProp449.xml" ContentType="application/vnd.ms-excel.controlproperties+xml"/>
  <Override PartName="/xl/ctrlProps/ctrlProp448.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3.xml" ContentType="application/vnd.ms-excel.controlproperties+xml"/>
  <Override PartName="/xl/ctrlProps/ctrlProp462.xml" ContentType="application/vnd.ms-excel.controlproperties+xml"/>
  <Override PartName="/xl/ctrlProps/ctrlProp461.xml" ContentType="application/vnd.ms-excel.controlproperties+xml"/>
  <Override PartName="/xl/ctrlProps/ctrlProp460.xml" ContentType="application/vnd.ms-excel.controlproperties+xml"/>
  <Override PartName="/xl/ctrlProps/ctrlProp459.xml" ContentType="application/vnd.ms-excel.controlproperties+xml"/>
  <Override PartName="/xl/ctrlProps/ctrlProp458.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2.xml" ContentType="application/vnd.ms-excel.controlproperties+xml"/>
  <Override PartName="/xl/ctrlProps/ctrlProp531.xml" ContentType="application/vnd.ms-excel.controlproperties+xml"/>
  <Override PartName="/xl/ctrlProps/ctrlProp530.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45.xml" ContentType="application/vnd.ms-excel.controlproperties+xml"/>
  <Override PartName="/xl/ctrlProps/ctrlProp659.xml" ContentType="application/vnd.ms-excel.controlproperties+xml"/>
  <Override PartName="/xl/ctrlProps/ctrlProp543.xml" ContentType="application/vnd.ms-excel.controlproperties+xml"/>
  <Override PartName="/xl/ctrlProps/ctrlProp542.xml" ContentType="application/vnd.ms-excel.controlproperties+xml"/>
  <Override PartName="/xl/ctrlProps/ctrlProp541.xml" ContentType="application/vnd.ms-excel.controlproperties+xml"/>
  <Override PartName="/xl/ctrlProps/ctrlProp540.xml" ContentType="application/vnd.ms-excel.controlproperties+xml"/>
  <Override PartName="/xl/ctrlProps/ctrlProp525.xml" ContentType="application/vnd.ms-excel.controlproperties+xml"/>
  <Override PartName="/xl/ctrlProps/ctrlProp524.xml" ContentType="application/vnd.ms-excel.controlproperties+xml"/>
  <Override PartName="/xl/ctrlProps/ctrlProp523.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05.xml" ContentType="application/vnd.ms-excel.controlproperties+xml"/>
  <Override PartName="/xl/ctrlProps/ctrlProp504.xml" ContentType="application/vnd.ms-excel.controlproperties+xml"/>
  <Override PartName="/xl/ctrlProps/ctrlProp503.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18.xml" ContentType="application/vnd.ms-excel.controlproperties+xml"/>
  <Override PartName="/xl/ctrlProps/ctrlProp517.xml" ContentType="application/vnd.ms-excel.controlproperties+xml"/>
  <Override PartName="/xl/ctrlProps/ctrlProp516.xml" ContentType="application/vnd.ms-excel.controlproperties+xml"/>
  <Override PartName="/xl/ctrlProps/ctrlProp515.xml" ContentType="application/vnd.ms-excel.controlproperties+xml"/>
  <Override PartName="/xl/ctrlProps/ctrlProp514.xml" ContentType="application/vnd.ms-excel.controlproperties+xml"/>
  <Override PartName="/xl/ctrlProps/ctrlProp513.xml" ContentType="application/vnd.ms-excel.controlproperties+xml"/>
  <Override PartName="/xl/ctrlProps/ctrlProp551.xml" ContentType="application/vnd.ms-excel.controlproperties+xml"/>
  <Override PartName="/xl/ctrlProps/ctrlProp667.xml" ContentType="application/vnd.ms-excel.controlproperties+xml"/>
  <Override PartName="/xl/ctrlProps/ctrlProp661.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4.xml" ContentType="application/vnd.ms-excel.controlproperties+xml"/>
  <Override PartName="/xl/ctrlProps/ctrlProp803.xml" ContentType="application/vnd.ms-excel.controlproperties+xml"/>
  <Override PartName="/xl/ctrlProps/ctrlProp802.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18.xml" ContentType="application/vnd.ms-excel.controlproperties+xml"/>
  <Override PartName="/xl/ctrlProps/ctrlProp817.xml" ContentType="application/vnd.ms-excel.controlproperties+xml"/>
  <Override PartName="/xl/ctrlProps/ctrlProp816.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797.xml" ContentType="application/vnd.ms-excel.controlproperties+xml"/>
  <Override PartName="/xl/ctrlProps/ctrlProp796.xml" ContentType="application/vnd.ms-excel.controlproperties+xml"/>
  <Override PartName="/xl/ctrlProps/ctrlProp795.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77.xml" ContentType="application/vnd.ms-excel.controlproperties+xml"/>
  <Override PartName="/xl/ctrlProps/ctrlProp776.xml" ContentType="application/vnd.ms-excel.controlproperties+xml"/>
  <Override PartName="/xl/ctrlProps/ctrlProp775.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0.xml" ContentType="application/vnd.ms-excel.controlproperties+xml"/>
  <Override PartName="/xl/ctrlProps/ctrlProp789.xml" ContentType="application/vnd.ms-excel.controlproperties+xml"/>
  <Override PartName="/xl/ctrlProps/ctrlProp788.xml" ContentType="application/vnd.ms-excel.controlproperties+xml"/>
  <Override PartName="/xl/ctrlProps/ctrlProp787.xml" ContentType="application/vnd.ms-excel.controlproperties+xml"/>
  <Override PartName="/xl/ctrlProps/ctrlProp786.xml" ContentType="application/vnd.ms-excel.controlproperties+xml"/>
  <Override PartName="/xl/ctrlProps/ctrlProp785.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xl/comments8.xml" ContentType="application/vnd.openxmlformats-officedocument.spreadsheetml.comments+xml"/>
  <Override PartName="/xl/ctrlProps/ctrlProp853.xml" ContentType="application/vnd.ms-excel.controlproperties+xml"/>
  <Override PartName="/xl/ctrlProps/ctrlProp852.xml" ContentType="application/vnd.ms-excel.controlproperties+xml"/>
  <Override PartName="/xl/ctrlProps/ctrlProp2.xml" ContentType="application/vnd.ms-excel.controlproperties+xml"/>
  <Override PartName="/xl/ctrlProps/ctrlProp1.xml" ContentType="application/vnd.ms-excel.controlproperties+xml"/>
  <Override PartName="/xl/comments7.xml" ContentType="application/vnd.openxmlformats-officedocument.spreadsheetml.comments+xml"/>
  <Override PartName="/customXml/itemProps2.xml" ContentType="application/vnd.openxmlformats-officedocument.customXmlProperties+xml"/>
  <Override PartName="/customXml/itemProps3.xml" ContentType="application/vnd.openxmlformats-officedocument.customXmlProperties+xml"/>
  <Override PartName="/xl/externalLinks/externalLink1.xml" ContentType="application/vnd.openxmlformats-officedocument.spreadsheetml.externalLink+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comments6.xml" ContentType="application/vnd.openxmlformats-officedocument.spreadsheetml.comments+xml"/>
  <Override PartName="/xl/ctrlProps/ctrlProp851.xml" ContentType="application/vnd.ms-excel.controlproperties+xml"/>
  <Override PartName="/xl/ctrlProps/ctrlProp850.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2.xml" ContentType="application/vnd.ms-excel.controlproperties+xml"/>
  <Override PartName="/xl/ctrlProps/ctrlProp831.xml" ContentType="application/vnd.ms-excel.controlproperties+xml"/>
  <Override PartName="/xl/ctrlProps/ctrlProp830.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45.xml" ContentType="application/vnd.ms-excel.controlproperties+xml"/>
  <Override PartName="/xl/ctrlProps/ctrlProp844.xml" ContentType="application/vnd.ms-excel.controlproperties+xml"/>
  <Override PartName="/xl/ctrlProps/ctrlProp843.xml" ContentType="application/vnd.ms-excel.controlproperties+xml"/>
  <Override PartName="/xl/ctrlProps/ctrlProp842.xml" ContentType="application/vnd.ms-excel.controlproperties+xml"/>
  <Override PartName="/xl/ctrlProps/ctrlProp841.xml" ContentType="application/vnd.ms-excel.controlproperties+xml"/>
  <Override PartName="/xl/ctrlProps/ctrlProp840.xml" ContentType="application/vnd.ms-excel.controlproperties+xml"/>
  <Override PartName="/xl/ctrlProps/ctrlProp770.xml" ContentType="application/vnd.ms-excel.controlproperties+xml"/>
  <Override PartName="/xl/ctrlProps/ctrlProp769.xml" ContentType="application/vnd.ms-excel.controlproperties+xml"/>
  <Override PartName="/xl/ctrlProps/ctrlProp768.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695.xml" ContentType="application/vnd.ms-excel.controlproperties+xml"/>
  <Override PartName="/xl/ctrlProps/ctrlProp694.xml" ContentType="application/vnd.ms-excel.controlproperties+xml"/>
  <Override PartName="/xl/ctrlProps/ctrlProp693.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09.xml" ContentType="application/vnd.ms-excel.controlproperties+xml"/>
  <Override PartName="/xl/ctrlProps/ctrlProp708.xml" ContentType="application/vnd.ms-excel.controlproperties+xml"/>
  <Override PartName="/xl/ctrlProps/ctrlProp707.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688.xml" ContentType="application/vnd.ms-excel.controlproperties+xml"/>
  <Override PartName="/xl/ctrlProps/ctrlProp687.xml" ContentType="application/vnd.ms-excel.controlproperties+xml"/>
  <Override PartName="/xl/ctrlProps/ctrlProp686.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68.xml" ContentType="application/vnd.ms-excel.controlproperties+xml"/>
  <Override PartName="/xl/ctrlProps/ctrlProp443.xml" ContentType="application/vnd.ms-excel.controlproperties+xml"/>
  <Override PartName="/xl/ctrlProps/ctrlProp666.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1.xml" ContentType="application/vnd.ms-excel.controlproperties+xml"/>
  <Override PartName="/xl/ctrlProps/ctrlProp680.xml" ContentType="application/vnd.ms-excel.controlproperties+xml"/>
  <Override PartName="/xl/ctrlProps/ctrlProp679.xml" ContentType="application/vnd.ms-excel.controlproperties+xml"/>
  <Override PartName="/xl/ctrlProps/ctrlProp678.xml" ContentType="application/vnd.ms-excel.controlproperties+xml"/>
  <Override PartName="/xl/ctrlProps/ctrlProp677.xml" ContentType="application/vnd.ms-excel.controlproperties+xml"/>
  <Override PartName="/xl/ctrlProps/ctrlProp676.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0.xml" ContentType="application/vnd.ms-excel.controlproperties+xml"/>
  <Override PartName="/xl/ctrlProps/ctrlProp749.xml" ContentType="application/vnd.ms-excel.controlproperties+xml"/>
  <Override PartName="/xl/ctrlProps/ctrlProp748.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3.xml" ContentType="application/vnd.ms-excel.controlproperties+xml"/>
  <Override PartName="/xl/ctrlProps/ctrlProp762.xml" ContentType="application/vnd.ms-excel.controlproperties+xml"/>
  <Override PartName="/xl/ctrlProps/ctrlProp761.xml" ContentType="application/vnd.ms-excel.controlproperties+xml"/>
  <Override PartName="/xl/ctrlProps/ctrlProp760.xml" ContentType="application/vnd.ms-excel.controlproperties+xml"/>
  <Override PartName="/xl/ctrlProps/ctrlProp759.xml" ContentType="application/vnd.ms-excel.controlproperties+xml"/>
  <Override PartName="/xl/ctrlProps/ctrlProp758.xml" ContentType="application/vnd.ms-excel.controlproperties+xml"/>
  <Override PartName="/xl/ctrlProps/ctrlProp743.xml" ContentType="application/vnd.ms-excel.controlproperties+xml"/>
  <Override PartName="/xl/ctrlProps/ctrlProp742.xml" ContentType="application/vnd.ms-excel.controlproperties+xml"/>
  <Override PartName="/xl/ctrlProps/ctrlProp741.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3.xml" ContentType="application/vnd.ms-excel.controlproperties+xml"/>
  <Override PartName="/xl/ctrlProps/ctrlProp722.xml" ContentType="application/vnd.ms-excel.controlproperties+xml"/>
  <Override PartName="/xl/ctrlProps/ctrlProp721.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36.xml" ContentType="application/vnd.ms-excel.controlproperties+xml"/>
  <Override PartName="/xl/ctrlProps/ctrlProp735.xml" ContentType="application/vnd.ms-excel.controlproperties+xml"/>
  <Override PartName="/xl/ctrlProps/ctrlProp734.xml" ContentType="application/vnd.ms-excel.controlproperties+xml"/>
  <Override PartName="/xl/ctrlProps/ctrlProp733.xml" ContentType="application/vnd.ms-excel.controlproperties+xml"/>
  <Override PartName="/xl/ctrlProps/ctrlProp732.xml" ContentType="application/vnd.ms-excel.controlproperties+xml"/>
  <Override PartName="/xl/ctrlProps/ctrlProp731.xml" ContentType="application/vnd.ms-excel.controlproperties+xml"/>
  <Override PartName="/xl/ctrlProps/ctrlProp660.xml" ContentType="application/vnd.ms-excel.controlproperties+xml"/>
  <Override PartName="/xl/ctrlProps/ctrlProp442.xml" ContentType="application/vnd.ms-excel.controlproperties+xml"/>
  <Override PartName="/xl/ctrlProps/ctrlProp441.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58.xml" ContentType="application/vnd.ms-excel.controlproperties+xml"/>
  <Override PartName="/xl/ctrlProps/ctrlProp157.xml" ContentType="application/vnd.ms-excel.controlproperties+xml"/>
  <Override PartName="/xl/ctrlProps/ctrlProp156.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3.xml" ContentType="application/vnd.ms-excel.controlproperties+xml"/>
  <Override PartName="/xl/ctrlProps/ctrlProp172.xml" ContentType="application/vnd.ms-excel.controlproperties+xml"/>
  <Override PartName="/xl/ctrlProps/ctrlProp171.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51.xml" ContentType="application/vnd.ms-excel.controlproperties+xml"/>
  <Override PartName="/xl/ctrlProps/ctrlProp150.xml" ContentType="application/vnd.ms-excel.controlproperties+xml"/>
  <Override PartName="/xl/ctrlProps/ctrlProp149.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0.xml" ContentType="application/vnd.ms-excel.controlproperties+xml"/>
  <Override PartName="/xl/ctrlProps/ctrlProp129.xml" ContentType="application/vnd.ms-excel.controlproperties+xml"/>
  <Override PartName="/xl/ctrlProps/ctrlProp128.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4.xml" ContentType="application/vnd.ms-excel.controlproperties+xml"/>
  <Override PartName="/xl/ctrlProps/ctrlProp143.xml" ContentType="application/vnd.ms-excel.controlproperties+xml"/>
  <Override PartName="/xl/ctrlProps/ctrlProp142.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15.xml" ContentType="application/vnd.ms-excel.controlproperties+xml"/>
  <Override PartName="/xl/ctrlProps/ctrlProp214.xml" ContentType="application/vnd.ms-excel.controlproperties+xml"/>
  <Override PartName="/xl/ctrlProps/ctrlProp213.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29.xml" ContentType="application/vnd.ms-excel.controlproperties+xml"/>
  <Override PartName="/xl/ctrlProps/ctrlProp228.xml" ContentType="application/vnd.ms-excel.controlproperties+xml"/>
  <Override PartName="/xl/ctrlProps/ctrlProp227.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08.xml" ContentType="application/vnd.ms-excel.controlproperties+xml"/>
  <Override PartName="/xl/ctrlProps/ctrlProp207.xml" ContentType="application/vnd.ms-excel.controlproperties+xml"/>
  <Override PartName="/xl/ctrlProps/ctrlProp206.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87.xml" ContentType="application/vnd.ms-excel.controlproperties+xml"/>
  <Override PartName="/xl/ctrlProps/ctrlProp186.xml" ContentType="application/vnd.ms-excel.controlproperties+xml"/>
  <Override PartName="/xl/ctrlProps/ctrlProp185.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1.xml" ContentType="application/vnd.ms-excel.controlproperties+xml"/>
  <Override PartName="/xl/ctrlProps/ctrlProp200.xml" ContentType="application/vnd.ms-excel.controlproperties+xml"/>
  <Override PartName="/xl/ctrlProps/ctrlProp199.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23.xml" ContentType="application/vnd.ms-excel.controlproperties+xml"/>
  <Override PartName="/xl/ctrlProps/ctrlProp122.xml" ContentType="application/vnd.ms-excel.controlproperties+xml"/>
  <Override PartName="/xl/ctrlProps/ctrlProp121.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46.xml" ContentType="application/vnd.ms-excel.controlproperties+xml"/>
  <Override PartName="/xl/ctrlProps/ctrlProp45.xml" ContentType="application/vnd.ms-excel.controlproperties+xml"/>
  <Override PartName="/xl/ctrlProps/ctrlProp4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0.xml" ContentType="application/vnd.ms-excel.controlproperties+xml"/>
  <Override PartName="/xl/ctrlProps/ctrlProp59.xml" ContentType="application/vnd.ms-excel.controlproperties+xml"/>
  <Override PartName="/xl/ctrlProps/ctrlProp58.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39.xml" ContentType="application/vnd.ms-excel.controlproperties+xml"/>
  <Override PartName="/xl/ctrlProps/ctrlProp38.xml" ContentType="application/vnd.ms-excel.controlproperties+xml"/>
  <Override PartName="/xl/ctrlProps/ctrlProp37.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18.xml" ContentType="application/vnd.ms-excel.controlproperties+xml"/>
  <Override PartName="/xl/ctrlProps/ctrlProp17.xml" ContentType="application/vnd.ms-excel.controlproperties+xml"/>
  <Override PartName="/xl/ctrlProps/ctrlProp16.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2.xml" ContentType="application/vnd.ms-excel.controlproperties+xml"/>
  <Override PartName="/xl/ctrlProps/ctrlProp31.xml" ContentType="application/vnd.ms-excel.controlproperties+xml"/>
  <Override PartName="/xl/ctrlProps/ctrlProp30.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2.xml" ContentType="application/vnd.ms-excel.controlproperties+xml"/>
  <Override PartName="/xl/ctrlProps/ctrlProp101.xml" ContentType="application/vnd.ms-excel.controlproperties+xml"/>
  <Override PartName="/xl/ctrlProps/ctrlProp100.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16.xml" ContentType="application/vnd.ms-excel.controlproperties+xml"/>
  <Override PartName="/xl/ctrlProps/ctrlProp115.xml" ContentType="application/vnd.ms-excel.controlproperties+xml"/>
  <Override PartName="/xl/ctrlProps/ctrlProp114.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95.xml" ContentType="application/vnd.ms-excel.controlproperties+xml"/>
  <Override PartName="/xl/ctrlProps/ctrlProp94.xml" ContentType="application/vnd.ms-excel.controlproperties+xml"/>
  <Override PartName="/xl/ctrlProps/ctrlProp93.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4.xml" ContentType="application/vnd.ms-excel.controlproperties+xml"/>
  <Override PartName="/xl/ctrlProps/ctrlProp73.xml" ContentType="application/vnd.ms-excel.controlproperties+xml"/>
  <Override PartName="/xl/ctrlProps/ctrlProp72.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88.xml" ContentType="application/vnd.ms-excel.controlproperties+xml"/>
  <Override PartName="/xl/ctrlProps/ctrlProp87.xml" ContentType="application/vnd.ms-excel.controlproperties+xml"/>
  <Override PartName="/xl/ctrlProps/ctrlProp86.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66.xml" ContentType="application/vnd.ms-excel.controlproperties+xml"/>
  <Override PartName="/xl/ctrlProps/ctrlProp365.xml" ContentType="application/vnd.ms-excel.controlproperties+xml"/>
  <Override PartName="/xl/ctrlProps/ctrlProp364.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0.xml" ContentType="application/vnd.ms-excel.controlproperties+xml"/>
  <Override PartName="/xl/ctrlProps/ctrlProp379.xml" ContentType="application/vnd.ms-excel.controlproperties+xml"/>
  <Override PartName="/xl/ctrlProps/ctrlProp378.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59.xml" ContentType="application/vnd.ms-excel.controlproperties+xml"/>
  <Override PartName="/xl/ctrlProps/ctrlProp358.xml" ContentType="application/vnd.ms-excel.controlproperties+xml"/>
  <Override PartName="/xl/ctrlProps/ctrlProp357.xml" ContentType="application/vnd.ms-excel.controlproperties+xml"/>
  <Override PartName="/xl/ctrlProps/ctrlProp6.xml" ContentType="application/vnd.ms-excel.controlproperties+xml"/>
  <Override PartName="/xl/comments4.xml" ContentType="application/vnd.openxmlformats-officedocument.spreadsheetml.comments+xml"/>
  <Override PartName="/xl/ctrlProps/ctrlProp5.xml" ContentType="application/vnd.ms-excel.controlproperties+xml"/>
  <Override PartName="/xl/comments3.xml" ContentType="application/vnd.openxmlformats-officedocument.spreadsheetml.comments+xml"/>
  <Override PartName="/xl/ctrlProps/ctrlProp7.xml" ContentType="application/vnd.ms-excel.controlproperties+xml"/>
  <Override PartName="/xl/ctrlProps/ctrlProp345.xml" ContentType="application/vnd.ms-excel.controlproperties+xml"/>
  <Override PartName="/xl/ctrlProps/ctrlProp346.xml" ContentType="application/vnd.ms-excel.controlproperties+xml"/>
  <Override PartName="/xl/comments2.xml" ContentType="application/vnd.openxmlformats-officedocument.spreadsheetml.comments+xml"/>
  <Override PartName="/xl/comments5.xml" ContentType="application/vnd.openxmlformats-officedocument.spreadsheetml.comments+xml"/>
  <Override PartName="/xl/ctrlProps/ctrlProp4.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2.xml" ContentType="application/vnd.ms-excel.controlproperties+xml"/>
  <Override PartName="/xl/ctrlProps/ctrlProp351.xml" ContentType="application/vnd.ms-excel.controlproperties+xml"/>
  <Override PartName="/xl/ctrlProps/ctrlProp350.xml" ContentType="application/vnd.ms-excel.controlproperties+xml"/>
  <Override PartName="/xl/ctrlProps/ctrlProp3.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2.xml" ContentType="application/vnd.ms-excel.controlproperties+xml"/>
  <Override PartName="/xl/ctrlProps/ctrlProp421.xml" ContentType="application/vnd.ms-excel.controlproperties+xml"/>
  <Override PartName="/xl/ctrlProps/ctrlProp420.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36.xml" ContentType="application/vnd.ms-excel.controlproperties+xml"/>
  <Override PartName="/xl/ctrlProps/ctrlProp435.xml" ContentType="application/vnd.ms-excel.controlproperties+xml"/>
  <Override PartName="/xl/ctrlProps/ctrlProp434.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15.xml" ContentType="application/vnd.ms-excel.controlproperties+xml"/>
  <Override PartName="/xl/ctrlProps/ctrlProp414.xml" ContentType="application/vnd.ms-excel.controlproperties+xml"/>
  <Override PartName="/xl/ctrlProps/ctrlProp413.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4.xml" ContentType="application/vnd.ms-excel.controlproperties+xml"/>
  <Override PartName="/xl/ctrlProps/ctrlProp393.xml" ContentType="application/vnd.ms-excel.controlproperties+xml"/>
  <Override PartName="/xl/ctrlProps/ctrlProp392.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08.xml" ContentType="application/vnd.ms-excel.controlproperties+xml"/>
  <Override PartName="/xl/ctrlProps/ctrlProp407.xml" ContentType="application/vnd.ms-excel.controlproperties+xml"/>
  <Override PartName="/xl/ctrlProps/ctrlProp406.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344.xml" ContentType="application/vnd.ms-excel.controlproperties+xml"/>
  <Override PartName="/xl/ctrlProps/ctrlProp343.xml" ContentType="application/vnd.ms-excel.controlproperties+xml"/>
  <Override PartName="/xl/ctrlProps/ctrlProp342.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1.xml" ContentType="application/vnd.ms-excel.controlproperties+xml"/>
  <Override PartName="/xl/ctrlProps/ctrlProp270.xml" ContentType="application/vnd.ms-excel.controlproperties+xml"/>
  <Override PartName="/xl/ctrlProps/ctrlProp269.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85.xml" ContentType="application/vnd.ms-excel.controlproperties+xml"/>
  <Override PartName="/xl/ctrlProps/ctrlProp284.xml" ContentType="application/vnd.ms-excel.controlproperties+xml"/>
  <Override PartName="/xl/ctrlProps/ctrlProp283.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64.xml" ContentType="application/vnd.ms-excel.controlproperties+xml"/>
  <Override PartName="/xl/ctrlProps/ctrlProp263.xml" ContentType="application/vnd.ms-excel.controlproperties+xml"/>
  <Override PartName="/xl/ctrlProps/ctrlProp262.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3.xml" ContentType="application/vnd.ms-excel.controlproperties+xml"/>
  <Override PartName="/xl/ctrlProps/ctrlProp242.xml" ContentType="application/vnd.ms-excel.controlproperties+xml"/>
  <Override PartName="/xl/ctrlProps/ctrlProp241.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57.xml" ContentType="application/vnd.ms-excel.controlproperties+xml"/>
  <Override PartName="/xl/ctrlProps/ctrlProp256.xml" ContentType="application/vnd.ms-excel.controlproperties+xml"/>
  <Override PartName="/xl/ctrlProps/ctrlProp255.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27.xml" ContentType="application/vnd.ms-excel.controlproperties+xml"/>
  <Override PartName="/xl/ctrlProps/ctrlProp326.xml" ContentType="application/vnd.ms-excel.controlproperties+xml"/>
  <Override PartName="/xl/ctrlProps/ctrlProp325.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omments1.xml" ContentType="application/vnd.openxmlformats-officedocument.spreadsheetml.comments+xml"/>
  <Override PartName="/xl/ctrlProps/ctrlProp9.xml" ContentType="application/vnd.ms-excel.controlproperties+xml"/>
  <Override PartName="/xl/ctrlProps/ctrlProp8.xml" ContentType="application/vnd.ms-excel.controlproperties+xml"/>
  <Override PartName="/xl/ctrlProps/ctrlProp341.xml" ContentType="application/vnd.ms-excel.controlproperties+xml"/>
  <Override PartName="/xl/ctrlProps/ctrlProp340.xml" ContentType="application/vnd.ms-excel.controlproperties+xml"/>
  <Override PartName="/xl/ctrlProps/ctrlProp339.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20.xml" ContentType="application/vnd.ms-excel.controlproperties+xml"/>
  <Override PartName="/xl/ctrlProps/ctrlProp319.xml" ContentType="application/vnd.ms-excel.controlproperties+xml"/>
  <Override PartName="/xl/ctrlProps/ctrlProp318.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299.xml" ContentType="application/vnd.ms-excel.controlproperties+xml"/>
  <Override PartName="/xl/ctrlProps/ctrlProp298.xml" ContentType="application/vnd.ms-excel.controlproperties+xml"/>
  <Override PartName="/xl/ctrlProps/ctrlProp297.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3.xml" ContentType="application/vnd.ms-excel.controlproperties+xml"/>
  <Override PartName="/xl/ctrlProps/ctrlProp312.xml" ContentType="application/vnd.ms-excel.controlproperties+xml"/>
  <Override PartName="/xl/ctrlProps/ctrlProp311.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10.xml" ContentType="application/vnd.ms-excel.contro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20" yWindow="135" windowWidth="19035" windowHeight="11895" tabRatio="419" firstSheet="8" activeTab="8"/>
  </bookViews>
  <sheets>
    <sheet name="Intro" sheetId="9" state="hidden" r:id="rId1"/>
    <sheet name="Mark" sheetId="1" state="hidden" r:id="rId2"/>
    <sheet name="Husdyr" sheetId="4" state="hidden" r:id="rId3"/>
    <sheet name="Udskrift" sheetId="6" state="hidden" r:id="rId4"/>
    <sheet name="Regn" sheetId="3" state="hidden" r:id="rId5"/>
    <sheet name="Data" sheetId="2" state="hidden" r:id="rId6"/>
    <sheet name="Ark1" sheetId="7" state="hidden" r:id="rId7"/>
    <sheet name="Pantmodel" sheetId="8" state="hidden" r:id="rId8"/>
    <sheet name="Nbal" sheetId="13" r:id="rId9"/>
    <sheet name="Regn2" sheetId="11" state="hidden" r:id="rId10"/>
    <sheet name="Udskrift2" sheetId="12" r:id="rId11"/>
    <sheet name="Normer" sheetId="5" r:id="rId12"/>
  </sheets>
  <externalReferences>
    <externalReference r:id="rId13"/>
  </externalReferences>
  <definedNames>
    <definedName name="Afgflg">Data!$R$1074:$X$1121</definedName>
    <definedName name="Afgkode">Data!$H$978:$W$1066</definedName>
    <definedName name="Afgr">Data!$I$6:$EM$48</definedName>
    <definedName name="AfgrKodeKl">Data!$L$1138</definedName>
    <definedName name="Afgrnavn">Data!$J$6:$J$48</definedName>
    <definedName name="AfstromData">Data!$I$365:$BF$971</definedName>
    <definedName name="AfstrømKorrDÅ">Data!$Q$1149</definedName>
    <definedName name="AfstrømKorrSÅ">Data!$Q$1151</definedName>
    <definedName name="Afstrømning12">Regn!$HV$74</definedName>
    <definedName name="Afstrømning34">Regn!$HV$156</definedName>
    <definedName name="Arbejdslon">Data!$I$321:$L$322</definedName>
    <definedName name="ArbejdslonNavn">Data!$J$321:$J$322</definedName>
    <definedName name="ArbejdslonRaekke">Normer!$AD$39</definedName>
    <definedName name="Areal1">Mark!$M$30</definedName>
    <definedName name="Areal2">Mark!$M$52</definedName>
    <definedName name="Areal3">Mark!$M$112</definedName>
    <definedName name="Areal4">Mark!$M$134</definedName>
    <definedName name="ArealAndel">#REF!</definedName>
    <definedName name="ArealKl">Data!$L$1139</definedName>
    <definedName name="BetalingOverskGylle12">Mark!$N$222</definedName>
    <definedName name="BetalingOverskGylle34">Mark!$N$224</definedName>
    <definedName name="BetalingOverskGylleForsk">Udskrift!#REF!</definedName>
    <definedName name="BruttoudbAfgr12">Regn!$BQ$74</definedName>
    <definedName name="BruttoudbAfgr34">Regn!$BQ$156</definedName>
    <definedName name="BruttoudbEfterslaet12">Regn!$DH$74</definedName>
    <definedName name="BruttoudbEfterslaet34">Regn!$DH$156</definedName>
    <definedName name="BruttoudbHalm12">Regn!$CH$74</definedName>
    <definedName name="BruttoudbHalm34">Regn!$CH$156</definedName>
    <definedName name="BygValsetBehovFEIalt">Husdyr!$AN$58</definedName>
    <definedName name="BygValsetBehovHkgIalt">Husdyr!$K$58</definedName>
    <definedName name="BygvalsetIalt12">Regn!$PV$74</definedName>
    <definedName name="BygvalsetIalt34">Regn!$PV$156</definedName>
    <definedName name="Bygvalsetpris">Data!$K$107</definedName>
    <definedName name="DBgns1">Regn!$NU$50</definedName>
    <definedName name="DBgns2">Regn!$NU$72</definedName>
    <definedName name="DBgns3">Regn!$NU$132</definedName>
    <definedName name="DBgns4">Regn!$NU$154</definedName>
    <definedName name="DBIalt1">Regn!$NT$50</definedName>
    <definedName name="DBIalt2">Regn!$NT$72</definedName>
    <definedName name="DBIalt3">Regn!$NT$132</definedName>
    <definedName name="DBIalt4">Regn!$NT$154</definedName>
    <definedName name="DE08prHa12">Regn!$G$28</definedName>
    <definedName name="DE08prHa34">Regn!$G$110</definedName>
    <definedName name="DEAfsatEkstra12">Mark!$K$186</definedName>
    <definedName name="DEAfsatEkstra34">Mark!$K$188</definedName>
    <definedName name="DEEkstraHa12">Mark!$Q$186</definedName>
    <definedName name="DEEkstraHa34">Mark!$Q$188</definedName>
    <definedName name="DenitNr">Regn2!$AA$6</definedName>
    <definedName name="Deposition">Regn!$Q$12</definedName>
    <definedName name="DEprHa12">Regn!$F$28</definedName>
    <definedName name="DEprHa34">Regn!$F$110</definedName>
    <definedName name="Diverse12">Regn!$JH$74</definedName>
    <definedName name="Diverse34">Regn!$JH$156</definedName>
    <definedName name="DiverseEfgr12">Regn!$MK$74</definedName>
    <definedName name="DiverseEfgr34">Regn!$MK$156</definedName>
    <definedName name="DyrkAreal1">Regn!$M$50</definedName>
    <definedName name="DyrkAreal12">Regn!$M$74</definedName>
    <definedName name="DyrkAreal2">Regn!$M$72</definedName>
    <definedName name="DyrkAreal3">Regn!$M$132</definedName>
    <definedName name="DyrkAreal34">Regn!$M$156</definedName>
    <definedName name="DyrkAreal4">Regn!$M$154</definedName>
    <definedName name="Efgr">Data!$I$56:$CX$70</definedName>
    <definedName name="EfgrAreal12">Regn!$OM$74</definedName>
    <definedName name="EfgrAreal34">Regn!$OM$156</definedName>
    <definedName name="EfgrArealFf12">Regn!$OF$74</definedName>
    <definedName name="EfgrArealFf34">Regn!$OF$156</definedName>
    <definedName name="EfgrArealFrivillig12">Regn!$OG$74</definedName>
    <definedName name="EfgrArealFrivillig34">Regn!$OG$156</definedName>
    <definedName name="EfgrEkstraKvoteTillaeg12">Mark!$K$17</definedName>
    <definedName name="EfgrEkstraKvoteTillaeg34">Mark!$K$99</definedName>
    <definedName name="EfgrErstatKvoteReduk12">Mark!$K$15</definedName>
    <definedName name="EfgrErstatKvoteReduk34">Mark!$K$97</definedName>
    <definedName name="EfgrGrundareal12">Regn!$NZ$74</definedName>
    <definedName name="EfgrGrundareal34">Regn!$NZ$156</definedName>
    <definedName name="Efgrkonst">Data!$K$73</definedName>
    <definedName name="EfgrKrav2010Ialtha12">Regn!$S$78</definedName>
    <definedName name="EfgrKrav2010Ialtha34">Regn!$S$160</definedName>
    <definedName name="EfgrKrav2010IaltPct12">Regn!$R$78</definedName>
    <definedName name="EfgrKrav2010IaltPct34">Regn!$R$160</definedName>
    <definedName name="EfgrKravIaltHa12">Regn!$J$78</definedName>
    <definedName name="EfgrKravIaltHa34">Regn!$J$160</definedName>
    <definedName name="EfgrKravIaltPct12">Regn!$I$78</definedName>
    <definedName name="EfgrKravIaltPct34">Regn!$I$160</definedName>
    <definedName name="EfgrKravMiljogodk">Mark!$K$9</definedName>
    <definedName name="EfgrKravVandplan12">Mark!$K$23</definedName>
    <definedName name="EfgrKravVandplan34">Mark!$K$105</definedName>
    <definedName name="Efgrnavn">Data!$J$56:$J$70</definedName>
    <definedName name="EfgrOverfort12">Mark!$K$21</definedName>
    <definedName name="EfgrOverfort34">Mark!$K$103</definedName>
    <definedName name="Efterafgrbeh">Data!$I$215:$J$217</definedName>
    <definedName name="EfterafgrbehNavn">Data!$J$215:$J$217</definedName>
    <definedName name="Efterslaetpris">Data!$K$97</definedName>
    <definedName name="EftervirkningUdb1">Regn!$R$28</definedName>
    <definedName name="EftervirkningUdb2">Regn!$J$52</definedName>
    <definedName name="EftervirkningUdb3">Regn!$R$110</definedName>
    <definedName name="EftervirkningUdb4">Regn!$J$134</definedName>
    <definedName name="EnergiafgrAreal12">Regn!$PB$74</definedName>
    <definedName name="EnergiafgrAreal34">Regn!$PB$156</definedName>
    <definedName name="EnergiafgrArealFf12">Regn!$OZ$74</definedName>
    <definedName name="EnergiafgrArealFf34">Regn!$OZ$156</definedName>
    <definedName name="Flytning">Data!$K$308</definedName>
    <definedName name="Foderbehov">Data!$I$337:$V$347</definedName>
    <definedName name="FoderkornBehovFEsvIalt">Husdyr!$D$39</definedName>
    <definedName name="FoderkornBehovHkgIalt">Husdyr!$G$39</definedName>
    <definedName name="FoderkornHkgIalt12">Regn!$PS$74</definedName>
    <definedName name="FoderkornHkgIalt34">Regn!$PS$156</definedName>
    <definedName name="FoderkornIalt12">Regn!$QL$74</definedName>
    <definedName name="FoderkornIalt34">Regn!$QL$156</definedName>
    <definedName name="FoderplanNavn">Data!$J$330:$J$331</definedName>
    <definedName name="GHIDat">#REF!</definedName>
    <definedName name="GlrData">#REF!</definedName>
    <definedName name="GnsFEpris">Husdyr!$AQ$56</definedName>
    <definedName name="Godning12">Regn!$IZ$74</definedName>
    <definedName name="Godning34">Regn!$IZ$156</definedName>
    <definedName name="GodningEfgr12">Regn!$MC$74</definedName>
    <definedName name="GodningEfgr34">Regn!$MC$156</definedName>
    <definedName name="Godnspred12">Regn!$KE$74</definedName>
    <definedName name="Godnspred34">Regn!$KE$156</definedName>
    <definedName name="GodnspredEfgr12">Regn!$MU$74</definedName>
    <definedName name="GodnspredEfgr34">Regn!$MU$156</definedName>
    <definedName name="GraesIalt12">Regn!$PX$74</definedName>
    <definedName name="GraesIalt34">Regn!$PX$156</definedName>
    <definedName name="GronMarkAreal12">Regn!$PE$74</definedName>
    <definedName name="GronMarkAreal34">Regn!$PE$156</definedName>
    <definedName name="GronMarkPct12">Regn!$P$78</definedName>
    <definedName name="GronMarkPct34">Regn!$P$160</definedName>
    <definedName name="GrovfoderBehovFEIalt">Husdyr!$F$56</definedName>
    <definedName name="GrovfoderIalt12">Regn!$QC$74</definedName>
    <definedName name="GrovfoderIalt34">Regn!$QC$156</definedName>
    <definedName name="Grovfoderpris">Data!$K$109</definedName>
    <definedName name="GylleTranspEkstra12">Mark!$N$214</definedName>
    <definedName name="GylleTranspEkstra34">Mark!$N$216</definedName>
    <definedName name="GylleTranspEkstraForsk">Udskrift!$Q$196</definedName>
    <definedName name="Halmanvendelse">Data!$I$211:$L$212</definedName>
    <definedName name="Halmanvendelsenavn">Data!$J$211:$J$212</definedName>
    <definedName name="Halmpris">Data!$K$108</definedName>
    <definedName name="HalmudbKolonneNr1">Regn!$Q$28</definedName>
    <definedName name="HalmudbKolonneNr2">Regn!$I$52</definedName>
    <definedName name="HalmudbKolonneNr3">Regn!$Q$110</definedName>
    <definedName name="HalmudbKolonneNr4">Regn!$I$134</definedName>
    <definedName name="Handelomkbygvalset">Data!$K$101</definedName>
    <definedName name="Handelomkfoderkorn">Data!$K$99</definedName>
    <definedName name="Handelomkgrovfoder">Data!$K$100</definedName>
    <definedName name="Handelsomk12">Udskrift!$I$264</definedName>
    <definedName name="Handelsomk34">Udskrift!$M$264</definedName>
    <definedName name="HandelsomkForsk">Udskrift!$Q$264</definedName>
    <definedName name="Harmoniareal">Regn!$Y$28</definedName>
    <definedName name="Harmoniareal12">Regn!$PJ$74</definedName>
    <definedName name="Harmoniareal34">Regn!$PJ$156</definedName>
    <definedName name="HarmoniarealFf12">Regn!$PH$74</definedName>
    <definedName name="HarmoniarealFf34">Regn!$PH$156</definedName>
    <definedName name="HarmoniarealTab12">Udskrift!$I$198</definedName>
    <definedName name="HarmoniarealTab34">Udskrift!$M$198</definedName>
    <definedName name="HarmoniarealTabForsk">Udskrift!$Q$198</definedName>
    <definedName name="HdgAnvendtIalt12">Regn!$AW$74</definedName>
    <definedName name="HdgAnvendtIalt34">Regn!$AW$156</definedName>
    <definedName name="HdgDEIalt">Husdyr!$G$11</definedName>
    <definedName name="HdgDEIaltKorr12">Regn!$D$28</definedName>
    <definedName name="HdgDEIaltKorr34">Regn!$D$110</definedName>
    <definedName name="HdgDyreart">Husdyr!$AJ$3</definedName>
    <definedName name="HdgEfgrAnvendtIalt12">Regn!$CV$74</definedName>
    <definedName name="HdgEfgrAnvendtIalt34">Regn!$CV$156</definedName>
    <definedName name="HdgNialt">Regn!$C$12</definedName>
    <definedName name="HdgNIalt12">Regn!$E$28</definedName>
    <definedName name="HdgNIalt34">Regn!$E$110</definedName>
    <definedName name="HdgNindtastetialt">Regn!$S$22</definedName>
    <definedName name="HdgNindtastetIalt12">Regn!$AU$74</definedName>
    <definedName name="HdgNindtastetIalt34">Regn!$AU$156</definedName>
    <definedName name="HdgNindtastetIaltEfgr12">Regn!$CT$74</definedName>
    <definedName name="HdgNindtastetIaltEfgr34">Regn!$CT$156</definedName>
    <definedName name="HdgNTilFordeling12">Regn!$Z$28</definedName>
    <definedName name="HdgNTilFordeling34">Regn!$Z$110</definedName>
    <definedName name="Hdgraekke">Regn!$B$8</definedName>
    <definedName name="HdgType">Data!$I$195:$Q$196</definedName>
    <definedName name="HdgTypeNavn">Data!$J$195:$J$196</definedName>
    <definedName name="HdgVaerdi">Regn!$P$12</definedName>
    <definedName name="HdgVaerdiNbal">Regn2!$O$6</definedName>
    <definedName name="Hjemkorsel12">Regn!$LB$74</definedName>
    <definedName name="Hjemkorsel34">Regn!$LB$156</definedName>
    <definedName name="Host12">Regn!$KV$74</definedName>
    <definedName name="Host34">Regn!$KV$156</definedName>
    <definedName name="HostEfgr12">Regn!$NK$74</definedName>
    <definedName name="HostEfgr34">Regn!$NK$156</definedName>
    <definedName name="Hostaar">Nbal!$R$7</definedName>
    <definedName name="Husdyrgødning">Data!$I$139:$R$176</definedName>
    <definedName name="Husdyrgødningnavn">Data!$J$139:$J$176</definedName>
    <definedName name="Jb">[1]Data!$A$6:$Z$17</definedName>
    <definedName name="JBKl">Data!$L$1140</definedName>
    <definedName name="JBnr">Regn2!$B$5</definedName>
    <definedName name="Jordlejeomk12">Mark!$N$204</definedName>
    <definedName name="Jordlejeomk34">Mark!$N$206</definedName>
    <definedName name="JordlejeomkForsk">Udskrift!$Q$194</definedName>
    <definedName name="Jordtype">Data!$I$114:$BH$124</definedName>
    <definedName name="Jordtype1">Regn!$B$28</definedName>
    <definedName name="Jordtype2">Regn!$B$52</definedName>
    <definedName name="Jordtype3">Regn!$B$110</definedName>
    <definedName name="Jordtype4">Regn!$B$134</definedName>
    <definedName name="Jordtypenavn">Data!$J$114:$J$125</definedName>
    <definedName name="Klgraespris">Data!$K$104</definedName>
    <definedName name="KmPrTime">Data!$R$310</definedName>
    <definedName name="KornhelsaedIalt12">Regn!$QB$74</definedName>
    <definedName name="KornhelsaedIalt34">Regn!$QB$156</definedName>
    <definedName name="Kornhelsaedpris">Data!$K$106</definedName>
    <definedName name="Koverskud12">Regn!$GE$74</definedName>
    <definedName name="Koverskud34">Regn!$GE$156</definedName>
    <definedName name="KprDEkvaeg">Data!$N$195</definedName>
    <definedName name="KprDEsvin">Data!$N$196</definedName>
    <definedName name="Kpris">Data!$K$82</definedName>
    <definedName name="Kudvask">Data!$K$191</definedName>
    <definedName name="Kvaegrace">Data!$I$326:$J$327</definedName>
    <definedName name="Kvotereduk12">Mark!$N$15</definedName>
    <definedName name="KvoteReduk34">Mark!$N$97</definedName>
    <definedName name="KvoteredukHa12">Regn!$I$28</definedName>
    <definedName name="KvoteredukHa34">Regn!$I$110</definedName>
    <definedName name="KvoteredukOver08DE">Data!$K$76</definedName>
    <definedName name="KvoteredukUnder08DE">Data!$K$75</definedName>
    <definedName name="KvoteTillaeg12">Mark!$N$17</definedName>
    <definedName name="KvoteTillaeg34">Mark!$N$99</definedName>
    <definedName name="KvoteTillaegHa12">Regn!$J$28</definedName>
    <definedName name="KvoteTillaegHa34">Regn!$J$110</definedName>
    <definedName name="KvoteTillaegOver08DE">Data!$K$78</definedName>
    <definedName name="KvoteTillaegUnder08DE">Data!$K$77</definedName>
    <definedName name="MajshelsaedIalt12">Regn!$PZ$74</definedName>
    <definedName name="MajshelsaedIalt34">Regn!$PZ$156</definedName>
    <definedName name="Majspris">Data!$K$105</definedName>
    <definedName name="Markgruppe">Data!$I$354:$I$358</definedName>
    <definedName name="Marksprojt12">Regn!$KI$74</definedName>
    <definedName name="Marksprojt34">Regn!$KI$156</definedName>
    <definedName name="MarksprojtEfgr12">Regn!$MY$74</definedName>
    <definedName name="MarksprojtEfgr34">Regn!$MY$156</definedName>
    <definedName name="Markvand1">Regn!$C$28</definedName>
    <definedName name="Markvand12">Regn!$KO$74</definedName>
    <definedName name="Markvand2">Regn!$C$52</definedName>
    <definedName name="Markvand3">Regn!$C$110</definedName>
    <definedName name="Markvand34">Regn!$KO$156</definedName>
    <definedName name="Markvand4">Regn!$C$134</definedName>
    <definedName name="MarkvandEfgr12">Regn!$NE$74</definedName>
    <definedName name="MarkvandEfgr34">Regn!$NE$156</definedName>
    <definedName name="Markvanding">Data!$I$129:$L$130</definedName>
    <definedName name="Markvandingnavn">Data!$J$129:$J$130</definedName>
    <definedName name="Maskinomk">Data!$I$259:$L$309</definedName>
    <definedName name="MaskJust">Regn!$L$12</definedName>
    <definedName name="MellemafgrAreal12">Regn!$OW$74</definedName>
    <definedName name="MellemafgrAreal34">Regn!$OW$156</definedName>
    <definedName name="MellemafgrArealFf12">Regn!$OR$74</definedName>
    <definedName name="MellemafgrArealFf34">Regn!$OR$156</definedName>
    <definedName name="MerudbKolonneNr1">Regn!$L$28</definedName>
    <definedName name="MerudbKolonneNr2">Regn!$G$52</definedName>
    <definedName name="MerudbKolonneNr3">Regn!$L$110</definedName>
    <definedName name="MerudbKolonneNr4">Regn!$G$134</definedName>
    <definedName name="Mlafgrkonst">Data!$K$74</definedName>
    <definedName name="MlafgrNUdvask">Data!$K$232</definedName>
    <definedName name="mmprgang">Data!$K$307</definedName>
    <definedName name="NBortfort12">Regn!$FT$74</definedName>
    <definedName name="NBortfort34">Regn!$FT$156</definedName>
    <definedName name="NedmuldMiljoEfgr12">Regn!$QR$74</definedName>
    <definedName name="NedmuldMiljoEfgr34">Regn!$QR$156</definedName>
    <definedName name="Nedmuldning12">Regn!$NO$74</definedName>
    <definedName name="Nedmuldning34">Regn!$NO$156</definedName>
    <definedName name="Nefteraarlerkons">Data!$K$226</definedName>
    <definedName name="Nefteraarsandkons">Data!$K$225</definedName>
    <definedName name="Nfjernetkons">Data!$K$227</definedName>
    <definedName name="Nforaarkons">Data!$K$223</definedName>
    <definedName name="Nitrat12">Regn!$HW$74</definedName>
    <definedName name="Nitrat34">Regn!$HW$156</definedName>
    <definedName name="NkforholdKvaeg">Data!$K$190</definedName>
    <definedName name="NKforholdSvin">Data!$K$189</definedName>
    <definedName name="Nlesafgr">Data!$I$236:$K$243</definedName>
    <definedName name="Nlesafskaering">Data!$K$228</definedName>
    <definedName name="Nlesforfrugt">Data!$I$248:$K$253</definedName>
    <definedName name="Nmodel12">Normer!$AD$61</definedName>
    <definedName name="Nmodel34">Normer!$AD$63</definedName>
    <definedName name="NmodelNavn">Data!$J$94:$J$95</definedName>
    <definedName name="Nniveau1">Regn2!$GM$102</definedName>
    <definedName name="Nniveau12">Regn!$X$28</definedName>
    <definedName name="Nniveau2">Regn2!$GN$102</definedName>
    <definedName name="Nniveau3">Regn2!$GO$102</definedName>
    <definedName name="Nniveau34">Regn!$X$110</definedName>
    <definedName name="Nniveau4">Regn2!$GP$102</definedName>
    <definedName name="NniveauDelsaedsk1">Regn!$GG$50</definedName>
    <definedName name="NniveauDelsaedsk2">Regn!$GG$72</definedName>
    <definedName name="NniveauDelsaedsk3">Regn!$GG$132</definedName>
    <definedName name="NniveauDelsaedsk4">Regn!$GG$154</definedName>
    <definedName name="Nniveaukons">Data!$K$222</definedName>
    <definedName name="NniveauReg">Data!$Q$1143</definedName>
    <definedName name="NniveauRegBedr">#REF!</definedName>
    <definedName name="NnormEfgrIalt12">Regn!$CK$74</definedName>
    <definedName name="NnormEfgrIalt34">Regn!$CK$156</definedName>
    <definedName name="Nnormialt">Regn!$S$6</definedName>
    <definedName name="NnormIalt12">Regn!$T$74</definedName>
    <definedName name="NnormIalt34">Regn!$T$156</definedName>
    <definedName name="NnormialtFordel">Regn!$S$8</definedName>
    <definedName name="NnormIaltFordel12">Regn!$AQ$74</definedName>
    <definedName name="NnormIaltFordel34">Regn!$AQ$156</definedName>
    <definedName name="NnormIaltFordelEfgr12">Regn!$CP$74</definedName>
    <definedName name="NnormIaltFordelEfgr34">Regn!$CP$156</definedName>
    <definedName name="NnormKolonneEfgr1">Regn!$V$28</definedName>
    <definedName name="NnormKolonneEfgr2">Regn!$Q$52</definedName>
    <definedName name="NnormKolonneEfgr3">Regn!$V$110</definedName>
    <definedName name="NnormKolonneEfgr4">Regn!$Q$134</definedName>
    <definedName name="NnormKolonneNr1">Regn!$P$28</definedName>
    <definedName name="NnormKolonneNr2">Regn!$H$52</definedName>
    <definedName name="NnormKolonneNr3">Regn!$P$110</definedName>
    <definedName name="NnormKolonneNr4">Regn!$H$134</definedName>
    <definedName name="NnormTilpasIalt12">Regn!$W$74</definedName>
    <definedName name="NnormTilpasIalt34">Regn!$W$156</definedName>
    <definedName name="NnormTilpasIaltEfgr12">Regn!$CN$74</definedName>
    <definedName name="NnormTilpasIaltEfgr34">Regn!$CN$156</definedName>
    <definedName name="NoptFaktor">Data!$K$89</definedName>
    <definedName name="NormudbKolonneNr1">Regn!$K$28</definedName>
    <definedName name="NormudbKolonneNr2">Regn!$F$52</definedName>
    <definedName name="NormudbKolonneNr3">Regn!$K$110</definedName>
    <definedName name="NormudbKolonneNr4">Regn!$F$134</definedName>
    <definedName name="NormudbKolonneNrEfgr1">Regn!$U$28</definedName>
    <definedName name="NormudbKolonneNrEfgr2">Regn!$P$52</definedName>
    <definedName name="NormudbKolonneNrEfgr3">Regn!$U$110</definedName>
    <definedName name="NormudbKolonneNrEfgr4">Regn!$P$134</definedName>
    <definedName name="Noverskud12">Regn!$FU$74</definedName>
    <definedName name="Noverskud34">Regn!$FU$156</definedName>
    <definedName name="NPforholdKvaeg">Data!$K$188</definedName>
    <definedName name="NPforholdSvin">Data!$K$187</definedName>
    <definedName name="NprDEkvaeg">Data!$L$195</definedName>
    <definedName name="NprDEsvin">Data!$L$196</definedName>
    <definedName name="Npris">Data!$K$80</definedName>
    <definedName name="NTilpasMetode">Data!$J$133:$J$134</definedName>
    <definedName name="NtilpasMetode12">Regn!$W$28</definedName>
    <definedName name="NtilpasMetode34">Regn!$W$110</definedName>
    <definedName name="Nudbindingkons">Data!$K$224</definedName>
    <definedName name="Nudledning12">Regn!$HT$74</definedName>
    <definedName name="Nudledning34">Regn!$HT$156</definedName>
    <definedName name="Nudvaskning12">Regn!$HR$74</definedName>
    <definedName name="Nudvaskning34">Regn!$HR$156</definedName>
    <definedName name="Pantafgift">Data!$K$90</definedName>
    <definedName name="Pantfaktor">Data!$K$91</definedName>
    <definedName name="Plantevaern12">Regn!$JD$74</definedName>
    <definedName name="Plantevaern34">Regn!$JD$156</definedName>
    <definedName name="PlantevaernEfgr12">Regn!$MG$74</definedName>
    <definedName name="PlantevaernEfgr34">Regn!$MG$156</definedName>
    <definedName name="PlantevJust">Regn!$J$12</definedName>
    <definedName name="PlantevMiljoEfgr12">Regn!$QP$74</definedName>
    <definedName name="PlantevMiljoEfgr34">Regn!$QP$156</definedName>
    <definedName name="PlojHarv12">Regn!$JP$74</definedName>
    <definedName name="PlojHarv34">Regn!$JP$156</definedName>
    <definedName name="PlojJB">Data!$K$315</definedName>
    <definedName name="PlojJB1">Regn!$S$28</definedName>
    <definedName name="PlojJB2">Regn!$K$52</definedName>
    <definedName name="PlojJB3">Regn!$S$110</definedName>
    <definedName name="PlojJB4">Regn!$K$134</definedName>
    <definedName name="Postnr">Mark!$S$5</definedName>
    <definedName name="Postnrliste">Data!$I$365:$I$971</definedName>
    <definedName name="PostnrNavn">Data!$I$365:$J$971</definedName>
    <definedName name="PostnrNbal">Nbal!$R$5</definedName>
    <definedName name="Poverskud12">Regn!$FZ$74</definedName>
    <definedName name="Poverskud34">Regn!$FZ$156</definedName>
    <definedName name="PprDEkvaeg">Data!$M$195</definedName>
    <definedName name="PprDEsvin">Data!$M$196</definedName>
    <definedName name="Ppris">Data!$K$81</definedName>
    <definedName name="PrisN">Data!$K$88</definedName>
    <definedName name="Prisprmm">Data!$K$309</definedName>
    <definedName name="ProteinTab12">Udskrift!$I$276</definedName>
    <definedName name="ProteinTab34">Udskrift!$M$276</definedName>
    <definedName name="ProteinTabForsk">Udskrift!$Q$276</definedName>
    <definedName name="ProtFoderkornBasisKg12">Regn!$DN$74</definedName>
    <definedName name="ProtFoderkornBasisKg34">Regn!$DN$156</definedName>
    <definedName name="ProtFoderKornKorrKg12">Regn!$DT$74</definedName>
    <definedName name="ProtFoderKornKorrKg34">Regn!$DT$156</definedName>
    <definedName name="ProtVaerdiKg">Data!$K$102</definedName>
    <definedName name="RaceNavn">Data!$J$326:$J$327</definedName>
    <definedName name="Randzoneareal12">Regn!$PM$74</definedName>
    <definedName name="Randzoneareal34">Regn!$PM$156</definedName>
    <definedName name="Randzonekrav12">Mark!$S$25</definedName>
    <definedName name="Randzonekrav34">Mark!$S$107</definedName>
    <definedName name="ReducUdledIaltKgN">Udskrift!$Q$311</definedName>
    <definedName name="Regler12">Regn!$H$28</definedName>
    <definedName name="Regler34">Regn!$H$110</definedName>
    <definedName name="ReglerNavn">Data!$J$350:$J$351</definedName>
    <definedName name="RegSum">#REF!</definedName>
    <definedName name="ResulEftVarMask12">Udskrift!$I$29</definedName>
    <definedName name="ResulEftVarMask34">Udskrift!$M$29</definedName>
    <definedName name="ResulEftVarMaskForsk">Udskrift!$Q$29</definedName>
    <definedName name="Retention1">Mark!$S$30</definedName>
    <definedName name="Retention2">Mark!$S$52</definedName>
    <definedName name="Retention3">Mark!$S$112</definedName>
    <definedName name="Retention4">Mark!$S$134</definedName>
    <definedName name="RetentionNbal">Data!$K$1155</definedName>
    <definedName name="RetentionReg">Data!$Q$1146</definedName>
    <definedName name="SandLer1">Regn!$N$28</definedName>
    <definedName name="SandLer2">Regn!$N$52</definedName>
    <definedName name="SandLer3">Regn!$N$110</definedName>
    <definedName name="SandLer4">Regn!$N$134</definedName>
    <definedName name="SumDataBedr">#REF!</definedName>
    <definedName name="SaaJB">Data!$K$316</definedName>
    <definedName name="SaaJB1">Regn!$T$28</definedName>
    <definedName name="SaaJB2">Regn!$L$52</definedName>
    <definedName name="SaaJB3">Regn!$T$110</definedName>
    <definedName name="SaaJB4">Regn!$L$134</definedName>
    <definedName name="Saaning12">Regn!$KA$74</definedName>
    <definedName name="Saaning34">Regn!$KA$156</definedName>
    <definedName name="SaaningEfgr12">Regn!$MQ$74</definedName>
    <definedName name="SaaningEfgr34">Regn!$MQ$156</definedName>
    <definedName name="SaaningMiljoEfgr12">Regn!$QQ$74</definedName>
    <definedName name="SaaningMiljoEfgr34">Regn!$QQ$156</definedName>
    <definedName name="TabIaltKr">Udskrift!$Q$296</definedName>
    <definedName name="Tandel">Data!$K$231</definedName>
    <definedName name="Teknologi1">Data!$K$229</definedName>
    <definedName name="Teknologi2">Data!$K$230</definedName>
    <definedName name="TilskudEnegipilStand">Data!$L$86</definedName>
    <definedName name="TilskudEnergipil">Data!$K$86</definedName>
    <definedName name="TilskudIalt12">Regn!$BU$74</definedName>
    <definedName name="TilskudIalt34">Regn!$BU$156</definedName>
    <definedName name="TilskudRandz">Data!$K$84</definedName>
    <definedName name="TilskudRandzStand">Data!$L$84</definedName>
    <definedName name="TilskudVadomr">Data!$K$85</definedName>
    <definedName name="TilskudVadomrStand">Data!$L$85</definedName>
    <definedName name="TonPrLaes">Data!$P$310</definedName>
    <definedName name="Torring12">Regn!$LF$74</definedName>
    <definedName name="Torring34">Regn!$LF$156</definedName>
    <definedName name="TorringNavn">Data!$J$203:$J$205</definedName>
    <definedName name="Torrring">Data!$I$203:$J$205</definedName>
    <definedName name="TranspGyllePris">Data!$K$310</definedName>
    <definedName name="TranspGyllePrisEgen">Mark!$AA$210</definedName>
    <definedName name="TranspGylleTimepris">Data!$N$310</definedName>
    <definedName name="TranspMarkPris">Data!$K$311</definedName>
    <definedName name="UdnKrav">Regn!$B$12</definedName>
    <definedName name="Udsaed12">Regn!$ID$74</definedName>
    <definedName name="Udsaed34">Regn!$ID$156</definedName>
    <definedName name="UdsaedEfgr12">Regn!$LJ$74</definedName>
    <definedName name="UdsaedEfgr34">Regn!$LJ$156</definedName>
    <definedName name="UdsaedJust">Regn!$H$12</definedName>
    <definedName name="UdsaedMiljoEfgr12">Regn!$QO$74</definedName>
    <definedName name="UdsaedMiljoEfgr34">Regn!$QO$156</definedName>
    <definedName name="_xlnm.Print_Area" localSheetId="5">Data!$J$2:$R$48</definedName>
    <definedName name="_xlnm.Print_Area" localSheetId="3">Udskrift!$B$2:$S$325</definedName>
    <definedName name="_xlnm.Print_Area" localSheetId="10">Udskrift2!$B$2:$AE$33</definedName>
    <definedName name="Vadomradeareal12">Regn!$PP$74</definedName>
    <definedName name="Vadomradeareal34">Regn!$PP$156</definedName>
    <definedName name="VaerdiHusdyrgodning">Data!$J$199:$J$200</definedName>
    <definedName name="Vandmaskin">Data!$K$306</definedName>
    <definedName name="Ydelse">Data!$J$337:$J$347</definedName>
  </definedNames>
  <calcPr calcId="145621"/>
</workbook>
</file>

<file path=xl/calcChain.xml><?xml version="1.0" encoding="utf-8"?>
<calcChain xmlns="http://schemas.openxmlformats.org/spreadsheetml/2006/main">
  <c r="A40" i="11" l="1"/>
  <c r="D94" i="12" l="1"/>
  <c r="D92" i="12"/>
  <c r="D90" i="12"/>
  <c r="D88" i="12"/>
  <c r="D86" i="12"/>
  <c r="D84" i="12"/>
  <c r="D82" i="12"/>
  <c r="D80" i="12"/>
  <c r="D78" i="12"/>
  <c r="D76" i="12"/>
  <c r="D74" i="12"/>
  <c r="D72" i="12"/>
  <c r="D70" i="12"/>
  <c r="D68" i="12"/>
  <c r="D64" i="12"/>
  <c r="D60" i="12"/>
  <c r="D56" i="12"/>
  <c r="D48" i="12"/>
  <c r="D42" i="12"/>
  <c r="D40" i="12"/>
  <c r="D38" i="12"/>
  <c r="D30" i="12"/>
  <c r="D22" i="12"/>
  <c r="D20" i="12"/>
  <c r="D16" i="12"/>
  <c r="GG98" i="11"/>
  <c r="GG96" i="11"/>
  <c r="GG94" i="11"/>
  <c r="GG92" i="11"/>
  <c r="GG90" i="11"/>
  <c r="GG88" i="11"/>
  <c r="GG86" i="11"/>
  <c r="GG84" i="11"/>
  <c r="GG82" i="11"/>
  <c r="GG80" i="11"/>
  <c r="GG78" i="11"/>
  <c r="GG76" i="11"/>
  <c r="GG74" i="11"/>
  <c r="GE98" i="11"/>
  <c r="GE96" i="11"/>
  <c r="GE94" i="11"/>
  <c r="GE92" i="11"/>
  <c r="GE90" i="11"/>
  <c r="GE88" i="11"/>
  <c r="GE86" i="11"/>
  <c r="GE84" i="11"/>
  <c r="GE82" i="11"/>
  <c r="GE80" i="11"/>
  <c r="GE78" i="11"/>
  <c r="GE76" i="11"/>
  <c r="GE74" i="11"/>
  <c r="GE72" i="11"/>
  <c r="GE70" i="11"/>
  <c r="GE64" i="11"/>
  <c r="GE60" i="11"/>
  <c r="GE58" i="11"/>
  <c r="GE52" i="11"/>
  <c r="GE50" i="11"/>
  <c r="GE48" i="11"/>
  <c r="GE44" i="11"/>
  <c r="GE42" i="11"/>
  <c r="J94" i="12"/>
  <c r="J92" i="12"/>
  <c r="J90" i="12"/>
  <c r="J88" i="12"/>
  <c r="J86" i="12"/>
  <c r="J84" i="12"/>
  <c r="J82" i="12"/>
  <c r="J80" i="12"/>
  <c r="J78" i="12"/>
  <c r="J76" i="12"/>
  <c r="J74" i="12"/>
  <c r="J72" i="12"/>
  <c r="J70" i="12"/>
  <c r="J68" i="12"/>
  <c r="J66" i="12"/>
  <c r="J64" i="12"/>
  <c r="J62" i="12"/>
  <c r="J60" i="12"/>
  <c r="J58" i="12"/>
  <c r="J56" i="12"/>
  <c r="J54" i="12"/>
  <c r="J52" i="12"/>
  <c r="J50" i="12"/>
  <c r="J48" i="12"/>
  <c r="J46" i="12"/>
  <c r="J44" i="12"/>
  <c r="J42" i="12"/>
  <c r="J40" i="12"/>
  <c r="J38" i="12"/>
  <c r="J36" i="12"/>
  <c r="J34" i="12"/>
  <c r="J32" i="12"/>
  <c r="J30" i="12"/>
  <c r="J28" i="12"/>
  <c r="J26" i="12"/>
  <c r="J24" i="12"/>
  <c r="J22" i="12"/>
  <c r="J20" i="12"/>
  <c r="J18" i="12"/>
  <c r="J16" i="12"/>
  <c r="J14" i="12"/>
  <c r="J12" i="12"/>
  <c r="F94" i="12"/>
  <c r="F92" i="12"/>
  <c r="F90" i="12"/>
  <c r="F88" i="12"/>
  <c r="F86" i="12"/>
  <c r="F84" i="12"/>
  <c r="F82" i="12"/>
  <c r="F80" i="12"/>
  <c r="F78" i="12"/>
  <c r="F76" i="12"/>
  <c r="F74" i="12"/>
  <c r="F72" i="12"/>
  <c r="F70" i="12"/>
  <c r="F68" i="12"/>
  <c r="F66" i="12"/>
  <c r="F64" i="12"/>
  <c r="F62" i="12"/>
  <c r="D62" i="12" s="1"/>
  <c r="F60" i="12"/>
  <c r="F58" i="12"/>
  <c r="F56" i="12"/>
  <c r="F54" i="12"/>
  <c r="D54" i="12" s="1"/>
  <c r="F52" i="12"/>
  <c r="D52" i="12" s="1"/>
  <c r="F50" i="12"/>
  <c r="F48" i="12"/>
  <c r="AA48" i="12" s="1"/>
  <c r="AB48" i="12" s="1"/>
  <c r="F46" i="12"/>
  <c r="AA46" i="12" s="1"/>
  <c r="AB46" i="12" s="1"/>
  <c r="F44" i="12"/>
  <c r="D44" i="12" s="1"/>
  <c r="F42" i="12"/>
  <c r="F40" i="12"/>
  <c r="F38" i="12"/>
  <c r="F36" i="12"/>
  <c r="D36" i="12" s="1"/>
  <c r="F34" i="12"/>
  <c r="D34" i="12" s="1"/>
  <c r="F32" i="12"/>
  <c r="F30" i="12"/>
  <c r="F28" i="12"/>
  <c r="D28" i="12" s="1"/>
  <c r="F26" i="12"/>
  <c r="D26" i="12" s="1"/>
  <c r="F24" i="12"/>
  <c r="D24" i="12" s="1"/>
  <c r="F22" i="12"/>
  <c r="F20" i="12"/>
  <c r="F18" i="12"/>
  <c r="D18" i="12" s="1"/>
  <c r="F16" i="12"/>
  <c r="F14" i="12"/>
  <c r="D14" i="12" s="1"/>
  <c r="F12" i="12"/>
  <c r="D12" i="12" s="1"/>
  <c r="B34" i="12"/>
  <c r="H32" i="12"/>
  <c r="H34" i="12"/>
  <c r="H36" i="12"/>
  <c r="AA36" i="12"/>
  <c r="AB36" i="12" s="1"/>
  <c r="H38" i="12"/>
  <c r="AA38" i="12"/>
  <c r="AB38" i="12" s="1"/>
  <c r="H40" i="12"/>
  <c r="AA40" i="12"/>
  <c r="AB40" i="12" s="1"/>
  <c r="H42" i="12"/>
  <c r="AA42" i="12"/>
  <c r="AB42" i="12" s="1"/>
  <c r="H44" i="12"/>
  <c r="H46" i="12"/>
  <c r="H48" i="12"/>
  <c r="H50" i="12"/>
  <c r="H52" i="12"/>
  <c r="H54" i="12"/>
  <c r="H56" i="12"/>
  <c r="H58" i="12"/>
  <c r="H60" i="12"/>
  <c r="H62" i="12"/>
  <c r="H64" i="12"/>
  <c r="H66" i="12"/>
  <c r="R68" i="12"/>
  <c r="S68" i="12" s="1"/>
  <c r="H68" i="12"/>
  <c r="R70" i="12"/>
  <c r="H70" i="12"/>
  <c r="S70" i="12"/>
  <c r="H72" i="12"/>
  <c r="H74" i="12"/>
  <c r="H76" i="12"/>
  <c r="R76" i="12"/>
  <c r="S76" i="12" s="1"/>
  <c r="U76" i="12"/>
  <c r="V76" i="12" s="1"/>
  <c r="AA76" i="12"/>
  <c r="AB76" i="12" s="1"/>
  <c r="H78" i="12"/>
  <c r="R78" i="12"/>
  <c r="S78" i="12" s="1"/>
  <c r="U78" i="12"/>
  <c r="V78" i="12" s="1"/>
  <c r="AA78" i="12"/>
  <c r="AB78" i="12" s="1"/>
  <c r="H80" i="12"/>
  <c r="R80" i="12"/>
  <c r="S80" i="12" s="1"/>
  <c r="U80" i="12"/>
  <c r="V80" i="12" s="1"/>
  <c r="AA80" i="12"/>
  <c r="AB80" i="12" s="1"/>
  <c r="H82" i="12"/>
  <c r="R82" i="12"/>
  <c r="S82" i="12" s="1"/>
  <c r="U82" i="12"/>
  <c r="V82" i="12" s="1"/>
  <c r="AA82" i="12"/>
  <c r="AB82" i="12" s="1"/>
  <c r="H84" i="12"/>
  <c r="R84" i="12"/>
  <c r="S84" i="12" s="1"/>
  <c r="U84" i="12"/>
  <c r="V84" i="12" s="1"/>
  <c r="AA84" i="12"/>
  <c r="AB84" i="12" s="1"/>
  <c r="H86" i="12"/>
  <c r="R86" i="12"/>
  <c r="S86" i="12" s="1"/>
  <c r="U86" i="12"/>
  <c r="V86" i="12" s="1"/>
  <c r="AA86" i="12"/>
  <c r="AB86" i="12" s="1"/>
  <c r="H88" i="12"/>
  <c r="R88" i="12"/>
  <c r="S88" i="12" s="1"/>
  <c r="U88" i="12"/>
  <c r="V88" i="12" s="1"/>
  <c r="AA88" i="12"/>
  <c r="AB88" i="12" s="1"/>
  <c r="R90" i="12"/>
  <c r="S90" i="12" s="1"/>
  <c r="H90" i="12"/>
  <c r="R92" i="12"/>
  <c r="S92" i="12" s="1"/>
  <c r="H92" i="12"/>
  <c r="H94" i="12"/>
  <c r="RW100" i="11"/>
  <c r="RK100" i="11"/>
  <c r="RH100" i="11"/>
  <c r="QX100" i="11"/>
  <c r="QW100" i="11"/>
  <c r="QV100" i="11"/>
  <c r="QT100" i="11"/>
  <c r="QS100" i="11"/>
  <c r="QR100" i="11"/>
  <c r="QB100" i="11"/>
  <c r="PY100" i="11"/>
  <c r="PV100" i="11"/>
  <c r="PT100" i="11"/>
  <c r="PQ100" i="11"/>
  <c r="PN100" i="11"/>
  <c r="PL100" i="11"/>
  <c r="PI100" i="11"/>
  <c r="PH100" i="11"/>
  <c r="PG100" i="11"/>
  <c r="PD100" i="11"/>
  <c r="PC100" i="11"/>
  <c r="PB100" i="11"/>
  <c r="OX100" i="11"/>
  <c r="OW100" i="11"/>
  <c r="OV100" i="11"/>
  <c r="OQ100" i="11"/>
  <c r="OP100" i="11"/>
  <c r="OO100" i="11"/>
  <c r="OL100" i="11"/>
  <c r="OJ100" i="11"/>
  <c r="NZ100" i="11"/>
  <c r="OA100" i="11" s="1"/>
  <c r="NU100" i="11"/>
  <c r="NT100" i="11"/>
  <c r="NV100" i="11" s="1"/>
  <c r="NW100" i="11" s="1"/>
  <c r="NP100" i="11"/>
  <c r="NQ100" i="11" s="1"/>
  <c r="NN100" i="11"/>
  <c r="NO100" i="11" s="1"/>
  <c r="NJ100" i="11"/>
  <c r="NK100" i="11" s="1"/>
  <c r="MR100" i="11"/>
  <c r="MS100" i="11" s="1"/>
  <c r="LU100" i="11"/>
  <c r="LV100" i="11" s="1"/>
  <c r="KZ100" i="11"/>
  <c r="LA100" i="11" s="1"/>
  <c r="KX100" i="11"/>
  <c r="KY100" i="11" s="1"/>
  <c r="KT100" i="11"/>
  <c r="KU100" i="11" s="1"/>
  <c r="KK100" i="11"/>
  <c r="KJ100" i="11"/>
  <c r="KI100" i="11"/>
  <c r="KH100" i="11"/>
  <c r="KG100" i="11"/>
  <c r="KE100" i="11"/>
  <c r="JZ100" i="11"/>
  <c r="JO100" i="11"/>
  <c r="JP100" i="11" s="1"/>
  <c r="JD100" i="11"/>
  <c r="IW100" i="11"/>
  <c r="IV100" i="11"/>
  <c r="IO100" i="11"/>
  <c r="IP100" i="11" s="1"/>
  <c r="IE100" i="11"/>
  <c r="IB100" i="11"/>
  <c r="HZ100" i="11"/>
  <c r="HX100" i="11"/>
  <c r="HU100" i="11"/>
  <c r="HV100" i="11" s="1"/>
  <c r="HR100" i="11"/>
  <c r="HS100" i="11" s="1"/>
  <c r="IH100" i="11" s="1"/>
  <c r="HN100" i="11"/>
  <c r="HM100" i="11"/>
  <c r="HK100" i="11"/>
  <c r="HJ100" i="11"/>
  <c r="HF100" i="11"/>
  <c r="HG100" i="11" s="1"/>
  <c r="HC100" i="11"/>
  <c r="HD100" i="11" s="1"/>
  <c r="GZ100" i="11"/>
  <c r="GP100" i="11"/>
  <c r="GN100" i="11"/>
  <c r="GK100" i="11"/>
  <c r="GO100" i="11" s="1"/>
  <c r="FL100" i="11"/>
  <c r="FJ100" i="11"/>
  <c r="FB100" i="11"/>
  <c r="EZ100" i="11"/>
  <c r="EX100" i="11"/>
  <c r="EW100" i="11"/>
  <c r="EV100" i="11"/>
  <c r="EU100" i="11"/>
  <c r="EK100" i="11"/>
  <c r="DZ100" i="11"/>
  <c r="DM100" i="11"/>
  <c r="DG100" i="11"/>
  <c r="DE100" i="11"/>
  <c r="GD100" i="11" s="1"/>
  <c r="DC100" i="11"/>
  <c r="MI100" i="11" s="1"/>
  <c r="DB100" i="11"/>
  <c r="JF100" i="11" s="1"/>
  <c r="CZ100" i="11"/>
  <c r="MJ100" i="11" s="1"/>
  <c r="MK100" i="11" s="1"/>
  <c r="CY100" i="11"/>
  <c r="JG100" i="11" s="1"/>
  <c r="JH100" i="11" s="1"/>
  <c r="CW100" i="11"/>
  <c r="FW100" i="11" s="1"/>
  <c r="CU100" i="11"/>
  <c r="MC100" i="11" s="1"/>
  <c r="CT100" i="11"/>
  <c r="IY100" i="11" s="1"/>
  <c r="CR100" i="11"/>
  <c r="MD100" i="11" s="1"/>
  <c r="ME100" i="11" s="1"/>
  <c r="CQ100" i="11"/>
  <c r="IZ100" i="11" s="1"/>
  <c r="JA100" i="11" s="1"/>
  <c r="CO100" i="11"/>
  <c r="GW100" i="11" s="1"/>
  <c r="CN100" i="11"/>
  <c r="CM100" i="11"/>
  <c r="CL100" i="11"/>
  <c r="CK100" i="11"/>
  <c r="CJ100" i="11"/>
  <c r="CI100" i="11"/>
  <c r="CH100" i="11"/>
  <c r="CG100" i="11"/>
  <c r="CF100" i="11"/>
  <c r="CE100" i="11"/>
  <c r="CD100" i="11"/>
  <c r="GY100" i="11" s="1"/>
  <c r="CC100" i="11"/>
  <c r="CB100" i="11"/>
  <c r="LY100" i="11" s="1"/>
  <c r="CA100" i="11"/>
  <c r="BZ100" i="11"/>
  <c r="BW100" i="11"/>
  <c r="BQ100" i="11"/>
  <c r="BR100" i="11" s="1"/>
  <c r="BI100" i="11"/>
  <c r="BJ100" i="11" s="1"/>
  <c r="AW100" i="11"/>
  <c r="AX100" i="11" s="1"/>
  <c r="AR100" i="11"/>
  <c r="AS100" i="11" s="1"/>
  <c r="AO100" i="11"/>
  <c r="AP100" i="11" s="1"/>
  <c r="AC100" i="11"/>
  <c r="Z100" i="11"/>
  <c r="M100" i="11"/>
  <c r="BN100" i="11" s="1"/>
  <c r="L100" i="11"/>
  <c r="K100" i="11"/>
  <c r="NF100" i="11" s="1"/>
  <c r="NG100" i="11" s="1"/>
  <c r="J100" i="11"/>
  <c r="JY100" i="11" s="1"/>
  <c r="I100" i="11"/>
  <c r="AJ100" i="11" s="1"/>
  <c r="H100" i="11"/>
  <c r="BA100" i="11" s="1"/>
  <c r="LE100" i="11" s="1"/>
  <c r="G100" i="11"/>
  <c r="AB100" i="11" s="1"/>
  <c r="F100" i="11"/>
  <c r="E100" i="11"/>
  <c r="AI100" i="11" s="1"/>
  <c r="D100" i="11"/>
  <c r="AH100" i="11" s="1"/>
  <c r="A100" i="11"/>
  <c r="B94" i="12" s="1"/>
  <c r="RW98" i="11"/>
  <c r="RK98" i="11"/>
  <c r="RH98" i="11"/>
  <c r="QX98" i="11"/>
  <c r="QW98" i="11"/>
  <c r="QV98" i="11"/>
  <c r="QU98" i="11"/>
  <c r="QT98" i="11"/>
  <c r="QS98" i="11"/>
  <c r="QR98" i="11"/>
  <c r="QB98" i="11"/>
  <c r="PY98" i="11"/>
  <c r="PV98" i="11"/>
  <c r="PT98" i="11"/>
  <c r="PQ98" i="11"/>
  <c r="PR98" i="11" s="1"/>
  <c r="PN98" i="11"/>
  <c r="PL98" i="11"/>
  <c r="PI98" i="11"/>
  <c r="PH98" i="11"/>
  <c r="PG98" i="11"/>
  <c r="PD98" i="11"/>
  <c r="PC98" i="11"/>
  <c r="PB98" i="11"/>
  <c r="OX98" i="11"/>
  <c r="OW98" i="11"/>
  <c r="OV98" i="11"/>
  <c r="OQ98" i="11"/>
  <c r="OP98" i="11"/>
  <c r="OO98" i="11"/>
  <c r="OL98" i="11"/>
  <c r="OJ98" i="11"/>
  <c r="NZ98" i="11"/>
  <c r="OA98" i="11" s="1"/>
  <c r="NU98" i="11"/>
  <c r="NT98" i="11"/>
  <c r="NP98" i="11"/>
  <c r="NQ98" i="11" s="1"/>
  <c r="NN98" i="11"/>
  <c r="NO98" i="11" s="1"/>
  <c r="NJ98" i="11"/>
  <c r="NK98" i="11" s="1"/>
  <c r="MR98" i="11"/>
  <c r="MS98" i="11" s="1"/>
  <c r="LU98" i="11"/>
  <c r="LV98" i="11" s="1"/>
  <c r="LL98" i="11"/>
  <c r="LK98" i="11"/>
  <c r="LF98" i="11"/>
  <c r="LE98" i="11"/>
  <c r="LD98" i="11"/>
  <c r="KZ98" i="11"/>
  <c r="LA98" i="11" s="1"/>
  <c r="KX98" i="11"/>
  <c r="KY98" i="11" s="1"/>
  <c r="KT98" i="11"/>
  <c r="KU98" i="11" s="1"/>
  <c r="KP98" i="11"/>
  <c r="KQ98" i="11" s="1"/>
  <c r="KK98" i="11"/>
  <c r="KJ98" i="11"/>
  <c r="KI98" i="11"/>
  <c r="KH98" i="11"/>
  <c r="KG98" i="11"/>
  <c r="KF98" i="11"/>
  <c r="KE98" i="11"/>
  <c r="JZ98" i="11"/>
  <c r="JY98" i="11"/>
  <c r="JO98" i="11"/>
  <c r="JP98" i="11" s="1"/>
  <c r="JD98" i="11"/>
  <c r="IW98" i="11"/>
  <c r="IV98" i="11"/>
  <c r="IO98" i="11"/>
  <c r="IP98" i="11" s="1"/>
  <c r="IE98" i="11"/>
  <c r="IB98" i="11"/>
  <c r="HZ98" i="11"/>
  <c r="HX98" i="11"/>
  <c r="HU98" i="11"/>
  <c r="HV98" i="11" s="1"/>
  <c r="HR98" i="11"/>
  <c r="HS98" i="11" s="1"/>
  <c r="IH98" i="11" s="1"/>
  <c r="HN98" i="11"/>
  <c r="HM98" i="11"/>
  <c r="HK98" i="11"/>
  <c r="HJ98" i="11"/>
  <c r="HF98" i="11"/>
  <c r="HG98" i="11" s="1"/>
  <c r="HC98" i="11"/>
  <c r="HD98" i="11" s="1"/>
  <c r="GZ98" i="11"/>
  <c r="GQ98" i="11"/>
  <c r="GP98" i="11"/>
  <c r="GO98" i="11"/>
  <c r="GN98" i="11"/>
  <c r="GM98" i="11"/>
  <c r="GK98" i="11"/>
  <c r="FL98" i="11"/>
  <c r="FJ98" i="11"/>
  <c r="FB98" i="11"/>
  <c r="EZ98" i="11"/>
  <c r="EX98" i="11"/>
  <c r="EW98" i="11"/>
  <c r="EV98" i="11"/>
  <c r="EU98" i="11"/>
  <c r="EK98" i="11"/>
  <c r="DZ98" i="11"/>
  <c r="DM98" i="11"/>
  <c r="DG98" i="11"/>
  <c r="DE98" i="11"/>
  <c r="GD98" i="11" s="1"/>
  <c r="DC98" i="11"/>
  <c r="MI98" i="11" s="1"/>
  <c r="DB98" i="11"/>
  <c r="JF98" i="11" s="1"/>
  <c r="CZ98" i="11"/>
  <c r="MJ98" i="11" s="1"/>
  <c r="MK98" i="11" s="1"/>
  <c r="CY98" i="11"/>
  <c r="JG98" i="11" s="1"/>
  <c r="JH98" i="11" s="1"/>
  <c r="CW98" i="11"/>
  <c r="FW98" i="11" s="1"/>
  <c r="CU98" i="11"/>
  <c r="MC98" i="11" s="1"/>
  <c r="CT98" i="11"/>
  <c r="IY98" i="11" s="1"/>
  <c r="CR98" i="11"/>
  <c r="MD98" i="11" s="1"/>
  <c r="ME98" i="11" s="1"/>
  <c r="CQ98" i="11"/>
  <c r="IZ98" i="11" s="1"/>
  <c r="JA98" i="11" s="1"/>
  <c r="CO98" i="11"/>
  <c r="GW98" i="11" s="1"/>
  <c r="CN98" i="11"/>
  <c r="CM98" i="11"/>
  <c r="CL98" i="11"/>
  <c r="CK98" i="11"/>
  <c r="CJ98" i="11"/>
  <c r="CI98" i="11"/>
  <c r="CH98" i="11"/>
  <c r="CG98" i="11"/>
  <c r="CF98" i="11"/>
  <c r="CE98" i="11"/>
  <c r="RR98" i="11" s="1"/>
  <c r="CD98" i="11"/>
  <c r="GY98" i="11" s="1"/>
  <c r="CC98" i="11"/>
  <c r="GT98" i="11" s="1"/>
  <c r="CB98" i="11"/>
  <c r="LY98" i="11" s="1"/>
  <c r="CA98" i="11"/>
  <c r="BZ98" i="11"/>
  <c r="BW98" i="11"/>
  <c r="BQ98" i="11"/>
  <c r="BR98" i="11" s="1"/>
  <c r="MV98" i="11" s="1"/>
  <c r="MW98" i="11" s="1"/>
  <c r="BI98" i="11"/>
  <c r="BJ98" i="11" s="1"/>
  <c r="AW98" i="11"/>
  <c r="AX98" i="11" s="1"/>
  <c r="AR98" i="11"/>
  <c r="AS98" i="11" s="1"/>
  <c r="AO98" i="11"/>
  <c r="AC98" i="11"/>
  <c r="Z98" i="11"/>
  <c r="L92" i="12" s="1"/>
  <c r="M92" i="12" s="1"/>
  <c r="M98" i="11"/>
  <c r="BN98" i="11" s="1"/>
  <c r="L98" i="11"/>
  <c r="K98" i="11"/>
  <c r="NB98" i="11" s="1"/>
  <c r="NC98" i="11" s="1"/>
  <c r="J98" i="11"/>
  <c r="I98" i="11"/>
  <c r="AJ98" i="11" s="1"/>
  <c r="H98" i="11"/>
  <c r="BA98" i="11" s="1"/>
  <c r="G98" i="11"/>
  <c r="AB98" i="11" s="1"/>
  <c r="F98" i="11"/>
  <c r="E98" i="11"/>
  <c r="AI98" i="11" s="1"/>
  <c r="D98" i="11"/>
  <c r="AH98" i="11" s="1"/>
  <c r="A98" i="11"/>
  <c r="B92" i="12" s="1"/>
  <c r="RW96" i="11"/>
  <c r="RK96" i="11"/>
  <c r="RH96" i="11"/>
  <c r="QX96" i="11"/>
  <c r="QW96" i="11"/>
  <c r="QV96" i="11"/>
  <c r="QU96" i="11"/>
  <c r="QT96" i="11"/>
  <c r="QS96" i="11"/>
  <c r="QR96" i="11"/>
  <c r="QB96" i="11"/>
  <c r="PY96" i="11"/>
  <c r="PV96" i="11"/>
  <c r="PT96" i="11"/>
  <c r="PQ96" i="11"/>
  <c r="PR96" i="11" s="1"/>
  <c r="PN96" i="11"/>
  <c r="PL96" i="11"/>
  <c r="PI96" i="11"/>
  <c r="PH96" i="11"/>
  <c r="PG96" i="11"/>
  <c r="PD96" i="11"/>
  <c r="PC96" i="11"/>
  <c r="PB96" i="11"/>
  <c r="OX96" i="11"/>
  <c r="OW96" i="11"/>
  <c r="OV96" i="11"/>
  <c r="OQ96" i="11"/>
  <c r="OP96" i="11"/>
  <c r="OO96" i="11"/>
  <c r="OL96" i="11"/>
  <c r="OJ96" i="11"/>
  <c r="NZ96" i="11"/>
  <c r="OA96" i="11" s="1"/>
  <c r="NU96" i="11"/>
  <c r="NT96" i="11"/>
  <c r="NP96" i="11"/>
  <c r="NQ96" i="11" s="1"/>
  <c r="NN96" i="11"/>
  <c r="NO96" i="11" s="1"/>
  <c r="NJ96" i="11"/>
  <c r="NK96" i="11" s="1"/>
  <c r="MR96" i="11"/>
  <c r="MS96" i="11" s="1"/>
  <c r="LU96" i="11"/>
  <c r="LV96" i="11" s="1"/>
  <c r="LL96" i="11"/>
  <c r="LK96" i="11"/>
  <c r="LF96" i="11"/>
  <c r="LE96" i="11"/>
  <c r="LD96" i="11"/>
  <c r="KZ96" i="11"/>
  <c r="LA96" i="11" s="1"/>
  <c r="KX96" i="11"/>
  <c r="KY96" i="11" s="1"/>
  <c r="KT96" i="11"/>
  <c r="KU96" i="11" s="1"/>
  <c r="KP96" i="11"/>
  <c r="KQ96" i="11" s="1"/>
  <c r="KK96" i="11"/>
  <c r="KJ96" i="11"/>
  <c r="KI96" i="11"/>
  <c r="KH96" i="11"/>
  <c r="KG96" i="11"/>
  <c r="KF96" i="11"/>
  <c r="KE96" i="11"/>
  <c r="JZ96" i="11"/>
  <c r="JY96" i="11"/>
  <c r="JO96" i="11"/>
  <c r="JP96" i="11" s="1"/>
  <c r="JD96" i="11"/>
  <c r="IW96" i="11"/>
  <c r="IV96" i="11"/>
  <c r="IO96" i="11"/>
  <c r="IP96" i="11" s="1"/>
  <c r="IE96" i="11"/>
  <c r="IB96" i="11"/>
  <c r="HZ96" i="11"/>
  <c r="HX96" i="11"/>
  <c r="HU96" i="11"/>
  <c r="HV96" i="11" s="1"/>
  <c r="HR96" i="11"/>
  <c r="HS96" i="11" s="1"/>
  <c r="IH96" i="11" s="1"/>
  <c r="HN96" i="11"/>
  <c r="HM96" i="11"/>
  <c r="HK96" i="11"/>
  <c r="HJ96" i="11"/>
  <c r="HF96" i="11"/>
  <c r="HG96" i="11" s="1"/>
  <c r="HC96" i="11"/>
  <c r="GZ96" i="11"/>
  <c r="GQ96" i="11"/>
  <c r="GP96" i="11"/>
  <c r="GO96" i="11"/>
  <c r="GN96" i="11"/>
  <c r="GM96" i="11"/>
  <c r="GK96" i="11"/>
  <c r="FL96" i="11"/>
  <c r="FJ96" i="11"/>
  <c r="FB96" i="11"/>
  <c r="EZ96" i="11"/>
  <c r="EX96" i="11"/>
  <c r="EW96" i="11"/>
  <c r="EV96" i="11"/>
  <c r="EU96" i="11"/>
  <c r="EK96" i="11"/>
  <c r="DZ96" i="11"/>
  <c r="DM96" i="11"/>
  <c r="DG96" i="11"/>
  <c r="DE96" i="11"/>
  <c r="GD96" i="11" s="1"/>
  <c r="DC96" i="11"/>
  <c r="MI96" i="11" s="1"/>
  <c r="DB96" i="11"/>
  <c r="JF96" i="11" s="1"/>
  <c r="CZ96" i="11"/>
  <c r="MJ96" i="11" s="1"/>
  <c r="MK96" i="11" s="1"/>
  <c r="CY96" i="11"/>
  <c r="JG96" i="11" s="1"/>
  <c r="JH96" i="11" s="1"/>
  <c r="CW96" i="11"/>
  <c r="FW96" i="11" s="1"/>
  <c r="CU96" i="11"/>
  <c r="MC96" i="11" s="1"/>
  <c r="CT96" i="11"/>
  <c r="IY96" i="11" s="1"/>
  <c r="CR96" i="11"/>
  <c r="MD96" i="11" s="1"/>
  <c r="ME96" i="11" s="1"/>
  <c r="CQ96" i="11"/>
  <c r="IZ96" i="11" s="1"/>
  <c r="JA96" i="11" s="1"/>
  <c r="CO96" i="11"/>
  <c r="GW96" i="11" s="1"/>
  <c r="CN96" i="11"/>
  <c r="CM96" i="11"/>
  <c r="CL96" i="11"/>
  <c r="CK96" i="11"/>
  <c r="CJ96" i="11"/>
  <c r="CI96" i="11"/>
  <c r="CH96" i="11"/>
  <c r="CG96" i="11"/>
  <c r="CF96" i="11"/>
  <c r="CE96" i="11"/>
  <c r="RR96" i="11" s="1"/>
  <c r="CD96" i="11"/>
  <c r="GY96" i="11" s="1"/>
  <c r="CC96" i="11"/>
  <c r="GT96" i="11" s="1"/>
  <c r="CB96" i="11"/>
  <c r="LY96" i="11" s="1"/>
  <c r="CA96" i="11"/>
  <c r="BZ96" i="11"/>
  <c r="BW96" i="11"/>
  <c r="BQ96" i="11"/>
  <c r="BR96" i="11" s="1"/>
  <c r="MV96" i="11" s="1"/>
  <c r="MW96" i="11" s="1"/>
  <c r="BI96" i="11"/>
  <c r="BJ96" i="11" s="1"/>
  <c r="AW96" i="11"/>
  <c r="AX96" i="11" s="1"/>
  <c r="AR96" i="11"/>
  <c r="AS96" i="11" s="1"/>
  <c r="AO96" i="11"/>
  <c r="AC96" i="11"/>
  <c r="Z96" i="11"/>
  <c r="L90" i="12" s="1"/>
  <c r="M90" i="12" s="1"/>
  <c r="M96" i="11"/>
  <c r="BN96" i="11" s="1"/>
  <c r="L96" i="11"/>
  <c r="K96" i="11"/>
  <c r="J96" i="11"/>
  <c r="I96" i="11"/>
  <c r="AJ96" i="11" s="1"/>
  <c r="H96" i="11"/>
  <c r="BA96" i="11" s="1"/>
  <c r="G96" i="11"/>
  <c r="AB96" i="11" s="1"/>
  <c r="F96" i="11"/>
  <c r="E96" i="11"/>
  <c r="AI96" i="11" s="1"/>
  <c r="D96" i="11"/>
  <c r="AH96" i="11" s="1"/>
  <c r="A96" i="11"/>
  <c r="B90" i="12" s="1"/>
  <c r="RW94" i="11"/>
  <c r="RK94" i="11"/>
  <c r="RH94" i="11"/>
  <c r="QX94" i="11"/>
  <c r="QW94" i="11"/>
  <c r="QV94" i="11"/>
  <c r="QU94" i="11"/>
  <c r="QT94" i="11"/>
  <c r="QS94" i="11"/>
  <c r="QR94" i="11"/>
  <c r="QB94" i="11"/>
  <c r="PY94" i="11"/>
  <c r="PV94" i="11"/>
  <c r="PT94" i="11"/>
  <c r="PQ94" i="11"/>
  <c r="PR94" i="11" s="1"/>
  <c r="PN94" i="11"/>
  <c r="PL94" i="11"/>
  <c r="PI94" i="11"/>
  <c r="PH94" i="11"/>
  <c r="PG94" i="11"/>
  <c r="PD94" i="11"/>
  <c r="PC94" i="11"/>
  <c r="PB94" i="11"/>
  <c r="OX94" i="11"/>
  <c r="OW94" i="11"/>
  <c r="OV94" i="11"/>
  <c r="OQ94" i="11"/>
  <c r="OP94" i="11"/>
  <c r="OO94" i="11"/>
  <c r="OL94" i="11"/>
  <c r="OJ94" i="11"/>
  <c r="NZ94" i="11"/>
  <c r="OA94" i="11" s="1"/>
  <c r="NU94" i="11"/>
  <c r="NT94" i="11"/>
  <c r="NP94" i="11"/>
  <c r="NQ94" i="11" s="1"/>
  <c r="NN94" i="11"/>
  <c r="NO94" i="11" s="1"/>
  <c r="NJ94" i="11"/>
  <c r="NK94" i="11" s="1"/>
  <c r="MR94" i="11"/>
  <c r="MS94" i="11" s="1"/>
  <c r="LU94" i="11"/>
  <c r="LV94" i="11" s="1"/>
  <c r="LL94" i="11"/>
  <c r="LK94" i="11"/>
  <c r="LF94" i="11"/>
  <c r="LE94" i="11"/>
  <c r="LD94" i="11"/>
  <c r="KZ94" i="11"/>
  <c r="LA94" i="11" s="1"/>
  <c r="KX94" i="11"/>
  <c r="KY94" i="11" s="1"/>
  <c r="KT94" i="11"/>
  <c r="KU94" i="11" s="1"/>
  <c r="KP94" i="11"/>
  <c r="KQ94" i="11" s="1"/>
  <c r="KK94" i="11"/>
  <c r="KJ94" i="11"/>
  <c r="KI94" i="11"/>
  <c r="KH94" i="11"/>
  <c r="KG94" i="11"/>
  <c r="KF94" i="11"/>
  <c r="KE94" i="11"/>
  <c r="JZ94" i="11"/>
  <c r="JY94" i="11"/>
  <c r="JO94" i="11"/>
  <c r="JP94" i="11" s="1"/>
  <c r="JD94" i="11"/>
  <c r="IW94" i="11"/>
  <c r="IV94" i="11"/>
  <c r="IO94" i="11"/>
  <c r="IP94" i="11" s="1"/>
  <c r="IE94" i="11"/>
  <c r="IB94" i="11"/>
  <c r="HZ94" i="11"/>
  <c r="HX94" i="11"/>
  <c r="HU94" i="11"/>
  <c r="HV94" i="11" s="1"/>
  <c r="HR94" i="11"/>
  <c r="HS94" i="11" s="1"/>
  <c r="IH94" i="11" s="1"/>
  <c r="HN94" i="11"/>
  <c r="HM94" i="11"/>
  <c r="HK94" i="11"/>
  <c r="HJ94" i="11"/>
  <c r="HF94" i="11"/>
  <c r="HC94" i="11"/>
  <c r="HD94" i="11" s="1"/>
  <c r="GZ94" i="11"/>
  <c r="GQ94" i="11"/>
  <c r="GP94" i="11"/>
  <c r="GO94" i="11"/>
  <c r="GN94" i="11"/>
  <c r="GM94" i="11"/>
  <c r="GK94" i="11"/>
  <c r="FL94" i="11"/>
  <c r="FJ94" i="11"/>
  <c r="FB94" i="11"/>
  <c r="EZ94" i="11"/>
  <c r="EX94" i="11"/>
  <c r="EW94" i="11"/>
  <c r="EV94" i="11"/>
  <c r="EU94" i="11"/>
  <c r="EK94" i="11"/>
  <c r="DZ94" i="11"/>
  <c r="DM94" i="11"/>
  <c r="DG94" i="11"/>
  <c r="DE94" i="11"/>
  <c r="GD94" i="11" s="1"/>
  <c r="DC94" i="11"/>
  <c r="MI94" i="11" s="1"/>
  <c r="DB94" i="11"/>
  <c r="JF94" i="11" s="1"/>
  <c r="CZ94" i="11"/>
  <c r="MJ94" i="11" s="1"/>
  <c r="MK94" i="11" s="1"/>
  <c r="CY94" i="11"/>
  <c r="JG94" i="11" s="1"/>
  <c r="JH94" i="11" s="1"/>
  <c r="CW94" i="11"/>
  <c r="FW94" i="11" s="1"/>
  <c r="CU94" i="11"/>
  <c r="MC94" i="11" s="1"/>
  <c r="CT94" i="11"/>
  <c r="IY94" i="11" s="1"/>
  <c r="CR94" i="11"/>
  <c r="MD94" i="11" s="1"/>
  <c r="ME94" i="11" s="1"/>
  <c r="CQ94" i="11"/>
  <c r="IZ94" i="11" s="1"/>
  <c r="JA94" i="11" s="1"/>
  <c r="CO94" i="11"/>
  <c r="GW94" i="11" s="1"/>
  <c r="CN94" i="11"/>
  <c r="CM94" i="11"/>
  <c r="CL94" i="11"/>
  <c r="CK94" i="11"/>
  <c r="CJ94" i="11"/>
  <c r="CI94" i="11"/>
  <c r="CH94" i="11"/>
  <c r="CG94" i="11"/>
  <c r="CF94" i="11"/>
  <c r="CE94" i="11"/>
  <c r="CD94" i="11"/>
  <c r="GY94" i="11" s="1"/>
  <c r="CC94" i="11"/>
  <c r="GT94" i="11" s="1"/>
  <c r="CB94" i="11"/>
  <c r="CA94" i="11"/>
  <c r="BZ94" i="11"/>
  <c r="BW94" i="11"/>
  <c r="BQ94" i="11"/>
  <c r="BR94" i="11" s="1"/>
  <c r="BI94" i="11"/>
  <c r="BJ94" i="11" s="1"/>
  <c r="AW94" i="11"/>
  <c r="AX94" i="11" s="1"/>
  <c r="AR94" i="11"/>
  <c r="AS94" i="11" s="1"/>
  <c r="AO94" i="11"/>
  <c r="AP94" i="11" s="1"/>
  <c r="AC94" i="11"/>
  <c r="Z94" i="11"/>
  <c r="L88" i="12" s="1"/>
  <c r="M88" i="12" s="1"/>
  <c r="M94" i="11"/>
  <c r="BN94" i="11" s="1"/>
  <c r="L94" i="11"/>
  <c r="K94" i="11"/>
  <c r="J94" i="11"/>
  <c r="I94" i="11"/>
  <c r="AJ94" i="11" s="1"/>
  <c r="H94" i="11"/>
  <c r="BA94" i="11" s="1"/>
  <c r="G94" i="11"/>
  <c r="AB94" i="11" s="1"/>
  <c r="F94" i="11"/>
  <c r="E94" i="11"/>
  <c r="AI94" i="11" s="1"/>
  <c r="D94" i="11"/>
  <c r="AH94" i="11" s="1"/>
  <c r="A94" i="11"/>
  <c r="B88" i="12" s="1"/>
  <c r="RW92" i="11"/>
  <c r="RK92" i="11"/>
  <c r="RH92" i="11"/>
  <c r="QX92" i="11"/>
  <c r="QW92" i="11"/>
  <c r="QV92" i="11"/>
  <c r="QU92" i="11"/>
  <c r="QT92" i="11"/>
  <c r="QS92" i="11"/>
  <c r="QR92" i="11"/>
  <c r="QB92" i="11"/>
  <c r="PY92" i="11"/>
  <c r="PV92" i="11"/>
  <c r="PT92" i="11"/>
  <c r="PQ92" i="11"/>
  <c r="PR92" i="11" s="1"/>
  <c r="PN92" i="11"/>
  <c r="PL92" i="11"/>
  <c r="PI92" i="11"/>
  <c r="PH92" i="11"/>
  <c r="PG92" i="11"/>
  <c r="PD92" i="11"/>
  <c r="PC92" i="11"/>
  <c r="PB92" i="11"/>
  <c r="OX92" i="11"/>
  <c r="OW92" i="11"/>
  <c r="OV92" i="11"/>
  <c r="OQ92" i="11"/>
  <c r="OP92" i="11"/>
  <c r="OO92" i="11"/>
  <c r="OL92" i="11"/>
  <c r="OJ92" i="11"/>
  <c r="NZ92" i="11"/>
  <c r="OA92" i="11" s="1"/>
  <c r="NU92" i="11"/>
  <c r="NT92" i="11"/>
  <c r="NP92" i="11"/>
  <c r="NQ92" i="11" s="1"/>
  <c r="NN92" i="11"/>
  <c r="NO92" i="11" s="1"/>
  <c r="NJ92" i="11"/>
  <c r="NK92" i="11" s="1"/>
  <c r="MR92" i="11"/>
  <c r="MS92" i="11" s="1"/>
  <c r="LU92" i="11"/>
  <c r="LV92" i="11" s="1"/>
  <c r="LL92" i="11"/>
  <c r="LK92" i="11"/>
  <c r="LF92" i="11"/>
  <c r="LE92" i="11"/>
  <c r="LD92" i="11"/>
  <c r="KZ92" i="11"/>
  <c r="LA92" i="11" s="1"/>
  <c r="KX92" i="11"/>
  <c r="KY92" i="11" s="1"/>
  <c r="KT92" i="11"/>
  <c r="KU92" i="11" s="1"/>
  <c r="KP92" i="11"/>
  <c r="KQ92" i="11" s="1"/>
  <c r="KK92" i="11"/>
  <c r="KJ92" i="11"/>
  <c r="KI92" i="11"/>
  <c r="KH92" i="11"/>
  <c r="KG92" i="11"/>
  <c r="KF92" i="11"/>
  <c r="KE92" i="11"/>
  <c r="JZ92" i="11"/>
  <c r="JY92" i="11"/>
  <c r="JO92" i="11"/>
  <c r="JP92" i="11" s="1"/>
  <c r="JD92" i="11"/>
  <c r="IW92" i="11"/>
  <c r="IV92" i="11"/>
  <c r="IO92" i="11"/>
  <c r="IP92" i="11" s="1"/>
  <c r="IE92" i="11"/>
  <c r="IB92" i="11"/>
  <c r="HZ92" i="11"/>
  <c r="HX92" i="11"/>
  <c r="HU92" i="11"/>
  <c r="HV92" i="11" s="1"/>
  <c r="HR92" i="11"/>
  <c r="HS92" i="11" s="1"/>
  <c r="IH92" i="11" s="1"/>
  <c r="HN92" i="11"/>
  <c r="HM92" i="11"/>
  <c r="HK92" i="11"/>
  <c r="HJ92" i="11"/>
  <c r="HF92" i="11"/>
  <c r="HG92" i="11" s="1"/>
  <c r="HC92" i="11"/>
  <c r="HD92" i="11" s="1"/>
  <c r="GZ92" i="11"/>
  <c r="GQ92" i="11"/>
  <c r="GP92" i="11"/>
  <c r="GO92" i="11"/>
  <c r="GN92" i="11"/>
  <c r="GM92" i="11"/>
  <c r="GK92" i="11"/>
  <c r="FL92" i="11"/>
  <c r="FJ92" i="11"/>
  <c r="FB92" i="11"/>
  <c r="EZ92" i="11"/>
  <c r="EX92" i="11"/>
  <c r="EW92" i="11"/>
  <c r="EV92" i="11"/>
  <c r="EU92" i="11"/>
  <c r="EK92" i="11"/>
  <c r="DZ92" i="11"/>
  <c r="DM92" i="11"/>
  <c r="DG92" i="11"/>
  <c r="DE92" i="11"/>
  <c r="GD92" i="11" s="1"/>
  <c r="DC92" i="11"/>
  <c r="MI92" i="11" s="1"/>
  <c r="DB92" i="11"/>
  <c r="JF92" i="11" s="1"/>
  <c r="CZ92" i="11"/>
  <c r="MJ92" i="11" s="1"/>
  <c r="MK92" i="11" s="1"/>
  <c r="CY92" i="11"/>
  <c r="JG92" i="11" s="1"/>
  <c r="JH92" i="11" s="1"/>
  <c r="CW92" i="11"/>
  <c r="FW92" i="11" s="1"/>
  <c r="CU92" i="11"/>
  <c r="MC92" i="11" s="1"/>
  <c r="CT92" i="11"/>
  <c r="IY92" i="11" s="1"/>
  <c r="CR92" i="11"/>
  <c r="MD92" i="11" s="1"/>
  <c r="ME92" i="11" s="1"/>
  <c r="CQ92" i="11"/>
  <c r="IZ92" i="11" s="1"/>
  <c r="JA92" i="11" s="1"/>
  <c r="CO92" i="11"/>
  <c r="GW92" i="11" s="1"/>
  <c r="CN92" i="11"/>
  <c r="CM92" i="11"/>
  <c r="CL92" i="11"/>
  <c r="CK92" i="11"/>
  <c r="CJ92" i="11"/>
  <c r="CI92" i="11"/>
  <c r="CH92" i="11"/>
  <c r="CG92" i="11"/>
  <c r="CF92" i="11"/>
  <c r="CE92" i="11"/>
  <c r="RR92" i="11" s="1"/>
  <c r="CD92" i="11"/>
  <c r="GY92" i="11" s="1"/>
  <c r="CC92" i="11"/>
  <c r="GT92" i="11" s="1"/>
  <c r="CB92" i="11"/>
  <c r="LY92" i="11" s="1"/>
  <c r="CA92" i="11"/>
  <c r="BZ92" i="11"/>
  <c r="BW92" i="11"/>
  <c r="BQ92" i="11"/>
  <c r="BR92" i="11" s="1"/>
  <c r="MV92" i="11" s="1"/>
  <c r="MW92" i="11" s="1"/>
  <c r="BI92" i="11"/>
  <c r="BJ92" i="11" s="1"/>
  <c r="AW92" i="11"/>
  <c r="AX92" i="11" s="1"/>
  <c r="AR92" i="11"/>
  <c r="AS92" i="11" s="1"/>
  <c r="AO92" i="11"/>
  <c r="AC92" i="11"/>
  <c r="Z92" i="11"/>
  <c r="L86" i="12" s="1"/>
  <c r="M86" i="12" s="1"/>
  <c r="M92" i="11"/>
  <c r="BN92" i="11" s="1"/>
  <c r="L92" i="11"/>
  <c r="K92" i="11"/>
  <c r="NB92" i="11" s="1"/>
  <c r="NC92" i="11" s="1"/>
  <c r="J92" i="11"/>
  <c r="I92" i="11"/>
  <c r="AJ92" i="11" s="1"/>
  <c r="H92" i="11"/>
  <c r="BA92" i="11" s="1"/>
  <c r="G92" i="11"/>
  <c r="AB92" i="11" s="1"/>
  <c r="F92" i="11"/>
  <c r="E92" i="11"/>
  <c r="AI92" i="11" s="1"/>
  <c r="D92" i="11"/>
  <c r="AH92" i="11" s="1"/>
  <c r="A92" i="11"/>
  <c r="B86" i="12" s="1"/>
  <c r="RW90" i="11"/>
  <c r="RK90" i="11"/>
  <c r="RH90" i="11"/>
  <c r="QX90" i="11"/>
  <c r="QW90" i="11"/>
  <c r="QV90" i="11"/>
  <c r="QU90" i="11"/>
  <c r="QT90" i="11"/>
  <c r="QS90" i="11"/>
  <c r="QR90" i="11"/>
  <c r="QB90" i="11"/>
  <c r="PY90" i="11"/>
  <c r="PV90" i="11"/>
  <c r="PT90" i="11"/>
  <c r="PQ90" i="11"/>
  <c r="PR90" i="11" s="1"/>
  <c r="PN90" i="11"/>
  <c r="PL90" i="11"/>
  <c r="PI90" i="11"/>
  <c r="PH90" i="11"/>
  <c r="PG90" i="11"/>
  <c r="PD90" i="11"/>
  <c r="PC90" i="11"/>
  <c r="PB90" i="11"/>
  <c r="OX90" i="11"/>
  <c r="OW90" i="11"/>
  <c r="OV90" i="11"/>
  <c r="OQ90" i="11"/>
  <c r="OP90" i="11"/>
  <c r="OO90" i="11"/>
  <c r="OL90" i="11"/>
  <c r="OJ90" i="11"/>
  <c r="NZ90" i="11"/>
  <c r="OA90" i="11" s="1"/>
  <c r="NU90" i="11"/>
  <c r="NT90" i="11"/>
  <c r="NP90" i="11"/>
  <c r="NQ90" i="11" s="1"/>
  <c r="NN90" i="11"/>
  <c r="NO90" i="11" s="1"/>
  <c r="NJ90" i="11"/>
  <c r="NK90" i="11" s="1"/>
  <c r="MR90" i="11"/>
  <c r="MS90" i="11" s="1"/>
  <c r="LU90" i="11"/>
  <c r="LV90" i="11" s="1"/>
  <c r="LL90" i="11"/>
  <c r="LK90" i="11"/>
  <c r="LF90" i="11"/>
  <c r="LE90" i="11"/>
  <c r="LD90" i="11"/>
  <c r="KZ90" i="11"/>
  <c r="LA90" i="11" s="1"/>
  <c r="KX90" i="11"/>
  <c r="KY90" i="11" s="1"/>
  <c r="KT90" i="11"/>
  <c r="KU90" i="11" s="1"/>
  <c r="KP90" i="11"/>
  <c r="KQ90" i="11" s="1"/>
  <c r="KK90" i="11"/>
  <c r="KJ90" i="11"/>
  <c r="KI90" i="11"/>
  <c r="KH90" i="11"/>
  <c r="KG90" i="11"/>
  <c r="KF90" i="11"/>
  <c r="KE90" i="11"/>
  <c r="JZ90" i="11"/>
  <c r="JY90" i="11"/>
  <c r="JO90" i="11"/>
  <c r="JP90" i="11" s="1"/>
  <c r="JD90" i="11"/>
  <c r="IW90" i="11"/>
  <c r="IV90" i="11"/>
  <c r="IO90" i="11"/>
  <c r="IP90" i="11" s="1"/>
  <c r="IE90" i="11"/>
  <c r="IB90" i="11"/>
  <c r="HZ90" i="11"/>
  <c r="HX90" i="11"/>
  <c r="HU90" i="11"/>
  <c r="HV90" i="11" s="1"/>
  <c r="HR90" i="11"/>
  <c r="HS90" i="11" s="1"/>
  <c r="IH90" i="11" s="1"/>
  <c r="HN90" i="11"/>
  <c r="HM90" i="11"/>
  <c r="HK90" i="11"/>
  <c r="HJ90" i="11"/>
  <c r="HF90" i="11"/>
  <c r="HC90" i="11"/>
  <c r="HD90" i="11" s="1"/>
  <c r="GZ90" i="11"/>
  <c r="GQ90" i="11"/>
  <c r="GP90" i="11"/>
  <c r="GO90" i="11"/>
  <c r="GN90" i="11"/>
  <c r="GM90" i="11"/>
  <c r="GK90" i="11"/>
  <c r="FL90" i="11"/>
  <c r="FJ90" i="11"/>
  <c r="FB90" i="11"/>
  <c r="EZ90" i="11"/>
  <c r="EX90" i="11"/>
  <c r="EW90" i="11"/>
  <c r="EV90" i="11"/>
  <c r="EU90" i="11"/>
  <c r="EK90" i="11"/>
  <c r="DZ90" i="11"/>
  <c r="DM90" i="11"/>
  <c r="DG90" i="11"/>
  <c r="DE90" i="11"/>
  <c r="GD90" i="11" s="1"/>
  <c r="DC90" i="11"/>
  <c r="MI90" i="11" s="1"/>
  <c r="DB90" i="11"/>
  <c r="JF90" i="11" s="1"/>
  <c r="CZ90" i="11"/>
  <c r="MJ90" i="11" s="1"/>
  <c r="MK90" i="11" s="1"/>
  <c r="CY90" i="11"/>
  <c r="JG90" i="11" s="1"/>
  <c r="JH90" i="11" s="1"/>
  <c r="CW90" i="11"/>
  <c r="FW90" i="11" s="1"/>
  <c r="CU90" i="11"/>
  <c r="MC90" i="11" s="1"/>
  <c r="CT90" i="11"/>
  <c r="IY90" i="11" s="1"/>
  <c r="CR90" i="11"/>
  <c r="MD90" i="11" s="1"/>
  <c r="ME90" i="11" s="1"/>
  <c r="CQ90" i="11"/>
  <c r="IZ90" i="11" s="1"/>
  <c r="JA90" i="11" s="1"/>
  <c r="CO90" i="11"/>
  <c r="GW90" i="11" s="1"/>
  <c r="CN90" i="11"/>
  <c r="CM90" i="11"/>
  <c r="CL90" i="11"/>
  <c r="CK90" i="11"/>
  <c r="CJ90" i="11"/>
  <c r="CI90" i="11"/>
  <c r="CH90" i="11"/>
  <c r="CG90" i="11"/>
  <c r="CF90" i="11"/>
  <c r="CE90" i="11"/>
  <c r="FH90" i="11" s="1"/>
  <c r="CD90" i="11"/>
  <c r="GY90" i="11" s="1"/>
  <c r="CC90" i="11"/>
  <c r="GT90" i="11" s="1"/>
  <c r="CB90" i="11"/>
  <c r="LY90" i="11" s="1"/>
  <c r="CA90" i="11"/>
  <c r="BZ90" i="11"/>
  <c r="BW90" i="11"/>
  <c r="BQ90" i="11"/>
  <c r="BR90" i="11" s="1"/>
  <c r="BU90" i="11" s="1"/>
  <c r="BI90" i="11"/>
  <c r="BJ90" i="11" s="1"/>
  <c r="AW90" i="11"/>
  <c r="AX90" i="11" s="1"/>
  <c r="AR90" i="11"/>
  <c r="AS90" i="11" s="1"/>
  <c r="AO90" i="11"/>
  <c r="AP90" i="11" s="1"/>
  <c r="AC90" i="11"/>
  <c r="Z90" i="11"/>
  <c r="L84" i="12" s="1"/>
  <c r="M84" i="12" s="1"/>
  <c r="M90" i="11"/>
  <c r="BN90" i="11" s="1"/>
  <c r="L90" i="11"/>
  <c r="K90" i="11"/>
  <c r="NF90" i="11" s="1"/>
  <c r="NG90" i="11" s="1"/>
  <c r="J90" i="11"/>
  <c r="I90" i="11"/>
  <c r="AJ90" i="11" s="1"/>
  <c r="H90" i="11"/>
  <c r="BA90" i="11" s="1"/>
  <c r="G90" i="11"/>
  <c r="AB90" i="11" s="1"/>
  <c r="F90" i="11"/>
  <c r="E90" i="11"/>
  <c r="AI90" i="11" s="1"/>
  <c r="D90" i="11"/>
  <c r="AH90" i="11" s="1"/>
  <c r="A90" i="11"/>
  <c r="B84" i="12" s="1"/>
  <c r="RW88" i="11"/>
  <c r="RK88" i="11"/>
  <c r="RH88" i="11"/>
  <c r="QX88" i="11"/>
  <c r="QW88" i="11"/>
  <c r="QV88" i="11"/>
  <c r="QU88" i="11"/>
  <c r="QT88" i="11"/>
  <c r="QS88" i="11"/>
  <c r="QR88" i="11"/>
  <c r="QB88" i="11"/>
  <c r="PY88" i="11"/>
  <c r="PV88" i="11"/>
  <c r="PT88" i="11"/>
  <c r="PQ88" i="11"/>
  <c r="PR88" i="11" s="1"/>
  <c r="PN88" i="11"/>
  <c r="PL88" i="11"/>
  <c r="PI88" i="11"/>
  <c r="PH88" i="11"/>
  <c r="PG88" i="11"/>
  <c r="PD88" i="11"/>
  <c r="PC88" i="11"/>
  <c r="PB88" i="11"/>
  <c r="OX88" i="11"/>
  <c r="OW88" i="11"/>
  <c r="OV88" i="11"/>
  <c r="RA88" i="11" s="1"/>
  <c r="OQ88" i="11"/>
  <c r="OP88" i="11"/>
  <c r="OR88" i="11" s="1"/>
  <c r="OO88" i="11"/>
  <c r="OL88" i="11"/>
  <c r="OJ88" i="11"/>
  <c r="NZ88" i="11"/>
  <c r="OA88" i="11" s="1"/>
  <c r="NU88" i="11"/>
  <c r="NT88" i="11"/>
  <c r="NP88" i="11"/>
  <c r="NQ88" i="11" s="1"/>
  <c r="NN88" i="11"/>
  <c r="NO88" i="11" s="1"/>
  <c r="NJ88" i="11"/>
  <c r="NK88" i="11" s="1"/>
  <c r="MR88" i="11"/>
  <c r="MS88" i="11" s="1"/>
  <c r="LU88" i="11"/>
  <c r="LV88" i="11" s="1"/>
  <c r="LL88" i="11"/>
  <c r="LK88" i="11"/>
  <c r="LF88" i="11"/>
  <c r="LE88" i="11"/>
  <c r="LD88" i="11"/>
  <c r="KZ88" i="11"/>
  <c r="LA88" i="11" s="1"/>
  <c r="KX88" i="11"/>
  <c r="KY88" i="11" s="1"/>
  <c r="KT88" i="11"/>
  <c r="KU88" i="11" s="1"/>
  <c r="KP88" i="11"/>
  <c r="KQ88" i="11" s="1"/>
  <c r="KK88" i="11"/>
  <c r="KJ88" i="11"/>
  <c r="KI88" i="11"/>
  <c r="KH88" i="11"/>
  <c r="KG88" i="11"/>
  <c r="KF88" i="11"/>
  <c r="KE88" i="11"/>
  <c r="JZ88" i="11"/>
  <c r="JY88" i="11"/>
  <c r="JO88" i="11"/>
  <c r="JP88" i="11" s="1"/>
  <c r="JD88" i="11"/>
  <c r="IW88" i="11"/>
  <c r="IV88" i="11"/>
  <c r="IO88" i="11"/>
  <c r="IP88" i="11" s="1"/>
  <c r="IE88" i="11"/>
  <c r="IB88" i="11"/>
  <c r="HZ88" i="11"/>
  <c r="HX88" i="11"/>
  <c r="HU88" i="11"/>
  <c r="HV88" i="11" s="1"/>
  <c r="HR88" i="11"/>
  <c r="HS88" i="11" s="1"/>
  <c r="IH88" i="11" s="1"/>
  <c r="HN88" i="11"/>
  <c r="HM88" i="11"/>
  <c r="HK88" i="11"/>
  <c r="HJ88" i="11"/>
  <c r="HF88" i="11"/>
  <c r="HC88" i="11"/>
  <c r="HD88" i="11" s="1"/>
  <c r="GZ88" i="11"/>
  <c r="GQ88" i="11"/>
  <c r="GP88" i="11"/>
  <c r="GO88" i="11"/>
  <c r="GN88" i="11"/>
  <c r="GM88" i="11"/>
  <c r="GK88" i="11"/>
  <c r="FL88" i="11"/>
  <c r="FJ88" i="11"/>
  <c r="FB88" i="11"/>
  <c r="EZ88" i="11"/>
  <c r="EX88" i="11"/>
  <c r="EW88" i="11"/>
  <c r="EV88" i="11"/>
  <c r="EU88" i="11"/>
  <c r="EK88" i="11"/>
  <c r="DZ88" i="11"/>
  <c r="DM88" i="11"/>
  <c r="DG88" i="11"/>
  <c r="DE88" i="11"/>
  <c r="GD88" i="11" s="1"/>
  <c r="DC88" i="11"/>
  <c r="MI88" i="11" s="1"/>
  <c r="DB88" i="11"/>
  <c r="JF88" i="11" s="1"/>
  <c r="CZ88" i="11"/>
  <c r="MJ88" i="11" s="1"/>
  <c r="MK88" i="11" s="1"/>
  <c r="CY88" i="11"/>
  <c r="JG88" i="11" s="1"/>
  <c r="JH88" i="11" s="1"/>
  <c r="CW88" i="11"/>
  <c r="FW88" i="11" s="1"/>
  <c r="CU88" i="11"/>
  <c r="MC88" i="11" s="1"/>
  <c r="CT88" i="11"/>
  <c r="IY88" i="11" s="1"/>
  <c r="CR88" i="11"/>
  <c r="MD88" i="11" s="1"/>
  <c r="ME88" i="11" s="1"/>
  <c r="CQ88" i="11"/>
  <c r="IZ88" i="11" s="1"/>
  <c r="JA88" i="11" s="1"/>
  <c r="CO88" i="11"/>
  <c r="GW88" i="11" s="1"/>
  <c r="CN88" i="11"/>
  <c r="CM88" i="11"/>
  <c r="CL88" i="11"/>
  <c r="CK88" i="11"/>
  <c r="CJ88" i="11"/>
  <c r="CI88" i="11"/>
  <c r="CH88" i="11"/>
  <c r="CG88" i="11"/>
  <c r="CF88" i="11"/>
  <c r="CE88" i="11"/>
  <c r="RR88" i="11" s="1"/>
  <c r="CD88" i="11"/>
  <c r="GY88" i="11" s="1"/>
  <c r="CC88" i="11"/>
  <c r="GT88" i="11" s="1"/>
  <c r="CB88" i="11"/>
  <c r="LY88" i="11" s="1"/>
  <c r="CA88" i="11"/>
  <c r="BZ88" i="11"/>
  <c r="BW88" i="11"/>
  <c r="BQ88" i="11"/>
  <c r="BR88" i="11" s="1"/>
  <c r="MV88" i="11" s="1"/>
  <c r="MW88" i="11" s="1"/>
  <c r="BI88" i="11"/>
  <c r="BJ88" i="11" s="1"/>
  <c r="AW88" i="11"/>
  <c r="AX88" i="11" s="1"/>
  <c r="AR88" i="11"/>
  <c r="AS88" i="11" s="1"/>
  <c r="AO88" i="11"/>
  <c r="AC88" i="11"/>
  <c r="Z88" i="11"/>
  <c r="L82" i="12" s="1"/>
  <c r="M82" i="12" s="1"/>
  <c r="M88" i="11"/>
  <c r="BN88" i="11" s="1"/>
  <c r="L88" i="11"/>
  <c r="K88" i="11"/>
  <c r="J88" i="11"/>
  <c r="I88" i="11"/>
  <c r="AJ88" i="11" s="1"/>
  <c r="H88" i="11"/>
  <c r="BA88" i="11" s="1"/>
  <c r="G88" i="11"/>
  <c r="AB88" i="11" s="1"/>
  <c r="F88" i="11"/>
  <c r="E88" i="11"/>
  <c r="AI88" i="11" s="1"/>
  <c r="D88" i="11"/>
  <c r="AH88" i="11" s="1"/>
  <c r="A88" i="11"/>
  <c r="B82" i="12" s="1"/>
  <c r="RW86" i="11"/>
  <c r="RK86" i="11"/>
  <c r="RH86" i="11"/>
  <c r="QX86" i="11"/>
  <c r="QW86" i="11"/>
  <c r="QV86" i="11"/>
  <c r="QU86" i="11"/>
  <c r="QT86" i="11"/>
  <c r="QS86" i="11"/>
  <c r="QR86" i="11"/>
  <c r="QB86" i="11"/>
  <c r="PY86" i="11"/>
  <c r="PV86" i="11"/>
  <c r="PT86" i="11"/>
  <c r="PQ86" i="11"/>
  <c r="PR86" i="11" s="1"/>
  <c r="PN86" i="11"/>
  <c r="PL86" i="11"/>
  <c r="PI86" i="11"/>
  <c r="PH86" i="11"/>
  <c r="PG86" i="11"/>
  <c r="PD86" i="11"/>
  <c r="PC86" i="11"/>
  <c r="PB86" i="11"/>
  <c r="OX86" i="11"/>
  <c r="OW86" i="11"/>
  <c r="OV86" i="11"/>
  <c r="OQ86" i="11"/>
  <c r="OP86" i="11"/>
  <c r="OO86" i="11"/>
  <c r="OL86" i="11"/>
  <c r="OJ86" i="11"/>
  <c r="NZ86" i="11"/>
  <c r="OA86" i="11" s="1"/>
  <c r="NU86" i="11"/>
  <c r="NT86" i="11"/>
  <c r="NP86" i="11"/>
  <c r="NQ86" i="11" s="1"/>
  <c r="NN86" i="11"/>
  <c r="NO86" i="11" s="1"/>
  <c r="NJ86" i="11"/>
  <c r="NK86" i="11" s="1"/>
  <c r="MR86" i="11"/>
  <c r="MS86" i="11" s="1"/>
  <c r="LU86" i="11"/>
  <c r="LV86" i="11" s="1"/>
  <c r="LL86" i="11"/>
  <c r="LK86" i="11"/>
  <c r="LF86" i="11"/>
  <c r="LE86" i="11"/>
  <c r="LD86" i="11"/>
  <c r="KZ86" i="11"/>
  <c r="LA86" i="11" s="1"/>
  <c r="KX86" i="11"/>
  <c r="KY86" i="11" s="1"/>
  <c r="KT86" i="11"/>
  <c r="KU86" i="11" s="1"/>
  <c r="KP86" i="11"/>
  <c r="KQ86" i="11" s="1"/>
  <c r="KK86" i="11"/>
  <c r="KJ86" i="11"/>
  <c r="KI86" i="11"/>
  <c r="KH86" i="11"/>
  <c r="KG86" i="11"/>
  <c r="KF86" i="11"/>
  <c r="KE86" i="11"/>
  <c r="JZ86" i="11"/>
  <c r="JY86" i="11"/>
  <c r="JO86" i="11"/>
  <c r="JP86" i="11" s="1"/>
  <c r="JD86" i="11"/>
  <c r="IW86" i="11"/>
  <c r="IV86" i="11"/>
  <c r="IO86" i="11"/>
  <c r="IP86" i="11" s="1"/>
  <c r="IE86" i="11"/>
  <c r="IB86" i="11"/>
  <c r="HZ86" i="11"/>
  <c r="HX86" i="11"/>
  <c r="HU86" i="11"/>
  <c r="HV86" i="11" s="1"/>
  <c r="HR86" i="11"/>
  <c r="HS86" i="11" s="1"/>
  <c r="IH86" i="11" s="1"/>
  <c r="HN86" i="11"/>
  <c r="HM86" i="11"/>
  <c r="HK86" i="11"/>
  <c r="HJ86" i="11"/>
  <c r="HF86" i="11"/>
  <c r="HC86" i="11"/>
  <c r="GZ86" i="11"/>
  <c r="GQ86" i="11"/>
  <c r="GP86" i="11"/>
  <c r="GO86" i="11"/>
  <c r="GN86" i="11"/>
  <c r="GM86" i="11"/>
  <c r="GK86" i="11"/>
  <c r="FL86" i="11"/>
  <c r="FJ86" i="11"/>
  <c r="FB86" i="11"/>
  <c r="EZ86" i="11"/>
  <c r="EX86" i="11"/>
  <c r="EW86" i="11"/>
  <c r="EV86" i="11"/>
  <c r="EU86" i="11"/>
  <c r="EK86" i="11"/>
  <c r="DZ86" i="11"/>
  <c r="DM86" i="11"/>
  <c r="DG86" i="11"/>
  <c r="DE86" i="11"/>
  <c r="GD86" i="11" s="1"/>
  <c r="DC86" i="11"/>
  <c r="MI86" i="11" s="1"/>
  <c r="DB86" i="11"/>
  <c r="JF86" i="11" s="1"/>
  <c r="CZ86" i="11"/>
  <c r="MJ86" i="11" s="1"/>
  <c r="MK86" i="11" s="1"/>
  <c r="CY86" i="11"/>
  <c r="JG86" i="11" s="1"/>
  <c r="JH86" i="11" s="1"/>
  <c r="CW86" i="11"/>
  <c r="FW86" i="11" s="1"/>
  <c r="CU86" i="11"/>
  <c r="MC86" i="11" s="1"/>
  <c r="CT86" i="11"/>
  <c r="IY86" i="11" s="1"/>
  <c r="CR86" i="11"/>
  <c r="MD86" i="11" s="1"/>
  <c r="ME86" i="11" s="1"/>
  <c r="CQ86" i="11"/>
  <c r="IZ86" i="11" s="1"/>
  <c r="JA86" i="11" s="1"/>
  <c r="CO86" i="11"/>
  <c r="GW86" i="11" s="1"/>
  <c r="CN86" i="11"/>
  <c r="CM86" i="11"/>
  <c r="CL86" i="11"/>
  <c r="CK86" i="11"/>
  <c r="CJ86" i="11"/>
  <c r="CI86" i="11"/>
  <c r="CH86" i="11"/>
  <c r="CG86" i="11"/>
  <c r="CF86" i="11"/>
  <c r="CE86" i="11"/>
  <c r="RR86" i="11" s="1"/>
  <c r="CD86" i="11"/>
  <c r="GY86" i="11" s="1"/>
  <c r="CC86" i="11"/>
  <c r="GT86" i="11" s="1"/>
  <c r="CB86" i="11"/>
  <c r="LY86" i="11" s="1"/>
  <c r="CA86" i="11"/>
  <c r="BZ86" i="11"/>
  <c r="BW86" i="11"/>
  <c r="BQ86" i="11"/>
  <c r="BR86" i="11" s="1"/>
  <c r="BI86" i="11"/>
  <c r="BJ86" i="11" s="1"/>
  <c r="AW86" i="11"/>
  <c r="AX86" i="11" s="1"/>
  <c r="AR86" i="11"/>
  <c r="AS86" i="11" s="1"/>
  <c r="AO86" i="11"/>
  <c r="AP86" i="11" s="1"/>
  <c r="AC86" i="11"/>
  <c r="Z86" i="11"/>
  <c r="L80" i="12" s="1"/>
  <c r="M80" i="12" s="1"/>
  <c r="M86" i="11"/>
  <c r="BN86" i="11" s="1"/>
  <c r="L86" i="11"/>
  <c r="K86" i="11"/>
  <c r="NB86" i="11" s="1"/>
  <c r="NC86" i="11" s="1"/>
  <c r="J86" i="11"/>
  <c r="I86" i="11"/>
  <c r="AJ86" i="11" s="1"/>
  <c r="H86" i="11"/>
  <c r="BA86" i="11" s="1"/>
  <c r="G86" i="11"/>
  <c r="AB86" i="11" s="1"/>
  <c r="F86" i="11"/>
  <c r="E86" i="11"/>
  <c r="AI86" i="11" s="1"/>
  <c r="D86" i="11"/>
  <c r="AH86" i="11" s="1"/>
  <c r="A86" i="11"/>
  <c r="B80" i="12" s="1"/>
  <c r="RW84" i="11"/>
  <c r="RK84" i="11"/>
  <c r="RH84" i="11"/>
  <c r="QX84" i="11"/>
  <c r="QW84" i="11"/>
  <c r="QV84" i="11"/>
  <c r="QU84" i="11"/>
  <c r="QT84" i="11"/>
  <c r="QS84" i="11"/>
  <c r="QR84" i="11"/>
  <c r="QB84" i="11"/>
  <c r="PY84" i="11"/>
  <c r="PV84" i="11"/>
  <c r="PT84" i="11"/>
  <c r="PQ84" i="11"/>
  <c r="PR84" i="11" s="1"/>
  <c r="PN84" i="11"/>
  <c r="PL84" i="11"/>
  <c r="PI84" i="11"/>
  <c r="PH84" i="11"/>
  <c r="PG84" i="11"/>
  <c r="PD84" i="11"/>
  <c r="PC84" i="11"/>
  <c r="PB84" i="11"/>
  <c r="OX84" i="11"/>
  <c r="OW84" i="11"/>
  <c r="OV84" i="11"/>
  <c r="OQ84" i="11"/>
  <c r="OP84" i="11"/>
  <c r="OO84" i="11"/>
  <c r="OL84" i="11"/>
  <c r="OJ84" i="11"/>
  <c r="NZ84" i="11"/>
  <c r="OA84" i="11" s="1"/>
  <c r="NU84" i="11"/>
  <c r="NT84" i="11"/>
  <c r="NP84" i="11"/>
  <c r="NQ84" i="11" s="1"/>
  <c r="NN84" i="11"/>
  <c r="NO84" i="11" s="1"/>
  <c r="NJ84" i="11"/>
  <c r="NK84" i="11" s="1"/>
  <c r="MR84" i="11"/>
  <c r="MS84" i="11" s="1"/>
  <c r="LU84" i="11"/>
  <c r="LV84" i="11" s="1"/>
  <c r="LL84" i="11"/>
  <c r="LK84" i="11"/>
  <c r="LF84" i="11"/>
  <c r="LE84" i="11"/>
  <c r="LD84" i="11"/>
  <c r="KZ84" i="11"/>
  <c r="LA84" i="11" s="1"/>
  <c r="KX84" i="11"/>
  <c r="KY84" i="11" s="1"/>
  <c r="KT84" i="11"/>
  <c r="KU84" i="11" s="1"/>
  <c r="KP84" i="11"/>
  <c r="KQ84" i="11" s="1"/>
  <c r="KK84" i="11"/>
  <c r="KJ84" i="11"/>
  <c r="KI84" i="11"/>
  <c r="KH84" i="11"/>
  <c r="KG84" i="11"/>
  <c r="KF84" i="11"/>
  <c r="KE84" i="11"/>
  <c r="JZ84" i="11"/>
  <c r="JY84" i="11"/>
  <c r="JO84" i="11"/>
  <c r="JP84" i="11" s="1"/>
  <c r="JD84" i="11"/>
  <c r="IW84" i="11"/>
  <c r="IV84" i="11"/>
  <c r="IO84" i="11"/>
  <c r="IP84" i="11" s="1"/>
  <c r="IE84" i="11"/>
  <c r="IB84" i="11"/>
  <c r="HZ84" i="11"/>
  <c r="HX84" i="11"/>
  <c r="HU84" i="11"/>
  <c r="HV84" i="11" s="1"/>
  <c r="HR84" i="11"/>
  <c r="HS84" i="11" s="1"/>
  <c r="IH84" i="11" s="1"/>
  <c r="HN84" i="11"/>
  <c r="HM84" i="11"/>
  <c r="HK84" i="11"/>
  <c r="HJ84" i="11"/>
  <c r="HF84" i="11"/>
  <c r="HC84" i="11"/>
  <c r="HD84" i="11" s="1"/>
  <c r="GZ84" i="11"/>
  <c r="GQ84" i="11"/>
  <c r="GP84" i="11"/>
  <c r="GO84" i="11"/>
  <c r="GN84" i="11"/>
  <c r="GM84" i="11"/>
  <c r="GK84" i="11"/>
  <c r="FL84" i="11"/>
  <c r="FJ84" i="11"/>
  <c r="FB84" i="11"/>
  <c r="EZ84" i="11"/>
  <c r="EX84" i="11"/>
  <c r="EW84" i="11"/>
  <c r="EV84" i="11"/>
  <c r="EU84" i="11"/>
  <c r="EK84" i="11"/>
  <c r="DZ84" i="11"/>
  <c r="DM84" i="11"/>
  <c r="DG84" i="11"/>
  <c r="DE84" i="11"/>
  <c r="GD84" i="11" s="1"/>
  <c r="DC84" i="11"/>
  <c r="MI84" i="11" s="1"/>
  <c r="DB84" i="11"/>
  <c r="JF84" i="11" s="1"/>
  <c r="CZ84" i="11"/>
  <c r="MJ84" i="11" s="1"/>
  <c r="MK84" i="11" s="1"/>
  <c r="CY84" i="11"/>
  <c r="JG84" i="11" s="1"/>
  <c r="JH84" i="11" s="1"/>
  <c r="CW84" i="11"/>
  <c r="FW84" i="11" s="1"/>
  <c r="CU84" i="11"/>
  <c r="MC84" i="11" s="1"/>
  <c r="CT84" i="11"/>
  <c r="IY84" i="11" s="1"/>
  <c r="CR84" i="11"/>
  <c r="MD84" i="11" s="1"/>
  <c r="ME84" i="11" s="1"/>
  <c r="CQ84" i="11"/>
  <c r="IZ84" i="11" s="1"/>
  <c r="JA84" i="11" s="1"/>
  <c r="CO84" i="11"/>
  <c r="GW84" i="11" s="1"/>
  <c r="CN84" i="11"/>
  <c r="CM84" i="11"/>
  <c r="CL84" i="11"/>
  <c r="CK84" i="11"/>
  <c r="CJ84" i="11"/>
  <c r="CI84" i="11"/>
  <c r="CH84" i="11"/>
  <c r="CG84" i="11"/>
  <c r="CF84" i="11"/>
  <c r="CE84" i="11"/>
  <c r="RR84" i="11" s="1"/>
  <c r="CD84" i="11"/>
  <c r="GY84" i="11" s="1"/>
  <c r="CC84" i="11"/>
  <c r="GT84" i="11" s="1"/>
  <c r="CB84" i="11"/>
  <c r="LY84" i="11" s="1"/>
  <c r="CA84" i="11"/>
  <c r="BZ84" i="11"/>
  <c r="BW84" i="11"/>
  <c r="BQ84" i="11"/>
  <c r="BR84" i="11" s="1"/>
  <c r="BU84" i="11" s="1"/>
  <c r="BI84" i="11"/>
  <c r="BJ84" i="11" s="1"/>
  <c r="AW84" i="11"/>
  <c r="AX84" i="11" s="1"/>
  <c r="AR84" i="11"/>
  <c r="AS84" i="11" s="1"/>
  <c r="AO84" i="11"/>
  <c r="AC84" i="11"/>
  <c r="Z84" i="11"/>
  <c r="M84" i="11"/>
  <c r="BN84" i="11" s="1"/>
  <c r="L84" i="11"/>
  <c r="K84" i="11"/>
  <c r="NF84" i="11" s="1"/>
  <c r="NG84" i="11" s="1"/>
  <c r="J84" i="11"/>
  <c r="I84" i="11"/>
  <c r="AJ84" i="11" s="1"/>
  <c r="H84" i="11"/>
  <c r="BA84" i="11" s="1"/>
  <c r="G84" i="11"/>
  <c r="AB84" i="11" s="1"/>
  <c r="F84" i="11"/>
  <c r="E84" i="11"/>
  <c r="AI84" i="11" s="1"/>
  <c r="D84" i="11"/>
  <c r="AH84" i="11" s="1"/>
  <c r="A84" i="11"/>
  <c r="B78" i="12" s="1"/>
  <c r="RW82" i="11"/>
  <c r="RK82" i="11"/>
  <c r="RH82" i="11"/>
  <c r="QX82" i="11"/>
  <c r="QW82" i="11"/>
  <c r="QV82" i="11"/>
  <c r="QU82" i="11"/>
  <c r="QT82" i="11"/>
  <c r="QS82" i="11"/>
  <c r="QR82" i="11"/>
  <c r="QB82" i="11"/>
  <c r="PY82" i="11"/>
  <c r="PV82" i="11"/>
  <c r="PT82" i="11"/>
  <c r="PQ82" i="11"/>
  <c r="PR82" i="11" s="1"/>
  <c r="PN82" i="11"/>
  <c r="PL82" i="11"/>
  <c r="PI82" i="11"/>
  <c r="PH82" i="11"/>
  <c r="PG82" i="11"/>
  <c r="PD82" i="11"/>
  <c r="PC82" i="11"/>
  <c r="PB82" i="11"/>
  <c r="OX82" i="11"/>
  <c r="OW82" i="11"/>
  <c r="OV82" i="11"/>
  <c r="OQ82" i="11"/>
  <c r="OP82" i="11"/>
  <c r="OO82" i="11"/>
  <c r="OL82" i="11"/>
  <c r="OJ82" i="11"/>
  <c r="NZ82" i="11"/>
  <c r="OA82" i="11" s="1"/>
  <c r="NU82" i="11"/>
  <c r="NT82" i="11"/>
  <c r="NP82" i="11"/>
  <c r="NQ82" i="11" s="1"/>
  <c r="NN82" i="11"/>
  <c r="NO82" i="11" s="1"/>
  <c r="NJ82" i="11"/>
  <c r="NK82" i="11" s="1"/>
  <c r="MR82" i="11"/>
  <c r="MS82" i="11" s="1"/>
  <c r="LU82" i="11"/>
  <c r="LV82" i="11" s="1"/>
  <c r="LL82" i="11"/>
  <c r="LK82" i="11"/>
  <c r="LF82" i="11"/>
  <c r="LE82" i="11"/>
  <c r="LD82" i="11"/>
  <c r="LG82" i="11" s="1"/>
  <c r="LH82" i="11" s="1"/>
  <c r="KZ82" i="11"/>
  <c r="LA82" i="11" s="1"/>
  <c r="KX82" i="11"/>
  <c r="KY82" i="11" s="1"/>
  <c r="KT82" i="11"/>
  <c r="KU82" i="11" s="1"/>
  <c r="KP82" i="11"/>
  <c r="KQ82" i="11" s="1"/>
  <c r="KK82" i="11"/>
  <c r="KJ82" i="11"/>
  <c r="KI82" i="11"/>
  <c r="KH82" i="11"/>
  <c r="KG82" i="11"/>
  <c r="KF82" i="11"/>
  <c r="KE82" i="11"/>
  <c r="JZ82" i="11"/>
  <c r="JY82" i="11"/>
  <c r="JO82" i="11"/>
  <c r="JP82" i="11" s="1"/>
  <c r="JD82" i="11"/>
  <c r="IW82" i="11"/>
  <c r="IV82" i="11"/>
  <c r="IO82" i="11"/>
  <c r="IP82" i="11" s="1"/>
  <c r="IE82" i="11"/>
  <c r="IB82" i="11"/>
  <c r="HZ82" i="11"/>
  <c r="HX82" i="11"/>
  <c r="HU82" i="11"/>
  <c r="HV82" i="11" s="1"/>
  <c r="HR82" i="11"/>
  <c r="HS82" i="11" s="1"/>
  <c r="IH82" i="11" s="1"/>
  <c r="HN82" i="11"/>
  <c r="HM82" i="11"/>
  <c r="HK82" i="11"/>
  <c r="HJ82" i="11"/>
  <c r="HF82" i="11"/>
  <c r="HC82" i="11"/>
  <c r="HD82" i="11" s="1"/>
  <c r="GZ82" i="11"/>
  <c r="GQ82" i="11"/>
  <c r="GP82" i="11"/>
  <c r="GO82" i="11"/>
  <c r="GN82" i="11"/>
  <c r="GM82" i="11"/>
  <c r="GK82" i="11"/>
  <c r="FL82" i="11"/>
  <c r="FJ82" i="11"/>
  <c r="FB82" i="11"/>
  <c r="EZ82" i="11"/>
  <c r="EX82" i="11"/>
  <c r="EW82" i="11"/>
  <c r="EV82" i="11"/>
  <c r="EU82" i="11"/>
  <c r="EK82" i="11"/>
  <c r="DZ82" i="11"/>
  <c r="DM82" i="11"/>
  <c r="DG82" i="11"/>
  <c r="DE82" i="11"/>
  <c r="GD82" i="11" s="1"/>
  <c r="DC82" i="11"/>
  <c r="MI82" i="11" s="1"/>
  <c r="DB82" i="11"/>
  <c r="JF82" i="11" s="1"/>
  <c r="CZ82" i="11"/>
  <c r="MJ82" i="11" s="1"/>
  <c r="MK82" i="11" s="1"/>
  <c r="CY82" i="11"/>
  <c r="JG82" i="11" s="1"/>
  <c r="JH82" i="11" s="1"/>
  <c r="CW82" i="11"/>
  <c r="FW82" i="11" s="1"/>
  <c r="CU82" i="11"/>
  <c r="MC82" i="11" s="1"/>
  <c r="CT82" i="11"/>
  <c r="IY82" i="11" s="1"/>
  <c r="CR82" i="11"/>
  <c r="MD82" i="11" s="1"/>
  <c r="ME82" i="11" s="1"/>
  <c r="CQ82" i="11"/>
  <c r="IZ82" i="11" s="1"/>
  <c r="JA82" i="11" s="1"/>
  <c r="CO82" i="11"/>
  <c r="GW82" i="11" s="1"/>
  <c r="CN82" i="11"/>
  <c r="CM82" i="11"/>
  <c r="CL82" i="11"/>
  <c r="CK82" i="11"/>
  <c r="CJ82" i="11"/>
  <c r="CI82" i="11"/>
  <c r="CH82" i="11"/>
  <c r="CG82" i="11"/>
  <c r="CF82" i="11"/>
  <c r="CE82" i="11"/>
  <c r="RR82" i="11" s="1"/>
  <c r="CD82" i="11"/>
  <c r="GY82" i="11" s="1"/>
  <c r="CC82" i="11"/>
  <c r="GT82" i="11" s="1"/>
  <c r="CB82" i="11"/>
  <c r="LY82" i="11" s="1"/>
  <c r="CA82" i="11"/>
  <c r="BZ82" i="11"/>
  <c r="BW82" i="11"/>
  <c r="BQ82" i="11"/>
  <c r="BR82" i="11" s="1"/>
  <c r="BU82" i="11" s="1"/>
  <c r="BI82" i="11"/>
  <c r="BJ82" i="11" s="1"/>
  <c r="AW82" i="11"/>
  <c r="AX82" i="11" s="1"/>
  <c r="AR82" i="11"/>
  <c r="AS82" i="11" s="1"/>
  <c r="AO82" i="11"/>
  <c r="AC82" i="11"/>
  <c r="Z82" i="11"/>
  <c r="L76" i="12" s="1"/>
  <c r="M76" i="12" s="1"/>
  <c r="M82" i="11"/>
  <c r="BN82" i="11" s="1"/>
  <c r="BO82" i="11" s="1"/>
  <c r="L82" i="11"/>
  <c r="K82" i="11"/>
  <c r="NF82" i="11" s="1"/>
  <c r="NG82" i="11" s="1"/>
  <c r="NH82" i="11" s="1"/>
  <c r="J82" i="11"/>
  <c r="I82" i="11"/>
  <c r="AJ82" i="11" s="1"/>
  <c r="H82" i="11"/>
  <c r="BA82" i="11" s="1"/>
  <c r="G82" i="11"/>
  <c r="AB82" i="11" s="1"/>
  <c r="F82" i="11"/>
  <c r="E82" i="11"/>
  <c r="AI82" i="11" s="1"/>
  <c r="D82" i="11"/>
  <c r="AH82" i="11" s="1"/>
  <c r="A82" i="11"/>
  <c r="B76" i="12" s="1"/>
  <c r="RW80" i="11"/>
  <c r="RK80" i="11"/>
  <c r="RH80" i="11"/>
  <c r="QX80" i="11"/>
  <c r="QW80" i="11"/>
  <c r="QV80" i="11"/>
  <c r="QU80" i="11"/>
  <c r="QT80" i="11"/>
  <c r="QS80" i="11"/>
  <c r="QR80" i="11"/>
  <c r="QB80" i="11"/>
  <c r="PY80" i="11"/>
  <c r="PV80" i="11"/>
  <c r="PT80" i="11"/>
  <c r="PQ80" i="11"/>
  <c r="PR80" i="11" s="1"/>
  <c r="PN80" i="11"/>
  <c r="PL80" i="11"/>
  <c r="PI80" i="11"/>
  <c r="PH80" i="11"/>
  <c r="PG80" i="11"/>
  <c r="PD80" i="11"/>
  <c r="PC80" i="11"/>
  <c r="PB80" i="11"/>
  <c r="OX80" i="11"/>
  <c r="OW80" i="11"/>
  <c r="OV80" i="11"/>
  <c r="OQ80" i="11"/>
  <c r="OP80" i="11"/>
  <c r="OO80" i="11"/>
  <c r="OL80" i="11"/>
  <c r="OJ80" i="11"/>
  <c r="NZ80" i="11"/>
  <c r="OA80" i="11" s="1"/>
  <c r="NU80" i="11"/>
  <c r="NT80" i="11"/>
  <c r="NV80" i="11" s="1"/>
  <c r="NW80" i="11" s="1"/>
  <c r="NP80" i="11"/>
  <c r="NQ80" i="11" s="1"/>
  <c r="NO80" i="11"/>
  <c r="NN80" i="11"/>
  <c r="NJ80" i="11"/>
  <c r="NK80" i="11" s="1"/>
  <c r="MR80" i="11"/>
  <c r="MS80" i="11" s="1"/>
  <c r="LU80" i="11"/>
  <c r="LV80" i="11" s="1"/>
  <c r="LL80" i="11"/>
  <c r="LK80" i="11"/>
  <c r="LF80" i="11"/>
  <c r="LE80" i="11"/>
  <c r="LD80" i="11"/>
  <c r="KZ80" i="11"/>
  <c r="LA80" i="11" s="1"/>
  <c r="KX80" i="11"/>
  <c r="KY80" i="11" s="1"/>
  <c r="KU80" i="11"/>
  <c r="KT80" i="11"/>
  <c r="KP80" i="11"/>
  <c r="KQ80" i="11" s="1"/>
  <c r="KK80" i="11"/>
  <c r="KJ80" i="11"/>
  <c r="KI80" i="11"/>
  <c r="KH80" i="11"/>
  <c r="KG80" i="11"/>
  <c r="KF80" i="11"/>
  <c r="KE80" i="11"/>
  <c r="JZ80" i="11"/>
  <c r="JY80" i="11"/>
  <c r="JO80" i="11"/>
  <c r="JP80" i="11" s="1"/>
  <c r="JD80" i="11"/>
  <c r="IW80" i="11"/>
  <c r="IV80" i="11"/>
  <c r="IP80" i="11"/>
  <c r="IO80" i="11"/>
  <c r="IE80" i="11"/>
  <c r="IB80" i="11"/>
  <c r="HZ80" i="11"/>
  <c r="HX80" i="11"/>
  <c r="HU80" i="11"/>
  <c r="HV80" i="11" s="1"/>
  <c r="HR80" i="11"/>
  <c r="HS80" i="11" s="1"/>
  <c r="IH80" i="11" s="1"/>
  <c r="HN80" i="11"/>
  <c r="HM80" i="11"/>
  <c r="HK80" i="11"/>
  <c r="HJ80" i="11"/>
  <c r="HF80" i="11"/>
  <c r="HG80" i="11" s="1"/>
  <c r="HC80" i="11"/>
  <c r="GZ80" i="11"/>
  <c r="GQ80" i="11"/>
  <c r="GP80" i="11"/>
  <c r="GO80" i="11"/>
  <c r="GN80" i="11"/>
  <c r="GM80" i="11"/>
  <c r="GK80" i="11"/>
  <c r="FL80" i="11"/>
  <c r="FJ80" i="11"/>
  <c r="FB80" i="11"/>
  <c r="EZ80" i="11"/>
  <c r="EX80" i="11"/>
  <c r="EW80" i="11"/>
  <c r="EV80" i="11"/>
  <c r="EU80" i="11"/>
  <c r="EK80" i="11"/>
  <c r="DZ80" i="11"/>
  <c r="DM80" i="11"/>
  <c r="DG80" i="11"/>
  <c r="DE80" i="11"/>
  <c r="GD80" i="11" s="1"/>
  <c r="DC80" i="11"/>
  <c r="MI80" i="11" s="1"/>
  <c r="DB80" i="11"/>
  <c r="JF80" i="11" s="1"/>
  <c r="CZ80" i="11"/>
  <c r="MJ80" i="11" s="1"/>
  <c r="MK80" i="11" s="1"/>
  <c r="CY80" i="11"/>
  <c r="JG80" i="11" s="1"/>
  <c r="JH80" i="11" s="1"/>
  <c r="CW80" i="11"/>
  <c r="FW80" i="11" s="1"/>
  <c r="CU80" i="11"/>
  <c r="MC80" i="11" s="1"/>
  <c r="CT80" i="11"/>
  <c r="IY80" i="11" s="1"/>
  <c r="CR80" i="11"/>
  <c r="MD80" i="11" s="1"/>
  <c r="ME80" i="11" s="1"/>
  <c r="CQ80" i="11"/>
  <c r="IZ80" i="11" s="1"/>
  <c r="JA80" i="11" s="1"/>
  <c r="CO80" i="11"/>
  <c r="GW80" i="11" s="1"/>
  <c r="CN80" i="11"/>
  <c r="CM80" i="11"/>
  <c r="CL80" i="11"/>
  <c r="CK80" i="11"/>
  <c r="CJ80" i="11"/>
  <c r="CI80" i="11"/>
  <c r="CH80" i="11"/>
  <c r="CG80" i="11"/>
  <c r="CF80" i="11"/>
  <c r="CE80" i="11"/>
  <c r="RR80" i="11" s="1"/>
  <c r="CD80" i="11"/>
  <c r="GY80" i="11" s="1"/>
  <c r="CC80" i="11"/>
  <c r="GT80" i="11" s="1"/>
  <c r="CB80" i="11"/>
  <c r="LY80" i="11" s="1"/>
  <c r="CA80" i="11"/>
  <c r="BZ80" i="11"/>
  <c r="BW80" i="11"/>
  <c r="BQ80" i="11"/>
  <c r="BR80" i="11" s="1"/>
  <c r="BI80" i="11"/>
  <c r="BJ80" i="11" s="1"/>
  <c r="AW80" i="11"/>
  <c r="AX80" i="11" s="1"/>
  <c r="AR80" i="11"/>
  <c r="AS80" i="11" s="1"/>
  <c r="AO80" i="11"/>
  <c r="AP80" i="11" s="1"/>
  <c r="AC80" i="11"/>
  <c r="Z80" i="11"/>
  <c r="L74" i="12" s="1"/>
  <c r="M74" i="12" s="1"/>
  <c r="M80" i="11"/>
  <c r="BN80" i="11" s="1"/>
  <c r="L80" i="11"/>
  <c r="K80" i="11"/>
  <c r="NB80" i="11" s="1"/>
  <c r="NC80" i="11" s="1"/>
  <c r="J80" i="11"/>
  <c r="I80" i="11"/>
  <c r="AJ80" i="11" s="1"/>
  <c r="H80" i="11"/>
  <c r="BA80" i="11" s="1"/>
  <c r="G80" i="11"/>
  <c r="AB80" i="11" s="1"/>
  <c r="F80" i="11"/>
  <c r="E80" i="11"/>
  <c r="AI80" i="11" s="1"/>
  <c r="D80" i="11"/>
  <c r="AH80" i="11" s="1"/>
  <c r="A80" i="11"/>
  <c r="B74" i="12" s="1"/>
  <c r="RW78" i="11"/>
  <c r="RK78" i="11"/>
  <c r="RH78" i="11"/>
  <c r="QX78" i="11"/>
  <c r="QW78" i="11"/>
  <c r="QV78" i="11"/>
  <c r="QU78" i="11"/>
  <c r="QT78" i="11"/>
  <c r="QS78" i="11"/>
  <c r="QR78" i="11"/>
  <c r="QB78" i="11"/>
  <c r="PY78" i="11"/>
  <c r="PV78" i="11"/>
  <c r="PT78" i="11"/>
  <c r="PQ78" i="11"/>
  <c r="PR78" i="11" s="1"/>
  <c r="PN78" i="11"/>
  <c r="PL78" i="11"/>
  <c r="PI78" i="11"/>
  <c r="PH78" i="11"/>
  <c r="PG78" i="11"/>
  <c r="PD78" i="11"/>
  <c r="PC78" i="11"/>
  <c r="PB78" i="11"/>
  <c r="OX78" i="11"/>
  <c r="OW78" i="11"/>
  <c r="OV78" i="11"/>
  <c r="OQ78" i="11"/>
  <c r="OP78" i="11"/>
  <c r="OO78" i="11"/>
  <c r="OL78" i="11"/>
  <c r="OJ78" i="11"/>
  <c r="NZ78" i="11"/>
  <c r="OA78" i="11" s="1"/>
  <c r="NU78" i="11"/>
  <c r="NT78" i="11"/>
  <c r="NP78" i="11"/>
  <c r="NQ78" i="11" s="1"/>
  <c r="NN78" i="11"/>
  <c r="NO78" i="11" s="1"/>
  <c r="NJ78" i="11"/>
  <c r="NK78" i="11" s="1"/>
  <c r="MR78" i="11"/>
  <c r="MS78" i="11" s="1"/>
  <c r="LU78" i="11"/>
  <c r="LV78" i="11" s="1"/>
  <c r="LL78" i="11"/>
  <c r="LK78" i="11"/>
  <c r="LF78" i="11"/>
  <c r="LE78" i="11"/>
  <c r="LD78" i="11"/>
  <c r="KZ78" i="11"/>
  <c r="LA78" i="11" s="1"/>
  <c r="KX78" i="11"/>
  <c r="KY78" i="11" s="1"/>
  <c r="KT78" i="11"/>
  <c r="KU78" i="11" s="1"/>
  <c r="KP78" i="11"/>
  <c r="KQ78" i="11" s="1"/>
  <c r="KK78" i="11"/>
  <c r="KJ78" i="11"/>
  <c r="KI78" i="11"/>
  <c r="KH78" i="11"/>
  <c r="KG78" i="11"/>
  <c r="KF78" i="11"/>
  <c r="KE78" i="11"/>
  <c r="JZ78" i="11"/>
  <c r="JY78" i="11"/>
  <c r="JO78" i="11"/>
  <c r="JP78" i="11" s="1"/>
  <c r="JD78" i="11"/>
  <c r="IW78" i="11"/>
  <c r="IV78" i="11"/>
  <c r="IO78" i="11"/>
  <c r="IP78" i="11" s="1"/>
  <c r="IE78" i="11"/>
  <c r="IB78" i="11"/>
  <c r="HZ78" i="11"/>
  <c r="HX78" i="11"/>
  <c r="HU78" i="11"/>
  <c r="HV78" i="11" s="1"/>
  <c r="HR78" i="11"/>
  <c r="HS78" i="11" s="1"/>
  <c r="IH78" i="11" s="1"/>
  <c r="HN78" i="11"/>
  <c r="HM78" i="11"/>
  <c r="HK78" i="11"/>
  <c r="HJ78" i="11"/>
  <c r="HF78" i="11"/>
  <c r="HC78" i="11"/>
  <c r="HD78" i="11" s="1"/>
  <c r="GZ78" i="11"/>
  <c r="GQ78" i="11"/>
  <c r="GP78" i="11"/>
  <c r="GO78" i="11"/>
  <c r="GN78" i="11"/>
  <c r="GM78" i="11"/>
  <c r="GK78" i="11"/>
  <c r="FL78" i="11"/>
  <c r="FJ78" i="11"/>
  <c r="FB78" i="11"/>
  <c r="EZ78" i="11"/>
  <c r="EX78" i="11"/>
  <c r="EW78" i="11"/>
  <c r="EV78" i="11"/>
  <c r="EU78" i="11"/>
  <c r="EK78" i="11"/>
  <c r="DZ78" i="11"/>
  <c r="DM78" i="11"/>
  <c r="DG78" i="11"/>
  <c r="DE78" i="11"/>
  <c r="GD78" i="11" s="1"/>
  <c r="DC78" i="11"/>
  <c r="MI78" i="11" s="1"/>
  <c r="DB78" i="11"/>
  <c r="JF78" i="11" s="1"/>
  <c r="CZ78" i="11"/>
  <c r="MJ78" i="11" s="1"/>
  <c r="MK78" i="11" s="1"/>
  <c r="CY78" i="11"/>
  <c r="JG78" i="11" s="1"/>
  <c r="JH78" i="11" s="1"/>
  <c r="CW78" i="11"/>
  <c r="FW78" i="11" s="1"/>
  <c r="CU78" i="11"/>
  <c r="MC78" i="11" s="1"/>
  <c r="CT78" i="11"/>
  <c r="IY78" i="11" s="1"/>
  <c r="CR78" i="11"/>
  <c r="MD78" i="11" s="1"/>
  <c r="ME78" i="11" s="1"/>
  <c r="CQ78" i="11"/>
  <c r="IZ78" i="11" s="1"/>
  <c r="JA78" i="11" s="1"/>
  <c r="CO78" i="11"/>
  <c r="GW78" i="11" s="1"/>
  <c r="CN78" i="11"/>
  <c r="CM78" i="11"/>
  <c r="CL78" i="11"/>
  <c r="CK78" i="11"/>
  <c r="CJ78" i="11"/>
  <c r="CI78" i="11"/>
  <c r="CH78" i="11"/>
  <c r="CG78" i="11"/>
  <c r="CF78" i="11"/>
  <c r="CE78" i="11"/>
  <c r="RR78" i="11" s="1"/>
  <c r="CD78" i="11"/>
  <c r="GY78" i="11" s="1"/>
  <c r="CC78" i="11"/>
  <c r="GT78" i="11" s="1"/>
  <c r="CB78" i="11"/>
  <c r="LY78" i="11" s="1"/>
  <c r="CA78" i="11"/>
  <c r="BZ78" i="11"/>
  <c r="BW78" i="11"/>
  <c r="BQ78" i="11"/>
  <c r="BR78" i="11" s="1"/>
  <c r="BU78" i="11" s="1"/>
  <c r="BI78" i="11"/>
  <c r="BJ78" i="11" s="1"/>
  <c r="AW78" i="11"/>
  <c r="AX78" i="11" s="1"/>
  <c r="AR78" i="11"/>
  <c r="AS78" i="11" s="1"/>
  <c r="AO78" i="11"/>
  <c r="AC78" i="11"/>
  <c r="Z78" i="11"/>
  <c r="M78" i="11"/>
  <c r="BN78" i="11" s="1"/>
  <c r="L78" i="11"/>
  <c r="K78" i="11"/>
  <c r="NF78" i="11" s="1"/>
  <c r="NG78" i="11" s="1"/>
  <c r="J78" i="11"/>
  <c r="I78" i="11"/>
  <c r="AJ78" i="11" s="1"/>
  <c r="H78" i="11"/>
  <c r="BA78" i="11" s="1"/>
  <c r="G78" i="11"/>
  <c r="AB78" i="11" s="1"/>
  <c r="F78" i="11"/>
  <c r="E78" i="11"/>
  <c r="AI78" i="11" s="1"/>
  <c r="D78" i="11"/>
  <c r="AH78" i="11" s="1"/>
  <c r="A78" i="11"/>
  <c r="B72" i="12" s="1"/>
  <c r="RW76" i="11"/>
  <c r="RK76" i="11"/>
  <c r="RH76" i="11"/>
  <c r="QX76" i="11"/>
  <c r="QW76" i="11"/>
  <c r="QV76" i="11"/>
  <c r="QU76" i="11"/>
  <c r="QT76" i="11"/>
  <c r="QS76" i="11"/>
  <c r="QR76" i="11"/>
  <c r="QB76" i="11"/>
  <c r="PY76" i="11"/>
  <c r="PV76" i="11"/>
  <c r="PT76" i="11"/>
  <c r="PQ76" i="11"/>
  <c r="PR76" i="11" s="1"/>
  <c r="PN76" i="11"/>
  <c r="PL76" i="11"/>
  <c r="PI76" i="11"/>
  <c r="PH76" i="11"/>
  <c r="PG76" i="11"/>
  <c r="PD76" i="11"/>
  <c r="PC76" i="11"/>
  <c r="PB76" i="11"/>
  <c r="OX76" i="11"/>
  <c r="OW76" i="11"/>
  <c r="OV76" i="11"/>
  <c r="OQ76" i="11"/>
  <c r="OP76" i="11"/>
  <c r="OO76" i="11"/>
  <c r="OL76" i="11"/>
  <c r="OJ76" i="11"/>
  <c r="NZ76" i="11"/>
  <c r="OA76" i="11" s="1"/>
  <c r="NU76" i="11"/>
  <c r="NT76" i="11"/>
  <c r="NP76" i="11"/>
  <c r="NQ76" i="11" s="1"/>
  <c r="NN76" i="11"/>
  <c r="NO76" i="11" s="1"/>
  <c r="NJ76" i="11"/>
  <c r="NK76" i="11" s="1"/>
  <c r="MR76" i="11"/>
  <c r="MS76" i="11" s="1"/>
  <c r="LU76" i="11"/>
  <c r="LV76" i="11" s="1"/>
  <c r="LL76" i="11"/>
  <c r="LK76" i="11"/>
  <c r="LF76" i="11"/>
  <c r="LE76" i="11"/>
  <c r="LD76" i="11"/>
  <c r="KZ76" i="11"/>
  <c r="LA76" i="11" s="1"/>
  <c r="KX76" i="11"/>
  <c r="KY76" i="11" s="1"/>
  <c r="KT76" i="11"/>
  <c r="KU76" i="11" s="1"/>
  <c r="KP76" i="11"/>
  <c r="KQ76" i="11" s="1"/>
  <c r="KK76" i="11"/>
  <c r="KJ76" i="11"/>
  <c r="KI76" i="11"/>
  <c r="KH76" i="11"/>
  <c r="KG76" i="11"/>
  <c r="KF76" i="11"/>
  <c r="KE76" i="11"/>
  <c r="JZ76" i="11"/>
  <c r="JY76" i="11"/>
  <c r="JO76" i="11"/>
  <c r="JP76" i="11" s="1"/>
  <c r="JD76" i="11"/>
  <c r="IW76" i="11"/>
  <c r="IV76" i="11"/>
  <c r="IO76" i="11"/>
  <c r="IP76" i="11" s="1"/>
  <c r="IE76" i="11"/>
  <c r="IB76" i="11"/>
  <c r="HZ76" i="11"/>
  <c r="HX76" i="11"/>
  <c r="HU76" i="11"/>
  <c r="HV76" i="11" s="1"/>
  <c r="HR76" i="11"/>
  <c r="HS76" i="11" s="1"/>
  <c r="IH76" i="11" s="1"/>
  <c r="HN76" i="11"/>
  <c r="HM76" i="11"/>
  <c r="HK76" i="11"/>
  <c r="HJ76" i="11"/>
  <c r="HF76" i="11"/>
  <c r="HG76" i="11" s="1"/>
  <c r="HC76" i="11"/>
  <c r="GZ76" i="11"/>
  <c r="GQ76" i="11"/>
  <c r="GP76" i="11"/>
  <c r="GO76" i="11"/>
  <c r="GN76" i="11"/>
  <c r="GM76" i="11"/>
  <c r="GK76" i="11"/>
  <c r="FL76" i="11"/>
  <c r="FJ76" i="11"/>
  <c r="FB76" i="11"/>
  <c r="EZ76" i="11"/>
  <c r="EX76" i="11"/>
  <c r="EW76" i="11"/>
  <c r="EV76" i="11"/>
  <c r="EU76" i="11"/>
  <c r="EK76" i="11"/>
  <c r="DZ76" i="11"/>
  <c r="DM76" i="11"/>
  <c r="DG76" i="11"/>
  <c r="DE76" i="11"/>
  <c r="GD76" i="11" s="1"/>
  <c r="DC76" i="11"/>
  <c r="MI76" i="11" s="1"/>
  <c r="DB76" i="11"/>
  <c r="JF76" i="11" s="1"/>
  <c r="CZ76" i="11"/>
  <c r="MJ76" i="11" s="1"/>
  <c r="MK76" i="11" s="1"/>
  <c r="CY76" i="11"/>
  <c r="JG76" i="11" s="1"/>
  <c r="JH76" i="11" s="1"/>
  <c r="CW76" i="11"/>
  <c r="FW76" i="11" s="1"/>
  <c r="CU76" i="11"/>
  <c r="MC76" i="11" s="1"/>
  <c r="CT76" i="11"/>
  <c r="IY76" i="11" s="1"/>
  <c r="CR76" i="11"/>
  <c r="MD76" i="11" s="1"/>
  <c r="ME76" i="11" s="1"/>
  <c r="CQ76" i="11"/>
  <c r="IZ76" i="11" s="1"/>
  <c r="JA76" i="11" s="1"/>
  <c r="CO76" i="11"/>
  <c r="GW76" i="11" s="1"/>
  <c r="CN76" i="11"/>
  <c r="CM76" i="11"/>
  <c r="CL76" i="11"/>
  <c r="CK76" i="11"/>
  <c r="CJ76" i="11"/>
  <c r="CI76" i="11"/>
  <c r="CH76" i="11"/>
  <c r="CG76" i="11"/>
  <c r="CF76" i="11"/>
  <c r="CE76" i="11"/>
  <c r="RR76" i="11" s="1"/>
  <c r="CD76" i="11"/>
  <c r="GY76" i="11" s="1"/>
  <c r="CC76" i="11"/>
  <c r="CB76" i="11"/>
  <c r="LY76" i="11" s="1"/>
  <c r="CA76" i="11"/>
  <c r="BZ76" i="11"/>
  <c r="BW76" i="11"/>
  <c r="BQ76" i="11"/>
  <c r="BR76" i="11" s="1"/>
  <c r="BI76" i="11"/>
  <c r="BJ76" i="11" s="1"/>
  <c r="AW76" i="11"/>
  <c r="AX76" i="11" s="1"/>
  <c r="AR76" i="11"/>
  <c r="AS76" i="11" s="1"/>
  <c r="AO76" i="11"/>
  <c r="AP76" i="11" s="1"/>
  <c r="AC76" i="11"/>
  <c r="Z76" i="11"/>
  <c r="L70" i="12" s="1"/>
  <c r="M70" i="12" s="1"/>
  <c r="M76" i="11"/>
  <c r="BN76" i="11" s="1"/>
  <c r="L76" i="11"/>
  <c r="K76" i="11"/>
  <c r="NB76" i="11" s="1"/>
  <c r="NC76" i="11" s="1"/>
  <c r="J76" i="11"/>
  <c r="I76" i="11"/>
  <c r="AJ76" i="11" s="1"/>
  <c r="H76" i="11"/>
  <c r="BA76" i="11" s="1"/>
  <c r="G76" i="11"/>
  <c r="AB76" i="11" s="1"/>
  <c r="F76" i="11"/>
  <c r="E76" i="11"/>
  <c r="AI76" i="11" s="1"/>
  <c r="D76" i="11"/>
  <c r="AH76" i="11" s="1"/>
  <c r="A76" i="11"/>
  <c r="B70" i="12" s="1"/>
  <c r="RW74" i="11"/>
  <c r="RK74" i="11"/>
  <c r="RH74" i="11"/>
  <c r="QX74" i="11"/>
  <c r="QW74" i="11"/>
  <c r="QV74" i="11"/>
  <c r="QU74" i="11"/>
  <c r="QT74" i="11"/>
  <c r="QS74" i="11"/>
  <c r="QR74" i="11"/>
  <c r="QB74" i="11"/>
  <c r="PY74" i="11"/>
  <c r="PV74" i="11"/>
  <c r="PT74" i="11"/>
  <c r="PQ74" i="11"/>
  <c r="PR74" i="11" s="1"/>
  <c r="PN74" i="11"/>
  <c r="PL74" i="11"/>
  <c r="PI74" i="11"/>
  <c r="PH74" i="11"/>
  <c r="PG74" i="11"/>
  <c r="PD74" i="11"/>
  <c r="PC74" i="11"/>
  <c r="PB74" i="11"/>
  <c r="OX74" i="11"/>
  <c r="OW74" i="11"/>
  <c r="OV74" i="11"/>
  <c r="RA74" i="11" s="1"/>
  <c r="OQ74" i="11"/>
  <c r="OP74" i="11"/>
  <c r="OO74" i="11"/>
  <c r="OL74" i="11"/>
  <c r="OJ74" i="11"/>
  <c r="NZ74" i="11"/>
  <c r="OA74" i="11" s="1"/>
  <c r="NU74" i="11"/>
  <c r="NT74" i="11"/>
  <c r="NV74" i="11" s="1"/>
  <c r="NW74" i="11" s="1"/>
  <c r="NP74" i="11"/>
  <c r="NQ74" i="11" s="1"/>
  <c r="NN74" i="11"/>
  <c r="NO74" i="11" s="1"/>
  <c r="NJ74" i="11"/>
  <c r="NK74" i="11" s="1"/>
  <c r="MR74" i="11"/>
  <c r="MS74" i="11" s="1"/>
  <c r="LU74" i="11"/>
  <c r="LV74" i="11" s="1"/>
  <c r="LL74" i="11"/>
  <c r="LK74" i="11"/>
  <c r="LF74" i="11"/>
  <c r="LE74" i="11"/>
  <c r="LD74" i="11"/>
  <c r="KZ74" i="11"/>
  <c r="LA74" i="11" s="1"/>
  <c r="KX74" i="11"/>
  <c r="KY74" i="11" s="1"/>
  <c r="KT74" i="11"/>
  <c r="KU74" i="11" s="1"/>
  <c r="KP74" i="11"/>
  <c r="KQ74" i="11" s="1"/>
  <c r="KK74" i="11"/>
  <c r="KJ74" i="11"/>
  <c r="KI74" i="11"/>
  <c r="KH74" i="11"/>
  <c r="KG74" i="11"/>
  <c r="KF74" i="11"/>
  <c r="KE74" i="11"/>
  <c r="JZ74" i="11"/>
  <c r="JY74" i="11"/>
  <c r="JO74" i="11"/>
  <c r="JP74" i="11" s="1"/>
  <c r="JD74" i="11"/>
  <c r="IW74" i="11"/>
  <c r="IV74" i="11"/>
  <c r="IO74" i="11"/>
  <c r="IP74" i="11" s="1"/>
  <c r="IE74" i="11"/>
  <c r="IB74" i="11"/>
  <c r="HZ74" i="11"/>
  <c r="HX74" i="11"/>
  <c r="HU74" i="11"/>
  <c r="HV74" i="11" s="1"/>
  <c r="HR74" i="11"/>
  <c r="HS74" i="11" s="1"/>
  <c r="IH74" i="11" s="1"/>
  <c r="HN74" i="11"/>
  <c r="HM74" i="11"/>
  <c r="HK74" i="11"/>
  <c r="HJ74" i="11"/>
  <c r="HF74" i="11"/>
  <c r="HC74" i="11"/>
  <c r="HD74" i="11" s="1"/>
  <c r="GZ74" i="11"/>
  <c r="GQ74" i="11"/>
  <c r="GP74" i="11"/>
  <c r="GO74" i="11"/>
  <c r="GN74" i="11"/>
  <c r="GM74" i="11"/>
  <c r="GK74" i="11"/>
  <c r="FL74" i="11"/>
  <c r="FJ74" i="11"/>
  <c r="FB74" i="11"/>
  <c r="EZ74" i="11"/>
  <c r="EX74" i="11"/>
  <c r="EW74" i="11"/>
  <c r="EV74" i="11"/>
  <c r="EU74" i="11"/>
  <c r="EK74" i="11"/>
  <c r="DZ74" i="11"/>
  <c r="DM74" i="11"/>
  <c r="DG74" i="11"/>
  <c r="DE74" i="11"/>
  <c r="GD74" i="11" s="1"/>
  <c r="DC74" i="11"/>
  <c r="MI74" i="11" s="1"/>
  <c r="DB74" i="11"/>
  <c r="JF74" i="11" s="1"/>
  <c r="CZ74" i="11"/>
  <c r="MJ74" i="11" s="1"/>
  <c r="MK74" i="11" s="1"/>
  <c r="CY74" i="11"/>
  <c r="JG74" i="11" s="1"/>
  <c r="JH74" i="11" s="1"/>
  <c r="CW74" i="11"/>
  <c r="FW74" i="11" s="1"/>
  <c r="CU74" i="11"/>
  <c r="MC74" i="11" s="1"/>
  <c r="CT74" i="11"/>
  <c r="IY74" i="11" s="1"/>
  <c r="CR74" i="11"/>
  <c r="MD74" i="11" s="1"/>
  <c r="ME74" i="11" s="1"/>
  <c r="CQ74" i="11"/>
  <c r="IZ74" i="11" s="1"/>
  <c r="JA74" i="11" s="1"/>
  <c r="CO74" i="11"/>
  <c r="GW74" i="11" s="1"/>
  <c r="CN74" i="11"/>
  <c r="CM74" i="11"/>
  <c r="CL74" i="11"/>
  <c r="CK74" i="11"/>
  <c r="CJ74" i="11"/>
  <c r="CI74" i="11"/>
  <c r="CH74" i="11"/>
  <c r="CG74" i="11"/>
  <c r="CF74" i="11"/>
  <c r="CE74" i="11"/>
  <c r="RR74" i="11" s="1"/>
  <c r="CD74" i="11"/>
  <c r="GY74" i="11" s="1"/>
  <c r="CC74" i="11"/>
  <c r="CB74" i="11"/>
  <c r="LY74" i="11" s="1"/>
  <c r="CA74" i="11"/>
  <c r="BZ74" i="11"/>
  <c r="BW74" i="11"/>
  <c r="BQ74" i="11"/>
  <c r="BR74" i="11" s="1"/>
  <c r="BU74" i="11" s="1"/>
  <c r="BI74" i="11"/>
  <c r="BJ74" i="11" s="1"/>
  <c r="AW74" i="11"/>
  <c r="AX74" i="11" s="1"/>
  <c r="AR74" i="11"/>
  <c r="AS74" i="11" s="1"/>
  <c r="AO74" i="11"/>
  <c r="AC74" i="11"/>
  <c r="Z74" i="11"/>
  <c r="M74" i="11"/>
  <c r="BN74" i="11" s="1"/>
  <c r="BO74" i="11" s="1"/>
  <c r="L74" i="11"/>
  <c r="K74" i="11"/>
  <c r="NF74" i="11" s="1"/>
  <c r="NG74" i="11" s="1"/>
  <c r="NH74" i="11" s="1"/>
  <c r="J74" i="11"/>
  <c r="I74" i="11"/>
  <c r="AJ74" i="11" s="1"/>
  <c r="H74" i="11"/>
  <c r="BA74" i="11" s="1"/>
  <c r="G74" i="11"/>
  <c r="AB74" i="11" s="1"/>
  <c r="F74" i="11"/>
  <c r="E74" i="11"/>
  <c r="AI74" i="11" s="1"/>
  <c r="D74" i="11"/>
  <c r="AH74" i="11" s="1"/>
  <c r="A74" i="11"/>
  <c r="B68" i="12" s="1"/>
  <c r="RW72" i="11"/>
  <c r="RK72" i="11"/>
  <c r="RH72" i="11"/>
  <c r="QX72" i="11"/>
  <c r="QW72" i="11"/>
  <c r="QV72" i="11"/>
  <c r="QU72" i="11"/>
  <c r="QT72" i="11"/>
  <c r="QS72" i="11"/>
  <c r="QR72" i="11"/>
  <c r="QB72" i="11"/>
  <c r="PY72" i="11"/>
  <c r="PV72" i="11"/>
  <c r="PT72" i="11"/>
  <c r="PQ72" i="11"/>
  <c r="PN72" i="11"/>
  <c r="PL72" i="11"/>
  <c r="PI72" i="11"/>
  <c r="PH72" i="11"/>
  <c r="PG72" i="11"/>
  <c r="PD72" i="11"/>
  <c r="PC72" i="11"/>
  <c r="PB72" i="11"/>
  <c r="OX72" i="11"/>
  <c r="OW72" i="11"/>
  <c r="OV72" i="11"/>
  <c r="OQ72" i="11"/>
  <c r="OP72" i="11"/>
  <c r="OO72" i="11"/>
  <c r="OL72" i="11"/>
  <c r="OJ72" i="11"/>
  <c r="NZ72" i="11"/>
  <c r="OA72" i="11" s="1"/>
  <c r="NU72" i="11"/>
  <c r="NT72" i="11"/>
  <c r="NV72" i="11" s="1"/>
  <c r="NW72" i="11" s="1"/>
  <c r="NP72" i="11"/>
  <c r="NQ72" i="11" s="1"/>
  <c r="NO72" i="11"/>
  <c r="NN72" i="11"/>
  <c r="NJ72" i="11"/>
  <c r="NK72" i="11" s="1"/>
  <c r="MR72" i="11"/>
  <c r="MS72" i="11" s="1"/>
  <c r="LU72" i="11"/>
  <c r="LV72" i="11" s="1"/>
  <c r="LL72" i="11"/>
  <c r="LK72" i="11"/>
  <c r="LF72" i="11"/>
  <c r="LE72" i="11"/>
  <c r="LD72" i="11"/>
  <c r="KZ72" i="11"/>
  <c r="LA72" i="11" s="1"/>
  <c r="KX72" i="11"/>
  <c r="KY72" i="11" s="1"/>
  <c r="KT72" i="11"/>
  <c r="KU72" i="11" s="1"/>
  <c r="KP72" i="11"/>
  <c r="KQ72" i="11" s="1"/>
  <c r="KK72" i="11"/>
  <c r="KJ72" i="11"/>
  <c r="KI72" i="11"/>
  <c r="KH72" i="11"/>
  <c r="KG72" i="11"/>
  <c r="KF72" i="11"/>
  <c r="KE72" i="11"/>
  <c r="JZ72" i="11"/>
  <c r="JY72" i="11"/>
  <c r="JO72" i="11"/>
  <c r="JP72" i="11" s="1"/>
  <c r="JD72" i="11"/>
  <c r="IW72" i="11"/>
  <c r="IV72" i="11"/>
  <c r="IO72" i="11"/>
  <c r="IP72" i="11" s="1"/>
  <c r="IE72" i="11"/>
  <c r="IB72" i="11"/>
  <c r="HZ72" i="11"/>
  <c r="HX72" i="11"/>
  <c r="HU72" i="11"/>
  <c r="HV72" i="11" s="1"/>
  <c r="HR72" i="11"/>
  <c r="HS72" i="11" s="1"/>
  <c r="IH72" i="11" s="1"/>
  <c r="HN72" i="11"/>
  <c r="HM72" i="11"/>
  <c r="HK72" i="11"/>
  <c r="HJ72" i="11"/>
  <c r="HF72" i="11"/>
  <c r="HG72" i="11" s="1"/>
  <c r="HC72" i="11"/>
  <c r="HD72" i="11" s="1"/>
  <c r="GZ72" i="11"/>
  <c r="GQ72" i="11"/>
  <c r="GK72" i="11"/>
  <c r="GP72" i="11" s="1"/>
  <c r="FL72" i="11"/>
  <c r="FJ72" i="11"/>
  <c r="FB72" i="11"/>
  <c r="EZ72" i="11"/>
  <c r="EX72" i="11"/>
  <c r="EW72" i="11"/>
  <c r="EV72" i="11"/>
  <c r="EU72" i="11"/>
  <c r="EK72" i="11"/>
  <c r="DZ72" i="11"/>
  <c r="DM72" i="11"/>
  <c r="DG72" i="11"/>
  <c r="DE72" i="11"/>
  <c r="GD72" i="11" s="1"/>
  <c r="DC72" i="11"/>
  <c r="MI72" i="11" s="1"/>
  <c r="DB72" i="11"/>
  <c r="JF72" i="11" s="1"/>
  <c r="CZ72" i="11"/>
  <c r="MJ72" i="11" s="1"/>
  <c r="MK72" i="11" s="1"/>
  <c r="CY72" i="11"/>
  <c r="JG72" i="11" s="1"/>
  <c r="JH72" i="11" s="1"/>
  <c r="CW72" i="11"/>
  <c r="FW72" i="11" s="1"/>
  <c r="CU72" i="11"/>
  <c r="MC72" i="11" s="1"/>
  <c r="CT72" i="11"/>
  <c r="IY72" i="11" s="1"/>
  <c r="CR72" i="11"/>
  <c r="MD72" i="11" s="1"/>
  <c r="ME72" i="11" s="1"/>
  <c r="CQ72" i="11"/>
  <c r="IZ72" i="11" s="1"/>
  <c r="JA72" i="11" s="1"/>
  <c r="CO72" i="11"/>
  <c r="GW72" i="11" s="1"/>
  <c r="CN72" i="11"/>
  <c r="CM72" i="11"/>
  <c r="CL72" i="11"/>
  <c r="CK72" i="11"/>
  <c r="CJ72" i="11"/>
  <c r="CI72" i="11"/>
  <c r="CH72" i="11"/>
  <c r="CG72" i="11"/>
  <c r="CF72" i="11"/>
  <c r="CE72" i="11"/>
  <c r="CD72" i="11"/>
  <c r="GY72" i="11" s="1"/>
  <c r="CC72" i="11"/>
  <c r="CB72" i="11"/>
  <c r="LY72" i="11" s="1"/>
  <c r="CA72" i="11"/>
  <c r="BZ72" i="11"/>
  <c r="BW72" i="11"/>
  <c r="BQ72" i="11"/>
  <c r="BR72" i="11" s="1"/>
  <c r="BI72" i="11"/>
  <c r="BJ72" i="11" s="1"/>
  <c r="AW72" i="11"/>
  <c r="AX72" i="11" s="1"/>
  <c r="AR72" i="11"/>
  <c r="AS72" i="11" s="1"/>
  <c r="AO72" i="11"/>
  <c r="AC72" i="11"/>
  <c r="Z72" i="11"/>
  <c r="L66" i="12" s="1"/>
  <c r="M66" i="12" s="1"/>
  <c r="M72" i="11"/>
  <c r="BN72" i="11" s="1"/>
  <c r="L72" i="11"/>
  <c r="K72" i="11"/>
  <c r="J72" i="11"/>
  <c r="I72" i="11"/>
  <c r="AJ72" i="11" s="1"/>
  <c r="H72" i="11"/>
  <c r="BA72" i="11" s="1"/>
  <c r="G72" i="11"/>
  <c r="AB72" i="11" s="1"/>
  <c r="F72" i="11"/>
  <c r="E72" i="11"/>
  <c r="AI72" i="11" s="1"/>
  <c r="D72" i="11"/>
  <c r="AH72" i="11" s="1"/>
  <c r="A72" i="11"/>
  <c r="B66" i="12" s="1"/>
  <c r="RW70" i="11"/>
  <c r="RK70" i="11"/>
  <c r="RH70" i="11"/>
  <c r="QX70" i="11"/>
  <c r="QW70" i="11"/>
  <c r="QV70" i="11"/>
  <c r="QU70" i="11"/>
  <c r="QT70" i="11"/>
  <c r="QS70" i="11"/>
  <c r="QB70" i="11"/>
  <c r="PY70" i="11"/>
  <c r="PV70" i="11"/>
  <c r="PT70" i="11"/>
  <c r="PQ70" i="11"/>
  <c r="PR70" i="11" s="1"/>
  <c r="PN70" i="11"/>
  <c r="PL70" i="11"/>
  <c r="PI70" i="11"/>
  <c r="PH70" i="11"/>
  <c r="PG70" i="11"/>
  <c r="PD70" i="11"/>
  <c r="PC70" i="11"/>
  <c r="PB70" i="11"/>
  <c r="OX70" i="11"/>
  <c r="OW70" i="11"/>
  <c r="OV70" i="11"/>
  <c r="OQ70" i="11"/>
  <c r="OP70" i="11"/>
  <c r="OO70" i="11"/>
  <c r="OL70" i="11"/>
  <c r="OJ70" i="11"/>
  <c r="NZ70" i="11"/>
  <c r="OA70" i="11" s="1"/>
  <c r="NU70" i="11"/>
  <c r="NT70" i="11"/>
  <c r="NP70" i="11"/>
  <c r="NQ70" i="11" s="1"/>
  <c r="NN70" i="11"/>
  <c r="NO70" i="11" s="1"/>
  <c r="NJ70" i="11"/>
  <c r="NK70" i="11" s="1"/>
  <c r="MR70" i="11"/>
  <c r="MS70" i="11" s="1"/>
  <c r="LU70" i="11"/>
  <c r="LV70" i="11" s="1"/>
  <c r="KZ70" i="11"/>
  <c r="LA70" i="11" s="1"/>
  <c r="KX70" i="11"/>
  <c r="KY70" i="11" s="1"/>
  <c r="KT70" i="11"/>
  <c r="KU70" i="11" s="1"/>
  <c r="KP70" i="11"/>
  <c r="KQ70" i="11" s="1"/>
  <c r="KK70" i="11"/>
  <c r="KJ70" i="11"/>
  <c r="KI70" i="11"/>
  <c r="KH70" i="11"/>
  <c r="KG70" i="11"/>
  <c r="KF70" i="11"/>
  <c r="KE70" i="11"/>
  <c r="JZ70" i="11"/>
  <c r="JY70" i="11"/>
  <c r="JO70" i="11"/>
  <c r="JP70" i="11" s="1"/>
  <c r="JD70" i="11"/>
  <c r="IW70" i="11"/>
  <c r="IV70" i="11"/>
  <c r="IO70" i="11"/>
  <c r="IP70" i="11" s="1"/>
  <c r="IE70" i="11"/>
  <c r="IB70" i="11"/>
  <c r="HZ70" i="11"/>
  <c r="HX70" i="11"/>
  <c r="HU70" i="11"/>
  <c r="HV70" i="11" s="1"/>
  <c r="HR70" i="11"/>
  <c r="HS70" i="11" s="1"/>
  <c r="IH70" i="11" s="1"/>
  <c r="HN70" i="11"/>
  <c r="HM70" i="11"/>
  <c r="HK70" i="11"/>
  <c r="HJ70" i="11"/>
  <c r="HF70" i="11"/>
  <c r="HC70" i="11"/>
  <c r="HD70" i="11" s="1"/>
  <c r="GZ70" i="11"/>
  <c r="GP70" i="11"/>
  <c r="GO70" i="11"/>
  <c r="GN70" i="11"/>
  <c r="GK70" i="11"/>
  <c r="FL70" i="11"/>
  <c r="FJ70" i="11"/>
  <c r="FB70" i="11"/>
  <c r="EZ70" i="11"/>
  <c r="EX70" i="11"/>
  <c r="EW70" i="11"/>
  <c r="EV70" i="11"/>
  <c r="EU70" i="11"/>
  <c r="EK70" i="11"/>
  <c r="DZ70" i="11"/>
  <c r="DM70" i="11"/>
  <c r="DG70" i="11"/>
  <c r="DE70" i="11"/>
  <c r="GD70" i="11" s="1"/>
  <c r="DC70" i="11"/>
  <c r="MI70" i="11" s="1"/>
  <c r="DB70" i="11"/>
  <c r="JF70" i="11" s="1"/>
  <c r="CZ70" i="11"/>
  <c r="MJ70" i="11" s="1"/>
  <c r="MK70" i="11" s="1"/>
  <c r="CY70" i="11"/>
  <c r="JG70" i="11" s="1"/>
  <c r="JH70" i="11" s="1"/>
  <c r="CW70" i="11"/>
  <c r="FW70" i="11" s="1"/>
  <c r="CU70" i="11"/>
  <c r="MC70" i="11" s="1"/>
  <c r="CT70" i="11"/>
  <c r="IY70" i="11" s="1"/>
  <c r="CR70" i="11"/>
  <c r="MD70" i="11" s="1"/>
  <c r="ME70" i="11" s="1"/>
  <c r="CQ70" i="11"/>
  <c r="IZ70" i="11" s="1"/>
  <c r="JA70" i="11" s="1"/>
  <c r="CO70" i="11"/>
  <c r="GW70" i="11" s="1"/>
  <c r="CN70" i="11"/>
  <c r="CM70" i="11"/>
  <c r="CL70" i="11"/>
  <c r="CK70" i="11"/>
  <c r="CJ70" i="11"/>
  <c r="CI70" i="11"/>
  <c r="CH70" i="11"/>
  <c r="CG70" i="11"/>
  <c r="CF70" i="11"/>
  <c r="CE70" i="11"/>
  <c r="CD70" i="11"/>
  <c r="GY70" i="11" s="1"/>
  <c r="CC70" i="11"/>
  <c r="CB70" i="11"/>
  <c r="LY70" i="11" s="1"/>
  <c r="CA70" i="11"/>
  <c r="BZ70" i="11"/>
  <c r="BW70" i="11"/>
  <c r="BQ70" i="11"/>
  <c r="BR70" i="11" s="1"/>
  <c r="BU70" i="11" s="1"/>
  <c r="BI70" i="11"/>
  <c r="BJ70" i="11" s="1"/>
  <c r="AW70" i="11"/>
  <c r="AX70" i="11" s="1"/>
  <c r="AR70" i="11"/>
  <c r="AS70" i="11" s="1"/>
  <c r="AO70" i="11"/>
  <c r="AC70" i="11"/>
  <c r="Z70" i="11"/>
  <c r="M70" i="11"/>
  <c r="BN70" i="11" s="1"/>
  <c r="DW70" i="13" s="1"/>
  <c r="L70" i="11"/>
  <c r="K70" i="11"/>
  <c r="NF70" i="11" s="1"/>
  <c r="NG70" i="11" s="1"/>
  <c r="J70" i="11"/>
  <c r="I70" i="11"/>
  <c r="AJ70" i="11" s="1"/>
  <c r="H70" i="11"/>
  <c r="BA70" i="11" s="1"/>
  <c r="LE70" i="11" s="1"/>
  <c r="G70" i="11"/>
  <c r="AB70" i="11" s="1"/>
  <c r="F70" i="11"/>
  <c r="E70" i="11"/>
  <c r="AI70" i="11" s="1"/>
  <c r="D70" i="11"/>
  <c r="AH70" i="11" s="1"/>
  <c r="A70" i="11"/>
  <c r="B64" i="12" s="1"/>
  <c r="RW68" i="11"/>
  <c r="RK68" i="11"/>
  <c r="RH68" i="11"/>
  <c r="QX68" i="11"/>
  <c r="QW68" i="11"/>
  <c r="QV68" i="11"/>
  <c r="QU68" i="11"/>
  <c r="QT68" i="11"/>
  <c r="QS68" i="11"/>
  <c r="QB68" i="11"/>
  <c r="PY68" i="11"/>
  <c r="PV68" i="11"/>
  <c r="PT68" i="11"/>
  <c r="PQ68" i="11"/>
  <c r="PR68" i="11" s="1"/>
  <c r="PN68" i="11"/>
  <c r="PL68" i="11"/>
  <c r="PI68" i="11"/>
  <c r="PH68" i="11"/>
  <c r="PG68" i="11"/>
  <c r="PD68" i="11"/>
  <c r="PC68" i="11"/>
  <c r="PB68" i="11"/>
  <c r="OX68" i="11"/>
  <c r="OW68" i="11"/>
  <c r="OV68" i="11"/>
  <c r="OQ68" i="11"/>
  <c r="OP68" i="11"/>
  <c r="OO68" i="11"/>
  <c r="OL68" i="11"/>
  <c r="OJ68" i="11"/>
  <c r="NZ68" i="11"/>
  <c r="OA68" i="11" s="1"/>
  <c r="NU68" i="11"/>
  <c r="NT68" i="11"/>
  <c r="NP68" i="11"/>
  <c r="NQ68" i="11" s="1"/>
  <c r="NN68" i="11"/>
  <c r="NO68" i="11" s="1"/>
  <c r="NJ68" i="11"/>
  <c r="NK68" i="11" s="1"/>
  <c r="MR68" i="11"/>
  <c r="MS68" i="11" s="1"/>
  <c r="LU68" i="11"/>
  <c r="LV68" i="11" s="1"/>
  <c r="KZ68" i="11"/>
  <c r="LA68" i="11" s="1"/>
  <c r="KX68" i="11"/>
  <c r="KY68" i="11" s="1"/>
  <c r="KT68" i="11"/>
  <c r="KU68" i="11" s="1"/>
  <c r="KP68" i="11"/>
  <c r="KQ68" i="11" s="1"/>
  <c r="KK68" i="11"/>
  <c r="KJ68" i="11"/>
  <c r="KI68" i="11"/>
  <c r="KH68" i="11"/>
  <c r="KG68" i="11"/>
  <c r="KF68" i="11"/>
  <c r="KE68" i="11"/>
  <c r="JZ68" i="11"/>
  <c r="JY68" i="11"/>
  <c r="JO68" i="11"/>
  <c r="JP68" i="11" s="1"/>
  <c r="JD68" i="11"/>
  <c r="IW68" i="11"/>
  <c r="IV68" i="11"/>
  <c r="IO68" i="11"/>
  <c r="IP68" i="11" s="1"/>
  <c r="IE68" i="11"/>
  <c r="IB68" i="11"/>
  <c r="HZ68" i="11"/>
  <c r="HX68" i="11"/>
  <c r="HU68" i="11"/>
  <c r="HV68" i="11" s="1"/>
  <c r="HR68" i="11"/>
  <c r="HS68" i="11" s="1"/>
  <c r="IH68" i="11" s="1"/>
  <c r="HN68" i="11"/>
  <c r="HM68" i="11"/>
  <c r="HK68" i="11"/>
  <c r="HJ68" i="11"/>
  <c r="HF68" i="11"/>
  <c r="HG68" i="11" s="1"/>
  <c r="HC68" i="11"/>
  <c r="GZ68" i="11"/>
  <c r="GP68" i="11"/>
  <c r="GO68" i="11"/>
  <c r="GN68" i="11"/>
  <c r="GK68" i="11"/>
  <c r="FL68" i="11"/>
  <c r="FJ68" i="11"/>
  <c r="FB68" i="11"/>
  <c r="EZ68" i="11"/>
  <c r="EX68" i="11"/>
  <c r="EW68" i="11"/>
  <c r="EV68" i="11"/>
  <c r="EU68" i="11"/>
  <c r="EK68" i="11"/>
  <c r="DZ68" i="11"/>
  <c r="DM68" i="11"/>
  <c r="DG68" i="11"/>
  <c r="DE68" i="11"/>
  <c r="GD68" i="11" s="1"/>
  <c r="DC68" i="11"/>
  <c r="MI68" i="11" s="1"/>
  <c r="DB68" i="11"/>
  <c r="JF68" i="11" s="1"/>
  <c r="CZ68" i="11"/>
  <c r="MJ68" i="11" s="1"/>
  <c r="MK68" i="11" s="1"/>
  <c r="CY68" i="11"/>
  <c r="JG68" i="11" s="1"/>
  <c r="JH68" i="11" s="1"/>
  <c r="CW68" i="11"/>
  <c r="FW68" i="11" s="1"/>
  <c r="CU68" i="11"/>
  <c r="MC68" i="11" s="1"/>
  <c r="CT68" i="11"/>
  <c r="IY68" i="11" s="1"/>
  <c r="CR68" i="11"/>
  <c r="MD68" i="11" s="1"/>
  <c r="ME68" i="11" s="1"/>
  <c r="CQ68" i="11"/>
  <c r="IZ68" i="11" s="1"/>
  <c r="JA68" i="11" s="1"/>
  <c r="CO68" i="11"/>
  <c r="GW68" i="11" s="1"/>
  <c r="CN68" i="11"/>
  <c r="CM68" i="11"/>
  <c r="CL68" i="11"/>
  <c r="CK68" i="11"/>
  <c r="CJ68" i="11"/>
  <c r="CI68" i="11"/>
  <c r="CH68" i="11"/>
  <c r="CG68" i="11"/>
  <c r="CF68" i="11"/>
  <c r="CE68" i="11"/>
  <c r="RR68" i="11" s="1"/>
  <c r="CD68" i="11"/>
  <c r="GY68" i="11" s="1"/>
  <c r="CC68" i="11"/>
  <c r="CB68" i="11"/>
  <c r="LY68" i="11" s="1"/>
  <c r="CA68" i="11"/>
  <c r="BZ68" i="11"/>
  <c r="BW68" i="11"/>
  <c r="BQ68" i="11"/>
  <c r="BR68" i="11" s="1"/>
  <c r="MV68" i="11" s="1"/>
  <c r="MW68" i="11" s="1"/>
  <c r="BI68" i="11"/>
  <c r="BJ68" i="11" s="1"/>
  <c r="AW68" i="11"/>
  <c r="AX68" i="11" s="1"/>
  <c r="AR68" i="11"/>
  <c r="AS68" i="11" s="1"/>
  <c r="AO68" i="11"/>
  <c r="CL68" i="13" s="1"/>
  <c r="AC68" i="11"/>
  <c r="Z68" i="11"/>
  <c r="L62" i="12" s="1"/>
  <c r="M62" i="12" s="1"/>
  <c r="M68" i="11"/>
  <c r="BN68" i="11" s="1"/>
  <c r="L68" i="11"/>
  <c r="K68" i="11"/>
  <c r="NB68" i="11" s="1"/>
  <c r="NC68" i="11" s="1"/>
  <c r="J68" i="11"/>
  <c r="I68" i="11"/>
  <c r="AJ68" i="11" s="1"/>
  <c r="H68" i="11"/>
  <c r="BA68" i="11" s="1"/>
  <c r="LE68" i="11" s="1"/>
  <c r="G68" i="11"/>
  <c r="AB68" i="11" s="1"/>
  <c r="F68" i="11"/>
  <c r="E68" i="11"/>
  <c r="AI68" i="11" s="1"/>
  <c r="D68" i="11"/>
  <c r="AH68" i="11" s="1"/>
  <c r="A68" i="11"/>
  <c r="B62" i="12" s="1"/>
  <c r="RW66" i="11"/>
  <c r="RK66" i="11"/>
  <c r="RH66" i="11"/>
  <c r="QX66" i="11"/>
  <c r="QW66" i="11"/>
  <c r="QV66" i="11"/>
  <c r="QU66" i="11"/>
  <c r="QT66" i="11"/>
  <c r="QS66" i="11"/>
  <c r="QB66" i="11"/>
  <c r="PY66" i="11"/>
  <c r="PV66" i="11"/>
  <c r="PT66" i="11"/>
  <c r="PQ66" i="11"/>
  <c r="PR66" i="11" s="1"/>
  <c r="PN66" i="11"/>
  <c r="PL66" i="11"/>
  <c r="PI66" i="11"/>
  <c r="PH66" i="11"/>
  <c r="PG66" i="11"/>
  <c r="PD66" i="11"/>
  <c r="PC66" i="11"/>
  <c r="PB66" i="11"/>
  <c r="OX66" i="11"/>
  <c r="OW66" i="11"/>
  <c r="OV66" i="11"/>
  <c r="OQ66" i="11"/>
  <c r="OP66" i="11"/>
  <c r="OO66" i="11"/>
  <c r="OL66" i="11"/>
  <c r="OJ66" i="11"/>
  <c r="NZ66" i="11"/>
  <c r="OA66" i="11" s="1"/>
  <c r="NU66" i="11"/>
  <c r="NT66" i="11"/>
  <c r="NP66" i="11"/>
  <c r="NQ66" i="11" s="1"/>
  <c r="NN66" i="11"/>
  <c r="NO66" i="11" s="1"/>
  <c r="NJ66" i="11"/>
  <c r="NK66" i="11" s="1"/>
  <c r="MR66" i="11"/>
  <c r="MS66" i="11" s="1"/>
  <c r="LU66" i="11"/>
  <c r="LV66" i="11" s="1"/>
  <c r="LA66" i="11"/>
  <c r="KZ66" i="11"/>
  <c r="KY66" i="11"/>
  <c r="KX66" i="11"/>
  <c r="KT66" i="11"/>
  <c r="KU66" i="11" s="1"/>
  <c r="KP66" i="11"/>
  <c r="KQ66" i="11" s="1"/>
  <c r="KK66" i="11"/>
  <c r="KJ66" i="11"/>
  <c r="KI66" i="11"/>
  <c r="KH66" i="11"/>
  <c r="KG66" i="11"/>
  <c r="KF66" i="11"/>
  <c r="KE66" i="11"/>
  <c r="JZ66" i="11"/>
  <c r="JY66" i="11"/>
  <c r="HI66" i="13" s="1"/>
  <c r="JO66" i="11"/>
  <c r="JP66" i="11" s="1"/>
  <c r="JD66" i="11"/>
  <c r="IW66" i="11"/>
  <c r="IV66" i="11"/>
  <c r="IO66" i="11"/>
  <c r="IP66" i="11" s="1"/>
  <c r="IE66" i="11"/>
  <c r="IB66" i="11"/>
  <c r="HZ66" i="11"/>
  <c r="HX66" i="11"/>
  <c r="HU66" i="11"/>
  <c r="HV66" i="11" s="1"/>
  <c r="HR66" i="11"/>
  <c r="HS66" i="11" s="1"/>
  <c r="IH66" i="11" s="1"/>
  <c r="HN66" i="11"/>
  <c r="HM66" i="11"/>
  <c r="HK66" i="11"/>
  <c r="HJ66" i="11"/>
  <c r="HF66" i="11"/>
  <c r="HC66" i="11"/>
  <c r="HD66" i="11" s="1"/>
  <c r="GZ66" i="11"/>
  <c r="GP66" i="11"/>
  <c r="GO66" i="11"/>
  <c r="GN66" i="11"/>
  <c r="GK66" i="11"/>
  <c r="FL66" i="11"/>
  <c r="FJ66" i="11"/>
  <c r="FB66" i="11"/>
  <c r="EZ66" i="11"/>
  <c r="EX66" i="11"/>
  <c r="EW66" i="11"/>
  <c r="EV66" i="11"/>
  <c r="EU66" i="11"/>
  <c r="EK66" i="11"/>
  <c r="DZ66" i="11"/>
  <c r="DM66" i="11"/>
  <c r="DG66" i="11"/>
  <c r="DE66" i="11"/>
  <c r="GD66" i="11" s="1"/>
  <c r="DC66" i="11"/>
  <c r="MI66" i="11" s="1"/>
  <c r="DB66" i="11"/>
  <c r="JF66" i="11" s="1"/>
  <c r="CZ66" i="11"/>
  <c r="MJ66" i="11" s="1"/>
  <c r="MK66" i="11" s="1"/>
  <c r="CY66" i="11"/>
  <c r="JG66" i="11" s="1"/>
  <c r="JH66" i="11" s="1"/>
  <c r="CW66" i="11"/>
  <c r="FW66" i="11" s="1"/>
  <c r="CU66" i="11"/>
  <c r="MC66" i="11" s="1"/>
  <c r="CT66" i="11"/>
  <c r="IY66" i="11" s="1"/>
  <c r="CR66" i="11"/>
  <c r="MD66" i="11" s="1"/>
  <c r="ME66" i="11" s="1"/>
  <c r="CQ66" i="11"/>
  <c r="IZ66" i="11" s="1"/>
  <c r="JA66" i="11" s="1"/>
  <c r="CO66" i="11"/>
  <c r="GW66" i="11" s="1"/>
  <c r="CN66" i="11"/>
  <c r="CM66" i="11"/>
  <c r="CL66" i="11"/>
  <c r="CK66" i="11"/>
  <c r="CJ66" i="11"/>
  <c r="CI66" i="11"/>
  <c r="CH66" i="11"/>
  <c r="CG66" i="11"/>
  <c r="CF66" i="11"/>
  <c r="CE66" i="11"/>
  <c r="CD66" i="11"/>
  <c r="GY66" i="11" s="1"/>
  <c r="CC66" i="11"/>
  <c r="CB66" i="11"/>
  <c r="LY66" i="11" s="1"/>
  <c r="CA66" i="11"/>
  <c r="BZ66" i="11"/>
  <c r="BW66" i="11"/>
  <c r="BQ66" i="11"/>
  <c r="BR66" i="11" s="1"/>
  <c r="BU66" i="11" s="1"/>
  <c r="BI66" i="11"/>
  <c r="BJ66" i="11" s="1"/>
  <c r="AW66" i="11"/>
  <c r="AX66" i="11" s="1"/>
  <c r="AR66" i="11"/>
  <c r="AS66" i="11" s="1"/>
  <c r="AO66" i="11"/>
  <c r="CL66" i="13" s="1"/>
  <c r="AC66" i="11"/>
  <c r="Z66" i="11"/>
  <c r="L60" i="12" s="1"/>
  <c r="M60" i="12" s="1"/>
  <c r="M66" i="11"/>
  <c r="BN66" i="11" s="1"/>
  <c r="L66" i="11"/>
  <c r="K66" i="11"/>
  <c r="NF66" i="11" s="1"/>
  <c r="NG66" i="11" s="1"/>
  <c r="J66" i="11"/>
  <c r="I66" i="11"/>
  <c r="AJ66" i="11" s="1"/>
  <c r="H66" i="11"/>
  <c r="BA66" i="11" s="1"/>
  <c r="LE66" i="11" s="1"/>
  <c r="G66" i="11"/>
  <c r="AB66" i="11" s="1"/>
  <c r="F66" i="11"/>
  <c r="E66" i="11"/>
  <c r="AI66" i="11" s="1"/>
  <c r="D66" i="11"/>
  <c r="AH66" i="11" s="1"/>
  <c r="A66" i="11"/>
  <c r="B60" i="12" s="1"/>
  <c r="RW64" i="11"/>
  <c r="RK64" i="11"/>
  <c r="RH64" i="11"/>
  <c r="QX64" i="11"/>
  <c r="QW64" i="11"/>
  <c r="QV64" i="11"/>
  <c r="QU64" i="11"/>
  <c r="QT64" i="11"/>
  <c r="QS64" i="11"/>
  <c r="QR64" i="11"/>
  <c r="QB64" i="11"/>
  <c r="PY64" i="11"/>
  <c r="PV64" i="11"/>
  <c r="PT64" i="11"/>
  <c r="PQ64" i="11"/>
  <c r="PR64" i="11" s="1"/>
  <c r="PN64" i="11"/>
  <c r="PL64" i="11"/>
  <c r="PI64" i="11"/>
  <c r="PH64" i="11"/>
  <c r="PG64" i="11"/>
  <c r="PD64" i="11"/>
  <c r="PC64" i="11"/>
  <c r="PB64" i="11"/>
  <c r="OX64" i="11"/>
  <c r="OW64" i="11"/>
  <c r="OV64" i="11"/>
  <c r="OQ64" i="11"/>
  <c r="OP64" i="11"/>
  <c r="OO64" i="11"/>
  <c r="OL64" i="11"/>
  <c r="OJ64" i="11"/>
  <c r="NZ64" i="11"/>
  <c r="OA64" i="11" s="1"/>
  <c r="NU64" i="11"/>
  <c r="NT64" i="11"/>
  <c r="NP64" i="11"/>
  <c r="NQ64" i="11" s="1"/>
  <c r="NN64" i="11"/>
  <c r="NO64" i="11" s="1"/>
  <c r="NJ64" i="11"/>
  <c r="NK64" i="11" s="1"/>
  <c r="MR64" i="11"/>
  <c r="MS64" i="11" s="1"/>
  <c r="LU64" i="11"/>
  <c r="LV64" i="11" s="1"/>
  <c r="LL64" i="11"/>
  <c r="LK64" i="11"/>
  <c r="KZ64" i="11"/>
  <c r="LA64" i="11" s="1"/>
  <c r="KX64" i="11"/>
  <c r="KY64" i="11" s="1"/>
  <c r="KT64" i="11"/>
  <c r="KU64" i="11" s="1"/>
  <c r="KP64" i="11"/>
  <c r="KQ64" i="11" s="1"/>
  <c r="KK64" i="11"/>
  <c r="KJ64" i="11"/>
  <c r="KI64" i="11"/>
  <c r="KH64" i="11"/>
  <c r="KG64" i="11"/>
  <c r="KF64" i="11"/>
  <c r="KE64" i="11"/>
  <c r="JZ64" i="11"/>
  <c r="JY64" i="11"/>
  <c r="JO64" i="11"/>
  <c r="JP64" i="11" s="1"/>
  <c r="JD64" i="11"/>
  <c r="IW64" i="11"/>
  <c r="IV64" i="11"/>
  <c r="IO64" i="11"/>
  <c r="IP64" i="11" s="1"/>
  <c r="IE64" i="11"/>
  <c r="IB64" i="11"/>
  <c r="HZ64" i="11"/>
  <c r="HX64" i="11"/>
  <c r="HU64" i="11"/>
  <c r="HV64" i="11" s="1"/>
  <c r="HR64" i="11"/>
  <c r="HS64" i="11" s="1"/>
  <c r="IH64" i="11" s="1"/>
  <c r="HN64" i="11"/>
  <c r="HM64" i="11"/>
  <c r="HK64" i="11"/>
  <c r="HJ64" i="11"/>
  <c r="HF64" i="11"/>
  <c r="HG64" i="11" s="1"/>
  <c r="HC64" i="11"/>
  <c r="HD64" i="11" s="1"/>
  <c r="GZ64" i="11"/>
  <c r="GP64" i="11"/>
  <c r="GO64" i="11"/>
  <c r="GN64" i="11"/>
  <c r="GK64" i="11"/>
  <c r="FL64" i="11"/>
  <c r="FJ64" i="11"/>
  <c r="FB64" i="11"/>
  <c r="EX64" i="11"/>
  <c r="EW64" i="11"/>
  <c r="EV64" i="11"/>
  <c r="EU64" i="11"/>
  <c r="EK64" i="11"/>
  <c r="DZ64" i="11"/>
  <c r="DM64" i="11"/>
  <c r="DG64" i="11"/>
  <c r="DE64" i="11"/>
  <c r="GD64" i="11" s="1"/>
  <c r="DC64" i="11"/>
  <c r="MI64" i="11" s="1"/>
  <c r="DB64" i="11"/>
  <c r="JF64" i="11" s="1"/>
  <c r="CZ64" i="11"/>
  <c r="MJ64" i="11" s="1"/>
  <c r="MK64" i="11" s="1"/>
  <c r="CY64" i="11"/>
  <c r="JG64" i="11" s="1"/>
  <c r="JH64" i="11" s="1"/>
  <c r="CW64" i="11"/>
  <c r="FW64" i="11" s="1"/>
  <c r="CU64" i="11"/>
  <c r="MC64" i="11" s="1"/>
  <c r="CT64" i="11"/>
  <c r="IY64" i="11" s="1"/>
  <c r="CR64" i="11"/>
  <c r="MD64" i="11" s="1"/>
  <c r="ME64" i="11" s="1"/>
  <c r="CQ64" i="11"/>
  <c r="IZ64" i="11" s="1"/>
  <c r="JA64" i="11" s="1"/>
  <c r="CO64" i="11"/>
  <c r="GW64" i="11" s="1"/>
  <c r="CN64" i="11"/>
  <c r="CM64" i="11"/>
  <c r="CL64" i="11"/>
  <c r="CK64" i="11"/>
  <c r="CJ64" i="11"/>
  <c r="CI64" i="11"/>
  <c r="CH64" i="11"/>
  <c r="CG64" i="11"/>
  <c r="CF64" i="11"/>
  <c r="CE64" i="11"/>
  <c r="RR64" i="11" s="1"/>
  <c r="CD64" i="11"/>
  <c r="GY64" i="11" s="1"/>
  <c r="CC64" i="11"/>
  <c r="GT64" i="11" s="1"/>
  <c r="CB64" i="11"/>
  <c r="LY64" i="11" s="1"/>
  <c r="CA64" i="11"/>
  <c r="BZ64" i="11"/>
  <c r="BW64" i="11"/>
  <c r="BQ64" i="11"/>
  <c r="BR64" i="11" s="1"/>
  <c r="MV64" i="11" s="1"/>
  <c r="MW64" i="11" s="1"/>
  <c r="BI64" i="11"/>
  <c r="BJ64" i="11" s="1"/>
  <c r="AW64" i="11"/>
  <c r="AX64" i="11" s="1"/>
  <c r="AR64" i="11"/>
  <c r="AS64" i="11" s="1"/>
  <c r="AO64" i="11"/>
  <c r="CL64" i="13" s="1"/>
  <c r="AC64" i="11"/>
  <c r="Z64" i="11"/>
  <c r="L58" i="12" s="1"/>
  <c r="M58" i="12" s="1"/>
  <c r="M64" i="11"/>
  <c r="BN64" i="11" s="1"/>
  <c r="L64" i="11"/>
  <c r="K64" i="11"/>
  <c r="NB64" i="11" s="1"/>
  <c r="NC64" i="11" s="1"/>
  <c r="J64" i="11"/>
  <c r="I64" i="11"/>
  <c r="AJ64" i="11" s="1"/>
  <c r="H64" i="11"/>
  <c r="BA64" i="11" s="1"/>
  <c r="LE64" i="11" s="1"/>
  <c r="G64" i="11"/>
  <c r="AB64" i="11" s="1"/>
  <c r="F64" i="11"/>
  <c r="E64" i="11"/>
  <c r="AI64" i="11" s="1"/>
  <c r="D64" i="11"/>
  <c r="AH64" i="11" s="1"/>
  <c r="A64" i="11"/>
  <c r="B58" i="12" s="1"/>
  <c r="RW62" i="11"/>
  <c r="RK62" i="11"/>
  <c r="RH62" i="11"/>
  <c r="QX62" i="11"/>
  <c r="QW62" i="11"/>
  <c r="QV62" i="11"/>
  <c r="QU62" i="11"/>
  <c r="QT62" i="11"/>
  <c r="QS62" i="11"/>
  <c r="QB62" i="11"/>
  <c r="PY62" i="11"/>
  <c r="PV62" i="11"/>
  <c r="PT62" i="11"/>
  <c r="PQ62" i="11"/>
  <c r="PR62" i="11" s="1"/>
  <c r="PN62" i="11"/>
  <c r="PL62" i="11"/>
  <c r="PI62" i="11"/>
  <c r="PH62" i="11"/>
  <c r="PG62" i="11"/>
  <c r="PD62" i="11"/>
  <c r="PC62" i="11"/>
  <c r="PB62" i="11"/>
  <c r="OX62" i="11"/>
  <c r="OW62" i="11"/>
  <c r="OV62" i="11"/>
  <c r="OQ62" i="11"/>
  <c r="OP62" i="11"/>
  <c r="OO62" i="11"/>
  <c r="OL62" i="11"/>
  <c r="OJ62" i="11"/>
  <c r="NZ62" i="11"/>
  <c r="OA62" i="11" s="1"/>
  <c r="NU62" i="11"/>
  <c r="NT62" i="11"/>
  <c r="NP62" i="11"/>
  <c r="NQ62" i="11" s="1"/>
  <c r="NN62" i="11"/>
  <c r="NO62" i="11" s="1"/>
  <c r="NJ62" i="11"/>
  <c r="NK62" i="11" s="1"/>
  <c r="MR62" i="11"/>
  <c r="MS62" i="11" s="1"/>
  <c r="LU62" i="11"/>
  <c r="LV62" i="11" s="1"/>
  <c r="KZ62" i="11"/>
  <c r="LA62" i="11" s="1"/>
  <c r="KX62" i="11"/>
  <c r="KY62" i="11" s="1"/>
  <c r="KT62" i="11"/>
  <c r="KU62" i="11" s="1"/>
  <c r="KP62" i="11"/>
  <c r="KQ62" i="11" s="1"/>
  <c r="KK62" i="11"/>
  <c r="KJ62" i="11"/>
  <c r="KI62" i="11"/>
  <c r="KH62" i="11"/>
  <c r="KG62" i="11"/>
  <c r="KF62" i="11"/>
  <c r="KE62" i="11"/>
  <c r="JZ62" i="11"/>
  <c r="JY62" i="11"/>
  <c r="JO62" i="11"/>
  <c r="JP62" i="11" s="1"/>
  <c r="JD62" i="11"/>
  <c r="IW62" i="11"/>
  <c r="IV62" i="11"/>
  <c r="IO62" i="11"/>
  <c r="IP62" i="11" s="1"/>
  <c r="IE62" i="11"/>
  <c r="IB62" i="11"/>
  <c r="HZ62" i="11"/>
  <c r="HX62" i="11"/>
  <c r="HU62" i="11"/>
  <c r="HV62" i="11" s="1"/>
  <c r="HR62" i="11"/>
  <c r="HS62" i="11" s="1"/>
  <c r="IH62" i="11" s="1"/>
  <c r="HN62" i="11"/>
  <c r="HM62" i="11"/>
  <c r="HK62" i="11"/>
  <c r="HJ62" i="11"/>
  <c r="HF62" i="11"/>
  <c r="HC62" i="11"/>
  <c r="HD62" i="11" s="1"/>
  <c r="GZ62" i="11"/>
  <c r="GP62" i="11"/>
  <c r="GO62" i="11"/>
  <c r="GN62" i="11"/>
  <c r="GK62" i="11"/>
  <c r="FL62" i="11"/>
  <c r="FJ62" i="11"/>
  <c r="FB62" i="11"/>
  <c r="EZ62" i="11"/>
  <c r="EX62" i="11"/>
  <c r="EW62" i="11"/>
  <c r="EV62" i="11"/>
  <c r="EU62" i="11"/>
  <c r="EK62" i="11"/>
  <c r="DZ62" i="11"/>
  <c r="DM62" i="11"/>
  <c r="DG62" i="11"/>
  <c r="DE62" i="11"/>
  <c r="GD62" i="11" s="1"/>
  <c r="DC62" i="11"/>
  <c r="MI62" i="11" s="1"/>
  <c r="DB62" i="11"/>
  <c r="JF62" i="11" s="1"/>
  <c r="CZ62" i="11"/>
  <c r="MJ62" i="11" s="1"/>
  <c r="MK62" i="11" s="1"/>
  <c r="CY62" i="11"/>
  <c r="JG62" i="11" s="1"/>
  <c r="JH62" i="11" s="1"/>
  <c r="CW62" i="11"/>
  <c r="FW62" i="11" s="1"/>
  <c r="CU62" i="11"/>
  <c r="MC62" i="11" s="1"/>
  <c r="CT62" i="11"/>
  <c r="IY62" i="11" s="1"/>
  <c r="CR62" i="11"/>
  <c r="MD62" i="11" s="1"/>
  <c r="ME62" i="11" s="1"/>
  <c r="CQ62" i="11"/>
  <c r="IZ62" i="11" s="1"/>
  <c r="JA62" i="11" s="1"/>
  <c r="CO62" i="11"/>
  <c r="GW62" i="11" s="1"/>
  <c r="CN62" i="11"/>
  <c r="CM62" i="11"/>
  <c r="CL62" i="11"/>
  <c r="CK62" i="11"/>
  <c r="CJ62" i="11"/>
  <c r="CI62" i="11"/>
  <c r="CH62" i="11"/>
  <c r="CG62" i="11"/>
  <c r="CF62" i="11"/>
  <c r="CE62" i="11"/>
  <c r="CD62" i="11"/>
  <c r="GY62" i="11" s="1"/>
  <c r="CC62" i="11"/>
  <c r="CB62" i="11"/>
  <c r="LY62" i="11" s="1"/>
  <c r="CA62" i="11"/>
  <c r="BZ62" i="11"/>
  <c r="BW62" i="11"/>
  <c r="BQ62" i="11"/>
  <c r="BR62" i="11" s="1"/>
  <c r="BU62" i="11" s="1"/>
  <c r="BI62" i="11"/>
  <c r="BJ62" i="11" s="1"/>
  <c r="AW62" i="11"/>
  <c r="AX62" i="11" s="1"/>
  <c r="AR62" i="11"/>
  <c r="AS62" i="11" s="1"/>
  <c r="AO62" i="11"/>
  <c r="CL62" i="13" s="1"/>
  <c r="AC62" i="11"/>
  <c r="Z62" i="11"/>
  <c r="M62" i="11"/>
  <c r="BN62" i="11" s="1"/>
  <c r="L62" i="11"/>
  <c r="K62" i="11"/>
  <c r="NF62" i="11" s="1"/>
  <c r="NG62" i="11" s="1"/>
  <c r="J62" i="11"/>
  <c r="I62" i="11"/>
  <c r="AJ62" i="11" s="1"/>
  <c r="H62" i="11"/>
  <c r="BA62" i="11" s="1"/>
  <c r="LE62" i="11" s="1"/>
  <c r="G62" i="11"/>
  <c r="AB62" i="11" s="1"/>
  <c r="F62" i="11"/>
  <c r="E62" i="11"/>
  <c r="AI62" i="11" s="1"/>
  <c r="D62" i="11"/>
  <c r="AH62" i="11" s="1"/>
  <c r="A62" i="11"/>
  <c r="B56" i="12" s="1"/>
  <c r="RW60" i="11"/>
  <c r="RK60" i="11"/>
  <c r="RH60" i="11"/>
  <c r="QX60" i="11"/>
  <c r="QW60" i="11"/>
  <c r="QV60" i="11"/>
  <c r="QU60" i="11"/>
  <c r="QT60" i="11"/>
  <c r="QS60" i="11"/>
  <c r="QR60" i="11"/>
  <c r="QB60" i="11"/>
  <c r="PY60" i="11"/>
  <c r="PV60" i="11"/>
  <c r="PT60" i="11"/>
  <c r="PQ60" i="11"/>
  <c r="PR60" i="11" s="1"/>
  <c r="PN60" i="11"/>
  <c r="PL60" i="11"/>
  <c r="PI60" i="11"/>
  <c r="PH60" i="11"/>
  <c r="PG60" i="11"/>
  <c r="PD60" i="11"/>
  <c r="PC60" i="11"/>
  <c r="PB60" i="11"/>
  <c r="OX60" i="11"/>
  <c r="OW60" i="11"/>
  <c r="OV60" i="11"/>
  <c r="OQ60" i="11"/>
  <c r="OP60" i="11"/>
  <c r="OO60" i="11"/>
  <c r="OL60" i="11"/>
  <c r="OJ60" i="11"/>
  <c r="NZ60" i="11"/>
  <c r="OA60" i="11" s="1"/>
  <c r="NU60" i="11"/>
  <c r="NT60" i="11"/>
  <c r="NP60" i="11"/>
  <c r="NQ60" i="11" s="1"/>
  <c r="NN60" i="11"/>
  <c r="NO60" i="11" s="1"/>
  <c r="NJ60" i="11"/>
  <c r="NK60" i="11" s="1"/>
  <c r="MR60" i="11"/>
  <c r="MS60" i="11" s="1"/>
  <c r="LU60" i="11"/>
  <c r="LV60" i="11" s="1"/>
  <c r="LL60" i="11"/>
  <c r="LK60" i="11"/>
  <c r="KZ60" i="11"/>
  <c r="LA60" i="11" s="1"/>
  <c r="KX60" i="11"/>
  <c r="KY60" i="11" s="1"/>
  <c r="KT60" i="11"/>
  <c r="KU60" i="11" s="1"/>
  <c r="KK60" i="11"/>
  <c r="KJ60" i="11"/>
  <c r="KI60" i="11"/>
  <c r="KH60" i="11"/>
  <c r="KF60" i="11"/>
  <c r="KE60" i="11"/>
  <c r="JZ60" i="11"/>
  <c r="JY60" i="11"/>
  <c r="JO60" i="11"/>
  <c r="JP60" i="11" s="1"/>
  <c r="JD60" i="11"/>
  <c r="IW60" i="11"/>
  <c r="IV60" i="11"/>
  <c r="IO60" i="11"/>
  <c r="IP60" i="11" s="1"/>
  <c r="IE60" i="11"/>
  <c r="IB60" i="11"/>
  <c r="HZ60" i="11"/>
  <c r="HX60" i="11"/>
  <c r="HU60" i="11"/>
  <c r="HV60" i="11" s="1"/>
  <c r="HR60" i="11"/>
  <c r="HS60" i="11" s="1"/>
  <c r="IH60" i="11" s="1"/>
  <c r="HN60" i="11"/>
  <c r="HM60" i="11"/>
  <c r="HK60" i="11"/>
  <c r="HJ60" i="11"/>
  <c r="HF60" i="11"/>
  <c r="HG60" i="11" s="1"/>
  <c r="HC60" i="11"/>
  <c r="HD60" i="11" s="1"/>
  <c r="GZ60" i="11"/>
  <c r="GP60" i="11"/>
  <c r="GO60" i="11"/>
  <c r="GN60" i="11"/>
  <c r="GK60" i="11"/>
  <c r="FL60" i="11"/>
  <c r="FJ60" i="11"/>
  <c r="FB60" i="11"/>
  <c r="EX60" i="11"/>
  <c r="EW60" i="11"/>
  <c r="EV60" i="11"/>
  <c r="EU60" i="11"/>
  <c r="EK60" i="11"/>
  <c r="DZ60" i="11"/>
  <c r="DM60" i="11"/>
  <c r="DG60" i="11"/>
  <c r="DE60" i="11"/>
  <c r="GD60" i="11" s="1"/>
  <c r="DC60" i="11"/>
  <c r="MI60" i="11" s="1"/>
  <c r="DB60" i="11"/>
  <c r="JF60" i="11" s="1"/>
  <c r="CZ60" i="11"/>
  <c r="MJ60" i="11" s="1"/>
  <c r="MK60" i="11" s="1"/>
  <c r="CY60" i="11"/>
  <c r="JG60" i="11" s="1"/>
  <c r="JH60" i="11" s="1"/>
  <c r="CW60" i="11"/>
  <c r="FW60" i="11" s="1"/>
  <c r="CU60" i="11"/>
  <c r="MC60" i="11" s="1"/>
  <c r="CT60" i="11"/>
  <c r="IY60" i="11" s="1"/>
  <c r="CR60" i="11"/>
  <c r="MD60" i="11" s="1"/>
  <c r="ME60" i="11" s="1"/>
  <c r="CQ60" i="11"/>
  <c r="IZ60" i="11" s="1"/>
  <c r="JA60" i="11" s="1"/>
  <c r="CO60" i="11"/>
  <c r="GW60" i="11" s="1"/>
  <c r="CN60" i="11"/>
  <c r="CM60" i="11"/>
  <c r="CL60" i="11"/>
  <c r="CK60" i="11"/>
  <c r="CJ60" i="11"/>
  <c r="CI60" i="11"/>
  <c r="CH60" i="11"/>
  <c r="CG60" i="11"/>
  <c r="CF60" i="11"/>
  <c r="CE60" i="11"/>
  <c r="RR60" i="11" s="1"/>
  <c r="CD60" i="11"/>
  <c r="GY60" i="11" s="1"/>
  <c r="CC60" i="11"/>
  <c r="CB60" i="11"/>
  <c r="LY60" i="11" s="1"/>
  <c r="CA60" i="11"/>
  <c r="BZ60" i="11"/>
  <c r="BW60" i="11"/>
  <c r="BQ60" i="11"/>
  <c r="BR60" i="11" s="1"/>
  <c r="BI60" i="11"/>
  <c r="BJ60" i="11" s="1"/>
  <c r="AW60" i="11"/>
  <c r="AX60" i="11" s="1"/>
  <c r="AR60" i="11"/>
  <c r="AS60" i="11" s="1"/>
  <c r="AO60" i="11"/>
  <c r="AP60" i="11" s="1"/>
  <c r="AJ60" i="11"/>
  <c r="AC60" i="11"/>
  <c r="Z60" i="11"/>
  <c r="L54" i="12" s="1"/>
  <c r="M54" i="12" s="1"/>
  <c r="M60" i="11"/>
  <c r="BN60" i="11" s="1"/>
  <c r="L60" i="11"/>
  <c r="K60" i="11"/>
  <c r="KG60" i="11" s="1"/>
  <c r="J60" i="11"/>
  <c r="I60" i="11"/>
  <c r="H60" i="11"/>
  <c r="BA60" i="11" s="1"/>
  <c r="LE60" i="11" s="1"/>
  <c r="G60" i="11"/>
  <c r="AB60" i="11" s="1"/>
  <c r="F60" i="11"/>
  <c r="E60" i="11"/>
  <c r="AI60" i="11" s="1"/>
  <c r="D60" i="11"/>
  <c r="AH60" i="11" s="1"/>
  <c r="A60" i="11"/>
  <c r="B54" i="12" s="1"/>
  <c r="RW58" i="11"/>
  <c r="RK58" i="11"/>
  <c r="RH58" i="11"/>
  <c r="QX58" i="11"/>
  <c r="QW58" i="11"/>
  <c r="QV58" i="11"/>
  <c r="QU58" i="11"/>
  <c r="QT58" i="11"/>
  <c r="QS58" i="11"/>
  <c r="QR58" i="11"/>
  <c r="QB58" i="11"/>
  <c r="PY58" i="11"/>
  <c r="PV58" i="11"/>
  <c r="PT58" i="11"/>
  <c r="PQ58" i="11"/>
  <c r="PN58" i="11"/>
  <c r="PL58" i="11"/>
  <c r="PI58" i="11"/>
  <c r="PH58" i="11"/>
  <c r="PG58" i="11"/>
  <c r="PD58" i="11"/>
  <c r="PC58" i="11"/>
  <c r="PB58" i="11"/>
  <c r="OX58" i="11"/>
  <c r="OW58" i="11"/>
  <c r="OV58" i="11"/>
  <c r="OQ58" i="11"/>
  <c r="OP58" i="11"/>
  <c r="OO58" i="11"/>
  <c r="OL58" i="11"/>
  <c r="OJ58" i="11"/>
  <c r="NZ58" i="11"/>
  <c r="OA58" i="11" s="1"/>
  <c r="NU58" i="11"/>
  <c r="NT58" i="11"/>
  <c r="NP58" i="11"/>
  <c r="NQ58" i="11" s="1"/>
  <c r="NN58" i="11"/>
  <c r="NO58" i="11" s="1"/>
  <c r="NJ58" i="11"/>
  <c r="NK58" i="11" s="1"/>
  <c r="MR58" i="11"/>
  <c r="MS58" i="11" s="1"/>
  <c r="LU58" i="11"/>
  <c r="LV58" i="11" s="1"/>
  <c r="LL58" i="11"/>
  <c r="LK58" i="11"/>
  <c r="LF58" i="11"/>
  <c r="LE58" i="11"/>
  <c r="LD58" i="11"/>
  <c r="KZ58" i="11"/>
  <c r="LA58" i="11" s="1"/>
  <c r="KX58" i="11"/>
  <c r="KY58" i="11" s="1"/>
  <c r="KT58" i="11"/>
  <c r="KU58" i="11" s="1"/>
  <c r="KK58" i="11"/>
  <c r="KJ58" i="11"/>
  <c r="KI58" i="11"/>
  <c r="KH58" i="11"/>
  <c r="KG58" i="11"/>
  <c r="KF58" i="11"/>
  <c r="KE58" i="11"/>
  <c r="JZ58" i="11"/>
  <c r="JY58" i="11"/>
  <c r="HI58" i="13" s="1"/>
  <c r="JO58" i="11"/>
  <c r="JP58" i="11" s="1"/>
  <c r="JD58" i="11"/>
  <c r="IW58" i="11"/>
  <c r="IV58" i="11"/>
  <c r="IO58" i="11"/>
  <c r="IP58" i="11" s="1"/>
  <c r="IE58" i="11"/>
  <c r="IB58" i="11"/>
  <c r="HZ58" i="11"/>
  <c r="HX58" i="11"/>
  <c r="HU58" i="11"/>
  <c r="HV58" i="11" s="1"/>
  <c r="HR58" i="11"/>
  <c r="HS58" i="11" s="1"/>
  <c r="IH58" i="11" s="1"/>
  <c r="HN58" i="11"/>
  <c r="HM58" i="11"/>
  <c r="HK58" i="11"/>
  <c r="HJ58" i="11"/>
  <c r="HF58" i="11"/>
  <c r="HG58" i="11" s="1"/>
  <c r="HC58" i="11"/>
  <c r="GZ58" i="11"/>
  <c r="GK58" i="11"/>
  <c r="FL58" i="11"/>
  <c r="FJ58" i="11"/>
  <c r="FB58" i="11"/>
  <c r="EZ58" i="11"/>
  <c r="EX58" i="11"/>
  <c r="EW58" i="11"/>
  <c r="EV58" i="11"/>
  <c r="EU58" i="11"/>
  <c r="EK58" i="11"/>
  <c r="DZ58" i="11"/>
  <c r="DM58" i="11"/>
  <c r="DG58" i="11"/>
  <c r="DE58" i="11"/>
  <c r="GD58" i="11" s="1"/>
  <c r="DC58" i="11"/>
  <c r="MI58" i="11" s="1"/>
  <c r="DB58" i="11"/>
  <c r="JF58" i="11" s="1"/>
  <c r="CZ58" i="11"/>
  <c r="MJ58" i="11" s="1"/>
  <c r="MK58" i="11" s="1"/>
  <c r="CY58" i="11"/>
  <c r="JG58" i="11" s="1"/>
  <c r="JH58" i="11" s="1"/>
  <c r="CW58" i="11"/>
  <c r="FW58" i="11" s="1"/>
  <c r="CU58" i="11"/>
  <c r="MC58" i="11" s="1"/>
  <c r="CT58" i="11"/>
  <c r="IY58" i="11" s="1"/>
  <c r="CR58" i="11"/>
  <c r="MD58" i="11" s="1"/>
  <c r="ME58" i="11" s="1"/>
  <c r="CQ58" i="11"/>
  <c r="IZ58" i="11" s="1"/>
  <c r="JA58" i="11" s="1"/>
  <c r="CO58" i="11"/>
  <c r="GW58" i="11" s="1"/>
  <c r="CN58" i="11"/>
  <c r="CM58" i="11"/>
  <c r="CL58" i="11"/>
  <c r="CK58" i="11"/>
  <c r="CJ58" i="11"/>
  <c r="CI58" i="11"/>
  <c r="CH58" i="11"/>
  <c r="CG58" i="11"/>
  <c r="CF58" i="11"/>
  <c r="CE58" i="11"/>
  <c r="RR58" i="11" s="1"/>
  <c r="CD58" i="11"/>
  <c r="GY58" i="11" s="1"/>
  <c r="CC58" i="11"/>
  <c r="GT58" i="11" s="1"/>
  <c r="CB58" i="11"/>
  <c r="CA58" i="11"/>
  <c r="BZ58" i="11"/>
  <c r="BW58" i="11"/>
  <c r="BQ58" i="11"/>
  <c r="BR58" i="11" s="1"/>
  <c r="BI58" i="11"/>
  <c r="BJ58" i="11" s="1"/>
  <c r="AW58" i="11"/>
  <c r="AX58" i="11" s="1"/>
  <c r="AR58" i="11"/>
  <c r="AS58" i="11" s="1"/>
  <c r="AO58" i="11"/>
  <c r="AP58" i="11" s="1"/>
  <c r="AC58" i="11"/>
  <c r="Z58" i="11"/>
  <c r="L52" i="12" s="1"/>
  <c r="M52" i="12" s="1"/>
  <c r="M58" i="11"/>
  <c r="BN58" i="11" s="1"/>
  <c r="L58" i="11"/>
  <c r="K58" i="11"/>
  <c r="NB58" i="11" s="1"/>
  <c r="NC58" i="11" s="1"/>
  <c r="J58" i="11"/>
  <c r="I58" i="11"/>
  <c r="AJ58" i="11" s="1"/>
  <c r="H58" i="11"/>
  <c r="BA58" i="11" s="1"/>
  <c r="G58" i="11"/>
  <c r="AB58" i="11" s="1"/>
  <c r="F58" i="11"/>
  <c r="E58" i="11"/>
  <c r="AI58" i="11" s="1"/>
  <c r="D58" i="11"/>
  <c r="AH58" i="11" s="1"/>
  <c r="A58" i="11"/>
  <c r="B52" i="12" s="1"/>
  <c r="RW56" i="11"/>
  <c r="RK56" i="11"/>
  <c r="RH56" i="11"/>
  <c r="QX56" i="11"/>
  <c r="QW56" i="11"/>
  <c r="QV56" i="11"/>
  <c r="QU56" i="11"/>
  <c r="QT56" i="11"/>
  <c r="QS56" i="11"/>
  <c r="QR56" i="11"/>
  <c r="QB56" i="11"/>
  <c r="PY56" i="11"/>
  <c r="PV56" i="11"/>
  <c r="PT56" i="11"/>
  <c r="PQ56" i="11"/>
  <c r="PN56" i="11"/>
  <c r="PL56" i="11"/>
  <c r="PI56" i="11"/>
  <c r="PH56" i="11"/>
  <c r="PG56" i="11"/>
  <c r="PD56" i="11"/>
  <c r="PC56" i="11"/>
  <c r="PB56" i="11"/>
  <c r="OX56" i="11"/>
  <c r="OW56" i="11"/>
  <c r="OV56" i="11"/>
  <c r="OQ56" i="11"/>
  <c r="OP56" i="11"/>
  <c r="OO56" i="11"/>
  <c r="OL56" i="11"/>
  <c r="OJ56" i="11"/>
  <c r="NZ56" i="11"/>
  <c r="OA56" i="11" s="1"/>
  <c r="NU56" i="11"/>
  <c r="NT56" i="11"/>
  <c r="NP56" i="11"/>
  <c r="NQ56" i="11" s="1"/>
  <c r="NN56" i="11"/>
  <c r="NO56" i="11" s="1"/>
  <c r="NJ56" i="11"/>
  <c r="NK56" i="11" s="1"/>
  <c r="MR56" i="11"/>
  <c r="MS56" i="11" s="1"/>
  <c r="LU56" i="11"/>
  <c r="LV56" i="11" s="1"/>
  <c r="LL56" i="11"/>
  <c r="LK56" i="11"/>
  <c r="LF56" i="11"/>
  <c r="LE56" i="11"/>
  <c r="LD56" i="11"/>
  <c r="KZ56" i="11"/>
  <c r="LA56" i="11" s="1"/>
  <c r="KX56" i="11"/>
  <c r="KY56" i="11" s="1"/>
  <c r="KT56" i="11"/>
  <c r="KU56" i="11" s="1"/>
  <c r="KK56" i="11"/>
  <c r="KJ56" i="11"/>
  <c r="KI56" i="11"/>
  <c r="KH56" i="11"/>
  <c r="KG56" i="11"/>
  <c r="KF56" i="11"/>
  <c r="KE56" i="11"/>
  <c r="JZ56" i="11"/>
  <c r="JY56" i="11"/>
  <c r="JO56" i="11"/>
  <c r="JP56" i="11" s="1"/>
  <c r="JD56" i="11"/>
  <c r="IW56" i="11"/>
  <c r="IV56" i="11"/>
  <c r="IO56" i="11"/>
  <c r="IP56" i="11" s="1"/>
  <c r="IE56" i="11"/>
  <c r="IB56" i="11"/>
  <c r="HZ56" i="11"/>
  <c r="HX56" i="11"/>
  <c r="HU56" i="11"/>
  <c r="HV56" i="11" s="1"/>
  <c r="HR56" i="11"/>
  <c r="HS56" i="11" s="1"/>
  <c r="IH56" i="11" s="1"/>
  <c r="HN56" i="11"/>
  <c r="HM56" i="11"/>
  <c r="HK56" i="11"/>
  <c r="HJ56" i="11"/>
  <c r="HF56" i="11"/>
  <c r="HC56" i="11"/>
  <c r="HD56" i="11" s="1"/>
  <c r="GZ56" i="11"/>
  <c r="GK56" i="11"/>
  <c r="GO56" i="11" s="1"/>
  <c r="FL56" i="11"/>
  <c r="FJ56" i="11"/>
  <c r="FB56" i="11"/>
  <c r="EZ56" i="11"/>
  <c r="EX56" i="11"/>
  <c r="EW56" i="11"/>
  <c r="EV56" i="11"/>
  <c r="EU56" i="11"/>
  <c r="EK56" i="11"/>
  <c r="DZ56" i="11"/>
  <c r="DM56" i="11"/>
  <c r="DG56" i="11"/>
  <c r="DE56" i="11"/>
  <c r="GD56" i="11" s="1"/>
  <c r="DC56" i="11"/>
  <c r="MI56" i="11" s="1"/>
  <c r="DB56" i="11"/>
  <c r="JF56" i="11" s="1"/>
  <c r="CZ56" i="11"/>
  <c r="MJ56" i="11" s="1"/>
  <c r="MK56" i="11" s="1"/>
  <c r="CY56" i="11"/>
  <c r="JG56" i="11" s="1"/>
  <c r="JH56" i="11" s="1"/>
  <c r="CW56" i="11"/>
  <c r="FW56" i="11" s="1"/>
  <c r="CU56" i="11"/>
  <c r="MC56" i="11" s="1"/>
  <c r="CT56" i="11"/>
  <c r="IY56" i="11" s="1"/>
  <c r="CR56" i="11"/>
  <c r="MD56" i="11" s="1"/>
  <c r="ME56" i="11" s="1"/>
  <c r="CQ56" i="11"/>
  <c r="IZ56" i="11" s="1"/>
  <c r="JA56" i="11" s="1"/>
  <c r="CO56" i="11"/>
  <c r="GW56" i="11" s="1"/>
  <c r="CN56" i="11"/>
  <c r="CM56" i="11"/>
  <c r="CL56" i="11"/>
  <c r="CK56" i="11"/>
  <c r="CJ56" i="11"/>
  <c r="CI56" i="11"/>
  <c r="CH56" i="11"/>
  <c r="CG56" i="11"/>
  <c r="CF56" i="11"/>
  <c r="CE56" i="11"/>
  <c r="RR56" i="11" s="1"/>
  <c r="CD56" i="11"/>
  <c r="GY56" i="11" s="1"/>
  <c r="CC56" i="11"/>
  <c r="CB56" i="11"/>
  <c r="LY56" i="11" s="1"/>
  <c r="CA56" i="11"/>
  <c r="BZ56" i="11"/>
  <c r="BW56" i="11"/>
  <c r="BQ56" i="11"/>
  <c r="BR56" i="11" s="1"/>
  <c r="BU56" i="11" s="1"/>
  <c r="BI56" i="11"/>
  <c r="BJ56" i="11" s="1"/>
  <c r="AW56" i="11"/>
  <c r="AX56" i="11" s="1"/>
  <c r="AR56" i="11"/>
  <c r="AS56" i="11" s="1"/>
  <c r="AO56" i="11"/>
  <c r="AC56" i="11"/>
  <c r="Z56" i="11"/>
  <c r="GE56" i="11" s="1"/>
  <c r="M56" i="11"/>
  <c r="BN56" i="11" s="1"/>
  <c r="L56" i="11"/>
  <c r="K56" i="11"/>
  <c r="NF56" i="11" s="1"/>
  <c r="NG56" i="11" s="1"/>
  <c r="J56" i="11"/>
  <c r="I56" i="11"/>
  <c r="AJ56" i="11" s="1"/>
  <c r="H56" i="11"/>
  <c r="BA56" i="11" s="1"/>
  <c r="G56" i="11"/>
  <c r="AB56" i="11" s="1"/>
  <c r="F56" i="11"/>
  <c r="E56" i="11"/>
  <c r="AI56" i="11" s="1"/>
  <c r="D56" i="11"/>
  <c r="AH56" i="11" s="1"/>
  <c r="A56" i="11"/>
  <c r="B50" i="12" s="1"/>
  <c r="RW54" i="11"/>
  <c r="RK54" i="11"/>
  <c r="RH54" i="11"/>
  <c r="QX54" i="11"/>
  <c r="QW54" i="11"/>
  <c r="QV54" i="11"/>
  <c r="QU54" i="11"/>
  <c r="QT54" i="11"/>
  <c r="QS54" i="11"/>
  <c r="QR54" i="11"/>
  <c r="QB54" i="11"/>
  <c r="PY54" i="11"/>
  <c r="PV54" i="11"/>
  <c r="PT54" i="11"/>
  <c r="PQ54" i="11"/>
  <c r="PN54" i="11"/>
  <c r="PL54" i="11"/>
  <c r="PI54" i="11"/>
  <c r="PH54" i="11"/>
  <c r="PG54" i="11"/>
  <c r="PD54" i="11"/>
  <c r="PC54" i="11"/>
  <c r="PB54" i="11"/>
  <c r="OX54" i="11"/>
  <c r="OW54" i="11"/>
  <c r="OV54" i="11"/>
  <c r="OQ54" i="11"/>
  <c r="OP54" i="11"/>
  <c r="OO54" i="11"/>
  <c r="OL54" i="11"/>
  <c r="OJ54" i="11"/>
  <c r="NZ54" i="11"/>
  <c r="OA54" i="11" s="1"/>
  <c r="NU54" i="11"/>
  <c r="NT54" i="11"/>
  <c r="NP54" i="11"/>
  <c r="NQ54" i="11" s="1"/>
  <c r="NN54" i="11"/>
  <c r="NO54" i="11" s="1"/>
  <c r="NJ54" i="11"/>
  <c r="NK54" i="11" s="1"/>
  <c r="MR54" i="11"/>
  <c r="MS54" i="11" s="1"/>
  <c r="LU54" i="11"/>
  <c r="LV54" i="11" s="1"/>
  <c r="LL54" i="11"/>
  <c r="LK54" i="11"/>
  <c r="LF54" i="11"/>
  <c r="LE54" i="11"/>
  <c r="LD54" i="11"/>
  <c r="KZ54" i="11"/>
  <c r="LA54" i="11" s="1"/>
  <c r="KX54" i="11"/>
  <c r="KY54" i="11" s="1"/>
  <c r="KT54" i="11"/>
  <c r="KU54" i="11" s="1"/>
  <c r="KK54" i="11"/>
  <c r="KJ54" i="11"/>
  <c r="KI54" i="11"/>
  <c r="KH54" i="11"/>
  <c r="KG54" i="11"/>
  <c r="KF54" i="11"/>
  <c r="KE54" i="11"/>
  <c r="JZ54" i="11"/>
  <c r="JY54" i="11"/>
  <c r="JO54" i="11"/>
  <c r="JP54" i="11" s="1"/>
  <c r="JD54" i="11"/>
  <c r="IW54" i="11"/>
  <c r="IV54" i="11"/>
  <c r="IO54" i="11"/>
  <c r="IP54" i="11" s="1"/>
  <c r="IE54" i="11"/>
  <c r="IB54" i="11"/>
  <c r="HZ54" i="11"/>
  <c r="HX54" i="11"/>
  <c r="HU54" i="11"/>
  <c r="HV54" i="11" s="1"/>
  <c r="HR54" i="11"/>
  <c r="HS54" i="11" s="1"/>
  <c r="IH54" i="11" s="1"/>
  <c r="HN54" i="11"/>
  <c r="HM54" i="11"/>
  <c r="HK54" i="11"/>
  <c r="HJ54" i="11"/>
  <c r="HF54" i="11"/>
  <c r="HG54" i="11" s="1"/>
  <c r="HC54" i="11"/>
  <c r="GZ54" i="11"/>
  <c r="GO54" i="11"/>
  <c r="GK54" i="11"/>
  <c r="GN54" i="11" s="1"/>
  <c r="FL54" i="11"/>
  <c r="FJ54" i="11"/>
  <c r="FB54" i="11"/>
  <c r="EZ54" i="11"/>
  <c r="EX54" i="11"/>
  <c r="EW54" i="11"/>
  <c r="EV54" i="11"/>
  <c r="EU54" i="11"/>
  <c r="EK54" i="11"/>
  <c r="DZ54" i="11"/>
  <c r="DM54" i="11"/>
  <c r="DG54" i="11"/>
  <c r="DE54" i="11"/>
  <c r="GD54" i="11" s="1"/>
  <c r="DC54" i="11"/>
  <c r="MI54" i="11" s="1"/>
  <c r="DB54" i="11"/>
  <c r="JF54" i="11" s="1"/>
  <c r="CZ54" i="11"/>
  <c r="MJ54" i="11" s="1"/>
  <c r="MK54" i="11" s="1"/>
  <c r="CY54" i="11"/>
  <c r="JG54" i="11" s="1"/>
  <c r="JH54" i="11" s="1"/>
  <c r="CW54" i="11"/>
  <c r="FW54" i="11" s="1"/>
  <c r="CU54" i="11"/>
  <c r="MC54" i="11" s="1"/>
  <c r="CT54" i="11"/>
  <c r="IY54" i="11" s="1"/>
  <c r="CR54" i="11"/>
  <c r="MD54" i="11" s="1"/>
  <c r="ME54" i="11" s="1"/>
  <c r="CQ54" i="11"/>
  <c r="IZ54" i="11" s="1"/>
  <c r="JA54" i="11" s="1"/>
  <c r="CO54" i="11"/>
  <c r="GW54" i="11" s="1"/>
  <c r="CN54" i="11"/>
  <c r="CM54" i="11"/>
  <c r="CL54" i="11"/>
  <c r="CK54" i="11"/>
  <c r="CJ54" i="11"/>
  <c r="CI54" i="11"/>
  <c r="CH54" i="11"/>
  <c r="CG54" i="11"/>
  <c r="CF54" i="11"/>
  <c r="CE54" i="11"/>
  <c r="RR54" i="11" s="1"/>
  <c r="CD54" i="11"/>
  <c r="GY54" i="11" s="1"/>
  <c r="CC54" i="11"/>
  <c r="CB54" i="11"/>
  <c r="LY54" i="11" s="1"/>
  <c r="CA54" i="11"/>
  <c r="BZ54" i="11"/>
  <c r="BW54" i="11"/>
  <c r="BQ54" i="11"/>
  <c r="BR54" i="11" s="1"/>
  <c r="BI54" i="11"/>
  <c r="BJ54" i="11" s="1"/>
  <c r="AW54" i="11"/>
  <c r="AX54" i="11" s="1"/>
  <c r="AR54" i="11"/>
  <c r="AS54" i="11" s="1"/>
  <c r="AO54" i="11"/>
  <c r="AP54" i="11" s="1"/>
  <c r="AC54" i="11"/>
  <c r="Z54" i="11"/>
  <c r="L48" i="12" s="1"/>
  <c r="M48" i="12" s="1"/>
  <c r="M54" i="11"/>
  <c r="BN54" i="11" s="1"/>
  <c r="L54" i="11"/>
  <c r="K54" i="11"/>
  <c r="NB54" i="11" s="1"/>
  <c r="NC54" i="11" s="1"/>
  <c r="J54" i="11"/>
  <c r="I54" i="11"/>
  <c r="AJ54" i="11" s="1"/>
  <c r="H54" i="11"/>
  <c r="BA54" i="11" s="1"/>
  <c r="G54" i="11"/>
  <c r="AB54" i="11" s="1"/>
  <c r="F54" i="11"/>
  <c r="E54" i="11"/>
  <c r="AI54" i="11" s="1"/>
  <c r="D54" i="11"/>
  <c r="AH54" i="11" s="1"/>
  <c r="A54" i="11"/>
  <c r="B48" i="12" s="1"/>
  <c r="RW52" i="11"/>
  <c r="RK52" i="11"/>
  <c r="RH52" i="11"/>
  <c r="QX52" i="11"/>
  <c r="QW52" i="11"/>
  <c r="QV52" i="11"/>
  <c r="QT52" i="11"/>
  <c r="QS52" i="11"/>
  <c r="QR52" i="11"/>
  <c r="QB52" i="11"/>
  <c r="PY52" i="11"/>
  <c r="PV52" i="11"/>
  <c r="PT52" i="11"/>
  <c r="PQ52" i="11"/>
  <c r="PR52" i="11" s="1"/>
  <c r="PN52" i="11"/>
  <c r="PL52" i="11"/>
  <c r="PI52" i="11"/>
  <c r="PH52" i="11"/>
  <c r="PG52" i="11"/>
  <c r="PD52" i="11"/>
  <c r="PC52" i="11"/>
  <c r="PB52" i="11"/>
  <c r="OX52" i="11"/>
  <c r="OW52" i="11"/>
  <c r="OV52" i="11"/>
  <c r="OQ52" i="11"/>
  <c r="OP52" i="11"/>
  <c r="OO52" i="11"/>
  <c r="OL52" i="11"/>
  <c r="OJ52" i="11"/>
  <c r="NZ52" i="11"/>
  <c r="OA52" i="11" s="1"/>
  <c r="NU52" i="11"/>
  <c r="NT52" i="11"/>
  <c r="NP52" i="11"/>
  <c r="NQ52" i="11" s="1"/>
  <c r="NN52" i="11"/>
  <c r="NO52" i="11" s="1"/>
  <c r="NJ52" i="11"/>
  <c r="NK52" i="11" s="1"/>
  <c r="MR52" i="11"/>
  <c r="MS52" i="11" s="1"/>
  <c r="LU52" i="11"/>
  <c r="LV52" i="11" s="1"/>
  <c r="KZ52" i="11"/>
  <c r="LA52" i="11" s="1"/>
  <c r="KX52" i="11"/>
  <c r="KY52" i="11" s="1"/>
  <c r="KT52" i="11"/>
  <c r="KU52" i="11" s="1"/>
  <c r="KK52" i="11"/>
  <c r="KJ52" i="11"/>
  <c r="KI52" i="11"/>
  <c r="KH52" i="11"/>
  <c r="KG52" i="11"/>
  <c r="KF52" i="11"/>
  <c r="KE52" i="11"/>
  <c r="JZ52" i="11"/>
  <c r="JO52" i="11"/>
  <c r="JP52" i="11" s="1"/>
  <c r="JD52" i="11"/>
  <c r="IW52" i="11"/>
  <c r="IV52" i="11"/>
  <c r="IO52" i="11"/>
  <c r="IP52" i="11" s="1"/>
  <c r="IE52" i="11"/>
  <c r="IB52" i="11"/>
  <c r="HZ52" i="11"/>
  <c r="HX52" i="11"/>
  <c r="HU52" i="11"/>
  <c r="HV52" i="11" s="1"/>
  <c r="HR52" i="11"/>
  <c r="HS52" i="11" s="1"/>
  <c r="IH52" i="11" s="1"/>
  <c r="HN52" i="11"/>
  <c r="HM52" i="11"/>
  <c r="HK52" i="11"/>
  <c r="HJ52" i="11"/>
  <c r="HF52" i="11"/>
  <c r="HC52" i="11"/>
  <c r="GZ52" i="11"/>
  <c r="GP52" i="11"/>
  <c r="GO52" i="11"/>
  <c r="GN52" i="11"/>
  <c r="GK52" i="11"/>
  <c r="FL52" i="11"/>
  <c r="FJ52" i="11"/>
  <c r="FB52" i="11"/>
  <c r="EZ52" i="11"/>
  <c r="EX52" i="11"/>
  <c r="EW52" i="11"/>
  <c r="EV52" i="11"/>
  <c r="EU52" i="11"/>
  <c r="EK52" i="11"/>
  <c r="DZ52" i="11"/>
  <c r="DM52" i="11"/>
  <c r="DG52" i="11"/>
  <c r="DE52" i="11"/>
  <c r="GD52" i="11" s="1"/>
  <c r="DC52" i="11"/>
  <c r="MI52" i="11" s="1"/>
  <c r="DB52" i="11"/>
  <c r="JF52" i="11" s="1"/>
  <c r="CZ52" i="11"/>
  <c r="MJ52" i="11" s="1"/>
  <c r="MK52" i="11" s="1"/>
  <c r="CY52" i="11"/>
  <c r="JG52" i="11" s="1"/>
  <c r="JH52" i="11" s="1"/>
  <c r="CW52" i="11"/>
  <c r="FW52" i="11" s="1"/>
  <c r="CU52" i="11"/>
  <c r="MC52" i="11" s="1"/>
  <c r="CT52" i="11"/>
  <c r="IY52" i="11" s="1"/>
  <c r="CR52" i="11"/>
  <c r="MD52" i="11" s="1"/>
  <c r="ME52" i="11" s="1"/>
  <c r="CQ52" i="11"/>
  <c r="IZ52" i="11" s="1"/>
  <c r="JA52" i="11" s="1"/>
  <c r="CO52" i="11"/>
  <c r="GW52" i="11" s="1"/>
  <c r="CN52" i="11"/>
  <c r="CM52" i="11"/>
  <c r="CL52" i="11"/>
  <c r="CK52" i="11"/>
  <c r="CJ52" i="11"/>
  <c r="CI52" i="11"/>
  <c r="CH52" i="11"/>
  <c r="CG52" i="11"/>
  <c r="CF52" i="11"/>
  <c r="CE52" i="11"/>
  <c r="RR52" i="11" s="1"/>
  <c r="CD52" i="11"/>
  <c r="GY52" i="11" s="1"/>
  <c r="CC52" i="11"/>
  <c r="CB52" i="11"/>
  <c r="LY52" i="11" s="1"/>
  <c r="CA52" i="11"/>
  <c r="BZ52" i="11"/>
  <c r="BW52" i="11"/>
  <c r="BQ52" i="11"/>
  <c r="BR52" i="11" s="1"/>
  <c r="BU52" i="11" s="1"/>
  <c r="BI52" i="11"/>
  <c r="BJ52" i="11" s="1"/>
  <c r="AW52" i="11"/>
  <c r="AX52" i="11" s="1"/>
  <c r="AR52" i="11"/>
  <c r="AS52" i="11" s="1"/>
  <c r="AO52" i="11"/>
  <c r="CL52" i="13" s="1"/>
  <c r="AC52" i="11"/>
  <c r="Z52" i="11"/>
  <c r="M52" i="11"/>
  <c r="BN52" i="11" s="1"/>
  <c r="L52" i="11"/>
  <c r="K52" i="11"/>
  <c r="NF52" i="11" s="1"/>
  <c r="NG52" i="11" s="1"/>
  <c r="J52" i="11"/>
  <c r="JY52" i="11" s="1"/>
  <c r="HI52" i="13" s="1"/>
  <c r="I52" i="11"/>
  <c r="AJ52" i="11" s="1"/>
  <c r="H52" i="11"/>
  <c r="BA52" i="11" s="1"/>
  <c r="LE52" i="11" s="1"/>
  <c r="G52" i="11"/>
  <c r="AB52" i="11" s="1"/>
  <c r="F52" i="11"/>
  <c r="E52" i="11"/>
  <c r="AI52" i="11" s="1"/>
  <c r="D52" i="11"/>
  <c r="AH52" i="11" s="1"/>
  <c r="A52" i="11"/>
  <c r="B46" i="12" s="1"/>
  <c r="RW50" i="11"/>
  <c r="RK50" i="11"/>
  <c r="RH50" i="11"/>
  <c r="QX50" i="11"/>
  <c r="QW50" i="11"/>
  <c r="QV50" i="11"/>
  <c r="QU50" i="11"/>
  <c r="QT50" i="11"/>
  <c r="QS50" i="11"/>
  <c r="QR50" i="11"/>
  <c r="QB50" i="11"/>
  <c r="PY50" i="11"/>
  <c r="PV50" i="11"/>
  <c r="PT50" i="11"/>
  <c r="PQ50" i="11"/>
  <c r="PR50" i="11" s="1"/>
  <c r="PN50" i="11"/>
  <c r="PL50" i="11"/>
  <c r="PI50" i="11"/>
  <c r="PH50" i="11"/>
  <c r="PG50" i="11"/>
  <c r="PD50" i="11"/>
  <c r="PC50" i="11"/>
  <c r="PB50" i="11"/>
  <c r="OX50" i="11"/>
  <c r="OW50" i="11"/>
  <c r="OV50" i="11"/>
  <c r="OQ50" i="11"/>
  <c r="OP50" i="11"/>
  <c r="OO50" i="11"/>
  <c r="OL50" i="11"/>
  <c r="OJ50" i="11"/>
  <c r="NZ50" i="11"/>
  <c r="OA50" i="11" s="1"/>
  <c r="NU50" i="11"/>
  <c r="NT50" i="11"/>
  <c r="NP50" i="11"/>
  <c r="NQ50" i="11" s="1"/>
  <c r="NN50" i="11"/>
  <c r="NO50" i="11" s="1"/>
  <c r="NJ50" i="11"/>
  <c r="NK50" i="11" s="1"/>
  <c r="MR50" i="11"/>
  <c r="MS50" i="11" s="1"/>
  <c r="LU50" i="11"/>
  <c r="LV50" i="11" s="1"/>
  <c r="LL50" i="11"/>
  <c r="LK50" i="11"/>
  <c r="LF50" i="11"/>
  <c r="LE50" i="11"/>
  <c r="LD50" i="11"/>
  <c r="KZ50" i="11"/>
  <c r="LA50" i="11" s="1"/>
  <c r="KX50" i="11"/>
  <c r="KY50" i="11" s="1"/>
  <c r="KT50" i="11"/>
  <c r="KU50" i="11" s="1"/>
  <c r="KP50" i="11"/>
  <c r="KQ50" i="11" s="1"/>
  <c r="KK50" i="11"/>
  <c r="KJ50" i="11"/>
  <c r="KI50" i="11"/>
  <c r="KH50" i="11"/>
  <c r="KG50" i="11"/>
  <c r="KF50" i="11"/>
  <c r="KE50" i="11"/>
  <c r="JZ50" i="11"/>
  <c r="JY50" i="11"/>
  <c r="HI50" i="13" s="1"/>
  <c r="JO50" i="11"/>
  <c r="JP50" i="11" s="1"/>
  <c r="JD50" i="11"/>
  <c r="IW50" i="11"/>
  <c r="IV50" i="11"/>
  <c r="IO50" i="11"/>
  <c r="IP50" i="11" s="1"/>
  <c r="IE50" i="11"/>
  <c r="IB50" i="11"/>
  <c r="HZ50" i="11"/>
  <c r="HX50" i="11"/>
  <c r="HU50" i="11"/>
  <c r="HV50" i="11" s="1"/>
  <c r="HR50" i="11"/>
  <c r="HS50" i="11" s="1"/>
  <c r="IH50" i="11" s="1"/>
  <c r="HN50" i="11"/>
  <c r="HM50" i="11"/>
  <c r="HK50" i="11"/>
  <c r="HJ50" i="11"/>
  <c r="HF50" i="11"/>
  <c r="HC50" i="11"/>
  <c r="GZ50" i="11"/>
  <c r="GO50" i="11"/>
  <c r="GK50" i="11"/>
  <c r="GN50" i="11" s="1"/>
  <c r="FL50" i="11"/>
  <c r="FJ50" i="11"/>
  <c r="FB50" i="11"/>
  <c r="EZ50" i="11"/>
  <c r="EX50" i="11"/>
  <c r="EW50" i="11"/>
  <c r="EV50" i="11"/>
  <c r="EU50" i="11"/>
  <c r="EK50" i="11"/>
  <c r="DZ50" i="11"/>
  <c r="DM50" i="11"/>
  <c r="DG50" i="11"/>
  <c r="DE50" i="11"/>
  <c r="GD50" i="11" s="1"/>
  <c r="DC50" i="11"/>
  <c r="MI50" i="11" s="1"/>
  <c r="DB50" i="11"/>
  <c r="JF50" i="11" s="1"/>
  <c r="CZ50" i="11"/>
  <c r="MJ50" i="11" s="1"/>
  <c r="MK50" i="11" s="1"/>
  <c r="CY50" i="11"/>
  <c r="JG50" i="11" s="1"/>
  <c r="JH50" i="11" s="1"/>
  <c r="CW50" i="11"/>
  <c r="FW50" i="11" s="1"/>
  <c r="CU50" i="11"/>
  <c r="MC50" i="11" s="1"/>
  <c r="CT50" i="11"/>
  <c r="IY50" i="11" s="1"/>
  <c r="CR50" i="11"/>
  <c r="MD50" i="11" s="1"/>
  <c r="ME50" i="11" s="1"/>
  <c r="CQ50" i="11"/>
  <c r="IZ50" i="11" s="1"/>
  <c r="JA50" i="11" s="1"/>
  <c r="CO50" i="11"/>
  <c r="GW50" i="11" s="1"/>
  <c r="CN50" i="11"/>
  <c r="CM50" i="11"/>
  <c r="CL50" i="11"/>
  <c r="CK50" i="11"/>
  <c r="CJ50" i="11"/>
  <c r="CI50" i="11"/>
  <c r="CH50" i="11"/>
  <c r="CG50" i="11"/>
  <c r="CF50" i="11"/>
  <c r="CE50" i="11"/>
  <c r="RR50" i="11" s="1"/>
  <c r="CD50" i="11"/>
  <c r="GY50" i="11" s="1"/>
  <c r="CC50" i="11"/>
  <c r="CB50" i="11"/>
  <c r="LY50" i="11" s="1"/>
  <c r="CA50" i="11"/>
  <c r="BZ50" i="11"/>
  <c r="BW50" i="11"/>
  <c r="BQ50" i="11"/>
  <c r="BR50" i="11" s="1"/>
  <c r="BI50" i="11"/>
  <c r="BJ50" i="11" s="1"/>
  <c r="AW50" i="11"/>
  <c r="AX50" i="11" s="1"/>
  <c r="AR50" i="11"/>
  <c r="AS50" i="11" s="1"/>
  <c r="AO50" i="11"/>
  <c r="AP50" i="11" s="1"/>
  <c r="AC50" i="11"/>
  <c r="Z50" i="11"/>
  <c r="L44" i="12" s="1"/>
  <c r="M44" i="12" s="1"/>
  <c r="M50" i="11"/>
  <c r="BN50" i="11" s="1"/>
  <c r="L50" i="11"/>
  <c r="K50" i="11"/>
  <c r="NB50" i="11" s="1"/>
  <c r="NC50" i="11" s="1"/>
  <c r="J50" i="11"/>
  <c r="I50" i="11"/>
  <c r="AJ50" i="11" s="1"/>
  <c r="H50" i="11"/>
  <c r="BA50" i="11" s="1"/>
  <c r="G50" i="11"/>
  <c r="AB50" i="11" s="1"/>
  <c r="F50" i="11"/>
  <c r="E50" i="11"/>
  <c r="AI50" i="11" s="1"/>
  <c r="D50" i="11"/>
  <c r="AH50" i="11" s="1"/>
  <c r="A50" i="11"/>
  <c r="B44" i="12" s="1"/>
  <c r="RW48" i="11"/>
  <c r="RK48" i="11"/>
  <c r="RH48" i="11"/>
  <c r="QX48" i="11"/>
  <c r="QW48" i="11"/>
  <c r="QV48" i="11"/>
  <c r="QU48" i="11"/>
  <c r="QT48" i="11"/>
  <c r="QS48" i="11"/>
  <c r="QR48" i="11"/>
  <c r="QB48" i="11"/>
  <c r="PY48" i="11"/>
  <c r="PV48" i="11"/>
  <c r="PT48" i="11"/>
  <c r="PQ48" i="11"/>
  <c r="PR48" i="11" s="1"/>
  <c r="PN48" i="11"/>
  <c r="PL48" i="11"/>
  <c r="PI48" i="11"/>
  <c r="PH48" i="11"/>
  <c r="PG48" i="11"/>
  <c r="PD48" i="11"/>
  <c r="PC48" i="11"/>
  <c r="PB48" i="11"/>
  <c r="OX48" i="11"/>
  <c r="OW48" i="11"/>
  <c r="OV48" i="11"/>
  <c r="OQ48" i="11"/>
  <c r="OP48" i="11"/>
  <c r="OO48" i="11"/>
  <c r="OL48" i="11"/>
  <c r="OJ48" i="11"/>
  <c r="NZ48" i="11"/>
  <c r="OA48" i="11" s="1"/>
  <c r="NU48" i="11"/>
  <c r="NT48" i="11"/>
  <c r="NP48" i="11"/>
  <c r="NQ48" i="11" s="1"/>
  <c r="NN48" i="11"/>
  <c r="NO48" i="11" s="1"/>
  <c r="NJ48" i="11"/>
  <c r="NK48" i="11" s="1"/>
  <c r="MR48" i="11"/>
  <c r="MS48" i="11" s="1"/>
  <c r="LU48" i="11"/>
  <c r="LV48" i="11" s="1"/>
  <c r="LL48" i="11"/>
  <c r="LK48" i="11"/>
  <c r="KZ48" i="11"/>
  <c r="LA48" i="11" s="1"/>
  <c r="KX48" i="11"/>
  <c r="KY48" i="11" s="1"/>
  <c r="KT48" i="11"/>
  <c r="KU48" i="11" s="1"/>
  <c r="KP48" i="11"/>
  <c r="KQ48" i="11" s="1"/>
  <c r="KK48" i="11"/>
  <c r="KJ48" i="11"/>
  <c r="KI48" i="11"/>
  <c r="KH48" i="11"/>
  <c r="KF48" i="11"/>
  <c r="KE48" i="11"/>
  <c r="JZ48" i="11"/>
  <c r="JY48" i="11"/>
  <c r="HI48" i="13" s="1"/>
  <c r="JO48" i="11"/>
  <c r="JP48" i="11" s="1"/>
  <c r="JD48" i="11"/>
  <c r="IW48" i="11"/>
  <c r="IV48" i="11"/>
  <c r="IO48" i="11"/>
  <c r="IP48" i="11" s="1"/>
  <c r="IE48" i="11"/>
  <c r="IB48" i="11"/>
  <c r="HZ48" i="11"/>
  <c r="HX48" i="11"/>
  <c r="HU48" i="11"/>
  <c r="HV48" i="11" s="1"/>
  <c r="HR48" i="11"/>
  <c r="HS48" i="11" s="1"/>
  <c r="IH48" i="11" s="1"/>
  <c r="HN48" i="11"/>
  <c r="HM48" i="11"/>
  <c r="HK48" i="11"/>
  <c r="HJ48" i="11"/>
  <c r="HF48" i="11"/>
  <c r="HC48" i="11"/>
  <c r="HD48" i="11" s="1"/>
  <c r="GZ48" i="11"/>
  <c r="GP48" i="11"/>
  <c r="GO48" i="11"/>
  <c r="GN48" i="11"/>
  <c r="GK48" i="11"/>
  <c r="FL48" i="11"/>
  <c r="FJ48" i="11"/>
  <c r="FB48" i="11"/>
  <c r="EX48" i="11"/>
  <c r="EW48" i="11"/>
  <c r="EV48" i="11"/>
  <c r="EU48" i="11"/>
  <c r="EK48" i="11"/>
  <c r="DZ48" i="11"/>
  <c r="DM48" i="11"/>
  <c r="DG48" i="11"/>
  <c r="DE48" i="11"/>
  <c r="GD48" i="11" s="1"/>
  <c r="DC48" i="11"/>
  <c r="MI48" i="11" s="1"/>
  <c r="DB48" i="11"/>
  <c r="JF48" i="11" s="1"/>
  <c r="CZ48" i="11"/>
  <c r="MJ48" i="11" s="1"/>
  <c r="MK48" i="11" s="1"/>
  <c r="CY48" i="11"/>
  <c r="JG48" i="11" s="1"/>
  <c r="JH48" i="11" s="1"/>
  <c r="CW48" i="11"/>
  <c r="FW48" i="11" s="1"/>
  <c r="CU48" i="11"/>
  <c r="MC48" i="11" s="1"/>
  <c r="CT48" i="11"/>
  <c r="IY48" i="11" s="1"/>
  <c r="CR48" i="11"/>
  <c r="MD48" i="11" s="1"/>
  <c r="ME48" i="11" s="1"/>
  <c r="CQ48" i="11"/>
  <c r="IZ48" i="11" s="1"/>
  <c r="JA48" i="11" s="1"/>
  <c r="CO48" i="11"/>
  <c r="GW48" i="11" s="1"/>
  <c r="CN48" i="11"/>
  <c r="CM48" i="11"/>
  <c r="CL48" i="11"/>
  <c r="CK48" i="11"/>
  <c r="CJ48" i="11"/>
  <c r="CI48" i="11"/>
  <c r="CH48" i="11"/>
  <c r="CG48" i="11"/>
  <c r="CF48" i="11"/>
  <c r="CE48" i="11"/>
  <c r="RR48" i="11" s="1"/>
  <c r="CD48" i="11"/>
  <c r="GY48" i="11" s="1"/>
  <c r="CC48" i="11"/>
  <c r="GT48" i="11" s="1"/>
  <c r="CB48" i="11"/>
  <c r="LY48" i="11" s="1"/>
  <c r="CA48" i="11"/>
  <c r="BZ48" i="11"/>
  <c r="BW48" i="11"/>
  <c r="BQ48" i="11"/>
  <c r="BR48" i="11" s="1"/>
  <c r="BU48" i="11" s="1"/>
  <c r="BI48" i="11"/>
  <c r="BJ48" i="11" s="1"/>
  <c r="AW48" i="11"/>
  <c r="AX48" i="11" s="1"/>
  <c r="AR48" i="11"/>
  <c r="AS48" i="11" s="1"/>
  <c r="AO48" i="11"/>
  <c r="CL48" i="13" s="1"/>
  <c r="AC48" i="11"/>
  <c r="Z48" i="11"/>
  <c r="M48" i="11"/>
  <c r="BN48" i="11" s="1"/>
  <c r="L48" i="11"/>
  <c r="K48" i="11"/>
  <c r="NF48" i="11" s="1"/>
  <c r="NG48" i="11" s="1"/>
  <c r="J48" i="11"/>
  <c r="I48" i="11"/>
  <c r="AJ48" i="11" s="1"/>
  <c r="H48" i="11"/>
  <c r="BA48" i="11" s="1"/>
  <c r="LE48" i="11" s="1"/>
  <c r="G48" i="11"/>
  <c r="AB48" i="11" s="1"/>
  <c r="F48" i="11"/>
  <c r="E48" i="11"/>
  <c r="AI48" i="11" s="1"/>
  <c r="D48" i="11"/>
  <c r="AH48" i="11" s="1"/>
  <c r="A48" i="11"/>
  <c r="B42" i="12" s="1"/>
  <c r="RW46" i="11"/>
  <c r="RK46" i="11"/>
  <c r="RH46" i="11"/>
  <c r="QX46" i="11"/>
  <c r="QW46" i="11"/>
  <c r="QV46" i="11"/>
  <c r="QT46" i="11"/>
  <c r="QS46" i="11"/>
  <c r="QR46" i="11"/>
  <c r="QB46" i="11"/>
  <c r="PY46" i="11"/>
  <c r="PV46" i="11"/>
  <c r="PT46" i="11"/>
  <c r="PQ46" i="11"/>
  <c r="PN46" i="11"/>
  <c r="PL46" i="11"/>
  <c r="PI46" i="11"/>
  <c r="PH46" i="11"/>
  <c r="PG46" i="11"/>
  <c r="PD46" i="11"/>
  <c r="PC46" i="11"/>
  <c r="PB46" i="11"/>
  <c r="OX46" i="11"/>
  <c r="OW46" i="11"/>
  <c r="OV46" i="11"/>
  <c r="OQ46" i="11"/>
  <c r="OP46" i="11"/>
  <c r="OO46" i="11"/>
  <c r="OL46" i="11"/>
  <c r="OJ46" i="11"/>
  <c r="NZ46" i="11"/>
  <c r="OA46" i="11" s="1"/>
  <c r="NU46" i="11"/>
  <c r="NT46" i="11"/>
  <c r="NP46" i="11"/>
  <c r="NQ46" i="11" s="1"/>
  <c r="NN46" i="11"/>
  <c r="NO46" i="11" s="1"/>
  <c r="NJ46" i="11"/>
  <c r="NK46" i="11" s="1"/>
  <c r="MR46" i="11"/>
  <c r="MS46" i="11" s="1"/>
  <c r="LU46" i="11"/>
  <c r="LV46" i="11" s="1"/>
  <c r="KZ46" i="11"/>
  <c r="LA46" i="11" s="1"/>
  <c r="KX46" i="11"/>
  <c r="KY46" i="11" s="1"/>
  <c r="KT46" i="11"/>
  <c r="KU46" i="11" s="1"/>
  <c r="KK46" i="11"/>
  <c r="KJ46" i="11"/>
  <c r="KI46" i="11"/>
  <c r="KH46" i="11"/>
  <c r="KG46" i="11"/>
  <c r="KF46" i="11"/>
  <c r="KE46" i="11"/>
  <c r="JZ46" i="11"/>
  <c r="JO46" i="11"/>
  <c r="JP46" i="11" s="1"/>
  <c r="JD46" i="11"/>
  <c r="IW46" i="11"/>
  <c r="IV46" i="11"/>
  <c r="IO46" i="11"/>
  <c r="IP46" i="11" s="1"/>
  <c r="IE46" i="11"/>
  <c r="IB46" i="11"/>
  <c r="HZ46" i="11"/>
  <c r="HX46" i="11"/>
  <c r="HU46" i="11"/>
  <c r="HV46" i="11" s="1"/>
  <c r="HR46" i="11"/>
  <c r="HS46" i="11" s="1"/>
  <c r="IH46" i="11" s="1"/>
  <c r="HN46" i="11"/>
  <c r="HM46" i="11"/>
  <c r="HK46" i="11"/>
  <c r="HJ46" i="11"/>
  <c r="HF46" i="11"/>
  <c r="HG46" i="11" s="1"/>
  <c r="HC46" i="11"/>
  <c r="GZ46" i="11"/>
  <c r="GP46" i="11"/>
  <c r="GO46" i="11"/>
  <c r="GN46" i="11"/>
  <c r="GK46" i="11"/>
  <c r="FL46" i="11"/>
  <c r="FJ46" i="11"/>
  <c r="FB46" i="11"/>
  <c r="EZ46" i="11"/>
  <c r="EX46" i="11"/>
  <c r="EW46" i="11"/>
  <c r="EV46" i="11"/>
  <c r="EU46" i="11"/>
  <c r="EK46" i="11"/>
  <c r="DZ46" i="11"/>
  <c r="DM46" i="11"/>
  <c r="DG46" i="11"/>
  <c r="DE46" i="11"/>
  <c r="GD46" i="11" s="1"/>
  <c r="DC46" i="11"/>
  <c r="MI46" i="11" s="1"/>
  <c r="DB46" i="11"/>
  <c r="JF46" i="11" s="1"/>
  <c r="CZ46" i="11"/>
  <c r="MJ46" i="11" s="1"/>
  <c r="MK46" i="11" s="1"/>
  <c r="CY46" i="11"/>
  <c r="JG46" i="11" s="1"/>
  <c r="JH46" i="11" s="1"/>
  <c r="CW46" i="11"/>
  <c r="FW46" i="11" s="1"/>
  <c r="CU46" i="11"/>
  <c r="MC46" i="11" s="1"/>
  <c r="CT46" i="11"/>
  <c r="IY46" i="11" s="1"/>
  <c r="CR46" i="11"/>
  <c r="MD46" i="11" s="1"/>
  <c r="ME46" i="11" s="1"/>
  <c r="CQ46" i="11"/>
  <c r="IZ46" i="11" s="1"/>
  <c r="JA46" i="11" s="1"/>
  <c r="CO46" i="11"/>
  <c r="GW46" i="11" s="1"/>
  <c r="CN46" i="11"/>
  <c r="CM46" i="11"/>
  <c r="CL46" i="11"/>
  <c r="CK46" i="11"/>
  <c r="CJ46" i="11"/>
  <c r="CI46" i="11"/>
  <c r="CH46" i="11"/>
  <c r="CG46" i="11"/>
  <c r="CF46" i="11"/>
  <c r="CE46" i="11"/>
  <c r="RR46" i="11" s="1"/>
  <c r="CD46" i="11"/>
  <c r="GY46" i="11" s="1"/>
  <c r="CC46" i="11"/>
  <c r="GT46" i="11" s="1"/>
  <c r="CB46" i="11"/>
  <c r="LY46" i="11" s="1"/>
  <c r="CA46" i="11"/>
  <c r="BZ46" i="11"/>
  <c r="BW46" i="11"/>
  <c r="BQ46" i="11"/>
  <c r="BR46" i="11" s="1"/>
  <c r="BI46" i="11"/>
  <c r="BJ46" i="11" s="1"/>
  <c r="AW46" i="11"/>
  <c r="AX46" i="11" s="1"/>
  <c r="AR46" i="11"/>
  <c r="AS46" i="11" s="1"/>
  <c r="AO46" i="11"/>
  <c r="AP46" i="11" s="1"/>
  <c r="AC46" i="11"/>
  <c r="Z46" i="11"/>
  <c r="L40" i="12" s="1"/>
  <c r="M40" i="12" s="1"/>
  <c r="M46" i="11"/>
  <c r="BN46" i="11" s="1"/>
  <c r="L46" i="11"/>
  <c r="K46" i="11"/>
  <c r="NB46" i="11" s="1"/>
  <c r="NC46" i="11" s="1"/>
  <c r="J46" i="11"/>
  <c r="JY46" i="11" s="1"/>
  <c r="HI46" i="13" s="1"/>
  <c r="I46" i="11"/>
  <c r="AJ46" i="11" s="1"/>
  <c r="H46" i="11"/>
  <c r="BA46" i="11" s="1"/>
  <c r="LE46" i="11" s="1"/>
  <c r="G46" i="11"/>
  <c r="AB46" i="11" s="1"/>
  <c r="F46" i="11"/>
  <c r="E46" i="11"/>
  <c r="AI46" i="11" s="1"/>
  <c r="D46" i="11"/>
  <c r="AH46" i="11" s="1"/>
  <c r="A46" i="11"/>
  <c r="B40" i="12" s="1"/>
  <c r="RW44" i="11"/>
  <c r="RK44" i="11"/>
  <c r="RH44" i="11"/>
  <c r="QX44" i="11"/>
  <c r="QW44" i="11"/>
  <c r="QV44" i="11"/>
  <c r="QU44" i="11"/>
  <c r="QT44" i="11"/>
  <c r="QS44" i="11"/>
  <c r="QR44" i="11"/>
  <c r="QB44" i="11"/>
  <c r="PY44" i="11"/>
  <c r="PV44" i="11"/>
  <c r="PT44" i="11"/>
  <c r="PQ44" i="11"/>
  <c r="PN44" i="11"/>
  <c r="PL44" i="11"/>
  <c r="PI44" i="11"/>
  <c r="PH44" i="11"/>
  <c r="PG44" i="11"/>
  <c r="PD44" i="11"/>
  <c r="PC44" i="11"/>
  <c r="PB44" i="11"/>
  <c r="OX44" i="11"/>
  <c r="OW44" i="11"/>
  <c r="OV44" i="11"/>
  <c r="OQ44" i="11"/>
  <c r="OP44" i="11"/>
  <c r="OO44" i="11"/>
  <c r="OL44" i="11"/>
  <c r="OJ44" i="11"/>
  <c r="NZ44" i="11"/>
  <c r="OA44" i="11" s="1"/>
  <c r="NU44" i="11"/>
  <c r="NT44" i="11"/>
  <c r="NP44" i="11"/>
  <c r="NQ44" i="11" s="1"/>
  <c r="NN44" i="11"/>
  <c r="NO44" i="11" s="1"/>
  <c r="NJ44" i="11"/>
  <c r="NK44" i="11" s="1"/>
  <c r="MR44" i="11"/>
  <c r="MS44" i="11" s="1"/>
  <c r="LU44" i="11"/>
  <c r="LV44" i="11" s="1"/>
  <c r="LL44" i="11"/>
  <c r="LK44" i="11"/>
  <c r="LF44" i="11"/>
  <c r="LE44" i="11"/>
  <c r="LD44" i="11"/>
  <c r="KZ44" i="11"/>
  <c r="LA44" i="11" s="1"/>
  <c r="KX44" i="11"/>
  <c r="KY44" i="11" s="1"/>
  <c r="KT44" i="11"/>
  <c r="KU44" i="11" s="1"/>
  <c r="KK44" i="11"/>
  <c r="KJ44" i="11"/>
  <c r="KI44" i="11"/>
  <c r="KH44" i="11"/>
  <c r="KG44" i="11"/>
  <c r="KF44" i="11"/>
  <c r="KE44" i="11"/>
  <c r="JZ44" i="11"/>
  <c r="JY44" i="11"/>
  <c r="HI44" i="13" s="1"/>
  <c r="JO44" i="11"/>
  <c r="JP44" i="11" s="1"/>
  <c r="JD44" i="11"/>
  <c r="IW44" i="11"/>
  <c r="IV44" i="11"/>
  <c r="IO44" i="11"/>
  <c r="IP44" i="11" s="1"/>
  <c r="IE44" i="11"/>
  <c r="IB44" i="11"/>
  <c r="HZ44" i="11"/>
  <c r="HX44" i="11"/>
  <c r="HU44" i="11"/>
  <c r="HV44" i="11" s="1"/>
  <c r="HR44" i="11"/>
  <c r="HS44" i="11" s="1"/>
  <c r="IH44" i="11" s="1"/>
  <c r="HN44" i="11"/>
  <c r="HM44" i="11"/>
  <c r="HK44" i="11"/>
  <c r="HJ44" i="11"/>
  <c r="HF44" i="11"/>
  <c r="HC44" i="11"/>
  <c r="HD44" i="11" s="1"/>
  <c r="GZ44" i="11"/>
  <c r="GO44" i="11"/>
  <c r="GN44" i="11"/>
  <c r="GK44" i="11"/>
  <c r="FL44" i="11"/>
  <c r="FJ44" i="11"/>
  <c r="FB44" i="11"/>
  <c r="EZ44" i="11"/>
  <c r="EX44" i="11"/>
  <c r="EW44" i="11"/>
  <c r="EV44" i="11"/>
  <c r="EU44" i="11"/>
  <c r="EK44" i="11"/>
  <c r="DZ44" i="11"/>
  <c r="DM44" i="11"/>
  <c r="DG44" i="11"/>
  <c r="DE44" i="11"/>
  <c r="GD44" i="11" s="1"/>
  <c r="DC44" i="11"/>
  <c r="MI44" i="11" s="1"/>
  <c r="DB44" i="11"/>
  <c r="JF44" i="11" s="1"/>
  <c r="CZ44" i="11"/>
  <c r="MJ44" i="11" s="1"/>
  <c r="MK44" i="11" s="1"/>
  <c r="CY44" i="11"/>
  <c r="JG44" i="11" s="1"/>
  <c r="JH44" i="11" s="1"/>
  <c r="CW44" i="11"/>
  <c r="FW44" i="11" s="1"/>
  <c r="CU44" i="11"/>
  <c r="MC44" i="11" s="1"/>
  <c r="CT44" i="11"/>
  <c r="IY44" i="11" s="1"/>
  <c r="CR44" i="11"/>
  <c r="MD44" i="11" s="1"/>
  <c r="ME44" i="11" s="1"/>
  <c r="CQ44" i="11"/>
  <c r="IZ44" i="11" s="1"/>
  <c r="JA44" i="11" s="1"/>
  <c r="CO44" i="11"/>
  <c r="GW44" i="11" s="1"/>
  <c r="CN44" i="11"/>
  <c r="CM44" i="11"/>
  <c r="CL44" i="11"/>
  <c r="CK44" i="11"/>
  <c r="CJ44" i="11"/>
  <c r="CI44" i="11"/>
  <c r="CH44" i="11"/>
  <c r="CG44" i="11"/>
  <c r="CF44" i="11"/>
  <c r="CE44" i="11"/>
  <c r="RR44" i="11" s="1"/>
  <c r="CD44" i="11"/>
  <c r="GY44" i="11" s="1"/>
  <c r="CC44" i="11"/>
  <c r="CB44" i="11"/>
  <c r="LY44" i="11" s="1"/>
  <c r="CA44" i="11"/>
  <c r="BZ44" i="11"/>
  <c r="BW44" i="11"/>
  <c r="BQ44" i="11"/>
  <c r="BR44" i="11" s="1"/>
  <c r="BU44" i="11" s="1"/>
  <c r="BI44" i="11"/>
  <c r="BJ44" i="11" s="1"/>
  <c r="AW44" i="11"/>
  <c r="AX44" i="11" s="1"/>
  <c r="AR44" i="11"/>
  <c r="AS44" i="11" s="1"/>
  <c r="AO44" i="11"/>
  <c r="AC44" i="11"/>
  <c r="Z44" i="11"/>
  <c r="M44" i="11"/>
  <c r="BN44" i="11" s="1"/>
  <c r="L44" i="11"/>
  <c r="K44" i="11"/>
  <c r="NF44" i="11" s="1"/>
  <c r="NG44" i="11" s="1"/>
  <c r="J44" i="11"/>
  <c r="I44" i="11"/>
  <c r="AJ44" i="11" s="1"/>
  <c r="H44" i="11"/>
  <c r="BA44" i="11" s="1"/>
  <c r="G44" i="11"/>
  <c r="AB44" i="11" s="1"/>
  <c r="F44" i="11"/>
  <c r="E44" i="11"/>
  <c r="AI44" i="11" s="1"/>
  <c r="D44" i="11"/>
  <c r="AH44" i="11" s="1"/>
  <c r="A44" i="11"/>
  <c r="B38" i="12" s="1"/>
  <c r="RW42" i="11"/>
  <c r="RK42" i="11"/>
  <c r="RH42" i="11"/>
  <c r="QX42" i="11"/>
  <c r="QW42" i="11"/>
  <c r="QV42" i="11"/>
  <c r="QU42" i="11"/>
  <c r="QT42" i="11"/>
  <c r="QS42" i="11"/>
  <c r="QR42" i="11"/>
  <c r="QB42" i="11"/>
  <c r="PY42" i="11"/>
  <c r="PV42" i="11"/>
  <c r="PT42" i="11"/>
  <c r="PQ42" i="11"/>
  <c r="PR42" i="11" s="1"/>
  <c r="PN42" i="11"/>
  <c r="PL42" i="11"/>
  <c r="PI42" i="11"/>
  <c r="PH42" i="11"/>
  <c r="PG42" i="11"/>
  <c r="PD42" i="11"/>
  <c r="PC42" i="11"/>
  <c r="PB42" i="11"/>
  <c r="OX42" i="11"/>
  <c r="OW42" i="11"/>
  <c r="OV42" i="11"/>
  <c r="OQ42" i="11"/>
  <c r="OP42" i="11"/>
  <c r="OO42" i="11"/>
  <c r="OL42" i="11"/>
  <c r="OJ42" i="11"/>
  <c r="NZ42" i="11"/>
  <c r="OA42" i="11" s="1"/>
  <c r="NU42" i="11"/>
  <c r="NT42" i="11"/>
  <c r="NP42" i="11"/>
  <c r="NQ42" i="11" s="1"/>
  <c r="NN42" i="11"/>
  <c r="NO42" i="11" s="1"/>
  <c r="NJ42" i="11"/>
  <c r="NK42" i="11" s="1"/>
  <c r="MR42" i="11"/>
  <c r="MS42" i="11" s="1"/>
  <c r="LU42" i="11"/>
  <c r="LV42" i="11" s="1"/>
  <c r="LL42" i="11"/>
  <c r="LK42" i="11"/>
  <c r="LF42" i="11"/>
  <c r="LE42" i="11"/>
  <c r="LD42" i="11"/>
  <c r="KZ42" i="11"/>
  <c r="LA42" i="11" s="1"/>
  <c r="KX42" i="11"/>
  <c r="KY42" i="11" s="1"/>
  <c r="KT42" i="11"/>
  <c r="KU42" i="11" s="1"/>
  <c r="KK42" i="11"/>
  <c r="KJ42" i="11"/>
  <c r="KI42" i="11"/>
  <c r="KH42" i="11"/>
  <c r="KG42" i="11"/>
  <c r="KF42" i="11"/>
  <c r="KE42" i="11"/>
  <c r="JZ42" i="11"/>
  <c r="JY42" i="11"/>
  <c r="HI42" i="13" s="1"/>
  <c r="JO42" i="11"/>
  <c r="JP42" i="11" s="1"/>
  <c r="JD42" i="11"/>
  <c r="IW42" i="11"/>
  <c r="IV42" i="11"/>
  <c r="IO42" i="11"/>
  <c r="IP42" i="11" s="1"/>
  <c r="IE42" i="11"/>
  <c r="IB42" i="11"/>
  <c r="HZ42" i="11"/>
  <c r="HX42" i="11"/>
  <c r="HU42" i="11"/>
  <c r="HV42" i="11" s="1"/>
  <c r="HR42" i="11"/>
  <c r="HS42" i="11" s="1"/>
  <c r="IH42" i="11" s="1"/>
  <c r="HN42" i="11"/>
  <c r="HM42" i="11"/>
  <c r="HK42" i="11"/>
  <c r="HJ42" i="11"/>
  <c r="HF42" i="11"/>
  <c r="HG42" i="11" s="1"/>
  <c r="HC42" i="11"/>
  <c r="GZ42" i="11"/>
  <c r="GK42" i="11"/>
  <c r="GO42" i="11" s="1"/>
  <c r="FL42" i="11"/>
  <c r="FJ42" i="11"/>
  <c r="FB42" i="11"/>
  <c r="EZ42" i="11"/>
  <c r="EX42" i="11"/>
  <c r="EW42" i="11"/>
  <c r="EV42" i="11"/>
  <c r="EU42" i="11"/>
  <c r="EK42" i="11"/>
  <c r="DZ42" i="11"/>
  <c r="DM42" i="11"/>
  <c r="DG42" i="11"/>
  <c r="DE42" i="11"/>
  <c r="GD42" i="11" s="1"/>
  <c r="DC42" i="11"/>
  <c r="MI42" i="11" s="1"/>
  <c r="DB42" i="11"/>
  <c r="JF42" i="11" s="1"/>
  <c r="CZ42" i="11"/>
  <c r="MJ42" i="11" s="1"/>
  <c r="MK42" i="11" s="1"/>
  <c r="CY42" i="11"/>
  <c r="JG42" i="11" s="1"/>
  <c r="JH42" i="11" s="1"/>
  <c r="CW42" i="11"/>
  <c r="FW42" i="11" s="1"/>
  <c r="CU42" i="11"/>
  <c r="MC42" i="11" s="1"/>
  <c r="CT42" i="11"/>
  <c r="IY42" i="11" s="1"/>
  <c r="CR42" i="11"/>
  <c r="MD42" i="11" s="1"/>
  <c r="ME42" i="11" s="1"/>
  <c r="CQ42" i="11"/>
  <c r="IZ42" i="11" s="1"/>
  <c r="JA42" i="11" s="1"/>
  <c r="CO42" i="11"/>
  <c r="GW42" i="11" s="1"/>
  <c r="CN42" i="11"/>
  <c r="CM42" i="11"/>
  <c r="CL42" i="11"/>
  <c r="CK42" i="11"/>
  <c r="CJ42" i="11"/>
  <c r="CI42" i="11"/>
  <c r="CH42" i="11"/>
  <c r="CG42" i="11"/>
  <c r="CF42" i="11"/>
  <c r="CE42" i="11"/>
  <c r="RR42" i="11" s="1"/>
  <c r="CD42" i="11"/>
  <c r="GY42" i="11" s="1"/>
  <c r="CC42" i="11"/>
  <c r="GT42" i="11" s="1"/>
  <c r="CB42" i="11"/>
  <c r="LY42" i="11" s="1"/>
  <c r="CA42" i="11"/>
  <c r="BZ42" i="11"/>
  <c r="BW42" i="11"/>
  <c r="BQ42" i="11"/>
  <c r="BR42" i="11" s="1"/>
  <c r="BI42" i="11"/>
  <c r="BJ42" i="11" s="1"/>
  <c r="AW42" i="11"/>
  <c r="AX42" i="11" s="1"/>
  <c r="AR42" i="11"/>
  <c r="AS42" i="11" s="1"/>
  <c r="AO42" i="11"/>
  <c r="AP42" i="11" s="1"/>
  <c r="AC42" i="11"/>
  <c r="Z42" i="11"/>
  <c r="L36" i="12" s="1"/>
  <c r="M36" i="12" s="1"/>
  <c r="M42" i="11"/>
  <c r="BN42" i="11" s="1"/>
  <c r="L42" i="11"/>
  <c r="K42" i="11"/>
  <c r="NB42" i="11" s="1"/>
  <c r="NC42" i="11" s="1"/>
  <c r="J42" i="11"/>
  <c r="I42" i="11"/>
  <c r="AJ42" i="11" s="1"/>
  <c r="H42" i="11"/>
  <c r="BA42" i="11" s="1"/>
  <c r="G42" i="11"/>
  <c r="AB42" i="11" s="1"/>
  <c r="F42" i="11"/>
  <c r="E42" i="11"/>
  <c r="AI42" i="11" s="1"/>
  <c r="D42" i="11"/>
  <c r="AH42" i="11" s="1"/>
  <c r="A42" i="11"/>
  <c r="B36" i="12" s="1"/>
  <c r="RW40" i="11"/>
  <c r="RK40" i="11"/>
  <c r="RH40" i="11"/>
  <c r="QX40" i="11"/>
  <c r="QW40" i="11"/>
  <c r="QV40" i="11"/>
  <c r="QU40" i="11"/>
  <c r="QT40" i="11"/>
  <c r="QS40" i="11"/>
  <c r="QR40" i="11"/>
  <c r="QB40" i="11"/>
  <c r="PY40" i="11"/>
  <c r="PV40" i="11"/>
  <c r="PT40" i="11"/>
  <c r="PQ40" i="11"/>
  <c r="PN40" i="11"/>
  <c r="PL40" i="11"/>
  <c r="PI40" i="11"/>
  <c r="PH40" i="11"/>
  <c r="PG40" i="11"/>
  <c r="PD40" i="11"/>
  <c r="PC40" i="11"/>
  <c r="PB40" i="11"/>
  <c r="OX40" i="11"/>
  <c r="OW40" i="11"/>
  <c r="OV40" i="11"/>
  <c r="OQ40" i="11"/>
  <c r="OP40" i="11"/>
  <c r="OO40" i="11"/>
  <c r="OL40" i="11"/>
  <c r="OJ40" i="11"/>
  <c r="NZ40" i="11"/>
  <c r="OA40" i="11" s="1"/>
  <c r="NU40" i="11"/>
  <c r="NT40" i="11"/>
  <c r="NP40" i="11"/>
  <c r="NQ40" i="11" s="1"/>
  <c r="NN40" i="11"/>
  <c r="NO40" i="11" s="1"/>
  <c r="NJ40" i="11"/>
  <c r="NK40" i="11" s="1"/>
  <c r="MR40" i="11"/>
  <c r="MS40" i="11" s="1"/>
  <c r="LU40" i="11"/>
  <c r="LV40" i="11" s="1"/>
  <c r="LL40" i="11"/>
  <c r="LK40" i="11"/>
  <c r="LF40" i="11"/>
  <c r="LE40" i="11"/>
  <c r="LD40" i="11"/>
  <c r="KZ40" i="11"/>
  <c r="LA40" i="11" s="1"/>
  <c r="KX40" i="11"/>
  <c r="KY40" i="11" s="1"/>
  <c r="KT40" i="11"/>
  <c r="KU40" i="11" s="1"/>
  <c r="KK40" i="11"/>
  <c r="KJ40" i="11"/>
  <c r="KI40" i="11"/>
  <c r="KH40" i="11"/>
  <c r="KG40" i="11"/>
  <c r="KF40" i="11"/>
  <c r="KE40" i="11"/>
  <c r="JZ40" i="11"/>
  <c r="JY40" i="11"/>
  <c r="HI40" i="13" s="1"/>
  <c r="JO40" i="11"/>
  <c r="JP40" i="11" s="1"/>
  <c r="JD40" i="11"/>
  <c r="IW40" i="11"/>
  <c r="IV40" i="11"/>
  <c r="IO40" i="11"/>
  <c r="IP40" i="11" s="1"/>
  <c r="IE40" i="11"/>
  <c r="IB40" i="11"/>
  <c r="HZ40" i="11"/>
  <c r="HX40" i="11"/>
  <c r="HU40" i="11"/>
  <c r="HV40" i="11" s="1"/>
  <c r="HR40" i="11"/>
  <c r="HS40" i="11" s="1"/>
  <c r="IH40" i="11" s="1"/>
  <c r="HN40" i="11"/>
  <c r="HM40" i="11"/>
  <c r="HK40" i="11"/>
  <c r="HJ40" i="11"/>
  <c r="HF40" i="11"/>
  <c r="HC40" i="11"/>
  <c r="HD40" i="11" s="1"/>
  <c r="GZ40" i="11"/>
  <c r="GO40" i="11"/>
  <c r="GK40" i="11"/>
  <c r="GN40" i="11" s="1"/>
  <c r="FL40" i="11"/>
  <c r="FJ40" i="11"/>
  <c r="FB40" i="11"/>
  <c r="EZ40" i="11"/>
  <c r="EX40" i="11"/>
  <c r="EW40" i="11"/>
  <c r="EV40" i="11"/>
  <c r="EU40" i="11"/>
  <c r="EK40" i="11"/>
  <c r="DZ40" i="11"/>
  <c r="DM40" i="11"/>
  <c r="DG40" i="11"/>
  <c r="DE40" i="11"/>
  <c r="GD40" i="11" s="1"/>
  <c r="DC40" i="11"/>
  <c r="MI40" i="11" s="1"/>
  <c r="DB40" i="11"/>
  <c r="JF40" i="11" s="1"/>
  <c r="CZ40" i="11"/>
  <c r="MJ40" i="11" s="1"/>
  <c r="MK40" i="11" s="1"/>
  <c r="CY40" i="11"/>
  <c r="JG40" i="11" s="1"/>
  <c r="JH40" i="11" s="1"/>
  <c r="CW40" i="11"/>
  <c r="FW40" i="11" s="1"/>
  <c r="CU40" i="11"/>
  <c r="MC40" i="11" s="1"/>
  <c r="CT40" i="11"/>
  <c r="IY40" i="11" s="1"/>
  <c r="CR40" i="11"/>
  <c r="MD40" i="11" s="1"/>
  <c r="ME40" i="11" s="1"/>
  <c r="CQ40" i="11"/>
  <c r="IZ40" i="11" s="1"/>
  <c r="JA40" i="11" s="1"/>
  <c r="CO40" i="11"/>
  <c r="GW40" i="11" s="1"/>
  <c r="CN40" i="11"/>
  <c r="CM40" i="11"/>
  <c r="CL40" i="11"/>
  <c r="CK40" i="11"/>
  <c r="CJ40" i="11"/>
  <c r="CI40" i="11"/>
  <c r="CH40" i="11"/>
  <c r="CG40" i="11"/>
  <c r="CF40" i="11"/>
  <c r="CE40" i="11"/>
  <c r="RR40" i="11" s="1"/>
  <c r="CD40" i="11"/>
  <c r="GY40" i="11" s="1"/>
  <c r="CC40" i="11"/>
  <c r="CB40" i="11"/>
  <c r="LY40" i="11" s="1"/>
  <c r="CA40" i="11"/>
  <c r="BZ40" i="11"/>
  <c r="BW40" i="11"/>
  <c r="BQ40" i="11"/>
  <c r="BR40" i="11" s="1"/>
  <c r="BU40" i="11" s="1"/>
  <c r="BI40" i="11"/>
  <c r="BJ40" i="11" s="1"/>
  <c r="AW40" i="11"/>
  <c r="AX40" i="11" s="1"/>
  <c r="AR40" i="11"/>
  <c r="AS40" i="11" s="1"/>
  <c r="AO40" i="11"/>
  <c r="CI40" i="13" s="1"/>
  <c r="AC40" i="11"/>
  <c r="Z40" i="11"/>
  <c r="GE40" i="11" s="1"/>
  <c r="M40" i="11"/>
  <c r="BN40" i="11" s="1"/>
  <c r="L40" i="11"/>
  <c r="K40" i="11"/>
  <c r="NF40" i="11" s="1"/>
  <c r="NG40" i="11" s="1"/>
  <c r="J40" i="11"/>
  <c r="I40" i="11"/>
  <c r="AJ40" i="11" s="1"/>
  <c r="H40" i="11"/>
  <c r="BA40" i="11" s="1"/>
  <c r="G40" i="11"/>
  <c r="AB40" i="11" s="1"/>
  <c r="F40" i="11"/>
  <c r="E40" i="11"/>
  <c r="AI40" i="11" s="1"/>
  <c r="D40" i="11"/>
  <c r="AH40" i="11" s="1"/>
  <c r="RW38" i="11"/>
  <c r="RK38" i="11"/>
  <c r="RH38" i="11"/>
  <c r="QX38" i="11"/>
  <c r="QW38" i="11"/>
  <c r="QV38" i="11"/>
  <c r="QU38" i="11"/>
  <c r="QT38" i="11"/>
  <c r="QS38" i="11"/>
  <c r="QB38" i="11"/>
  <c r="PY38" i="11"/>
  <c r="PV38" i="11"/>
  <c r="PT38" i="11"/>
  <c r="PQ38" i="11"/>
  <c r="PR38" i="11" s="1"/>
  <c r="PN38" i="11"/>
  <c r="PL38" i="11"/>
  <c r="PI38" i="11"/>
  <c r="PH38" i="11"/>
  <c r="PG38" i="11"/>
  <c r="PD38" i="11"/>
  <c r="PC38" i="11"/>
  <c r="PB38" i="11"/>
  <c r="OX38" i="11"/>
  <c r="OW38" i="11"/>
  <c r="OV38" i="11"/>
  <c r="OQ38" i="11"/>
  <c r="OP38" i="11"/>
  <c r="OO38" i="11"/>
  <c r="OL38" i="11"/>
  <c r="OJ38" i="11"/>
  <c r="NZ38" i="11"/>
  <c r="OA38" i="11" s="1"/>
  <c r="NP38" i="11"/>
  <c r="NQ38" i="11" s="1"/>
  <c r="NN38" i="11"/>
  <c r="NO38" i="11" s="1"/>
  <c r="NJ38" i="11"/>
  <c r="NK38" i="11" s="1"/>
  <c r="MR38" i="11"/>
  <c r="MS38" i="11" s="1"/>
  <c r="LU38" i="11"/>
  <c r="LV38" i="11" s="1"/>
  <c r="KZ38" i="11"/>
  <c r="LA38" i="11" s="1"/>
  <c r="KX38" i="11"/>
  <c r="KY38" i="11" s="1"/>
  <c r="KT38" i="11"/>
  <c r="KU38" i="11" s="1"/>
  <c r="KP38" i="11"/>
  <c r="KQ38" i="11" s="1"/>
  <c r="KK38" i="11"/>
  <c r="KJ38" i="11"/>
  <c r="KI38" i="11"/>
  <c r="KH38" i="11"/>
  <c r="KG38" i="11"/>
  <c r="KF38" i="11"/>
  <c r="KE38" i="11"/>
  <c r="JZ38" i="11"/>
  <c r="JY38" i="11"/>
  <c r="JO38" i="11"/>
  <c r="JP38" i="11" s="1"/>
  <c r="JD38" i="11"/>
  <c r="IW38" i="11"/>
  <c r="IV38" i="11"/>
  <c r="IO38" i="11"/>
  <c r="IP38" i="11" s="1"/>
  <c r="IE38" i="11"/>
  <c r="IB38" i="11"/>
  <c r="HZ38" i="11"/>
  <c r="HX38" i="11"/>
  <c r="HU38" i="11"/>
  <c r="HV38" i="11" s="1"/>
  <c r="HR38" i="11"/>
  <c r="HS38" i="11" s="1"/>
  <c r="IH38" i="11" s="1"/>
  <c r="HN38" i="11"/>
  <c r="HM38" i="11"/>
  <c r="HK38" i="11"/>
  <c r="HJ38" i="11"/>
  <c r="HF38" i="11"/>
  <c r="HG38" i="11" s="1"/>
  <c r="HC38" i="11"/>
  <c r="GZ38" i="11"/>
  <c r="GP38" i="11"/>
  <c r="GO38" i="11"/>
  <c r="GN38" i="11"/>
  <c r="GK38" i="11"/>
  <c r="FL38" i="11"/>
  <c r="FJ38" i="11"/>
  <c r="FB38" i="11"/>
  <c r="EZ38" i="11"/>
  <c r="EX38" i="11"/>
  <c r="EW38" i="11"/>
  <c r="EV38" i="11"/>
  <c r="EU38" i="11"/>
  <c r="EK38" i="11"/>
  <c r="DZ38" i="11"/>
  <c r="DM38" i="11"/>
  <c r="DG38" i="11"/>
  <c r="DE38" i="11"/>
  <c r="GD38" i="11" s="1"/>
  <c r="DC38" i="11"/>
  <c r="MI38" i="11" s="1"/>
  <c r="DB38" i="11"/>
  <c r="JF38" i="11" s="1"/>
  <c r="CZ38" i="11"/>
  <c r="MJ38" i="11" s="1"/>
  <c r="MK38" i="11" s="1"/>
  <c r="CY38" i="11"/>
  <c r="JG38" i="11" s="1"/>
  <c r="JH38" i="11" s="1"/>
  <c r="CW38" i="11"/>
  <c r="FW38" i="11" s="1"/>
  <c r="CU38" i="11"/>
  <c r="MC38" i="11" s="1"/>
  <c r="CT38" i="11"/>
  <c r="IY38" i="11" s="1"/>
  <c r="CR38" i="11"/>
  <c r="MD38" i="11" s="1"/>
  <c r="ME38" i="11" s="1"/>
  <c r="CQ38" i="11"/>
  <c r="IZ38" i="11" s="1"/>
  <c r="JA38" i="11" s="1"/>
  <c r="CO38" i="11"/>
  <c r="GW38" i="11" s="1"/>
  <c r="CN38" i="11"/>
  <c r="CM38" i="11"/>
  <c r="CL38" i="11"/>
  <c r="CK38" i="11"/>
  <c r="CJ38" i="11"/>
  <c r="CI38" i="11"/>
  <c r="CH38" i="11"/>
  <c r="CG38" i="11"/>
  <c r="CF38" i="11"/>
  <c r="CE38" i="11"/>
  <c r="RR38" i="11" s="1"/>
  <c r="CD38" i="11"/>
  <c r="GY38" i="11" s="1"/>
  <c r="CC38" i="11"/>
  <c r="CB38" i="11"/>
  <c r="LY38" i="11" s="1"/>
  <c r="CA38" i="11"/>
  <c r="BZ38" i="11"/>
  <c r="BW38" i="11"/>
  <c r="BQ38" i="11"/>
  <c r="BR38" i="11" s="1"/>
  <c r="NU38" i="11" s="1"/>
  <c r="BI38" i="11"/>
  <c r="BJ38" i="11" s="1"/>
  <c r="AW38" i="11"/>
  <c r="AX38" i="11" s="1"/>
  <c r="AR38" i="11"/>
  <c r="AS38" i="11" s="1"/>
  <c r="AO38" i="11"/>
  <c r="AP38" i="11" s="1"/>
  <c r="AC38" i="11"/>
  <c r="Z38" i="11"/>
  <c r="L32" i="12" s="1"/>
  <c r="M32" i="12" s="1"/>
  <c r="M38" i="11"/>
  <c r="BN38" i="11" s="1"/>
  <c r="L38" i="11"/>
  <c r="K38" i="11"/>
  <c r="NB38" i="11" s="1"/>
  <c r="NC38" i="11" s="1"/>
  <c r="J38" i="11"/>
  <c r="I38" i="11"/>
  <c r="AJ38" i="11" s="1"/>
  <c r="H38" i="11"/>
  <c r="BA38" i="11" s="1"/>
  <c r="LE38" i="11" s="1"/>
  <c r="G38" i="11"/>
  <c r="AB38" i="11" s="1"/>
  <c r="F38" i="11"/>
  <c r="E38" i="11"/>
  <c r="AI38" i="11" s="1"/>
  <c r="D38" i="11"/>
  <c r="AH38" i="11" s="1"/>
  <c r="A38" i="11"/>
  <c r="B32" i="12" s="1"/>
  <c r="LX100" i="13"/>
  <c r="LR100" i="13"/>
  <c r="LL100" i="13"/>
  <c r="LF100" i="13"/>
  <c r="KZ100" i="13"/>
  <c r="KT100" i="13"/>
  <c r="KN100" i="13"/>
  <c r="KH100" i="13"/>
  <c r="KB100" i="13"/>
  <c r="JV100" i="13"/>
  <c r="JP100" i="13"/>
  <c r="JN100" i="13"/>
  <c r="IM100" i="13"/>
  <c r="IG100" i="13"/>
  <c r="IA100" i="13"/>
  <c r="HI100" i="13"/>
  <c r="GW100" i="13"/>
  <c r="GK100" i="13"/>
  <c r="GI100" i="13"/>
  <c r="GD100" i="13"/>
  <c r="FX100" i="13"/>
  <c r="FR100" i="13"/>
  <c r="FL100" i="13"/>
  <c r="FF100" i="13"/>
  <c r="FC100" i="13"/>
  <c r="FB100" i="13"/>
  <c r="EO100" i="13"/>
  <c r="DW100" i="13"/>
  <c r="DU100" i="13"/>
  <c r="DO100" i="13"/>
  <c r="CZ100" i="13"/>
  <c r="CT100" i="13"/>
  <c r="CL100" i="13"/>
  <c r="CI100" i="13"/>
  <c r="AL100" i="13"/>
  <c r="LX98" i="13"/>
  <c r="LR98" i="13"/>
  <c r="LL98" i="13"/>
  <c r="LF98" i="13"/>
  <c r="KZ98" i="13"/>
  <c r="KT98" i="13"/>
  <c r="KN98" i="13"/>
  <c r="KH98" i="13"/>
  <c r="KB98" i="13"/>
  <c r="JV98" i="13"/>
  <c r="JP98" i="13"/>
  <c r="JN98" i="13"/>
  <c r="JH98" i="13"/>
  <c r="IY98" i="13"/>
  <c r="IS98" i="13"/>
  <c r="IM98" i="13"/>
  <c r="IG98" i="13"/>
  <c r="IA98" i="13"/>
  <c r="HU98" i="13"/>
  <c r="HO98" i="13"/>
  <c r="HI98" i="13"/>
  <c r="HC98" i="13"/>
  <c r="GW98" i="13"/>
  <c r="GQ98" i="13"/>
  <c r="GK98" i="13"/>
  <c r="GI98" i="13"/>
  <c r="GD98" i="13"/>
  <c r="FX98" i="13"/>
  <c r="FR98" i="13"/>
  <c r="FL98" i="13"/>
  <c r="FF98" i="13"/>
  <c r="FC98" i="13"/>
  <c r="FB98" i="13"/>
  <c r="EO98" i="13"/>
  <c r="DW98" i="13"/>
  <c r="DU98" i="13"/>
  <c r="DO98" i="13"/>
  <c r="DF98" i="13"/>
  <c r="CZ98" i="13"/>
  <c r="CT98" i="13"/>
  <c r="CN98" i="13"/>
  <c r="CL98" i="13"/>
  <c r="CI98" i="13"/>
  <c r="CH98" i="13"/>
  <c r="AN98" i="13"/>
  <c r="AL98" i="13"/>
  <c r="LX96" i="13"/>
  <c r="LR96" i="13"/>
  <c r="LL96" i="13"/>
  <c r="LF96" i="13"/>
  <c r="KZ96" i="13"/>
  <c r="KT96" i="13"/>
  <c r="KN96" i="13"/>
  <c r="KH96" i="13"/>
  <c r="KB96" i="13"/>
  <c r="JV96" i="13"/>
  <c r="JP96" i="13"/>
  <c r="JN96" i="13"/>
  <c r="JH96" i="13"/>
  <c r="IY96" i="13"/>
  <c r="IS96" i="13"/>
  <c r="IM96" i="13"/>
  <c r="IG96" i="13"/>
  <c r="IA96" i="13"/>
  <c r="HU96" i="13"/>
  <c r="HO96" i="13"/>
  <c r="HI96" i="13"/>
  <c r="HC96" i="13"/>
  <c r="GW96" i="13"/>
  <c r="GQ96" i="13"/>
  <c r="GK96" i="13"/>
  <c r="GI96" i="13"/>
  <c r="GD96" i="13"/>
  <c r="FX96" i="13"/>
  <c r="FR96" i="13"/>
  <c r="FL96" i="13"/>
  <c r="FF96" i="13"/>
  <c r="FC96" i="13"/>
  <c r="FB96" i="13"/>
  <c r="EO96" i="13"/>
  <c r="DW96" i="13"/>
  <c r="DU96" i="13"/>
  <c r="DO96" i="13"/>
  <c r="DF96" i="13"/>
  <c r="CZ96" i="13"/>
  <c r="CT96" i="13"/>
  <c r="CN96" i="13"/>
  <c r="CL96" i="13"/>
  <c r="CI96" i="13"/>
  <c r="CH96" i="13"/>
  <c r="AN96" i="13"/>
  <c r="AL96" i="13"/>
  <c r="LX94" i="13"/>
  <c r="LR94" i="13"/>
  <c r="LL94" i="13"/>
  <c r="LF94" i="13"/>
  <c r="KZ94" i="13"/>
  <c r="KT94" i="13"/>
  <c r="KN94" i="13"/>
  <c r="KH94" i="13"/>
  <c r="KB94" i="13"/>
  <c r="JV94" i="13"/>
  <c r="JP94" i="13"/>
  <c r="JN94" i="13"/>
  <c r="JH94" i="13"/>
  <c r="IY94" i="13"/>
  <c r="IS94" i="13"/>
  <c r="IM94" i="13"/>
  <c r="IG94" i="13"/>
  <c r="IA94" i="13"/>
  <c r="HU94" i="13"/>
  <c r="HO94" i="13"/>
  <c r="HI94" i="13"/>
  <c r="HC94" i="13"/>
  <c r="GW94" i="13"/>
  <c r="GQ94" i="13"/>
  <c r="GK94" i="13"/>
  <c r="GI94" i="13"/>
  <c r="GD94" i="13"/>
  <c r="FX94" i="13"/>
  <c r="FR94" i="13"/>
  <c r="FL94" i="13"/>
  <c r="FF94" i="13"/>
  <c r="FC94" i="13"/>
  <c r="FB94" i="13"/>
  <c r="EO94" i="13"/>
  <c r="DW94" i="13"/>
  <c r="DU94" i="13"/>
  <c r="DO94" i="13"/>
  <c r="DF94" i="13"/>
  <c r="CZ94" i="13"/>
  <c r="CT94" i="13"/>
  <c r="CN94" i="13"/>
  <c r="CL94" i="13"/>
  <c r="CI94" i="13"/>
  <c r="CH94" i="13"/>
  <c r="AN94" i="13"/>
  <c r="AL94" i="13"/>
  <c r="LX92" i="13"/>
  <c r="LR92" i="13"/>
  <c r="LL92" i="13"/>
  <c r="LF92" i="13"/>
  <c r="KZ92" i="13"/>
  <c r="KT92" i="13"/>
  <c r="KN92" i="13"/>
  <c r="KH92" i="13"/>
  <c r="KB92" i="13"/>
  <c r="JV92" i="13"/>
  <c r="JP92" i="13"/>
  <c r="JN92" i="13"/>
  <c r="JH92" i="13"/>
  <c r="IY92" i="13"/>
  <c r="IS92" i="13"/>
  <c r="IM92" i="13"/>
  <c r="IG92" i="13"/>
  <c r="IA92" i="13"/>
  <c r="HU92" i="13"/>
  <c r="HO92" i="13"/>
  <c r="HI92" i="13"/>
  <c r="HC92" i="13"/>
  <c r="GW92" i="13"/>
  <c r="GQ92" i="13"/>
  <c r="GK92" i="13"/>
  <c r="GI92" i="13"/>
  <c r="GD92" i="13"/>
  <c r="FX92" i="13"/>
  <c r="FR92" i="13"/>
  <c r="FL92" i="13"/>
  <c r="FF92" i="13"/>
  <c r="FC92" i="13"/>
  <c r="FB92" i="13"/>
  <c r="EO92" i="13"/>
  <c r="DW92" i="13"/>
  <c r="DU92" i="13"/>
  <c r="DO92" i="13"/>
  <c r="DF92" i="13"/>
  <c r="CZ92" i="13"/>
  <c r="CT92" i="13"/>
  <c r="CN92" i="13"/>
  <c r="CL92" i="13"/>
  <c r="CI92" i="13"/>
  <c r="CH92" i="13"/>
  <c r="AN92" i="13"/>
  <c r="AL92" i="13"/>
  <c r="LX90" i="13"/>
  <c r="LR90" i="13"/>
  <c r="LL90" i="13"/>
  <c r="LF90" i="13"/>
  <c r="KZ90" i="13"/>
  <c r="KT90" i="13"/>
  <c r="KN90" i="13"/>
  <c r="KH90" i="13"/>
  <c r="KB90" i="13"/>
  <c r="JV90" i="13"/>
  <c r="JP90" i="13"/>
  <c r="JN90" i="13"/>
  <c r="JH90" i="13"/>
  <c r="IY90" i="13"/>
  <c r="IS90" i="13"/>
  <c r="IM90" i="13"/>
  <c r="IG90" i="13"/>
  <c r="IA90" i="13"/>
  <c r="HU90" i="13"/>
  <c r="HO90" i="13"/>
  <c r="HI90" i="13"/>
  <c r="HC90" i="13"/>
  <c r="GW90" i="13"/>
  <c r="GQ90" i="13"/>
  <c r="GK90" i="13"/>
  <c r="GI90" i="13"/>
  <c r="GD90" i="13"/>
  <c r="FX90" i="13"/>
  <c r="FR90" i="13"/>
  <c r="FL90" i="13"/>
  <c r="FF90" i="13"/>
  <c r="FC90" i="13"/>
  <c r="FB90" i="13"/>
  <c r="EO90" i="13"/>
  <c r="DW90" i="13"/>
  <c r="DU90" i="13"/>
  <c r="DO90" i="13"/>
  <c r="DF90" i="13"/>
  <c r="CZ90" i="13"/>
  <c r="CT90" i="13"/>
  <c r="CN90" i="13"/>
  <c r="CL90" i="13"/>
  <c r="CI90" i="13"/>
  <c r="CH90" i="13"/>
  <c r="AN90" i="13"/>
  <c r="AL90" i="13"/>
  <c r="LX88" i="13"/>
  <c r="LR88" i="13"/>
  <c r="LL88" i="13"/>
  <c r="LF88" i="13"/>
  <c r="KZ88" i="13"/>
  <c r="KT88" i="13"/>
  <c r="KN88" i="13"/>
  <c r="KH88" i="13"/>
  <c r="KB88" i="13"/>
  <c r="JV88" i="13"/>
  <c r="JP88" i="13"/>
  <c r="JN88" i="13"/>
  <c r="JH88" i="13"/>
  <c r="IY88" i="13"/>
  <c r="IS88" i="13"/>
  <c r="IM88" i="13"/>
  <c r="IG88" i="13"/>
  <c r="IA88" i="13"/>
  <c r="HU88" i="13"/>
  <c r="HO88" i="13"/>
  <c r="HI88" i="13"/>
  <c r="HC88" i="13"/>
  <c r="GW88" i="13"/>
  <c r="GQ88" i="13"/>
  <c r="GK88" i="13"/>
  <c r="GI88" i="13"/>
  <c r="GD88" i="13"/>
  <c r="FX88" i="13"/>
  <c r="FR88" i="13"/>
  <c r="FL88" i="13"/>
  <c r="FF88" i="13"/>
  <c r="FC88" i="13"/>
  <c r="FB88" i="13"/>
  <c r="EO88" i="13"/>
  <c r="DW88" i="13"/>
  <c r="DU88" i="13"/>
  <c r="DO88" i="13"/>
  <c r="DF88" i="13"/>
  <c r="CZ88" i="13"/>
  <c r="CT88" i="13"/>
  <c r="CN88" i="13"/>
  <c r="CL88" i="13"/>
  <c r="CI88" i="13"/>
  <c r="CH88" i="13"/>
  <c r="AN88" i="13"/>
  <c r="AL88" i="13"/>
  <c r="LX86" i="13"/>
  <c r="LR86" i="13"/>
  <c r="LL86" i="13"/>
  <c r="LF86" i="13"/>
  <c r="KZ86" i="13"/>
  <c r="KT86" i="13"/>
  <c r="KN86" i="13"/>
  <c r="KH86" i="13"/>
  <c r="KB86" i="13"/>
  <c r="JV86" i="13"/>
  <c r="JP86" i="13"/>
  <c r="JN86" i="13"/>
  <c r="JH86" i="13"/>
  <c r="IY86" i="13"/>
  <c r="IS86" i="13"/>
  <c r="IM86" i="13"/>
  <c r="IG86" i="13"/>
  <c r="IA86" i="13"/>
  <c r="HU86" i="13"/>
  <c r="HO86" i="13"/>
  <c r="HI86" i="13"/>
  <c r="HC86" i="13"/>
  <c r="GW86" i="13"/>
  <c r="GQ86" i="13"/>
  <c r="GK86" i="13"/>
  <c r="GI86" i="13"/>
  <c r="GD86" i="13"/>
  <c r="FX86" i="13"/>
  <c r="FR86" i="13"/>
  <c r="FL86" i="13"/>
  <c r="FF86" i="13"/>
  <c r="FC86" i="13"/>
  <c r="FB86" i="13"/>
  <c r="EO86" i="13"/>
  <c r="DW86" i="13"/>
  <c r="DU86" i="13"/>
  <c r="DO86" i="13"/>
  <c r="DF86" i="13"/>
  <c r="CZ86" i="13"/>
  <c r="CT86" i="13"/>
  <c r="CN86" i="13"/>
  <c r="CL86" i="13"/>
  <c r="CI86" i="13"/>
  <c r="CH86" i="13"/>
  <c r="AN86" i="13"/>
  <c r="AL86" i="13"/>
  <c r="LX84" i="13"/>
  <c r="LR84" i="13"/>
  <c r="LL84" i="13"/>
  <c r="LF84" i="13"/>
  <c r="KZ84" i="13"/>
  <c r="KT84" i="13"/>
  <c r="KN84" i="13"/>
  <c r="KH84" i="13"/>
  <c r="KB84" i="13"/>
  <c r="JV84" i="13"/>
  <c r="JP84" i="13"/>
  <c r="JN84" i="13"/>
  <c r="JH84" i="13"/>
  <c r="IY84" i="13"/>
  <c r="IS84" i="13"/>
  <c r="IM84" i="13"/>
  <c r="IG84" i="13"/>
  <c r="IA84" i="13"/>
  <c r="HU84" i="13"/>
  <c r="HO84" i="13"/>
  <c r="HI84" i="13"/>
  <c r="HC84" i="13"/>
  <c r="GW84" i="13"/>
  <c r="GQ84" i="13"/>
  <c r="GK84" i="13"/>
  <c r="GI84" i="13"/>
  <c r="GD84" i="13"/>
  <c r="FX84" i="13"/>
  <c r="FR84" i="13"/>
  <c r="FL84" i="13"/>
  <c r="FF84" i="13"/>
  <c r="FC84" i="13"/>
  <c r="FB84" i="13"/>
  <c r="EO84" i="13"/>
  <c r="DW84" i="13"/>
  <c r="DU84" i="13"/>
  <c r="DO84" i="13"/>
  <c r="DF84" i="13"/>
  <c r="CZ84" i="13"/>
  <c r="CT84" i="13"/>
  <c r="CN84" i="13"/>
  <c r="CL84" i="13"/>
  <c r="CI84" i="13"/>
  <c r="CH84" i="13"/>
  <c r="AN84" i="13"/>
  <c r="AL84" i="13"/>
  <c r="LX82" i="13"/>
  <c r="LR82" i="13"/>
  <c r="LL82" i="13"/>
  <c r="LF82" i="13"/>
  <c r="KZ82" i="13"/>
  <c r="KT82" i="13"/>
  <c r="KN82" i="13"/>
  <c r="KH82" i="13"/>
  <c r="KB82" i="13"/>
  <c r="JV82" i="13"/>
  <c r="JP82" i="13"/>
  <c r="JN82" i="13"/>
  <c r="JH82" i="13"/>
  <c r="IY82" i="13"/>
  <c r="IS82" i="13"/>
  <c r="IM82" i="13"/>
  <c r="IG82" i="13"/>
  <c r="IA82" i="13"/>
  <c r="HU82" i="13"/>
  <c r="HO82" i="13"/>
  <c r="HI82" i="13"/>
  <c r="HC82" i="13"/>
  <c r="GW82" i="13"/>
  <c r="GQ82" i="13"/>
  <c r="GK82" i="13"/>
  <c r="GI82" i="13"/>
  <c r="GD82" i="13"/>
  <c r="FX82" i="13"/>
  <c r="FR82" i="13"/>
  <c r="FL82" i="13"/>
  <c r="FF82" i="13"/>
  <c r="FC82" i="13"/>
  <c r="FB82" i="13"/>
  <c r="EO82" i="13"/>
  <c r="DW82" i="13"/>
  <c r="DU82" i="13"/>
  <c r="DO82" i="13"/>
  <c r="DF82" i="13"/>
  <c r="CZ82" i="13"/>
  <c r="CT82" i="13"/>
  <c r="CN82" i="13"/>
  <c r="CL82" i="13"/>
  <c r="CI82" i="13"/>
  <c r="CH82" i="13"/>
  <c r="AN82" i="13"/>
  <c r="AL82" i="13"/>
  <c r="LX80" i="13"/>
  <c r="LR80" i="13"/>
  <c r="LL80" i="13"/>
  <c r="LF80" i="13"/>
  <c r="KZ80" i="13"/>
  <c r="KT80" i="13"/>
  <c r="KN80" i="13"/>
  <c r="KH80" i="13"/>
  <c r="KB80" i="13"/>
  <c r="JV80" i="13"/>
  <c r="JP80" i="13"/>
  <c r="JN80" i="13"/>
  <c r="JH80" i="13"/>
  <c r="IY80" i="13"/>
  <c r="IS80" i="13"/>
  <c r="IM80" i="13"/>
  <c r="IG80" i="13"/>
  <c r="IA80" i="13"/>
  <c r="HU80" i="13"/>
  <c r="HO80" i="13"/>
  <c r="HI80" i="13"/>
  <c r="HC80" i="13"/>
  <c r="GW80" i="13"/>
  <c r="GQ80" i="13"/>
  <c r="GK80" i="13"/>
  <c r="GI80" i="13"/>
  <c r="GD80" i="13"/>
  <c r="FX80" i="13"/>
  <c r="FR80" i="13"/>
  <c r="FL80" i="13"/>
  <c r="FF80" i="13"/>
  <c r="FC80" i="13"/>
  <c r="FB80" i="13"/>
  <c r="EO80" i="13"/>
  <c r="DW80" i="13"/>
  <c r="DU80" i="13"/>
  <c r="DO80" i="13"/>
  <c r="DF80" i="13"/>
  <c r="CZ80" i="13"/>
  <c r="CT80" i="13"/>
  <c r="CN80" i="13"/>
  <c r="CL80" i="13"/>
  <c r="CI80" i="13"/>
  <c r="CH80" i="13"/>
  <c r="AN80" i="13"/>
  <c r="AL80" i="13"/>
  <c r="LX78" i="13"/>
  <c r="LR78" i="13"/>
  <c r="LL78" i="13"/>
  <c r="LF78" i="13"/>
  <c r="KZ78" i="13"/>
  <c r="KT78" i="13"/>
  <c r="KN78" i="13"/>
  <c r="KH78" i="13"/>
  <c r="KB78" i="13"/>
  <c r="JV78" i="13"/>
  <c r="JP78" i="13"/>
  <c r="JN78" i="13"/>
  <c r="JH78" i="13"/>
  <c r="IY78" i="13"/>
  <c r="IS78" i="13"/>
  <c r="IM78" i="13"/>
  <c r="IG78" i="13"/>
  <c r="IA78" i="13"/>
  <c r="HU78" i="13"/>
  <c r="HO78" i="13"/>
  <c r="HI78" i="13"/>
  <c r="HC78" i="13"/>
  <c r="GW78" i="13"/>
  <c r="GQ78" i="13"/>
  <c r="GK78" i="13"/>
  <c r="GI78" i="13"/>
  <c r="GD78" i="13"/>
  <c r="FX78" i="13"/>
  <c r="FR78" i="13"/>
  <c r="FL78" i="13"/>
  <c r="FF78" i="13"/>
  <c r="FC78" i="13"/>
  <c r="FB78" i="13"/>
  <c r="EO78" i="13"/>
  <c r="DW78" i="13"/>
  <c r="DU78" i="13"/>
  <c r="DO78" i="13"/>
  <c r="DF78" i="13"/>
  <c r="CZ78" i="13"/>
  <c r="CT78" i="13"/>
  <c r="CN78" i="13"/>
  <c r="CL78" i="13"/>
  <c r="CI78" i="13"/>
  <c r="CH78" i="13"/>
  <c r="AN78" i="13"/>
  <c r="AL78" i="13"/>
  <c r="LX76" i="13"/>
  <c r="LR76" i="13"/>
  <c r="LL76" i="13"/>
  <c r="LF76" i="13"/>
  <c r="KZ76" i="13"/>
  <c r="KT76" i="13"/>
  <c r="KN76" i="13"/>
  <c r="KH76" i="13"/>
  <c r="KB76" i="13"/>
  <c r="JV76" i="13"/>
  <c r="JP76" i="13"/>
  <c r="JN76" i="13"/>
  <c r="JH76" i="13"/>
  <c r="IY76" i="13"/>
  <c r="IS76" i="13"/>
  <c r="IM76" i="13"/>
  <c r="IG76" i="13"/>
  <c r="IA76" i="13"/>
  <c r="HU76" i="13"/>
  <c r="HO76" i="13"/>
  <c r="HI76" i="13"/>
  <c r="HC76" i="13"/>
  <c r="GW76" i="13"/>
  <c r="GQ76" i="13"/>
  <c r="GK76" i="13"/>
  <c r="GI76" i="13"/>
  <c r="GD76" i="13"/>
  <c r="FX76" i="13"/>
  <c r="FR76" i="13"/>
  <c r="FL76" i="13"/>
  <c r="FF76" i="13"/>
  <c r="FC76" i="13"/>
  <c r="FB76" i="13"/>
  <c r="EO76" i="13"/>
  <c r="DW76" i="13"/>
  <c r="DU76" i="13"/>
  <c r="DO76" i="13"/>
  <c r="DF76" i="13"/>
  <c r="CZ76" i="13"/>
  <c r="CT76" i="13"/>
  <c r="CN76" i="13"/>
  <c r="CL76" i="13"/>
  <c r="CI76" i="13"/>
  <c r="CH76" i="13"/>
  <c r="AN76" i="13"/>
  <c r="AL76" i="13"/>
  <c r="LX74" i="13"/>
  <c r="LR74" i="13"/>
  <c r="LL74" i="13"/>
  <c r="LF74" i="13"/>
  <c r="KZ74" i="13"/>
  <c r="KT74" i="13"/>
  <c r="KN74" i="13"/>
  <c r="KH74" i="13"/>
  <c r="KB74" i="13"/>
  <c r="JV74" i="13"/>
  <c r="JP74" i="13"/>
  <c r="JN74" i="13"/>
  <c r="JH74" i="13"/>
  <c r="IY74" i="13"/>
  <c r="IS74" i="13"/>
  <c r="IM74" i="13"/>
  <c r="IG74" i="13"/>
  <c r="IA74" i="13"/>
  <c r="HU74" i="13"/>
  <c r="HO74" i="13"/>
  <c r="HI74" i="13"/>
  <c r="HC74" i="13"/>
  <c r="GW74" i="13"/>
  <c r="GQ74" i="13"/>
  <c r="GK74" i="13"/>
  <c r="GI74" i="13"/>
  <c r="GD74" i="13"/>
  <c r="FX74" i="13"/>
  <c r="FR74" i="13"/>
  <c r="FL74" i="13"/>
  <c r="FF74" i="13"/>
  <c r="FC74" i="13"/>
  <c r="FB74" i="13"/>
  <c r="EO74" i="13"/>
  <c r="DW74" i="13"/>
  <c r="DU74" i="13"/>
  <c r="DO74" i="13"/>
  <c r="DF74" i="13"/>
  <c r="CZ74" i="13"/>
  <c r="CT74" i="13"/>
  <c r="CN74" i="13"/>
  <c r="CL74" i="13"/>
  <c r="CI74" i="13"/>
  <c r="CH74" i="13"/>
  <c r="AN74" i="13"/>
  <c r="AL74" i="13"/>
  <c r="LX72" i="13"/>
  <c r="LR72" i="13"/>
  <c r="LL72" i="13"/>
  <c r="LF72" i="13"/>
  <c r="KZ72" i="13"/>
  <c r="KT72" i="13"/>
  <c r="KN72" i="13"/>
  <c r="KH72" i="13"/>
  <c r="KB72" i="13"/>
  <c r="JV72" i="13"/>
  <c r="JP72" i="13"/>
  <c r="JN72" i="13"/>
  <c r="IG72" i="13"/>
  <c r="IA72" i="13"/>
  <c r="HU72" i="13"/>
  <c r="HI72" i="13"/>
  <c r="GW72" i="13"/>
  <c r="GI72" i="13"/>
  <c r="GD72" i="13"/>
  <c r="FX72" i="13"/>
  <c r="FL72" i="13"/>
  <c r="FF72" i="13"/>
  <c r="FC72" i="13"/>
  <c r="FB72" i="13"/>
  <c r="EO72" i="13"/>
  <c r="DW72" i="13"/>
  <c r="DU72" i="13"/>
  <c r="CZ72" i="13"/>
  <c r="CT72" i="13"/>
  <c r="CL72" i="13"/>
  <c r="CI72" i="13"/>
  <c r="AL72" i="13"/>
  <c r="LX70" i="13"/>
  <c r="LL70" i="13"/>
  <c r="LF70" i="13"/>
  <c r="KT70" i="13"/>
  <c r="KB70" i="13"/>
  <c r="JV70" i="13"/>
  <c r="JP70" i="13"/>
  <c r="JN70" i="13"/>
  <c r="IM70" i="13"/>
  <c r="IG70" i="13"/>
  <c r="IA70" i="13"/>
  <c r="HI70" i="13"/>
  <c r="GW70" i="13"/>
  <c r="GK70" i="13"/>
  <c r="GI70" i="13"/>
  <c r="GD70" i="13"/>
  <c r="FX70" i="13"/>
  <c r="FR70" i="13"/>
  <c r="FL70" i="13"/>
  <c r="FF70" i="13"/>
  <c r="FC70" i="13"/>
  <c r="FB70" i="13"/>
  <c r="EO70" i="13"/>
  <c r="DU70" i="13"/>
  <c r="DO70" i="13"/>
  <c r="CZ70" i="13"/>
  <c r="CT70" i="13"/>
  <c r="CL70" i="13"/>
  <c r="CI70" i="13"/>
  <c r="AL70" i="13"/>
  <c r="LX68" i="13"/>
  <c r="LL68" i="13"/>
  <c r="KZ68" i="13"/>
  <c r="KN68" i="13"/>
  <c r="KB68" i="13"/>
  <c r="JV68" i="13"/>
  <c r="JP68" i="13"/>
  <c r="JN68" i="13"/>
  <c r="IG68" i="13"/>
  <c r="HI68" i="13"/>
  <c r="GW68" i="13"/>
  <c r="GK68" i="13"/>
  <c r="GI68" i="13"/>
  <c r="GD68" i="13"/>
  <c r="FR68" i="13"/>
  <c r="FL68" i="13"/>
  <c r="FF68" i="13"/>
  <c r="FC68" i="13"/>
  <c r="FB68" i="13"/>
  <c r="EO68" i="13"/>
  <c r="DW68" i="13"/>
  <c r="DU68" i="13"/>
  <c r="DO68" i="13"/>
  <c r="CZ68" i="13"/>
  <c r="CT68" i="13"/>
  <c r="AL68" i="13"/>
  <c r="LX66" i="13"/>
  <c r="LL66" i="13"/>
  <c r="LF66" i="13"/>
  <c r="KZ66" i="13"/>
  <c r="KT66" i="13"/>
  <c r="KB66" i="13"/>
  <c r="JV66" i="13"/>
  <c r="JP66" i="13"/>
  <c r="JN66" i="13"/>
  <c r="IM66" i="13"/>
  <c r="IG66" i="13"/>
  <c r="IA66" i="13"/>
  <c r="HU66" i="13"/>
  <c r="GW66" i="13"/>
  <c r="GK66" i="13"/>
  <c r="GI66" i="13"/>
  <c r="GD66" i="13"/>
  <c r="FX66" i="13"/>
  <c r="FR66" i="13"/>
  <c r="FL66" i="13"/>
  <c r="FF66" i="13"/>
  <c r="FC66" i="13"/>
  <c r="FB66" i="13"/>
  <c r="EO66" i="13"/>
  <c r="DW66" i="13"/>
  <c r="DU66" i="13"/>
  <c r="DO66" i="13"/>
  <c r="CZ66" i="13"/>
  <c r="CT66" i="13"/>
  <c r="CI66" i="13"/>
  <c r="AL66" i="13"/>
  <c r="LX64" i="13"/>
  <c r="LR64" i="13"/>
  <c r="LL64" i="13"/>
  <c r="LF64" i="13"/>
  <c r="KZ64" i="13"/>
  <c r="KT64" i="13"/>
  <c r="KN64" i="13"/>
  <c r="KH64" i="13"/>
  <c r="KB64" i="13"/>
  <c r="JV64" i="13"/>
  <c r="JP64" i="13"/>
  <c r="JN64" i="13"/>
  <c r="IG64" i="13"/>
  <c r="HI64" i="13"/>
  <c r="GW64" i="13"/>
  <c r="GK64" i="13"/>
  <c r="GI64" i="13"/>
  <c r="GD64" i="13"/>
  <c r="FX64" i="13"/>
  <c r="FR64" i="13"/>
  <c r="FL64" i="13"/>
  <c r="FF64" i="13"/>
  <c r="FC64" i="13"/>
  <c r="FB64" i="13"/>
  <c r="EO64" i="13"/>
  <c r="DW64" i="13"/>
  <c r="DU64" i="13"/>
  <c r="DO64" i="13"/>
  <c r="CZ64" i="13"/>
  <c r="CT64" i="13"/>
  <c r="AL64" i="13"/>
  <c r="LX62" i="13"/>
  <c r="LR62" i="13"/>
  <c r="LL62" i="13"/>
  <c r="LF62" i="13"/>
  <c r="KZ62" i="13"/>
  <c r="KT62" i="13"/>
  <c r="KN62" i="13"/>
  <c r="KH62" i="13"/>
  <c r="KB62" i="13"/>
  <c r="JV62" i="13"/>
  <c r="JP62" i="13"/>
  <c r="JN62" i="13"/>
  <c r="IG62" i="13"/>
  <c r="IA62" i="13"/>
  <c r="HU62" i="13"/>
  <c r="HI62" i="13"/>
  <c r="GW62" i="13"/>
  <c r="GK62" i="13"/>
  <c r="GI62" i="13"/>
  <c r="GD62" i="13"/>
  <c r="FX62" i="13"/>
  <c r="FR62" i="13"/>
  <c r="FL62" i="13"/>
  <c r="FF62" i="13"/>
  <c r="FC62" i="13"/>
  <c r="FB62" i="13"/>
  <c r="EO62" i="13"/>
  <c r="DW62" i="13"/>
  <c r="DU62" i="13"/>
  <c r="DO62" i="13"/>
  <c r="CZ62" i="13"/>
  <c r="CT62" i="13"/>
  <c r="AL62" i="13"/>
  <c r="LX60" i="13"/>
  <c r="LR60" i="13"/>
  <c r="LL60" i="13"/>
  <c r="LF60" i="13"/>
  <c r="KZ60" i="13"/>
  <c r="KT60" i="13"/>
  <c r="KN60" i="13"/>
  <c r="KH60" i="13"/>
  <c r="KB60" i="13"/>
  <c r="JV60" i="13"/>
  <c r="JP60" i="13"/>
  <c r="JN60" i="13"/>
  <c r="IM60" i="13"/>
  <c r="IA60" i="13"/>
  <c r="HI60" i="13"/>
  <c r="GI60" i="13"/>
  <c r="GD60" i="13"/>
  <c r="FX60" i="13"/>
  <c r="FL60" i="13"/>
  <c r="FF60" i="13"/>
  <c r="FC60" i="13"/>
  <c r="FB60" i="13"/>
  <c r="EO60" i="13"/>
  <c r="DW60" i="13"/>
  <c r="DU60" i="13"/>
  <c r="DO60" i="13"/>
  <c r="CZ60" i="13"/>
  <c r="CT60" i="13"/>
  <c r="CL60" i="13"/>
  <c r="CI60" i="13"/>
  <c r="AL60" i="13"/>
  <c r="LX58" i="13"/>
  <c r="LR58" i="13"/>
  <c r="LL58" i="13"/>
  <c r="LF58" i="13"/>
  <c r="KZ58" i="13"/>
  <c r="KT58" i="13"/>
  <c r="KN58" i="13"/>
  <c r="KH58" i="13"/>
  <c r="KB58" i="13"/>
  <c r="JV58" i="13"/>
  <c r="JP58" i="13"/>
  <c r="JN58" i="13"/>
  <c r="IG58" i="13"/>
  <c r="IA58" i="13"/>
  <c r="GW58" i="13"/>
  <c r="GK58" i="13"/>
  <c r="GI58" i="13"/>
  <c r="GD58" i="13"/>
  <c r="FR58" i="13"/>
  <c r="FL58" i="13"/>
  <c r="FF58" i="13"/>
  <c r="FC58" i="13"/>
  <c r="FB58" i="13"/>
  <c r="EO58" i="13"/>
  <c r="DW58" i="13"/>
  <c r="DU58" i="13"/>
  <c r="DO58" i="13"/>
  <c r="CZ58" i="13"/>
  <c r="CI58" i="13"/>
  <c r="AL58" i="13"/>
  <c r="LX56" i="13"/>
  <c r="LR56" i="13"/>
  <c r="LL56" i="13"/>
  <c r="LF56" i="13"/>
  <c r="KZ56" i="13"/>
  <c r="KT56" i="13"/>
  <c r="KN56" i="13"/>
  <c r="KH56" i="13"/>
  <c r="KB56" i="13"/>
  <c r="JV56" i="13"/>
  <c r="JP56" i="13"/>
  <c r="JN56" i="13"/>
  <c r="HI56" i="13"/>
  <c r="GW56" i="13"/>
  <c r="GI56" i="13"/>
  <c r="GD56" i="13"/>
  <c r="FX56" i="13"/>
  <c r="FL56" i="13"/>
  <c r="FF56" i="13"/>
  <c r="FC56" i="13"/>
  <c r="FB56" i="13"/>
  <c r="EO56" i="13"/>
  <c r="DW56" i="13"/>
  <c r="DU56" i="13"/>
  <c r="CZ56" i="13"/>
  <c r="CT56" i="13"/>
  <c r="CL56" i="13"/>
  <c r="CI56" i="13"/>
  <c r="AL56" i="13"/>
  <c r="LX54" i="13"/>
  <c r="LR54" i="13"/>
  <c r="LL54" i="13"/>
  <c r="LF54" i="13"/>
  <c r="KZ54" i="13"/>
  <c r="KT54" i="13"/>
  <c r="KN54" i="13"/>
  <c r="KH54" i="13"/>
  <c r="KB54" i="13"/>
  <c r="JV54" i="13"/>
  <c r="JP54" i="13"/>
  <c r="JN54" i="13"/>
  <c r="IM54" i="13"/>
  <c r="IG54" i="13"/>
  <c r="IA54" i="13"/>
  <c r="HI54" i="13"/>
  <c r="GK54" i="13"/>
  <c r="GI54" i="13"/>
  <c r="GD54" i="13"/>
  <c r="FL54" i="13"/>
  <c r="FF54" i="13"/>
  <c r="FC54" i="13"/>
  <c r="FB54" i="13"/>
  <c r="EO54" i="13"/>
  <c r="DW54" i="13"/>
  <c r="DU54" i="13"/>
  <c r="DO54" i="13"/>
  <c r="CL54" i="13"/>
  <c r="CI54" i="13"/>
  <c r="AL54" i="13"/>
  <c r="LX52" i="13"/>
  <c r="LR52" i="13"/>
  <c r="LL52" i="13"/>
  <c r="LF52" i="13"/>
  <c r="KZ52" i="13"/>
  <c r="KT52" i="13"/>
  <c r="KN52" i="13"/>
  <c r="KH52" i="13"/>
  <c r="KB52" i="13"/>
  <c r="JV52" i="13"/>
  <c r="JP52" i="13"/>
  <c r="JN52" i="13"/>
  <c r="IM52" i="13"/>
  <c r="IA52" i="13"/>
  <c r="GI52" i="13"/>
  <c r="GD52" i="13"/>
  <c r="FX52" i="13"/>
  <c r="FL52" i="13"/>
  <c r="FF52" i="13"/>
  <c r="FC52" i="13"/>
  <c r="FB52" i="13"/>
  <c r="EO52" i="13"/>
  <c r="DW52" i="13"/>
  <c r="DU52" i="13"/>
  <c r="CZ52" i="13"/>
  <c r="CT52" i="13"/>
  <c r="CI52" i="13"/>
  <c r="AL52" i="13"/>
  <c r="LX50" i="13"/>
  <c r="LR50" i="13"/>
  <c r="LL50" i="13"/>
  <c r="LF50" i="13"/>
  <c r="KZ50" i="13"/>
  <c r="KT50" i="13"/>
  <c r="KN50" i="13"/>
  <c r="KH50" i="13"/>
  <c r="KB50" i="13"/>
  <c r="JV50" i="13"/>
  <c r="JP50" i="13"/>
  <c r="JN50" i="13"/>
  <c r="IM50" i="13"/>
  <c r="HU50" i="13"/>
  <c r="GW50" i="13"/>
  <c r="GI50" i="13"/>
  <c r="GD50" i="13"/>
  <c r="FX50" i="13"/>
  <c r="FL50" i="13"/>
  <c r="FF50" i="13"/>
  <c r="FC50" i="13"/>
  <c r="FB50" i="13"/>
  <c r="EO50" i="13"/>
  <c r="DW50" i="13"/>
  <c r="DU50" i="13"/>
  <c r="CZ50" i="13"/>
  <c r="CT50" i="13"/>
  <c r="CL50" i="13"/>
  <c r="CI50" i="13"/>
  <c r="AL50" i="13"/>
  <c r="LX48" i="13"/>
  <c r="LR48" i="13"/>
  <c r="LL48" i="13"/>
  <c r="LF48" i="13"/>
  <c r="KZ48" i="13"/>
  <c r="KT48" i="13"/>
  <c r="KN48" i="13"/>
  <c r="KH48" i="13"/>
  <c r="KB48" i="13"/>
  <c r="JV48" i="13"/>
  <c r="JP48" i="13"/>
  <c r="JN48" i="13"/>
  <c r="IG48" i="13"/>
  <c r="IA48" i="13"/>
  <c r="HU48" i="13"/>
  <c r="GW48" i="13"/>
  <c r="GK48" i="13"/>
  <c r="GI48" i="13"/>
  <c r="GD48" i="13"/>
  <c r="FL48" i="13"/>
  <c r="FF48" i="13"/>
  <c r="FC48" i="13"/>
  <c r="FB48" i="13"/>
  <c r="EO48" i="13"/>
  <c r="DW48" i="13"/>
  <c r="DU48" i="13"/>
  <c r="DO48" i="13"/>
  <c r="CZ48" i="13"/>
  <c r="CI48" i="13"/>
  <c r="AL48" i="13"/>
  <c r="LX46" i="13"/>
  <c r="LR46" i="13"/>
  <c r="LL46" i="13"/>
  <c r="LF46" i="13"/>
  <c r="KZ46" i="13"/>
  <c r="KT46" i="13"/>
  <c r="KN46" i="13"/>
  <c r="KH46" i="13"/>
  <c r="KB46" i="13"/>
  <c r="JV46" i="13"/>
  <c r="JP46" i="13"/>
  <c r="JN46" i="13"/>
  <c r="IM46" i="13"/>
  <c r="IG46" i="13"/>
  <c r="IA46" i="13"/>
  <c r="GK46" i="13"/>
  <c r="GI46" i="13"/>
  <c r="GD46" i="13"/>
  <c r="FX46" i="13"/>
  <c r="FL46" i="13"/>
  <c r="FF46" i="13"/>
  <c r="FC46" i="13"/>
  <c r="FB46" i="13"/>
  <c r="EO46" i="13"/>
  <c r="DW46" i="13"/>
  <c r="DU46" i="13"/>
  <c r="DO46" i="13"/>
  <c r="CT46" i="13"/>
  <c r="CL46" i="13"/>
  <c r="AL46" i="13"/>
  <c r="LX44" i="13"/>
  <c r="LR44" i="13"/>
  <c r="LL44" i="13"/>
  <c r="LF44" i="13"/>
  <c r="KZ44" i="13"/>
  <c r="KT44" i="13"/>
  <c r="KN44" i="13"/>
  <c r="KH44" i="13"/>
  <c r="KB44" i="13"/>
  <c r="JV44" i="13"/>
  <c r="JP44" i="13"/>
  <c r="JN44" i="13"/>
  <c r="IM44" i="13"/>
  <c r="GW44" i="13"/>
  <c r="GI44" i="13"/>
  <c r="GD44" i="13"/>
  <c r="FX44" i="13"/>
  <c r="FL44" i="13"/>
  <c r="FF44" i="13"/>
  <c r="FC44" i="13"/>
  <c r="FB44" i="13"/>
  <c r="EO44" i="13"/>
  <c r="DW44" i="13"/>
  <c r="DU44" i="13"/>
  <c r="CT44" i="13"/>
  <c r="CL44" i="13"/>
  <c r="CI44" i="13"/>
  <c r="AL44" i="13"/>
  <c r="LX42" i="13"/>
  <c r="LR42" i="13"/>
  <c r="LL42" i="13"/>
  <c r="LF42" i="13"/>
  <c r="KZ42" i="13"/>
  <c r="KT42" i="13"/>
  <c r="KN42" i="13"/>
  <c r="KH42" i="13"/>
  <c r="KB42" i="13"/>
  <c r="JV42" i="13"/>
  <c r="JP42" i="13"/>
  <c r="JN42" i="13"/>
  <c r="IM42" i="13"/>
  <c r="IG42" i="13"/>
  <c r="IA42" i="13"/>
  <c r="GW42" i="13"/>
  <c r="GK42" i="13"/>
  <c r="GI42" i="13"/>
  <c r="GD42" i="13"/>
  <c r="FX42" i="13"/>
  <c r="FL42" i="13"/>
  <c r="FF42" i="13"/>
  <c r="FC42" i="13"/>
  <c r="FB42" i="13"/>
  <c r="EO42" i="13"/>
  <c r="DW42" i="13"/>
  <c r="DU42" i="13"/>
  <c r="DO42" i="13"/>
  <c r="CZ42" i="13"/>
  <c r="CT42" i="13"/>
  <c r="AL42" i="13"/>
  <c r="LX40" i="13"/>
  <c r="LR40" i="13"/>
  <c r="LL40" i="13"/>
  <c r="LF40" i="13"/>
  <c r="KZ40" i="13"/>
  <c r="KT40" i="13"/>
  <c r="KN40" i="13"/>
  <c r="KH40" i="13"/>
  <c r="KB40" i="13"/>
  <c r="JV40" i="13"/>
  <c r="JP40" i="13"/>
  <c r="JN40" i="13"/>
  <c r="IG40" i="13"/>
  <c r="IA40" i="13"/>
  <c r="GW40" i="13"/>
  <c r="GK40" i="13"/>
  <c r="GI40" i="13"/>
  <c r="GD40" i="13"/>
  <c r="FR40" i="13"/>
  <c r="FL40" i="13"/>
  <c r="FF40" i="13"/>
  <c r="FC40" i="13"/>
  <c r="FB40" i="13"/>
  <c r="EO40" i="13"/>
  <c r="DW40" i="13"/>
  <c r="DU40" i="13"/>
  <c r="DO40" i="13"/>
  <c r="CZ40" i="13"/>
  <c r="AL40" i="13"/>
  <c r="LX38" i="13"/>
  <c r="LR38" i="13"/>
  <c r="LL38" i="13"/>
  <c r="LF38" i="13"/>
  <c r="KZ38" i="13"/>
  <c r="KT38" i="13"/>
  <c r="KN38" i="13"/>
  <c r="KH38" i="13"/>
  <c r="KB38" i="13"/>
  <c r="JV38" i="13"/>
  <c r="JP38" i="13"/>
  <c r="JN38" i="13"/>
  <c r="JH38" i="13"/>
  <c r="IY38" i="13"/>
  <c r="IS38" i="13"/>
  <c r="IM38" i="13"/>
  <c r="IG38" i="13"/>
  <c r="IA38" i="13"/>
  <c r="HU38" i="13"/>
  <c r="HO38" i="13"/>
  <c r="HI38" i="13"/>
  <c r="HC38" i="13"/>
  <c r="GW38" i="13"/>
  <c r="GQ38" i="13"/>
  <c r="GK38" i="13"/>
  <c r="GI38" i="13"/>
  <c r="GD38" i="13"/>
  <c r="FX38" i="13"/>
  <c r="FR38" i="13"/>
  <c r="FL38" i="13"/>
  <c r="FF38" i="13"/>
  <c r="FC38" i="13"/>
  <c r="FB38" i="13"/>
  <c r="EO38" i="13"/>
  <c r="DW38" i="13"/>
  <c r="DU38" i="13"/>
  <c r="DO38" i="13"/>
  <c r="DF38" i="13"/>
  <c r="CZ38" i="13"/>
  <c r="CT38" i="13"/>
  <c r="CN38" i="13"/>
  <c r="CL38" i="13"/>
  <c r="CI38" i="13"/>
  <c r="CH38" i="13"/>
  <c r="AN38" i="13"/>
  <c r="AL38" i="13"/>
  <c r="GE62" i="11" l="1"/>
  <c r="GT76" i="11"/>
  <c r="GT74" i="11"/>
  <c r="GT72" i="11"/>
  <c r="GT70" i="11"/>
  <c r="GT68" i="11"/>
  <c r="GT66" i="11"/>
  <c r="GT62" i="11"/>
  <c r="GT60" i="11"/>
  <c r="GT56" i="11"/>
  <c r="GT54" i="11"/>
  <c r="GT52" i="11"/>
  <c r="GT50" i="11"/>
  <c r="GT44" i="11"/>
  <c r="GT40" i="11"/>
  <c r="GT38" i="11"/>
  <c r="NT38" i="11"/>
  <c r="GN72" i="11"/>
  <c r="GN58" i="11"/>
  <c r="GO58" i="11"/>
  <c r="GN56" i="11"/>
  <c r="GN42" i="11"/>
  <c r="KP46" i="11"/>
  <c r="KP44" i="11"/>
  <c r="KP42" i="11"/>
  <c r="KP40" i="11"/>
  <c r="FR48" i="13"/>
  <c r="KG48" i="11"/>
  <c r="FR52" i="13"/>
  <c r="KP52" i="11"/>
  <c r="KP54" i="11"/>
  <c r="KQ54" i="11" s="1"/>
  <c r="FR54" i="13"/>
  <c r="KP56" i="11"/>
  <c r="KP58" i="11"/>
  <c r="KP60" i="11"/>
  <c r="FR60" i="13"/>
  <c r="PR72" i="11"/>
  <c r="D66" i="12"/>
  <c r="DO72" i="13"/>
  <c r="FR72" i="13"/>
  <c r="GK72" i="13"/>
  <c r="IM72" i="13"/>
  <c r="KZ70" i="13"/>
  <c r="HU70" i="13"/>
  <c r="GE68" i="11"/>
  <c r="FX68" i="13"/>
  <c r="KH68" i="13"/>
  <c r="LF68" i="13"/>
  <c r="IM68" i="13"/>
  <c r="CI68" i="13"/>
  <c r="HU68" i="13"/>
  <c r="IA68" i="13"/>
  <c r="GE66" i="11"/>
  <c r="D58" i="12"/>
  <c r="IM64" i="13"/>
  <c r="CI64" i="13"/>
  <c r="HU64" i="13"/>
  <c r="IA64" i="13"/>
  <c r="IM62" i="13"/>
  <c r="CI62" i="13"/>
  <c r="GK60" i="13"/>
  <c r="GW60" i="13"/>
  <c r="IG60" i="13"/>
  <c r="PR58" i="11"/>
  <c r="CT58" i="13"/>
  <c r="FX58" i="13"/>
  <c r="IM58" i="13"/>
  <c r="CL58" i="13"/>
  <c r="PR56" i="11"/>
  <c r="IA56" i="13"/>
  <c r="D50" i="12"/>
  <c r="DO56" i="13"/>
  <c r="FR56" i="13"/>
  <c r="GK56" i="13"/>
  <c r="IG56" i="13"/>
  <c r="IM56" i="13"/>
  <c r="PR54" i="11"/>
  <c r="GE54" i="11"/>
  <c r="CT54" i="13"/>
  <c r="FX54" i="13"/>
  <c r="CZ54" i="13"/>
  <c r="GW54" i="13"/>
  <c r="HU54" i="13"/>
  <c r="D46" i="12"/>
  <c r="GW52" i="13"/>
  <c r="DO52" i="13"/>
  <c r="GK52" i="13"/>
  <c r="IG52" i="13"/>
  <c r="IA50" i="13"/>
  <c r="DO50" i="13"/>
  <c r="FR50" i="13"/>
  <c r="GK50" i="13"/>
  <c r="IG50" i="13"/>
  <c r="AA44" i="12"/>
  <c r="AB44" i="12" s="1"/>
  <c r="CT48" i="13"/>
  <c r="FX48" i="13"/>
  <c r="IM48" i="13"/>
  <c r="PR44" i="11"/>
  <c r="PR46" i="11"/>
  <c r="GE46" i="11"/>
  <c r="FR46" i="13"/>
  <c r="CI46" i="13"/>
  <c r="CZ46" i="13"/>
  <c r="GW46" i="13"/>
  <c r="CZ44" i="13"/>
  <c r="IA44" i="13"/>
  <c r="DO44" i="13"/>
  <c r="FR44" i="13"/>
  <c r="GK44" i="13"/>
  <c r="IG44" i="13"/>
  <c r="CI42" i="13"/>
  <c r="FR42" i="13"/>
  <c r="PR40" i="11"/>
  <c r="CL40" i="13"/>
  <c r="AA34" i="12"/>
  <c r="AB34" i="12" s="1"/>
  <c r="CT40" i="13"/>
  <c r="FX40" i="13"/>
  <c r="IM40" i="13"/>
  <c r="GE38" i="11"/>
  <c r="AA32" i="12"/>
  <c r="AB32" i="12" s="1"/>
  <c r="D32" i="12"/>
  <c r="GE100" i="11"/>
  <c r="OR100" i="11"/>
  <c r="KA70" i="11"/>
  <c r="KB70" i="11" s="1"/>
  <c r="DA38" i="11"/>
  <c r="DA42" i="11"/>
  <c r="DA46" i="11"/>
  <c r="DA50" i="11"/>
  <c r="DA54" i="11"/>
  <c r="DA58" i="11"/>
  <c r="DA62" i="11"/>
  <c r="DA66" i="11"/>
  <c r="DA70" i="11"/>
  <c r="DA74" i="11"/>
  <c r="DA78" i="11"/>
  <c r="DA82" i="11"/>
  <c r="DA86" i="11"/>
  <c r="DA90" i="11"/>
  <c r="DA94" i="11"/>
  <c r="DA98" i="11"/>
  <c r="DD38" i="11"/>
  <c r="DD42" i="11"/>
  <c r="DD46" i="11"/>
  <c r="DD50" i="11"/>
  <c r="DD54" i="11"/>
  <c r="DD58" i="11"/>
  <c r="DD62" i="11"/>
  <c r="DD66" i="11"/>
  <c r="DD70" i="11"/>
  <c r="DD74" i="11"/>
  <c r="DD78" i="11"/>
  <c r="DD82" i="11"/>
  <c r="DD86" i="11"/>
  <c r="DD90" i="11"/>
  <c r="DD94" i="11"/>
  <c r="DD98" i="11"/>
  <c r="DA40" i="11"/>
  <c r="DA44" i="11"/>
  <c r="DA48" i="11"/>
  <c r="DA52" i="11"/>
  <c r="DA56" i="11"/>
  <c r="DA60" i="11"/>
  <c r="DA64" i="11"/>
  <c r="DA68" i="11"/>
  <c r="DA72" i="11"/>
  <c r="DA76" i="11"/>
  <c r="DA80" i="11"/>
  <c r="DA84" i="11"/>
  <c r="DA88" i="11"/>
  <c r="DA92" i="11"/>
  <c r="DA96" i="11"/>
  <c r="DA100" i="11"/>
  <c r="DD40" i="11"/>
  <c r="DD44" i="11"/>
  <c r="DD48" i="11"/>
  <c r="DD52" i="11"/>
  <c r="DD56" i="11"/>
  <c r="DD60" i="11"/>
  <c r="DD64" i="11"/>
  <c r="DD68" i="11"/>
  <c r="DD72" i="11"/>
  <c r="DD76" i="11"/>
  <c r="DD80" i="11"/>
  <c r="DD84" i="11"/>
  <c r="DD88" i="11"/>
  <c r="DD92" i="11"/>
  <c r="DD96" i="11"/>
  <c r="DD100" i="11"/>
  <c r="IS68" i="11"/>
  <c r="IT68" i="11" s="1"/>
  <c r="NV76" i="11"/>
  <c r="NW76" i="11" s="1"/>
  <c r="NH78" i="11"/>
  <c r="BO78" i="11"/>
  <c r="NV78" i="11"/>
  <c r="NW78" i="11" s="1"/>
  <c r="OR78" i="11"/>
  <c r="RA78" i="11"/>
  <c r="ND80" i="11"/>
  <c r="RD80" i="11" s="1"/>
  <c r="OR94" i="11"/>
  <c r="LG96" i="11"/>
  <c r="LH96" i="11" s="1"/>
  <c r="NV96" i="11"/>
  <c r="NW96" i="11" s="1"/>
  <c r="OR96" i="11"/>
  <c r="RA96" i="11"/>
  <c r="ND98" i="11"/>
  <c r="RD98" i="11" s="1"/>
  <c r="BO98" i="11"/>
  <c r="NV98" i="11"/>
  <c r="NW98" i="11" s="1"/>
  <c r="RA98" i="11"/>
  <c r="NH100" i="11"/>
  <c r="FX76" i="11"/>
  <c r="OR98" i="11"/>
  <c r="OR74" i="11"/>
  <c r="FX80" i="11"/>
  <c r="FX40" i="11"/>
  <c r="FX46" i="11"/>
  <c r="FX48" i="11"/>
  <c r="FX54" i="11"/>
  <c r="FX56" i="11"/>
  <c r="FX60" i="11"/>
  <c r="FX62" i="11"/>
  <c r="FX64" i="11"/>
  <c r="FX66" i="11"/>
  <c r="FX68" i="11"/>
  <c r="FX70" i="11"/>
  <c r="FX72" i="11"/>
  <c r="FX86" i="11"/>
  <c r="FX88" i="11"/>
  <c r="FX90" i="11"/>
  <c r="FX92" i="11"/>
  <c r="FX98" i="11"/>
  <c r="FX38" i="11"/>
  <c r="FX42" i="11"/>
  <c r="FX44" i="11"/>
  <c r="FX50" i="11"/>
  <c r="FX52" i="11"/>
  <c r="FX58" i="11"/>
  <c r="FH70" i="11"/>
  <c r="FX74" i="11"/>
  <c r="FX78" i="11"/>
  <c r="FX82" i="11"/>
  <c r="FX84" i="11"/>
  <c r="FX94" i="11"/>
  <c r="FX96" i="11"/>
  <c r="FX100" i="11"/>
  <c r="CL42" i="13"/>
  <c r="BO54" i="11"/>
  <c r="NV64" i="11"/>
  <c r="NW64" i="11" s="1"/>
  <c r="OR64" i="11"/>
  <c r="OS64" i="11" s="1"/>
  <c r="OT64" i="11" s="1"/>
  <c r="RA64" i="11"/>
  <c r="NH66" i="11"/>
  <c r="FH66" i="11"/>
  <c r="FI66" i="11" s="1"/>
  <c r="RA66" i="11"/>
  <c r="ND68" i="11"/>
  <c r="RD68" i="11" s="1"/>
  <c r="NV70" i="11"/>
  <c r="OR56" i="11"/>
  <c r="RA56" i="11"/>
  <c r="KA58" i="11"/>
  <c r="KB58" i="11" s="1"/>
  <c r="KC58" i="11" s="1"/>
  <c r="NV60" i="11"/>
  <c r="NW60" i="11" s="1"/>
  <c r="OR60" i="11"/>
  <c r="OS60" i="11" s="1"/>
  <c r="OT60" i="11" s="1"/>
  <c r="RA60" i="11"/>
  <c r="NH62" i="11"/>
  <c r="BO62" i="11"/>
  <c r="CS38" i="11"/>
  <c r="CS42" i="11"/>
  <c r="CS46" i="11"/>
  <c r="CS50" i="11"/>
  <c r="CS54" i="11"/>
  <c r="CS58" i="11"/>
  <c r="CS62" i="11"/>
  <c r="CS66" i="11"/>
  <c r="CS70" i="11"/>
  <c r="CS74" i="11"/>
  <c r="CS78" i="11"/>
  <c r="CS82" i="11"/>
  <c r="CS86" i="11"/>
  <c r="CS90" i="11"/>
  <c r="CS94" i="11"/>
  <c r="CS98" i="11"/>
  <c r="CV38" i="11"/>
  <c r="CV42" i="11"/>
  <c r="CV46" i="11"/>
  <c r="CV50" i="11"/>
  <c r="CV54" i="11"/>
  <c r="CV58" i="11"/>
  <c r="CV62" i="11"/>
  <c r="CV66" i="11"/>
  <c r="CV70" i="11"/>
  <c r="CV74" i="11"/>
  <c r="CV78" i="11"/>
  <c r="CV82" i="11"/>
  <c r="CV86" i="11"/>
  <c r="CV90" i="11"/>
  <c r="CV94" i="11"/>
  <c r="CV98" i="11"/>
  <c r="CS40" i="11"/>
  <c r="CS44" i="11"/>
  <c r="CS48" i="11"/>
  <c r="CS52" i="11"/>
  <c r="CS56" i="11"/>
  <c r="CS60" i="11"/>
  <c r="CS64" i="11"/>
  <c r="CS68" i="11"/>
  <c r="CS72" i="11"/>
  <c r="CS76" i="11"/>
  <c r="CS80" i="11"/>
  <c r="CS84" i="11"/>
  <c r="CS88" i="11"/>
  <c r="CS92" i="11"/>
  <c r="CS96" i="11"/>
  <c r="CS100" i="11"/>
  <c r="CV40" i="11"/>
  <c r="CV44" i="11"/>
  <c r="CV48" i="11"/>
  <c r="CV52" i="11"/>
  <c r="CV56" i="11"/>
  <c r="CV60" i="11"/>
  <c r="CV64" i="11"/>
  <c r="CV68" i="11"/>
  <c r="CV72" i="11"/>
  <c r="CV76" i="11"/>
  <c r="CV80" i="11"/>
  <c r="CV84" i="11"/>
  <c r="CV88" i="11"/>
  <c r="CV92" i="11"/>
  <c r="CV96" i="11"/>
  <c r="CV100" i="11"/>
  <c r="FM44" i="11"/>
  <c r="FK46" i="11"/>
  <c r="ND38" i="11"/>
  <c r="RD38" i="11" s="1"/>
  <c r="BO38" i="11"/>
  <c r="FK38" i="11"/>
  <c r="FM40" i="11"/>
  <c r="FK42" i="11"/>
  <c r="OM44" i="11"/>
  <c r="L38" i="12"/>
  <c r="M38" i="12" s="1"/>
  <c r="FK44" i="11"/>
  <c r="FM46" i="11"/>
  <c r="FM48" i="11"/>
  <c r="OR48" i="11"/>
  <c r="OS48" i="11" s="1"/>
  <c r="OT48" i="11" s="1"/>
  <c r="RA48" i="11"/>
  <c r="FK50" i="11"/>
  <c r="OM52" i="11"/>
  <c r="L46" i="12"/>
  <c r="M46" i="12" s="1"/>
  <c r="FK52" i="11"/>
  <c r="FM54" i="11"/>
  <c r="FM56" i="11"/>
  <c r="FK58" i="11"/>
  <c r="FM60" i="11"/>
  <c r="FM62" i="11"/>
  <c r="FM64" i="11"/>
  <c r="FK66" i="11"/>
  <c r="OR66" i="11"/>
  <c r="FM68" i="11"/>
  <c r="FI70" i="11"/>
  <c r="FM70" i="11"/>
  <c r="RA70" i="11"/>
  <c r="FM72" i="11"/>
  <c r="OM74" i="11"/>
  <c r="L68" i="12"/>
  <c r="M68" i="12" s="1"/>
  <c r="FK74" i="11"/>
  <c r="FM76" i="11"/>
  <c r="OM78" i="11"/>
  <c r="L72" i="12"/>
  <c r="M72" i="12" s="1"/>
  <c r="FK78" i="11"/>
  <c r="FM80" i="11"/>
  <c r="FK82" i="11"/>
  <c r="OM84" i="11"/>
  <c r="L78" i="12"/>
  <c r="M78" i="12" s="1"/>
  <c r="FK84" i="11"/>
  <c r="FM86" i="11"/>
  <c r="FM88" i="11"/>
  <c r="FI90" i="11"/>
  <c r="FM90" i="11"/>
  <c r="FM92" i="11"/>
  <c r="FK94" i="11"/>
  <c r="NV94" i="11"/>
  <c r="NW94" i="11" s="1"/>
  <c r="BO96" i="11"/>
  <c r="FM96" i="11"/>
  <c r="FK98" i="11"/>
  <c r="LB100" i="11"/>
  <c r="L94" i="12"/>
  <c r="M94" i="12" s="1"/>
  <c r="FM100" i="11"/>
  <c r="FM38" i="11"/>
  <c r="OM40" i="11"/>
  <c r="L34" i="12"/>
  <c r="M34" i="12" s="1"/>
  <c r="FK40" i="11"/>
  <c r="FM42" i="11"/>
  <c r="OM48" i="11"/>
  <c r="L42" i="12"/>
  <c r="M42" i="12" s="1"/>
  <c r="FK48" i="11"/>
  <c r="FM50" i="11"/>
  <c r="FM52" i="11"/>
  <c r="FK54" i="11"/>
  <c r="OM56" i="11"/>
  <c r="L50" i="12"/>
  <c r="M50" i="12" s="1"/>
  <c r="FK56" i="11"/>
  <c r="FM58" i="11"/>
  <c r="OR58" i="11"/>
  <c r="RA58" i="11"/>
  <c r="FK60" i="11"/>
  <c r="OM62" i="11"/>
  <c r="L56" i="12"/>
  <c r="M56" i="12" s="1"/>
  <c r="FK62" i="11"/>
  <c r="FK64" i="11"/>
  <c r="FM66" i="11"/>
  <c r="FK68" i="11"/>
  <c r="OM70" i="11"/>
  <c r="L64" i="12"/>
  <c r="M64" i="12" s="1"/>
  <c r="FK70" i="11"/>
  <c r="FK72" i="11"/>
  <c r="FM74" i="11"/>
  <c r="FK76" i="11"/>
  <c r="FM78" i="11"/>
  <c r="FK80" i="11"/>
  <c r="FM82" i="11"/>
  <c r="FM84" i="11"/>
  <c r="FK86" i="11"/>
  <c r="FK88" i="11"/>
  <c r="FK90" i="11"/>
  <c r="FK92" i="11"/>
  <c r="FM94" i="11"/>
  <c r="FK96" i="11"/>
  <c r="FM98" i="11"/>
  <c r="FK100" i="11"/>
  <c r="AA94" i="12"/>
  <c r="AB94" i="12" s="1"/>
  <c r="AA92" i="12"/>
  <c r="AB92" i="12" s="1"/>
  <c r="U92" i="12"/>
  <c r="V92" i="12" s="1"/>
  <c r="AA90" i="12"/>
  <c r="AB90" i="12" s="1"/>
  <c r="U90" i="12"/>
  <c r="V90" i="12" s="1"/>
  <c r="R74" i="12"/>
  <c r="S74" i="12" s="1"/>
  <c r="U74" i="12"/>
  <c r="V74" i="12" s="1"/>
  <c r="AA74" i="12"/>
  <c r="AB74" i="12" s="1"/>
  <c r="R72" i="12"/>
  <c r="S72" i="12" s="1"/>
  <c r="U72" i="12"/>
  <c r="V72" i="12" s="1"/>
  <c r="AA72" i="12"/>
  <c r="AB72" i="12" s="1"/>
  <c r="AA70" i="12"/>
  <c r="AB70" i="12" s="1"/>
  <c r="U70" i="12"/>
  <c r="V70" i="12" s="1"/>
  <c r="AA68" i="12"/>
  <c r="AB68" i="12" s="1"/>
  <c r="U68" i="12"/>
  <c r="V68" i="12" s="1"/>
  <c r="AA66" i="12"/>
  <c r="AB66" i="12" s="1"/>
  <c r="AA64" i="12"/>
  <c r="AB64" i="12" s="1"/>
  <c r="AA62" i="12"/>
  <c r="AB62" i="12" s="1"/>
  <c r="AA60" i="12"/>
  <c r="AB60" i="12" s="1"/>
  <c r="AA58" i="12"/>
  <c r="AB58" i="12" s="1"/>
  <c r="AA56" i="12"/>
  <c r="AB56" i="12" s="1"/>
  <c r="AA54" i="12"/>
  <c r="AB54" i="12" s="1"/>
  <c r="AA52" i="12"/>
  <c r="AB52" i="12" s="1"/>
  <c r="AA50" i="12"/>
  <c r="AB50" i="12" s="1"/>
  <c r="KA50" i="11"/>
  <c r="KB50" i="11" s="1"/>
  <c r="KC50" i="11" s="1"/>
  <c r="KL50" i="11"/>
  <c r="IS86" i="11"/>
  <c r="RT86" i="11"/>
  <c r="KA86" i="11"/>
  <c r="KB86" i="11" s="1"/>
  <c r="KL86" i="11"/>
  <c r="KM86" i="11" s="1"/>
  <c r="KN86" i="11" s="1"/>
  <c r="KA88" i="11"/>
  <c r="KB88" i="11" s="1"/>
  <c r="AY38" i="11"/>
  <c r="OR70" i="11"/>
  <c r="OS70" i="11" s="1"/>
  <c r="OT70" i="11" s="1"/>
  <c r="BO72" i="11"/>
  <c r="LG90" i="11"/>
  <c r="LH90" i="11" s="1"/>
  <c r="LM90" i="11"/>
  <c r="LN90" i="11" s="1"/>
  <c r="LO90" i="11" s="1"/>
  <c r="KL52" i="11"/>
  <c r="KA54" i="11"/>
  <c r="KB54" i="11" s="1"/>
  <c r="KC54" i="11" s="1"/>
  <c r="KL54" i="11"/>
  <c r="KL56" i="11"/>
  <c r="KL70" i="11"/>
  <c r="IS74" i="11"/>
  <c r="RT74" i="11"/>
  <c r="RJ74" i="11" s="1"/>
  <c r="FC74" i="11"/>
  <c r="KA74" i="11"/>
  <c r="KB74" i="11" s="1"/>
  <c r="IS78" i="11"/>
  <c r="RT78" i="11"/>
  <c r="KA78" i="11"/>
  <c r="KB78" i="11" s="1"/>
  <c r="IS82" i="11"/>
  <c r="IT82" i="11" s="1"/>
  <c r="RT82" i="11"/>
  <c r="FH82" i="11"/>
  <c r="FI82" i="11" s="1"/>
  <c r="FC82" i="11"/>
  <c r="KA82" i="11"/>
  <c r="KB82" i="11" s="1"/>
  <c r="KC82" i="11" s="1"/>
  <c r="KL40" i="11"/>
  <c r="IS42" i="11"/>
  <c r="IT42" i="11" s="1"/>
  <c r="RT42" i="11"/>
  <c r="FC42" i="11"/>
  <c r="FN42" i="11" s="1"/>
  <c r="KA42" i="11"/>
  <c r="KB42" i="11" s="1"/>
  <c r="KC42" i="11" s="1"/>
  <c r="KL42" i="11"/>
  <c r="RA42" i="11"/>
  <c r="KL44" i="11"/>
  <c r="RT46" i="11"/>
  <c r="FC46" i="11"/>
  <c r="FN46" i="11" s="1"/>
  <c r="KA46" i="11"/>
  <c r="KB46" i="11" s="1"/>
  <c r="KC46" i="11" s="1"/>
  <c r="IS62" i="11"/>
  <c r="JK62" i="11" s="1"/>
  <c r="RT62" i="11"/>
  <c r="FC62" i="11"/>
  <c r="FD62" i="11" s="1"/>
  <c r="RL62" i="11" s="1"/>
  <c r="KL46" i="11"/>
  <c r="RA46" i="11"/>
  <c r="KL48" i="11"/>
  <c r="OY52" i="11"/>
  <c r="OZ52" i="11" s="1"/>
  <c r="LM60" i="11"/>
  <c r="AY62" i="11"/>
  <c r="LM64" i="11"/>
  <c r="BO68" i="11"/>
  <c r="FC72" i="11"/>
  <c r="FD72" i="11" s="1"/>
  <c r="RL72" i="11" s="1"/>
  <c r="HE72" i="11"/>
  <c r="OR80" i="11"/>
  <c r="AY82" i="11"/>
  <c r="JB82" i="11"/>
  <c r="ML82" i="11"/>
  <c r="OR82" i="11"/>
  <c r="KL84" i="11"/>
  <c r="KM84" i="11" s="1"/>
  <c r="FC86" i="11"/>
  <c r="OR86" i="11"/>
  <c r="OS86" i="11" s="1"/>
  <c r="OT86" i="11" s="1"/>
  <c r="LG92" i="11"/>
  <c r="LH92" i="11" s="1"/>
  <c r="OR92" i="11"/>
  <c r="OS92" i="11" s="1"/>
  <c r="OT92" i="11" s="1"/>
  <c r="RA92" i="11"/>
  <c r="KA94" i="11"/>
  <c r="KB94" i="11" s="1"/>
  <c r="KL94" i="11"/>
  <c r="KM94" i="11" s="1"/>
  <c r="MX96" i="11"/>
  <c r="KL96" i="11"/>
  <c r="KM96" i="11" s="1"/>
  <c r="MX98" i="11"/>
  <c r="IS98" i="11"/>
  <c r="RT98" i="11"/>
  <c r="LM98" i="11"/>
  <c r="LN98" i="11" s="1"/>
  <c r="KA38" i="11"/>
  <c r="KB38" i="11" s="1"/>
  <c r="KC38" i="11" s="1"/>
  <c r="KL38" i="11"/>
  <c r="KM38" i="11" s="1"/>
  <c r="KN38" i="11" s="1"/>
  <c r="OR38" i="11"/>
  <c r="OS38" i="11" s="1"/>
  <c r="OT38" i="11" s="1"/>
  <c r="LG40" i="11"/>
  <c r="OY40" i="11"/>
  <c r="LG44" i="11"/>
  <c r="OY44" i="11"/>
  <c r="OZ44" i="11" s="1"/>
  <c r="LM48" i="11"/>
  <c r="RA50" i="11"/>
  <c r="AY54" i="11"/>
  <c r="JB54" i="11"/>
  <c r="KV54" i="11"/>
  <c r="OR54" i="11"/>
  <c r="LM56" i="11"/>
  <c r="OY62" i="11"/>
  <c r="OZ62" i="11" s="1"/>
  <c r="MX68" i="11"/>
  <c r="RT68" i="11"/>
  <c r="RJ68" i="11" s="1"/>
  <c r="OY68" i="11"/>
  <c r="OR72" i="11"/>
  <c r="OS72" i="11" s="1"/>
  <c r="OT72" i="11" s="1"/>
  <c r="AY74" i="11"/>
  <c r="FH74" i="11"/>
  <c r="FI74" i="11" s="1"/>
  <c r="LM74" i="11"/>
  <c r="LN74" i="11" s="1"/>
  <c r="OR76" i="11"/>
  <c r="AY78" i="11"/>
  <c r="FH78" i="11"/>
  <c r="FI78" i="11" s="1"/>
  <c r="FC78" i="11"/>
  <c r="FD78" i="11" s="1"/>
  <c r="RL78" i="11" s="1"/>
  <c r="LM78" i="11"/>
  <c r="LN78" i="11" s="1"/>
  <c r="LG84" i="11"/>
  <c r="LH84" i="11" s="1"/>
  <c r="LI84" i="11" s="1"/>
  <c r="OY84" i="11"/>
  <c r="OR90" i="11"/>
  <c r="OS90" i="11" s="1"/>
  <c r="OT90" i="11" s="1"/>
  <c r="KL92" i="11"/>
  <c r="KM92" i="11" s="1"/>
  <c r="RA38" i="11"/>
  <c r="NH40" i="11"/>
  <c r="BO40" i="11"/>
  <c r="AY40" i="11"/>
  <c r="IS40" i="11"/>
  <c r="IT40" i="11" s="1"/>
  <c r="RT40" i="11"/>
  <c r="FH40" i="11"/>
  <c r="FI40" i="11" s="1"/>
  <c r="FC40" i="11"/>
  <c r="FD40" i="11" s="1"/>
  <c r="RL40" i="11" s="1"/>
  <c r="KA40" i="11"/>
  <c r="KB40" i="11" s="1"/>
  <c r="LB40" i="11"/>
  <c r="LM40" i="11"/>
  <c r="NV40" i="11"/>
  <c r="NW40" i="11" s="1"/>
  <c r="OR40" i="11"/>
  <c r="OS40" i="11" s="1"/>
  <c r="OT40" i="11" s="1"/>
  <c r="RA40" i="11"/>
  <c r="NV42" i="11"/>
  <c r="NW42" i="11" s="1"/>
  <c r="NX42" i="11" s="1"/>
  <c r="OR42" i="11"/>
  <c r="OS42" i="11" s="1"/>
  <c r="OT42" i="11" s="1"/>
  <c r="NH44" i="11"/>
  <c r="BO44" i="11"/>
  <c r="AY44" i="11"/>
  <c r="IS44" i="11"/>
  <c r="JK44" i="11" s="1"/>
  <c r="RT44" i="11"/>
  <c r="FH44" i="11"/>
  <c r="FI44" i="11" s="1"/>
  <c r="FC44" i="11"/>
  <c r="FD44" i="11" s="1"/>
  <c r="RL44" i="11" s="1"/>
  <c r="KA44" i="11"/>
  <c r="KB44" i="11" s="1"/>
  <c r="KC44" i="11" s="1"/>
  <c r="LB44" i="11"/>
  <c r="LM44" i="11"/>
  <c r="NV44" i="11"/>
  <c r="NW44" i="11" s="1"/>
  <c r="NX44" i="11" s="1"/>
  <c r="OR44" i="11"/>
  <c r="OS44" i="11" s="1"/>
  <c r="OT44" i="11" s="1"/>
  <c r="RA44" i="11"/>
  <c r="NV46" i="11"/>
  <c r="NW46" i="11" s="1"/>
  <c r="OR46" i="11"/>
  <c r="OS46" i="11" s="1"/>
  <c r="OT46" i="11" s="1"/>
  <c r="NH48" i="11"/>
  <c r="BO48" i="11"/>
  <c r="KA48" i="11"/>
  <c r="KB48" i="11" s="1"/>
  <c r="KC48" i="11" s="1"/>
  <c r="OY48" i="11"/>
  <c r="RT50" i="11"/>
  <c r="RJ50" i="11" s="1"/>
  <c r="JB50" i="11"/>
  <c r="FC50" i="11"/>
  <c r="FD50" i="11" s="1"/>
  <c r="RL50" i="11" s="1"/>
  <c r="NR50" i="11"/>
  <c r="HH38" i="11"/>
  <c r="HE40" i="11"/>
  <c r="HH42" i="11"/>
  <c r="NR42" i="11"/>
  <c r="HE44" i="11"/>
  <c r="JB46" i="11"/>
  <c r="HH46" i="11"/>
  <c r="NR46" i="11"/>
  <c r="HE48" i="11"/>
  <c r="HG50" i="11"/>
  <c r="HH50" i="11" s="1"/>
  <c r="NV50" i="11"/>
  <c r="NW50" i="11" s="1"/>
  <c r="NX50" i="11" s="1"/>
  <c r="OR50" i="11"/>
  <c r="KA56" i="11"/>
  <c r="KB56" i="11" s="1"/>
  <c r="KC56" i="11" s="1"/>
  <c r="LG56" i="11"/>
  <c r="OY56" i="11"/>
  <c r="OZ56" i="11" s="1"/>
  <c r="RT58" i="11"/>
  <c r="FC58" i="11"/>
  <c r="FN58" i="11" s="1"/>
  <c r="HH58" i="11"/>
  <c r="KL58" i="11"/>
  <c r="LG58" i="11"/>
  <c r="OY58" i="11"/>
  <c r="OZ58" i="11" s="1"/>
  <c r="IS60" i="11"/>
  <c r="HH60" i="11"/>
  <c r="KA60" i="11"/>
  <c r="KB60" i="11" s="1"/>
  <c r="KC60" i="11" s="1"/>
  <c r="KL60" i="11"/>
  <c r="OY60" i="11"/>
  <c r="HE62" i="11"/>
  <c r="KA62" i="11"/>
  <c r="KB62" i="11" s="1"/>
  <c r="KC62" i="11" s="1"/>
  <c r="KL62" i="11"/>
  <c r="OR62" i="11"/>
  <c r="OS62" i="11" s="1"/>
  <c r="OT62" i="11" s="1"/>
  <c r="RA62" i="11"/>
  <c r="KA64" i="11"/>
  <c r="KB64" i="11" s="1"/>
  <c r="KC64" i="11" s="1"/>
  <c r="KL64" i="11"/>
  <c r="OY64" i="11"/>
  <c r="OZ64" i="11" s="1"/>
  <c r="IS66" i="11"/>
  <c r="IT66" i="11" s="1"/>
  <c r="RT66" i="11"/>
  <c r="KA66" i="11"/>
  <c r="KB66" i="11" s="1"/>
  <c r="KC66" i="11" s="1"/>
  <c r="KL66" i="11"/>
  <c r="OY66" i="11"/>
  <c r="KA68" i="11"/>
  <c r="KB68" i="11" s="1"/>
  <c r="KC68" i="11" s="1"/>
  <c r="KL68" i="11"/>
  <c r="LB68" i="11"/>
  <c r="NV68" i="11"/>
  <c r="OR68" i="11"/>
  <c r="OS68" i="11" s="1"/>
  <c r="OT68" i="11" s="1"/>
  <c r="RA68" i="11"/>
  <c r="NH70" i="11"/>
  <c r="BO70" i="11"/>
  <c r="AY70" i="11"/>
  <c r="IS70" i="11"/>
  <c r="JK70" i="11" s="1"/>
  <c r="RT70" i="11"/>
  <c r="OY70" i="11"/>
  <c r="OZ70" i="11" s="1"/>
  <c r="KA72" i="11"/>
  <c r="KB72" i="11" s="1"/>
  <c r="KC72" i="11" s="1"/>
  <c r="KL72" i="11"/>
  <c r="RA72" i="11"/>
  <c r="HE74" i="11"/>
  <c r="KL74" i="11"/>
  <c r="KM74" i="11" s="1"/>
  <c r="KN74" i="11" s="1"/>
  <c r="LG74" i="11"/>
  <c r="LH74" i="11" s="1"/>
  <c r="OY74" i="11"/>
  <c r="OZ74" i="11" s="1"/>
  <c r="RT76" i="11"/>
  <c r="JB76" i="11"/>
  <c r="FC76" i="11"/>
  <c r="FN76" i="11" s="1"/>
  <c r="HH76" i="11"/>
  <c r="KA76" i="11"/>
  <c r="KB76" i="11" s="1"/>
  <c r="KL76" i="11"/>
  <c r="KM76" i="11" s="1"/>
  <c r="KN76" i="11" s="1"/>
  <c r="NR76" i="11"/>
  <c r="RA76" i="11"/>
  <c r="HE78" i="11"/>
  <c r="KL78" i="11"/>
  <c r="KM78" i="11" s="1"/>
  <c r="LG78" i="11"/>
  <c r="LH78" i="11" s="1"/>
  <c r="OY78" i="11"/>
  <c r="OZ78" i="11" s="1"/>
  <c r="AY80" i="11"/>
  <c r="NH52" i="11"/>
  <c r="BO52" i="11"/>
  <c r="AY52" i="11"/>
  <c r="IS52" i="11"/>
  <c r="JK52" i="11" s="1"/>
  <c r="RT52" i="11"/>
  <c r="FH52" i="11"/>
  <c r="FI52" i="11" s="1"/>
  <c r="JB52" i="11"/>
  <c r="ML52" i="11"/>
  <c r="FC52" i="11"/>
  <c r="FD52" i="11" s="1"/>
  <c r="RL52" i="11" s="1"/>
  <c r="HD52" i="11"/>
  <c r="HE52" i="11" s="1"/>
  <c r="KA52" i="11"/>
  <c r="KB52" i="11" s="1"/>
  <c r="KC52" i="11" s="1"/>
  <c r="LB52" i="11"/>
  <c r="NV52" i="11"/>
  <c r="NW52" i="11" s="1"/>
  <c r="NX52" i="11" s="1"/>
  <c r="OR52" i="11"/>
  <c r="RA52" i="11"/>
  <c r="ND54" i="11"/>
  <c r="RD54" i="11" s="1"/>
  <c r="IS54" i="11"/>
  <c r="JK54" i="11" s="1"/>
  <c r="MF54" i="11"/>
  <c r="JI54" i="11"/>
  <c r="FA54" i="11"/>
  <c r="HH54" i="11"/>
  <c r="II54" i="11"/>
  <c r="JQ54" i="11"/>
  <c r="KR54" i="11"/>
  <c r="LB54" i="11"/>
  <c r="LG54" i="11"/>
  <c r="LM54" i="11"/>
  <c r="RA54" i="11"/>
  <c r="HE56" i="11"/>
  <c r="JB62" i="11"/>
  <c r="ML62" i="11"/>
  <c r="II62" i="11"/>
  <c r="JQ62" i="11"/>
  <c r="KV62" i="11"/>
  <c r="LB62" i="11"/>
  <c r="NL62" i="11"/>
  <c r="NR62" i="11"/>
  <c r="OK62" i="11"/>
  <c r="PE62" i="11"/>
  <c r="PM62" i="11"/>
  <c r="HE64" i="11"/>
  <c r="AY68" i="11"/>
  <c r="FC68" i="11"/>
  <c r="FD68" i="11" s="1"/>
  <c r="RL68" i="11" s="1"/>
  <c r="HD68" i="11"/>
  <c r="HE68" i="11" s="1"/>
  <c r="HE70" i="11"/>
  <c r="LB70" i="11"/>
  <c r="LB74" i="11"/>
  <c r="BO80" i="11"/>
  <c r="IS80" i="11"/>
  <c r="JK80" i="11" s="1"/>
  <c r="JL80" i="11" s="1"/>
  <c r="JM80" i="11" s="1"/>
  <c r="RT80" i="11"/>
  <c r="FC80" i="11"/>
  <c r="FD80" i="11" s="1"/>
  <c r="RL80" i="11" s="1"/>
  <c r="HH80" i="11"/>
  <c r="II80" i="11"/>
  <c r="KA80" i="11"/>
  <c r="KB80" i="11" s="1"/>
  <c r="KL80" i="11"/>
  <c r="KM80" i="11" s="1"/>
  <c r="KN80" i="11" s="1"/>
  <c r="NR80" i="11"/>
  <c r="RA80" i="11"/>
  <c r="HE82" i="11"/>
  <c r="KL82" i="11"/>
  <c r="KM82" i="11" s="1"/>
  <c r="LM82" i="11"/>
  <c r="LN82" i="11" s="1"/>
  <c r="HE84" i="11"/>
  <c r="KA90" i="11"/>
  <c r="KB90" i="11" s="1"/>
  <c r="KL90" i="11"/>
  <c r="KM90" i="11" s="1"/>
  <c r="KA92" i="11"/>
  <c r="KB92" i="11" s="1"/>
  <c r="KC92" i="11" s="1"/>
  <c r="LG94" i="11"/>
  <c r="LH94" i="11" s="1"/>
  <c r="OY94" i="11"/>
  <c r="OZ94" i="11" s="1"/>
  <c r="AY98" i="11"/>
  <c r="JB98" i="11"/>
  <c r="ML98" i="11"/>
  <c r="FC98" i="11"/>
  <c r="FN98" i="11" s="1"/>
  <c r="II98" i="11"/>
  <c r="JQ98" i="11"/>
  <c r="KV98" i="11"/>
  <c r="LB98" i="11"/>
  <c r="LO98" i="11"/>
  <c r="NX98" i="11"/>
  <c r="OB98" i="11"/>
  <c r="OS98" i="11"/>
  <c r="OT98" i="11" s="1"/>
  <c r="PJ98" i="11"/>
  <c r="PO98" i="11"/>
  <c r="PU98" i="11"/>
  <c r="PZ98" i="11"/>
  <c r="KA84" i="11"/>
  <c r="KB84" i="11" s="1"/>
  <c r="KC84" i="11" s="1"/>
  <c r="LB84" i="11"/>
  <c r="OR84" i="11"/>
  <c r="OS84" i="11" s="1"/>
  <c r="OT84" i="11" s="1"/>
  <c r="RA84" i="11"/>
  <c r="HG86" i="11"/>
  <c r="HH86" i="11" s="1"/>
  <c r="LG86" i="11"/>
  <c r="LH86" i="11" s="1"/>
  <c r="LM86" i="11"/>
  <c r="LN86" i="11" s="1"/>
  <c r="RA86" i="11"/>
  <c r="HE88" i="11"/>
  <c r="KL88" i="11"/>
  <c r="KM88" i="11" s="1"/>
  <c r="LG88" i="11"/>
  <c r="LH88" i="11" s="1"/>
  <c r="OY88" i="11"/>
  <c r="HG90" i="11"/>
  <c r="HH90" i="11" s="1"/>
  <c r="OY90" i="11"/>
  <c r="OZ90" i="11" s="1"/>
  <c r="HE92" i="11"/>
  <c r="OY92" i="11"/>
  <c r="OZ92" i="11" s="1"/>
  <c r="HE94" i="11"/>
  <c r="AY96" i="11"/>
  <c r="IS96" i="11"/>
  <c r="RT96" i="11"/>
  <c r="JB96" i="11"/>
  <c r="FC96" i="11"/>
  <c r="FD96" i="11" s="1"/>
  <c r="RL96" i="11" s="1"/>
  <c r="HD96" i="11"/>
  <c r="HE96" i="11" s="1"/>
  <c r="II96" i="11"/>
  <c r="KA96" i="11"/>
  <c r="KB96" i="11" s="1"/>
  <c r="KC96" i="11" s="1"/>
  <c r="OY96" i="11"/>
  <c r="HE98" i="11"/>
  <c r="KA98" i="11"/>
  <c r="KB98" i="11" s="1"/>
  <c r="KC98" i="11" s="1"/>
  <c r="KL98" i="11"/>
  <c r="KM98" i="11" s="1"/>
  <c r="KN98" i="11" s="1"/>
  <c r="LG98" i="11"/>
  <c r="LH98" i="11" s="1"/>
  <c r="LI98" i="11" s="1"/>
  <c r="OY98" i="11"/>
  <c r="OZ98" i="11" s="1"/>
  <c r="FA100" i="11"/>
  <c r="KF100" i="11"/>
  <c r="KP100" i="11"/>
  <c r="FH100" i="11"/>
  <c r="FI100" i="11" s="1"/>
  <c r="EY100" i="11"/>
  <c r="AY100" i="11"/>
  <c r="BO100" i="11"/>
  <c r="MF100" i="11"/>
  <c r="JI100" i="11"/>
  <c r="NX100" i="11"/>
  <c r="OS100" i="11"/>
  <c r="OT100" i="11" s="1"/>
  <c r="PR100" i="11"/>
  <c r="PJ100" i="11"/>
  <c r="KL100" i="11"/>
  <c r="OY100" i="11"/>
  <c r="HH100" i="11"/>
  <c r="MF38" i="11"/>
  <c r="JI38" i="11"/>
  <c r="II38" i="11"/>
  <c r="JQ38" i="11"/>
  <c r="KR38" i="11"/>
  <c r="KV38" i="11"/>
  <c r="LB38" i="11"/>
  <c r="NL38" i="11"/>
  <c r="NR38" i="11"/>
  <c r="OB38" i="11"/>
  <c r="OM38" i="11"/>
  <c r="PE38" i="11"/>
  <c r="JB40" i="11"/>
  <c r="ML40" i="11"/>
  <c r="JQ40" i="11"/>
  <c r="KV40" i="11"/>
  <c r="NX40" i="11"/>
  <c r="OB40" i="11"/>
  <c r="RE40" i="11" s="1"/>
  <c r="PJ40" i="11"/>
  <c r="PO40" i="11"/>
  <c r="PU40" i="11"/>
  <c r="PZ40" i="11"/>
  <c r="ND42" i="11"/>
  <c r="RD42" i="11" s="1"/>
  <c r="AY42" i="11"/>
  <c r="BO42" i="11"/>
  <c r="EY42" i="11"/>
  <c r="MF42" i="11"/>
  <c r="JI42" i="11"/>
  <c r="FA42" i="11"/>
  <c r="MT42" i="11"/>
  <c r="OK42" i="11"/>
  <c r="PJ42" i="11"/>
  <c r="JB44" i="11"/>
  <c r="ML44" i="11"/>
  <c r="MT44" i="11"/>
  <c r="NL44" i="11"/>
  <c r="NR44" i="11"/>
  <c r="PE44" i="11"/>
  <c r="PM44" i="11"/>
  <c r="PW44" i="11"/>
  <c r="QC44" i="11"/>
  <c r="ML46" i="11"/>
  <c r="II46" i="11"/>
  <c r="MT46" i="11"/>
  <c r="NX46" i="11"/>
  <c r="OK46" i="11"/>
  <c r="PJ46" i="11"/>
  <c r="AY48" i="11"/>
  <c r="IS48" i="11"/>
  <c r="RT48" i="11"/>
  <c r="RJ48" i="11" s="1"/>
  <c r="FH48" i="11"/>
  <c r="FI48" i="11" s="1"/>
  <c r="JB48" i="11"/>
  <c r="ML48" i="11"/>
  <c r="KR48" i="11"/>
  <c r="NV48" i="11"/>
  <c r="NW48" i="11" s="1"/>
  <c r="NX48" i="11" s="1"/>
  <c r="OB48" i="11"/>
  <c r="RE48" i="11" s="1"/>
  <c r="PJ48" i="11"/>
  <c r="PO48" i="11"/>
  <c r="PU48" i="11"/>
  <c r="PZ48" i="11"/>
  <c r="ND50" i="11"/>
  <c r="RD50" i="11" s="1"/>
  <c r="AY50" i="11"/>
  <c r="BO50" i="11"/>
  <c r="IS50" i="11"/>
  <c r="IT50" i="11" s="1"/>
  <c r="MF50" i="11"/>
  <c r="JI50" i="11"/>
  <c r="FA50" i="11"/>
  <c r="JQ50" i="11"/>
  <c r="KR50" i="11"/>
  <c r="KV50" i="11"/>
  <c r="LB50" i="11"/>
  <c r="LG50" i="11"/>
  <c r="LM50" i="11"/>
  <c r="NL50" i="11"/>
  <c r="OB50" i="11"/>
  <c r="OM50" i="11"/>
  <c r="PE50" i="11"/>
  <c r="MF52" i="11"/>
  <c r="JI52" i="11"/>
  <c r="II52" i="11"/>
  <c r="JQ52" i="11"/>
  <c r="KV52" i="11"/>
  <c r="MT52" i="11"/>
  <c r="NL52" i="11"/>
  <c r="NR52" i="11"/>
  <c r="PE52" i="11"/>
  <c r="PM52" i="11"/>
  <c r="PW52" i="11"/>
  <c r="QC52" i="11"/>
  <c r="RT54" i="11"/>
  <c r="ML54" i="11"/>
  <c r="FC54" i="11"/>
  <c r="FN54" i="11" s="1"/>
  <c r="MT54" i="11"/>
  <c r="RC54" i="11" s="1"/>
  <c r="NV54" i="11"/>
  <c r="NW54" i="11" s="1"/>
  <c r="NX54" i="11" s="1"/>
  <c r="II56" i="11"/>
  <c r="JQ56" i="11"/>
  <c r="KV56" i="11"/>
  <c r="LB56" i="11"/>
  <c r="II58" i="11"/>
  <c r="LB58" i="11"/>
  <c r="IS38" i="11"/>
  <c r="IT38" i="11" s="1"/>
  <c r="RT38" i="11"/>
  <c r="RJ38" i="11" s="1"/>
  <c r="JB38" i="11"/>
  <c r="ML38" i="11"/>
  <c r="MT38" i="11"/>
  <c r="NV38" i="11"/>
  <c r="NW38" i="11" s="1"/>
  <c r="NX38" i="11" s="1"/>
  <c r="OK38" i="11"/>
  <c r="PJ38" i="11"/>
  <c r="MF40" i="11"/>
  <c r="JI40" i="11"/>
  <c r="II40" i="11"/>
  <c r="KC40" i="11"/>
  <c r="MT40" i="11"/>
  <c r="NL40" i="11"/>
  <c r="NR40" i="11"/>
  <c r="OZ40" i="11"/>
  <c r="PE40" i="11"/>
  <c r="PM40" i="11"/>
  <c r="PW40" i="11"/>
  <c r="QC40" i="11"/>
  <c r="JB42" i="11"/>
  <c r="ML42" i="11"/>
  <c r="II42" i="11"/>
  <c r="JQ42" i="11"/>
  <c r="KV42" i="11"/>
  <c r="LB42" i="11"/>
  <c r="LG42" i="11"/>
  <c r="LM42" i="11"/>
  <c r="NL42" i="11"/>
  <c r="OB42" i="11"/>
  <c r="OM42" i="11"/>
  <c r="PE42" i="11"/>
  <c r="MF44" i="11"/>
  <c r="JI44" i="11"/>
  <c r="II44" i="11"/>
  <c r="JQ44" i="11"/>
  <c r="KV44" i="11"/>
  <c r="OB44" i="11"/>
  <c r="PJ44" i="11"/>
  <c r="PO44" i="11"/>
  <c r="PU44" i="11"/>
  <c r="PZ44" i="11"/>
  <c r="ND46" i="11"/>
  <c r="RD46" i="11" s="1"/>
  <c r="AY46" i="11"/>
  <c r="BO46" i="11"/>
  <c r="IS46" i="11"/>
  <c r="IT46" i="11" s="1"/>
  <c r="MF46" i="11"/>
  <c r="JI46" i="11"/>
  <c r="FA46" i="11"/>
  <c r="JQ46" i="11"/>
  <c r="KV46" i="11"/>
  <c r="LB46" i="11"/>
  <c r="NL46" i="11"/>
  <c r="OB46" i="11"/>
  <c r="OM46" i="11"/>
  <c r="PE46" i="11"/>
  <c r="MF48" i="11"/>
  <c r="JI48" i="11"/>
  <c r="II48" i="11"/>
  <c r="JQ48" i="11"/>
  <c r="KV48" i="11"/>
  <c r="LB48" i="11"/>
  <c r="MT48" i="11"/>
  <c r="NL48" i="11"/>
  <c r="NR48" i="11"/>
  <c r="OZ48" i="11"/>
  <c r="PE48" i="11"/>
  <c r="PM48" i="11"/>
  <c r="PW48" i="11"/>
  <c r="QC48" i="11"/>
  <c r="ML50" i="11"/>
  <c r="II50" i="11"/>
  <c r="MT50" i="11"/>
  <c r="OK50" i="11"/>
  <c r="OS50" i="11"/>
  <c r="OT50" i="11" s="1"/>
  <c r="PJ50" i="11"/>
  <c r="OB52" i="11"/>
  <c r="OS52" i="11"/>
  <c r="OT52" i="11" s="1"/>
  <c r="PJ52" i="11"/>
  <c r="PO52" i="11"/>
  <c r="PU52" i="11"/>
  <c r="PZ52" i="11"/>
  <c r="NL54" i="11"/>
  <c r="NR54" i="11"/>
  <c r="OB54" i="11"/>
  <c r="OM54" i="11"/>
  <c r="PE54" i="11"/>
  <c r="MF56" i="11"/>
  <c r="JI56" i="11"/>
  <c r="MT56" i="11"/>
  <c r="RC56" i="11" s="1"/>
  <c r="NL56" i="11"/>
  <c r="NR56" i="11"/>
  <c r="PE56" i="11"/>
  <c r="PM56" i="11"/>
  <c r="PW56" i="11"/>
  <c r="QC56" i="11"/>
  <c r="LY58" i="11"/>
  <c r="LZ58" i="11" s="1"/>
  <c r="FA58" i="11"/>
  <c r="JB58" i="11"/>
  <c r="ML58" i="11"/>
  <c r="MT58" i="11"/>
  <c r="RC58" i="11" s="1"/>
  <c r="NL58" i="11"/>
  <c r="NR58" i="11"/>
  <c r="PE58" i="11"/>
  <c r="PM58" i="11"/>
  <c r="PW58" i="11"/>
  <c r="QC58" i="11"/>
  <c r="JB60" i="11"/>
  <c r="II60" i="11"/>
  <c r="MF64" i="11"/>
  <c r="JI64" i="11"/>
  <c r="JQ64" i="11"/>
  <c r="KV64" i="11"/>
  <c r="LB64" i="11"/>
  <c r="NX64" i="11"/>
  <c r="OB64" i="11"/>
  <c r="RE64" i="11" s="1"/>
  <c r="PJ64" i="11"/>
  <c r="PO64" i="11"/>
  <c r="PU64" i="11"/>
  <c r="PZ64" i="11"/>
  <c r="BO66" i="11"/>
  <c r="AY66" i="11"/>
  <c r="MF66" i="11"/>
  <c r="JI66" i="11"/>
  <c r="II66" i="11"/>
  <c r="JQ66" i="11"/>
  <c r="KV66" i="11"/>
  <c r="LB66" i="11"/>
  <c r="NL66" i="11"/>
  <c r="NR66" i="11"/>
  <c r="OB66" i="11"/>
  <c r="RE66" i="11" s="1"/>
  <c r="OM66" i="11"/>
  <c r="OS66" i="11"/>
  <c r="OT66" i="11" s="1"/>
  <c r="PJ66" i="11"/>
  <c r="PO66" i="11"/>
  <c r="JB68" i="11"/>
  <c r="ML68" i="11"/>
  <c r="II68" i="11"/>
  <c r="JQ68" i="11"/>
  <c r="KV68" i="11"/>
  <c r="OB68" i="11"/>
  <c r="PJ68" i="11"/>
  <c r="PO68" i="11"/>
  <c r="PU68" i="11"/>
  <c r="PZ68" i="11"/>
  <c r="JB70" i="11"/>
  <c r="ML70" i="11"/>
  <c r="FC70" i="11"/>
  <c r="FD70" i="11" s="1"/>
  <c r="RL70" i="11" s="1"/>
  <c r="II70" i="11"/>
  <c r="JQ70" i="11"/>
  <c r="KV70" i="11"/>
  <c r="OB70" i="11"/>
  <c r="PJ70" i="11"/>
  <c r="PO70" i="11"/>
  <c r="PU70" i="11"/>
  <c r="PZ70" i="11"/>
  <c r="AY72" i="11"/>
  <c r="BS72" i="11"/>
  <c r="BV72" i="11" s="1"/>
  <c r="RT72" i="11"/>
  <c r="LG72" i="11"/>
  <c r="LM72" i="11"/>
  <c r="MF74" i="11"/>
  <c r="JI74" i="11"/>
  <c r="II74" i="11"/>
  <c r="JQ74" i="11"/>
  <c r="KV74" i="11"/>
  <c r="LO74" i="11"/>
  <c r="MT74" i="11"/>
  <c r="NL74" i="11"/>
  <c r="NR74" i="11"/>
  <c r="PE74" i="11"/>
  <c r="PM74" i="11"/>
  <c r="PW74" i="11"/>
  <c r="QC74" i="11"/>
  <c r="ML76" i="11"/>
  <c r="II76" i="11"/>
  <c r="KC76" i="11"/>
  <c r="MT76" i="11"/>
  <c r="NX76" i="11"/>
  <c r="OK76" i="11"/>
  <c r="OS76" i="11"/>
  <c r="OT76" i="11" s="1"/>
  <c r="PJ76" i="11"/>
  <c r="JB78" i="11"/>
  <c r="ML78" i="11"/>
  <c r="LB78" i="11"/>
  <c r="OK54" i="11"/>
  <c r="OS54" i="11"/>
  <c r="OT54" i="11" s="1"/>
  <c r="PJ54" i="11"/>
  <c r="NH56" i="11"/>
  <c r="BO56" i="11"/>
  <c r="AY56" i="11"/>
  <c r="IS56" i="11"/>
  <c r="JK56" i="11" s="1"/>
  <c r="RT56" i="11"/>
  <c r="RJ56" i="11" s="1"/>
  <c r="FH56" i="11"/>
  <c r="FI56" i="11" s="1"/>
  <c r="JB56" i="11"/>
  <c r="ML56" i="11"/>
  <c r="FC56" i="11"/>
  <c r="FD56" i="11" s="1"/>
  <c r="RL56" i="11" s="1"/>
  <c r="NV56" i="11"/>
  <c r="NW56" i="11" s="1"/>
  <c r="NX56" i="11" s="1"/>
  <c r="OB56" i="11"/>
  <c r="RE56" i="11" s="1"/>
  <c r="OS56" i="11"/>
  <c r="OT56" i="11" s="1"/>
  <c r="PJ56" i="11"/>
  <c r="PO56" i="11"/>
  <c r="PU56" i="11"/>
  <c r="PZ56" i="11"/>
  <c r="ND58" i="11"/>
  <c r="RD58" i="11" s="1"/>
  <c r="AY58" i="11"/>
  <c r="BO58" i="11"/>
  <c r="IS58" i="11"/>
  <c r="IT58" i="11" s="1"/>
  <c r="MF58" i="11"/>
  <c r="JI58" i="11"/>
  <c r="JQ58" i="11"/>
  <c r="KV58" i="11"/>
  <c r="LM58" i="11"/>
  <c r="NV58" i="11"/>
  <c r="NW58" i="11" s="1"/>
  <c r="NX58" i="11" s="1"/>
  <c r="OB58" i="11"/>
  <c r="RE58" i="11" s="1"/>
  <c r="OS58" i="11"/>
  <c r="OT58" i="11" s="1"/>
  <c r="PJ58" i="11"/>
  <c r="PO58" i="11"/>
  <c r="PU58" i="11"/>
  <c r="PZ58" i="11"/>
  <c r="AY60" i="11"/>
  <c r="BO60" i="11"/>
  <c r="EY60" i="11"/>
  <c r="FA60" i="11"/>
  <c r="FH62" i="11"/>
  <c r="FI62" i="11" s="1"/>
  <c r="MF62" i="11"/>
  <c r="JI62" i="11"/>
  <c r="KR62" i="11"/>
  <c r="MT62" i="11"/>
  <c r="RC62" i="11" s="1"/>
  <c r="NV62" i="11"/>
  <c r="NW62" i="11" s="1"/>
  <c r="NX62" i="11" s="1"/>
  <c r="OB62" i="11"/>
  <c r="RE62" i="11" s="1"/>
  <c r="PJ62" i="11"/>
  <c r="PO62" i="11"/>
  <c r="PU62" i="11"/>
  <c r="ND64" i="11"/>
  <c r="RD64" i="11" s="1"/>
  <c r="BO64" i="11"/>
  <c r="AY64" i="11"/>
  <c r="MX64" i="11"/>
  <c r="IS64" i="11"/>
  <c r="IT64" i="11" s="1"/>
  <c r="RT64" i="11"/>
  <c r="RJ64" i="11" s="1"/>
  <c r="JB64" i="11"/>
  <c r="ML64" i="11"/>
  <c r="II64" i="11"/>
  <c r="KR64" i="11"/>
  <c r="MT64" i="11"/>
  <c r="RC64" i="11" s="1"/>
  <c r="NL64" i="11"/>
  <c r="NR64" i="11"/>
  <c r="PE64" i="11"/>
  <c r="PM64" i="11"/>
  <c r="PW64" i="11"/>
  <c r="QC64" i="11"/>
  <c r="JB66" i="11"/>
  <c r="ML66" i="11"/>
  <c r="FC66" i="11"/>
  <c r="KR66" i="11"/>
  <c r="MT66" i="11"/>
  <c r="NV66" i="11"/>
  <c r="OK66" i="11"/>
  <c r="OZ66" i="11"/>
  <c r="PE66" i="11"/>
  <c r="PM66" i="11"/>
  <c r="MF68" i="11"/>
  <c r="JI68" i="11"/>
  <c r="KR68" i="11"/>
  <c r="MT68" i="11"/>
  <c r="NL68" i="11"/>
  <c r="NR68" i="11"/>
  <c r="OZ68" i="11"/>
  <c r="PE68" i="11"/>
  <c r="PM68" i="11"/>
  <c r="PW68" i="11"/>
  <c r="QC68" i="11"/>
  <c r="MF70" i="11"/>
  <c r="JI70" i="11"/>
  <c r="KC70" i="11"/>
  <c r="KR70" i="11"/>
  <c r="MT70" i="11"/>
  <c r="NL70" i="11"/>
  <c r="NR70" i="11"/>
  <c r="PE70" i="11"/>
  <c r="PM70" i="11"/>
  <c r="PW70" i="11"/>
  <c r="QC70" i="11"/>
  <c r="JB72" i="11"/>
  <c r="IS72" i="11"/>
  <c r="JK72" i="11" s="1"/>
  <c r="JI72" i="11"/>
  <c r="FA72" i="11"/>
  <c r="II72" i="11"/>
  <c r="JB74" i="11"/>
  <c r="ML74" i="11"/>
  <c r="KC74" i="11"/>
  <c r="KR74" i="11"/>
  <c r="LI74" i="11"/>
  <c r="NX74" i="11"/>
  <c r="OB74" i="11"/>
  <c r="RE74" i="11" s="1"/>
  <c r="OS74" i="11"/>
  <c r="OT74" i="11" s="1"/>
  <c r="PJ74" i="11"/>
  <c r="PO74" i="11"/>
  <c r="PU74" i="11"/>
  <c r="PZ74" i="11"/>
  <c r="ND76" i="11"/>
  <c r="RD76" i="11" s="1"/>
  <c r="AY76" i="11"/>
  <c r="BO76" i="11"/>
  <c r="IS76" i="11"/>
  <c r="IT76" i="11" s="1"/>
  <c r="MF76" i="11"/>
  <c r="JI76" i="11"/>
  <c r="FA76" i="11"/>
  <c r="JQ76" i="11"/>
  <c r="KR76" i="11"/>
  <c r="KV76" i="11"/>
  <c r="LB76" i="11"/>
  <c r="LG76" i="11"/>
  <c r="LH76" i="11" s="1"/>
  <c r="LI76" i="11" s="1"/>
  <c r="LM76" i="11"/>
  <c r="LN76" i="11" s="1"/>
  <c r="LO76" i="11" s="1"/>
  <c r="NL76" i="11"/>
  <c r="OB76" i="11"/>
  <c r="RE76" i="11" s="1"/>
  <c r="OM76" i="11"/>
  <c r="PE76" i="11"/>
  <c r="MF78" i="11"/>
  <c r="JI78" i="11"/>
  <c r="JQ78" i="11"/>
  <c r="KN78" i="11"/>
  <c r="KV78" i="11"/>
  <c r="LO78" i="11"/>
  <c r="NX78" i="11"/>
  <c r="OB78" i="11"/>
  <c r="RE78" i="11" s="1"/>
  <c r="OS78" i="11"/>
  <c r="OT78" i="11" s="1"/>
  <c r="PJ78" i="11"/>
  <c r="PO78" i="11"/>
  <c r="PU78" i="11"/>
  <c r="PZ78" i="11"/>
  <c r="JB80" i="11"/>
  <c r="ML80" i="11"/>
  <c r="KC80" i="11"/>
  <c r="MT80" i="11"/>
  <c r="NX80" i="11"/>
  <c r="OK80" i="11"/>
  <c r="OS80" i="11"/>
  <c r="OT80" i="11" s="1"/>
  <c r="PJ80" i="11"/>
  <c r="JQ82" i="11"/>
  <c r="KN82" i="11"/>
  <c r="KV82" i="11"/>
  <c r="LB82" i="11"/>
  <c r="LO82" i="11"/>
  <c r="NL82" i="11"/>
  <c r="PE82" i="11"/>
  <c r="MF84" i="11"/>
  <c r="JI84" i="11"/>
  <c r="II84" i="11"/>
  <c r="KR84" i="11"/>
  <c r="MT84" i="11"/>
  <c r="NL84" i="11"/>
  <c r="NR84" i="11"/>
  <c r="OZ84" i="11"/>
  <c r="PE84" i="11"/>
  <c r="PM84" i="11"/>
  <c r="PW84" i="11"/>
  <c r="QC84" i="11"/>
  <c r="JB86" i="11"/>
  <c r="ML86" i="11"/>
  <c r="II86" i="11"/>
  <c r="JQ86" i="11"/>
  <c r="KR86" i="11"/>
  <c r="KV86" i="11"/>
  <c r="LB86" i="11"/>
  <c r="LI86" i="11"/>
  <c r="LO86" i="11"/>
  <c r="NL86" i="11"/>
  <c r="NR86" i="11"/>
  <c r="OB86" i="11"/>
  <c r="OM86" i="11"/>
  <c r="PE86" i="11"/>
  <c r="AY90" i="11"/>
  <c r="MF90" i="11"/>
  <c r="JI90" i="11"/>
  <c r="II90" i="11"/>
  <c r="IQ90" i="11"/>
  <c r="JQ90" i="11"/>
  <c r="KR90" i="11"/>
  <c r="KV90" i="11"/>
  <c r="LB90" i="11"/>
  <c r="LI90" i="11"/>
  <c r="NL90" i="11"/>
  <c r="NR90" i="11"/>
  <c r="OB90" i="11"/>
  <c r="OM90" i="11"/>
  <c r="PE90" i="11"/>
  <c r="MF92" i="11"/>
  <c r="JI92" i="11"/>
  <c r="LI92" i="11"/>
  <c r="MT92" i="11"/>
  <c r="NL92" i="11"/>
  <c r="NR92" i="11"/>
  <c r="PE92" i="11"/>
  <c r="PM92" i="11"/>
  <c r="PW92" i="11"/>
  <c r="QC92" i="11"/>
  <c r="II78" i="11"/>
  <c r="KC78" i="11"/>
  <c r="KR78" i="11"/>
  <c r="LI78" i="11"/>
  <c r="MT78" i="11"/>
  <c r="NL78" i="11"/>
  <c r="NR78" i="11"/>
  <c r="PE78" i="11"/>
  <c r="PM78" i="11"/>
  <c r="PW78" i="11"/>
  <c r="QC78" i="11"/>
  <c r="MF80" i="11"/>
  <c r="JI80" i="11"/>
  <c r="JQ80" i="11"/>
  <c r="KR80" i="11"/>
  <c r="KV80" i="11"/>
  <c r="LB80" i="11"/>
  <c r="LG80" i="11"/>
  <c r="LH80" i="11" s="1"/>
  <c r="LI80" i="11" s="1"/>
  <c r="LM80" i="11"/>
  <c r="LN80" i="11" s="1"/>
  <c r="LO80" i="11" s="1"/>
  <c r="NL80" i="11"/>
  <c r="OB80" i="11"/>
  <c r="OM80" i="11"/>
  <c r="PE80" i="11"/>
  <c r="MF82" i="11"/>
  <c r="JI82" i="11"/>
  <c r="II82" i="11"/>
  <c r="KR82" i="11"/>
  <c r="LI82" i="11"/>
  <c r="MT82" i="11"/>
  <c r="NV82" i="11"/>
  <c r="NW82" i="11" s="1"/>
  <c r="NX82" i="11" s="1"/>
  <c r="OS82" i="11"/>
  <c r="OT82" i="11" s="1"/>
  <c r="PJ82" i="11"/>
  <c r="NH84" i="11"/>
  <c r="BO84" i="11"/>
  <c r="AY84" i="11"/>
  <c r="IS84" i="11"/>
  <c r="IT84" i="11" s="1"/>
  <c r="RT84" i="11"/>
  <c r="RJ84" i="11" s="1"/>
  <c r="FH84" i="11"/>
  <c r="FI84" i="11" s="1"/>
  <c r="JB84" i="11"/>
  <c r="ML84" i="11"/>
  <c r="FC84" i="11"/>
  <c r="FD84" i="11" s="1"/>
  <c r="RL84" i="11" s="1"/>
  <c r="JQ84" i="11"/>
  <c r="KN84" i="11"/>
  <c r="KV84" i="11"/>
  <c r="LM84" i="11"/>
  <c r="LN84" i="11" s="1"/>
  <c r="LO84" i="11" s="1"/>
  <c r="NV84" i="11"/>
  <c r="NW84" i="11" s="1"/>
  <c r="NX84" i="11" s="1"/>
  <c r="OB84" i="11"/>
  <c r="PJ84" i="11"/>
  <c r="PO84" i="11"/>
  <c r="PU84" i="11"/>
  <c r="PZ84" i="11"/>
  <c r="ND86" i="11"/>
  <c r="RD86" i="11" s="1"/>
  <c r="AY86" i="11"/>
  <c r="BO86" i="11"/>
  <c r="EY86" i="11"/>
  <c r="MF86" i="11"/>
  <c r="JI86" i="11"/>
  <c r="FA86" i="11"/>
  <c r="KC86" i="11"/>
  <c r="MT86" i="11"/>
  <c r="RC86" i="11" s="1"/>
  <c r="NV86" i="11"/>
  <c r="NW86" i="11" s="1"/>
  <c r="NX86" i="11" s="1"/>
  <c r="OK86" i="11"/>
  <c r="PJ86" i="11"/>
  <c r="BO88" i="11"/>
  <c r="AY88" i="11"/>
  <c r="MX88" i="11"/>
  <c r="IS88" i="11"/>
  <c r="II88" i="11"/>
  <c r="II92" i="11"/>
  <c r="KR92" i="11"/>
  <c r="LB92" i="11"/>
  <c r="RT88" i="11"/>
  <c r="RJ88" i="11" s="1"/>
  <c r="FH88" i="11"/>
  <c r="FI88" i="11" s="1"/>
  <c r="JB88" i="11"/>
  <c r="ML88" i="11"/>
  <c r="FC88" i="11"/>
  <c r="FN88" i="11" s="1"/>
  <c r="LM88" i="11"/>
  <c r="LN88" i="11" s="1"/>
  <c r="NV88" i="11"/>
  <c r="NW88" i="11" s="1"/>
  <c r="NX88" i="11" s="1"/>
  <c r="NH90" i="11"/>
  <c r="BO90" i="11"/>
  <c r="IS90" i="11"/>
  <c r="RT90" i="11"/>
  <c r="JB90" i="11"/>
  <c r="ML90" i="11"/>
  <c r="FC90" i="11"/>
  <c r="KC90" i="11"/>
  <c r="KN90" i="11"/>
  <c r="MT90" i="11"/>
  <c r="NV90" i="11"/>
  <c r="NW90" i="11" s="1"/>
  <c r="NX90" i="11" s="1"/>
  <c r="OK90" i="11"/>
  <c r="PJ90" i="11"/>
  <c r="ND92" i="11"/>
  <c r="RD92" i="11" s="1"/>
  <c r="BO92" i="11"/>
  <c r="AY92" i="11"/>
  <c r="MX92" i="11"/>
  <c r="IS92" i="11"/>
  <c r="JK92" i="11" s="1"/>
  <c r="JL92" i="11" s="1"/>
  <c r="JM92" i="11" s="1"/>
  <c r="RT92" i="11"/>
  <c r="FH92" i="11"/>
  <c r="FI92" i="11" s="1"/>
  <c r="JB92" i="11"/>
  <c r="ML92" i="11"/>
  <c r="FC92" i="11"/>
  <c r="FN92" i="11" s="1"/>
  <c r="JQ92" i="11"/>
  <c r="KN92" i="11"/>
  <c r="KV92" i="11"/>
  <c r="LM92" i="11"/>
  <c r="LN92" i="11" s="1"/>
  <c r="LO92" i="11" s="1"/>
  <c r="NV92" i="11"/>
  <c r="NW92" i="11" s="1"/>
  <c r="NX92" i="11" s="1"/>
  <c r="OB92" i="11"/>
  <c r="PJ92" i="11"/>
  <c r="PO92" i="11"/>
  <c r="PU92" i="11"/>
  <c r="PZ92" i="11"/>
  <c r="BO94" i="11"/>
  <c r="AY94" i="11"/>
  <c r="LM94" i="11"/>
  <c r="LN94" i="11" s="1"/>
  <c r="LO94" i="11" s="1"/>
  <c r="JI96" i="11"/>
  <c r="JQ96" i="11"/>
  <c r="KN96" i="11"/>
  <c r="LM96" i="11"/>
  <c r="LN96" i="11" s="1"/>
  <c r="LO96" i="11" s="1"/>
  <c r="MF98" i="11"/>
  <c r="JI98" i="11"/>
  <c r="KR98" i="11"/>
  <c r="MT98" i="11"/>
  <c r="RC98" i="11" s="1"/>
  <c r="NL98" i="11"/>
  <c r="NR98" i="11"/>
  <c r="PE98" i="11"/>
  <c r="PM98" i="11"/>
  <c r="PW98" i="11"/>
  <c r="QC98" i="11"/>
  <c r="IS100" i="11"/>
  <c r="IT100" i="11" s="1"/>
  <c r="JB100" i="11"/>
  <c r="ML100" i="11"/>
  <c r="FC100" i="11"/>
  <c r="FD100" i="11" s="1"/>
  <c r="RL100" i="11" s="1"/>
  <c r="NL100" i="11"/>
  <c r="PE100" i="11"/>
  <c r="FC38" i="11"/>
  <c r="AL38" i="11"/>
  <c r="AM38" i="11" s="1"/>
  <c r="AK38" i="11"/>
  <c r="AK40" i="11"/>
  <c r="AL40" i="11"/>
  <c r="IQ40" i="11"/>
  <c r="AL42" i="11"/>
  <c r="AK42" i="11"/>
  <c r="MV42" i="11"/>
  <c r="MW42" i="11" s="1"/>
  <c r="MX42" i="11" s="1"/>
  <c r="BX42" i="11"/>
  <c r="BS42" i="11"/>
  <c r="BV42" i="11" s="1"/>
  <c r="BU42" i="11"/>
  <c r="JK42" i="11"/>
  <c r="MN42" i="11"/>
  <c r="MO42" i="11" s="1"/>
  <c r="LZ42" i="11"/>
  <c r="RJ42" i="11"/>
  <c r="RE42" i="11"/>
  <c r="RC42" i="11"/>
  <c r="AK44" i="11"/>
  <c r="AL44" i="11"/>
  <c r="IQ44" i="11"/>
  <c r="LW44" i="11"/>
  <c r="RB44" i="11" s="1"/>
  <c r="RC46" i="11"/>
  <c r="AK48" i="11"/>
  <c r="AL48" i="11"/>
  <c r="IQ48" i="11"/>
  <c r="LW48" i="11"/>
  <c r="RB48" i="11" s="1"/>
  <c r="AL50" i="11"/>
  <c r="AK50" i="11"/>
  <c r="MV50" i="11"/>
  <c r="MW50" i="11" s="1"/>
  <c r="MX50" i="11" s="1"/>
  <c r="BX50" i="11"/>
  <c r="BS50" i="11"/>
  <c r="BV50" i="11" s="1"/>
  <c r="BU50" i="11"/>
  <c r="LZ52" i="11"/>
  <c r="MN52" i="11"/>
  <c r="MO52" i="11" s="1"/>
  <c r="MP52" i="11" s="1"/>
  <c r="RJ52" i="11"/>
  <c r="RC52" i="11"/>
  <c r="MN54" i="11"/>
  <c r="MO54" i="11" s="1"/>
  <c r="MP54" i="11" s="1"/>
  <c r="RE54" i="11"/>
  <c r="AK56" i="11"/>
  <c r="AL56" i="11"/>
  <c r="IQ56" i="11"/>
  <c r="LW56" i="11"/>
  <c r="RB56" i="11" s="1"/>
  <c r="AL58" i="11"/>
  <c r="AK58" i="11"/>
  <c r="MV58" i="11"/>
  <c r="MW58" i="11" s="1"/>
  <c r="MX58" i="11" s="1"/>
  <c r="BX58" i="11"/>
  <c r="BS58" i="11"/>
  <c r="BV58" i="11" s="1"/>
  <c r="BU58" i="11"/>
  <c r="RJ58" i="11"/>
  <c r="AK60" i="11"/>
  <c r="AL60" i="11"/>
  <c r="MV60" i="11"/>
  <c r="MW60" i="11" s="1"/>
  <c r="MX60" i="11" s="1"/>
  <c r="BU60" i="11"/>
  <c r="BX60" i="11"/>
  <c r="BS60" i="11"/>
  <c r="BV60" i="11" s="1"/>
  <c r="JK60" i="11"/>
  <c r="IT60" i="11"/>
  <c r="MV38" i="11"/>
  <c r="MW38" i="11" s="1"/>
  <c r="MX38" i="11" s="1"/>
  <c r="BX38" i="11"/>
  <c r="BS38" i="11"/>
  <c r="BV38" i="11" s="1"/>
  <c r="BU38" i="11"/>
  <c r="MN38" i="11"/>
  <c r="MO38" i="11" s="1"/>
  <c r="MP38" i="11" s="1"/>
  <c r="LZ38" i="11"/>
  <c r="LZ40" i="11"/>
  <c r="MN40" i="11"/>
  <c r="MO40" i="11" s="1"/>
  <c r="MP40" i="11" s="1"/>
  <c r="RJ40" i="11"/>
  <c r="LW40" i="11"/>
  <c r="RB40" i="11" s="1"/>
  <c r="RC40" i="11"/>
  <c r="IT44" i="11"/>
  <c r="LZ44" i="11"/>
  <c r="MN44" i="11"/>
  <c r="MO44" i="11" s="1"/>
  <c r="MP44" i="11" s="1"/>
  <c r="RJ44" i="11"/>
  <c r="AL46" i="11"/>
  <c r="AK46" i="11"/>
  <c r="MV46" i="11"/>
  <c r="MW46" i="11" s="1"/>
  <c r="MX46" i="11" s="1"/>
  <c r="BX46" i="11"/>
  <c r="BS46" i="11"/>
  <c r="BV46" i="11" s="1"/>
  <c r="BU46" i="11"/>
  <c r="MN46" i="11"/>
  <c r="MO46" i="11" s="1"/>
  <c r="MP46" i="11" s="1"/>
  <c r="LZ46" i="11"/>
  <c r="RJ46" i="11"/>
  <c r="JK48" i="11"/>
  <c r="IT48" i="11"/>
  <c r="LZ48" i="11"/>
  <c r="MN48" i="11"/>
  <c r="MO48" i="11" s="1"/>
  <c r="MP48" i="11" s="1"/>
  <c r="RC48" i="11"/>
  <c r="MN50" i="11"/>
  <c r="MO50" i="11" s="1"/>
  <c r="MP50" i="11" s="1"/>
  <c r="AK52" i="11"/>
  <c r="AL52" i="11"/>
  <c r="IQ52" i="11"/>
  <c r="LW52" i="11"/>
  <c r="AL54" i="11"/>
  <c r="AK54" i="11"/>
  <c r="MV54" i="11"/>
  <c r="MW54" i="11" s="1"/>
  <c r="MX54" i="11" s="1"/>
  <c r="BX54" i="11"/>
  <c r="BS54" i="11"/>
  <c r="BV54" i="11" s="1"/>
  <c r="BU54" i="11"/>
  <c r="RJ54" i="11"/>
  <c r="IT56" i="11"/>
  <c r="LZ56" i="11"/>
  <c r="MN56" i="11"/>
  <c r="MO56" i="11" s="1"/>
  <c r="MP56" i="11" s="1"/>
  <c r="LW58" i="11"/>
  <c r="RB58" i="11" s="1"/>
  <c r="FH38" i="11"/>
  <c r="FI38" i="11" s="1"/>
  <c r="HD38" i="11"/>
  <c r="HE38" i="11" s="1"/>
  <c r="IQ38" i="11"/>
  <c r="LW38" i="11"/>
  <c r="NF38" i="11"/>
  <c r="NG38" i="11" s="1"/>
  <c r="NH38" i="11" s="1"/>
  <c r="OY38" i="11"/>
  <c r="OZ38" i="11" s="1"/>
  <c r="AP40" i="11"/>
  <c r="BS40" i="11"/>
  <c r="BV40" i="11" s="1"/>
  <c r="BX40" i="11"/>
  <c r="EY40" i="11"/>
  <c r="FA40" i="11"/>
  <c r="FF40" i="11"/>
  <c r="HG40" i="11"/>
  <c r="HH40" i="11" s="1"/>
  <c r="MV40" i="11"/>
  <c r="MW40" i="11" s="1"/>
  <c r="MX40" i="11" s="1"/>
  <c r="NB40" i="11"/>
  <c r="NC40" i="11" s="1"/>
  <c r="ND40" i="11" s="1"/>
  <c r="RD40" i="11" s="1"/>
  <c r="FH42" i="11"/>
  <c r="FI42" i="11" s="1"/>
  <c r="HD42" i="11"/>
  <c r="HE42" i="11" s="1"/>
  <c r="IQ42" i="11"/>
  <c r="LW42" i="11"/>
  <c r="RB42" i="11" s="1"/>
  <c r="NF42" i="11"/>
  <c r="NG42" i="11" s="1"/>
  <c r="NH42" i="11" s="1"/>
  <c r="OY42" i="11"/>
  <c r="OZ42" i="11" s="1"/>
  <c r="AP44" i="11"/>
  <c r="BS44" i="11"/>
  <c r="BV44" i="11" s="1"/>
  <c r="BX44" i="11"/>
  <c r="EY44" i="11"/>
  <c r="FA44" i="11"/>
  <c r="FF44" i="11"/>
  <c r="HG44" i="11"/>
  <c r="HH44" i="11" s="1"/>
  <c r="MV44" i="11"/>
  <c r="MW44" i="11" s="1"/>
  <c r="MX44" i="11" s="1"/>
  <c r="NB44" i="11"/>
  <c r="NC44" i="11" s="1"/>
  <c r="ND44" i="11" s="1"/>
  <c r="RD44" i="11" s="1"/>
  <c r="FH46" i="11"/>
  <c r="FI46" i="11" s="1"/>
  <c r="HD46" i="11"/>
  <c r="HE46" i="11" s="1"/>
  <c r="IQ46" i="11"/>
  <c r="LW46" i="11"/>
  <c r="NF46" i="11"/>
  <c r="NG46" i="11" s="1"/>
  <c r="NH46" i="11" s="1"/>
  <c r="OY46" i="11"/>
  <c r="OZ46" i="11" s="1"/>
  <c r="AP48" i="11"/>
  <c r="BS48" i="11"/>
  <c r="BV48" i="11" s="1"/>
  <c r="BX48" i="11"/>
  <c r="EY48" i="11"/>
  <c r="FA48" i="11"/>
  <c r="FF48" i="11"/>
  <c r="HG48" i="11"/>
  <c r="HH48" i="11" s="1"/>
  <c r="MV48" i="11"/>
  <c r="MW48" i="11" s="1"/>
  <c r="MX48" i="11" s="1"/>
  <c r="NB48" i="11"/>
  <c r="NC48" i="11" s="1"/>
  <c r="ND48" i="11" s="1"/>
  <c r="RD48" i="11" s="1"/>
  <c r="FH50" i="11"/>
  <c r="FI50" i="11" s="1"/>
  <c r="HD50" i="11"/>
  <c r="HE50" i="11" s="1"/>
  <c r="IQ50" i="11"/>
  <c r="LW50" i="11"/>
  <c r="LZ50" i="11"/>
  <c r="NF50" i="11"/>
  <c r="NG50" i="11" s="1"/>
  <c r="NH50" i="11" s="1"/>
  <c r="OY50" i="11"/>
  <c r="OZ50" i="11" s="1"/>
  <c r="AP52" i="11"/>
  <c r="BS52" i="11"/>
  <c r="BV52" i="11" s="1"/>
  <c r="BX52" i="11"/>
  <c r="EY52" i="11"/>
  <c r="FA52" i="11"/>
  <c r="FF52" i="11"/>
  <c r="HG52" i="11"/>
  <c r="HH52" i="11" s="1"/>
  <c r="MV52" i="11"/>
  <c r="MW52" i="11" s="1"/>
  <c r="MX52" i="11" s="1"/>
  <c r="NB52" i="11"/>
  <c r="NC52" i="11" s="1"/>
  <c r="ND52" i="11" s="1"/>
  <c r="RD52" i="11" s="1"/>
  <c r="FH54" i="11"/>
  <c r="FI54" i="11" s="1"/>
  <c r="HD54" i="11"/>
  <c r="HE54" i="11" s="1"/>
  <c r="IQ54" i="11"/>
  <c r="LW54" i="11"/>
  <c r="RB54" i="11" s="1"/>
  <c r="LZ54" i="11"/>
  <c r="NF54" i="11"/>
  <c r="NG54" i="11" s="1"/>
  <c r="NH54" i="11" s="1"/>
  <c r="OY54" i="11"/>
  <c r="OZ54" i="11" s="1"/>
  <c r="AP56" i="11"/>
  <c r="BS56" i="11"/>
  <c r="BV56" i="11" s="1"/>
  <c r="BX56" i="11"/>
  <c r="EY56" i="11"/>
  <c r="FA56" i="11"/>
  <c r="FF56" i="11"/>
  <c r="HG56" i="11"/>
  <c r="HH56" i="11" s="1"/>
  <c r="MV56" i="11"/>
  <c r="MW56" i="11" s="1"/>
  <c r="MX56" i="11" s="1"/>
  <c r="NB56" i="11"/>
  <c r="NC56" i="11" s="1"/>
  <c r="ND56" i="11" s="1"/>
  <c r="RD56" i="11" s="1"/>
  <c r="FH58" i="11"/>
  <c r="FI58" i="11" s="1"/>
  <c r="HD58" i="11"/>
  <c r="HE58" i="11" s="1"/>
  <c r="IQ58" i="11"/>
  <c r="NF58" i="11"/>
  <c r="NG58" i="11" s="1"/>
  <c r="NH58" i="11" s="1"/>
  <c r="OK58" i="11"/>
  <c r="OM58" i="11"/>
  <c r="QC60" i="11"/>
  <c r="OM60" i="11"/>
  <c r="OK60" i="11"/>
  <c r="MF60" i="11"/>
  <c r="JI60" i="11"/>
  <c r="FF60" i="11"/>
  <c r="HE60" i="11"/>
  <c r="JQ60" i="11"/>
  <c r="KV60" i="11"/>
  <c r="LB60" i="11"/>
  <c r="LW60" i="11"/>
  <c r="RB60" i="11" s="1"/>
  <c r="NX60" i="11"/>
  <c r="OB60" i="11"/>
  <c r="RE60" i="11" s="1"/>
  <c r="PJ60" i="11"/>
  <c r="PO60" i="11"/>
  <c r="PU60" i="11"/>
  <c r="PZ60" i="11"/>
  <c r="LZ62" i="11"/>
  <c r="MN62" i="11"/>
  <c r="MO62" i="11" s="1"/>
  <c r="MP62" i="11" s="1"/>
  <c r="IQ62" i="11"/>
  <c r="LW62" i="11"/>
  <c r="RB62" i="11" s="1"/>
  <c r="AL64" i="11"/>
  <c r="AK64" i="11"/>
  <c r="LW64" i="11"/>
  <c r="RB64" i="11" s="1"/>
  <c r="IQ66" i="11"/>
  <c r="LW66" i="11"/>
  <c r="RB66" i="11" s="1"/>
  <c r="RC66" i="11"/>
  <c r="JK68" i="11"/>
  <c r="MN68" i="11"/>
  <c r="MO68" i="11" s="1"/>
  <c r="MP68" i="11" s="1"/>
  <c r="LZ68" i="11"/>
  <c r="IQ68" i="11"/>
  <c r="MZ68" i="11"/>
  <c r="LW68" i="11"/>
  <c r="RB68" i="11" s="1"/>
  <c r="LZ70" i="11"/>
  <c r="MN70" i="11"/>
  <c r="MO70" i="11" s="1"/>
  <c r="MP70" i="11" s="1"/>
  <c r="IQ70" i="11"/>
  <c r="LW70" i="11"/>
  <c r="FN72" i="11"/>
  <c r="EY38" i="11"/>
  <c r="FA38" i="11"/>
  <c r="FF38" i="11"/>
  <c r="PM38" i="11"/>
  <c r="PO38" i="11"/>
  <c r="PU38" i="11"/>
  <c r="PW38" i="11"/>
  <c r="PZ38" i="11"/>
  <c r="QC38" i="11"/>
  <c r="OK40" i="11"/>
  <c r="FF42" i="11"/>
  <c r="PM42" i="11"/>
  <c r="PO42" i="11"/>
  <c r="PU42" i="11"/>
  <c r="PW42" i="11"/>
  <c r="PZ42" i="11"/>
  <c r="QC42" i="11"/>
  <c r="OK44" i="11"/>
  <c r="EY46" i="11"/>
  <c r="FF46" i="11"/>
  <c r="PM46" i="11"/>
  <c r="PO46" i="11"/>
  <c r="PU46" i="11"/>
  <c r="PW46" i="11"/>
  <c r="PZ46" i="11"/>
  <c r="QC46" i="11"/>
  <c r="OK48" i="11"/>
  <c r="EY50" i="11"/>
  <c r="FF50" i="11"/>
  <c r="PM50" i="11"/>
  <c r="PO50" i="11"/>
  <c r="PU50" i="11"/>
  <c r="PW50" i="11"/>
  <c r="PZ50" i="11"/>
  <c r="QC50" i="11"/>
  <c r="OK52" i="11"/>
  <c r="EY54" i="11"/>
  <c r="FF54" i="11"/>
  <c r="PM54" i="11"/>
  <c r="PO54" i="11"/>
  <c r="PU54" i="11"/>
  <c r="PW54" i="11"/>
  <c r="PZ54" i="11"/>
  <c r="QC54" i="11"/>
  <c r="OK56" i="11"/>
  <c r="EY58" i="11"/>
  <c r="FF58" i="11"/>
  <c r="NB60" i="11"/>
  <c r="NC60" i="11" s="1"/>
  <c r="ND60" i="11" s="1"/>
  <c r="RD60" i="11" s="1"/>
  <c r="NF60" i="11"/>
  <c r="NG60" i="11" s="1"/>
  <c r="NH60" i="11" s="1"/>
  <c r="MN60" i="11"/>
  <c r="MO60" i="11" s="1"/>
  <c r="MP60" i="11" s="1"/>
  <c r="LZ60" i="11"/>
  <c r="RT60" i="11"/>
  <c r="RJ60" i="11" s="1"/>
  <c r="ML60" i="11"/>
  <c r="FH60" i="11"/>
  <c r="FI60" i="11" s="1"/>
  <c r="IQ60" i="11"/>
  <c r="MT60" i="11"/>
  <c r="RC60" i="11" s="1"/>
  <c r="NL60" i="11"/>
  <c r="NR60" i="11"/>
  <c r="OZ60" i="11"/>
  <c r="PE60" i="11"/>
  <c r="PM60" i="11"/>
  <c r="PW60" i="11"/>
  <c r="AK62" i="11"/>
  <c r="AL62" i="11"/>
  <c r="MN64" i="11"/>
  <c r="MO64" i="11" s="1"/>
  <c r="MP64" i="11" s="1"/>
  <c r="LZ64" i="11"/>
  <c r="IQ64" i="11"/>
  <c r="AK66" i="11"/>
  <c r="AL66" i="11"/>
  <c r="LZ66" i="11"/>
  <c r="MN66" i="11"/>
  <c r="MO66" i="11" s="1"/>
  <c r="MP66" i="11" s="1"/>
  <c r="AL68" i="11"/>
  <c r="AK68" i="11"/>
  <c r="AK70" i="11"/>
  <c r="AL70" i="11"/>
  <c r="AL72" i="11"/>
  <c r="AK72" i="11"/>
  <c r="AP62" i="11"/>
  <c r="BS62" i="11"/>
  <c r="BV62" i="11" s="1"/>
  <c r="BX62" i="11"/>
  <c r="EY62" i="11"/>
  <c r="FA62" i="11"/>
  <c r="FF62" i="11"/>
  <c r="HG62" i="11"/>
  <c r="HH62" i="11" s="1"/>
  <c r="MV62" i="11"/>
  <c r="MW62" i="11" s="1"/>
  <c r="MX62" i="11" s="1"/>
  <c r="NB62" i="11"/>
  <c r="NC62" i="11" s="1"/>
  <c r="ND62" i="11" s="1"/>
  <c r="RD62" i="11" s="1"/>
  <c r="PW62" i="11"/>
  <c r="PZ62" i="11"/>
  <c r="QC62" i="11"/>
  <c r="RR62" i="11"/>
  <c r="RJ62" i="11" s="1"/>
  <c r="BU64" i="11"/>
  <c r="FH64" i="11"/>
  <c r="FI64" i="11" s="1"/>
  <c r="HH64" i="11"/>
  <c r="NF64" i="11"/>
  <c r="NG64" i="11" s="1"/>
  <c r="NH64" i="11" s="1"/>
  <c r="OK64" i="11"/>
  <c r="OM64" i="11"/>
  <c r="AP66" i="11"/>
  <c r="BS66" i="11"/>
  <c r="BV66" i="11" s="1"/>
  <c r="BX66" i="11"/>
  <c r="EY66" i="11"/>
  <c r="FA66" i="11"/>
  <c r="FF66" i="11"/>
  <c r="HE66" i="11"/>
  <c r="HG66" i="11"/>
  <c r="HH66" i="11" s="1"/>
  <c r="MV66" i="11"/>
  <c r="NB66" i="11"/>
  <c r="PU66" i="11"/>
  <c r="PW66" i="11"/>
  <c r="PZ66" i="11"/>
  <c r="QC66" i="11"/>
  <c r="RR66" i="11"/>
  <c r="BU68" i="11"/>
  <c r="FH68" i="11"/>
  <c r="FI68" i="11" s="1"/>
  <c r="HH68" i="11"/>
  <c r="NF68" i="11"/>
  <c r="OK68" i="11"/>
  <c r="OM68" i="11"/>
  <c r="AP70" i="11"/>
  <c r="BS70" i="11"/>
  <c r="BV70" i="11" s="1"/>
  <c r="BX70" i="11"/>
  <c r="EY70" i="11"/>
  <c r="FA70" i="11"/>
  <c r="FF70" i="11"/>
  <c r="HG70" i="11"/>
  <c r="HH70" i="11" s="1"/>
  <c r="MV70" i="11"/>
  <c r="NB70" i="11"/>
  <c r="RR70" i="11"/>
  <c r="RJ70" i="11" s="1"/>
  <c r="NB72" i="11"/>
  <c r="NC72" i="11" s="1"/>
  <c r="ND72" i="11" s="1"/>
  <c r="RD72" i="11" s="1"/>
  <c r="NF72" i="11"/>
  <c r="NG72" i="11" s="1"/>
  <c r="NH72" i="11" s="1"/>
  <c r="MN72" i="11"/>
  <c r="MO72" i="11" s="1"/>
  <c r="MP72" i="11" s="1"/>
  <c r="LZ72" i="11"/>
  <c r="ML72" i="11"/>
  <c r="FF72" i="11"/>
  <c r="IQ72" i="11"/>
  <c r="JQ72" i="11"/>
  <c r="KR72" i="11"/>
  <c r="KV72" i="11"/>
  <c r="LB72" i="11"/>
  <c r="NL72" i="11"/>
  <c r="NR72" i="11"/>
  <c r="OB72" i="11"/>
  <c r="OM72" i="11"/>
  <c r="PE72" i="11"/>
  <c r="AK74" i="11"/>
  <c r="AL74" i="11"/>
  <c r="AM74" i="11" s="1"/>
  <c r="DH74" i="11" s="1"/>
  <c r="DI74" i="11" s="1"/>
  <c r="IQ74" i="11"/>
  <c r="LW74" i="11"/>
  <c r="RB74" i="11" s="1"/>
  <c r="AL76" i="11"/>
  <c r="AM76" i="11" s="1"/>
  <c r="O70" i="12" s="1"/>
  <c r="P70" i="12" s="1"/>
  <c r="AK76" i="11"/>
  <c r="MV76" i="11"/>
  <c r="MW76" i="11" s="1"/>
  <c r="MX76" i="11" s="1"/>
  <c r="BX76" i="11"/>
  <c r="BS76" i="11"/>
  <c r="BV76" i="11" s="1"/>
  <c r="BU76" i="11"/>
  <c r="RJ76" i="11"/>
  <c r="FD76" i="11"/>
  <c r="RL76" i="11" s="1"/>
  <c r="JK78" i="11"/>
  <c r="JL78" i="11" s="1"/>
  <c r="JM78" i="11" s="1"/>
  <c r="IT78" i="11"/>
  <c r="LZ78" i="11"/>
  <c r="MN78" i="11"/>
  <c r="MO78" i="11" s="1"/>
  <c r="MP78" i="11" s="1"/>
  <c r="RJ78" i="11"/>
  <c r="FN78" i="11"/>
  <c r="LW78" i="11"/>
  <c r="RB78" i="11" s="1"/>
  <c r="RC78" i="11"/>
  <c r="MV80" i="11"/>
  <c r="MW80" i="11" s="1"/>
  <c r="MX80" i="11" s="1"/>
  <c r="BX80" i="11"/>
  <c r="BS80" i="11"/>
  <c r="BV80" i="11" s="1"/>
  <c r="BU80" i="11"/>
  <c r="IT80" i="11"/>
  <c r="MN80" i="11"/>
  <c r="MO80" i="11" s="1"/>
  <c r="MP80" i="11" s="1"/>
  <c r="LZ80" i="11"/>
  <c r="RJ80" i="11"/>
  <c r="FN80" i="11"/>
  <c r="JK82" i="11"/>
  <c r="JL82" i="11" s="1"/>
  <c r="JM82" i="11" s="1"/>
  <c r="LZ82" i="11"/>
  <c r="MN82" i="11"/>
  <c r="MO82" i="11" s="1"/>
  <c r="MP82" i="11" s="1"/>
  <c r="FD82" i="11"/>
  <c r="RL82" i="11" s="1"/>
  <c r="FN82" i="11"/>
  <c r="LW82" i="11"/>
  <c r="AP64" i="11"/>
  <c r="BS64" i="11"/>
  <c r="BV64" i="11" s="1"/>
  <c r="BX64" i="11"/>
  <c r="EY64" i="11"/>
  <c r="FA64" i="11"/>
  <c r="FF64" i="11"/>
  <c r="AP68" i="11"/>
  <c r="BS68" i="11"/>
  <c r="BV68" i="11" s="1"/>
  <c r="BX68" i="11"/>
  <c r="EY68" i="11"/>
  <c r="FA68" i="11"/>
  <c r="FF68" i="11"/>
  <c r="OK70" i="11"/>
  <c r="QC72" i="11"/>
  <c r="PZ72" i="11"/>
  <c r="PW72" i="11"/>
  <c r="PU72" i="11"/>
  <c r="PO72" i="11"/>
  <c r="PM72" i="11"/>
  <c r="AP72" i="11"/>
  <c r="MV72" i="11"/>
  <c r="MW72" i="11" s="1"/>
  <c r="MX72" i="11" s="1"/>
  <c r="BU72" i="11"/>
  <c r="BX72" i="11"/>
  <c r="RR72" i="11"/>
  <c r="RJ72" i="11" s="1"/>
  <c r="FH72" i="11"/>
  <c r="FI72" i="11" s="1"/>
  <c r="MF72" i="11"/>
  <c r="EY72" i="11"/>
  <c r="HH72" i="11"/>
  <c r="MT72" i="11"/>
  <c r="NX72" i="11"/>
  <c r="OK72" i="11"/>
  <c r="PJ72" i="11"/>
  <c r="DV74" i="11"/>
  <c r="JK74" i="11"/>
  <c r="JL74" i="11" s="1"/>
  <c r="JM74" i="11" s="1"/>
  <c r="IT74" i="11"/>
  <c r="LZ74" i="11"/>
  <c r="MN74" i="11"/>
  <c r="MO74" i="11" s="1"/>
  <c r="MP74" i="11" s="1"/>
  <c r="FD74" i="11"/>
  <c r="RL74" i="11" s="1"/>
  <c r="FN74" i="11"/>
  <c r="RC74" i="11"/>
  <c r="JK76" i="11"/>
  <c r="JL76" i="11" s="1"/>
  <c r="JM76" i="11" s="1"/>
  <c r="MN76" i="11"/>
  <c r="MO76" i="11" s="1"/>
  <c r="MP76" i="11" s="1"/>
  <c r="RC76" i="11"/>
  <c r="AK78" i="11"/>
  <c r="AL78" i="11"/>
  <c r="AM78" i="11" s="1"/>
  <c r="IQ78" i="11"/>
  <c r="AL80" i="11"/>
  <c r="AM80" i="11" s="1"/>
  <c r="AK80" i="11"/>
  <c r="DV80" i="11"/>
  <c r="RC80" i="11"/>
  <c r="AK82" i="11"/>
  <c r="AL82" i="11"/>
  <c r="AM82" i="11" s="1"/>
  <c r="O76" i="12" s="1"/>
  <c r="P76" i="12" s="1"/>
  <c r="IQ82" i="11"/>
  <c r="LW72" i="11"/>
  <c r="OY72" i="11"/>
  <c r="OZ72" i="11" s="1"/>
  <c r="AP74" i="11"/>
  <c r="BS74" i="11"/>
  <c r="BV74" i="11" s="1"/>
  <c r="BX74" i="11"/>
  <c r="EY74" i="11"/>
  <c r="FA74" i="11"/>
  <c r="FF74" i="11"/>
  <c r="HG74" i="11"/>
  <c r="HH74" i="11" s="1"/>
  <c r="MV74" i="11"/>
  <c r="MW74" i="11" s="1"/>
  <c r="MX74" i="11" s="1"/>
  <c r="NB74" i="11"/>
  <c r="NC74" i="11" s="1"/>
  <c r="ND74" i="11" s="1"/>
  <c r="RD74" i="11" s="1"/>
  <c r="FH76" i="11"/>
  <c r="FI76" i="11" s="1"/>
  <c r="HD76" i="11"/>
  <c r="HE76" i="11" s="1"/>
  <c r="IQ76" i="11"/>
  <c r="LW76" i="11"/>
  <c r="RB76" i="11" s="1"/>
  <c r="LZ76" i="11"/>
  <c r="NF76" i="11"/>
  <c r="NG76" i="11" s="1"/>
  <c r="NH76" i="11" s="1"/>
  <c r="OY76" i="11"/>
  <c r="OZ76" i="11" s="1"/>
  <c r="AP78" i="11"/>
  <c r="BS78" i="11"/>
  <c r="BV78" i="11" s="1"/>
  <c r="BX78" i="11"/>
  <c r="EY78" i="11"/>
  <c r="FA78" i="11"/>
  <c r="FF78" i="11"/>
  <c r="HG78" i="11"/>
  <c r="HH78" i="11" s="1"/>
  <c r="MV78" i="11"/>
  <c r="MW78" i="11" s="1"/>
  <c r="MX78" i="11" s="1"/>
  <c r="NB78" i="11"/>
  <c r="NC78" i="11" s="1"/>
  <c r="ND78" i="11" s="1"/>
  <c r="RD78" i="11" s="1"/>
  <c r="FH80" i="11"/>
  <c r="FI80" i="11" s="1"/>
  <c r="HD80" i="11"/>
  <c r="HE80" i="11" s="1"/>
  <c r="IQ80" i="11"/>
  <c r="LW80" i="11"/>
  <c r="RB80" i="11" s="1"/>
  <c r="NF80" i="11"/>
  <c r="NG80" i="11" s="1"/>
  <c r="NH80" i="11" s="1"/>
  <c r="OY80" i="11"/>
  <c r="OZ80" i="11" s="1"/>
  <c r="AP82" i="11"/>
  <c r="BS82" i="11"/>
  <c r="BV82" i="11" s="1"/>
  <c r="BX82" i="11"/>
  <c r="EY82" i="11"/>
  <c r="FA82" i="11"/>
  <c r="FF82" i="11"/>
  <c r="HG82" i="11"/>
  <c r="HH82" i="11" s="1"/>
  <c r="MV82" i="11"/>
  <c r="MW82" i="11" s="1"/>
  <c r="MX82" i="11" s="1"/>
  <c r="NB82" i="11"/>
  <c r="NC82" i="11" s="1"/>
  <c r="ND82" i="11" s="1"/>
  <c r="RD82" i="11" s="1"/>
  <c r="NR82" i="11"/>
  <c r="OB82" i="11"/>
  <c r="OM82" i="11"/>
  <c r="PM82" i="11"/>
  <c r="PO82" i="11"/>
  <c r="PU82" i="11"/>
  <c r="PW82" i="11"/>
  <c r="PZ82" i="11"/>
  <c r="QC82" i="11"/>
  <c r="AK84" i="11"/>
  <c r="AL84" i="11"/>
  <c r="AM84" i="11" s="1"/>
  <c r="O78" i="12" s="1"/>
  <c r="P78" i="12" s="1"/>
  <c r="IQ84" i="11"/>
  <c r="AL86" i="11"/>
  <c r="AM86" i="11" s="1"/>
  <c r="O80" i="12" s="1"/>
  <c r="P80" i="12" s="1"/>
  <c r="AK86" i="11"/>
  <c r="MV86" i="11"/>
  <c r="MW86" i="11" s="1"/>
  <c r="MX86" i="11" s="1"/>
  <c r="BX86" i="11"/>
  <c r="BS86" i="11"/>
  <c r="BV86" i="11" s="1"/>
  <c r="BU86" i="11"/>
  <c r="JK86" i="11"/>
  <c r="JL86" i="11" s="1"/>
  <c r="JM86" i="11" s="1"/>
  <c r="IT86" i="11"/>
  <c r="MN86" i="11"/>
  <c r="MO86" i="11" s="1"/>
  <c r="MP86" i="11" s="1"/>
  <c r="LZ86" i="11"/>
  <c r="RJ86" i="11"/>
  <c r="FN86" i="11"/>
  <c r="FD86" i="11"/>
  <c r="RL86" i="11" s="1"/>
  <c r="AK88" i="11"/>
  <c r="AL88" i="11"/>
  <c r="AM88" i="11" s="1"/>
  <c r="O82" i="12" s="1"/>
  <c r="P82" i="12" s="1"/>
  <c r="IQ88" i="11"/>
  <c r="OK74" i="11"/>
  <c r="EY76" i="11"/>
  <c r="FF76" i="11"/>
  <c r="PM76" i="11"/>
  <c r="PO76" i="11"/>
  <c r="PU76" i="11"/>
  <c r="PW76" i="11"/>
  <c r="PZ76" i="11"/>
  <c r="QC76" i="11"/>
  <c r="OK78" i="11"/>
  <c r="EY80" i="11"/>
  <c r="FA80" i="11"/>
  <c r="FF80" i="11"/>
  <c r="PM80" i="11"/>
  <c r="PO80" i="11"/>
  <c r="PU80" i="11"/>
  <c r="PW80" i="11"/>
  <c r="PZ80" i="11"/>
  <c r="QC80" i="11"/>
  <c r="RJ82" i="11"/>
  <c r="OK82" i="11"/>
  <c r="RA82" i="11"/>
  <c r="OY82" i="11"/>
  <c r="OZ82" i="11" s="1"/>
  <c r="JK84" i="11"/>
  <c r="JL84" i="11" s="1"/>
  <c r="JM84" i="11" s="1"/>
  <c r="LZ84" i="11"/>
  <c r="MN84" i="11"/>
  <c r="MO84" i="11" s="1"/>
  <c r="MP84" i="11" s="1"/>
  <c r="FN84" i="11"/>
  <c r="LW84" i="11"/>
  <c r="RE84" i="11"/>
  <c r="AP84" i="11"/>
  <c r="BS84" i="11"/>
  <c r="BV84" i="11" s="1"/>
  <c r="BX84" i="11"/>
  <c r="EY84" i="11"/>
  <c r="FA84" i="11"/>
  <c r="FF84" i="11"/>
  <c r="HG84" i="11"/>
  <c r="HH84" i="11" s="1"/>
  <c r="MV84" i="11"/>
  <c r="MW84" i="11" s="1"/>
  <c r="MX84" i="11" s="1"/>
  <c r="NB84" i="11"/>
  <c r="NC84" i="11" s="1"/>
  <c r="ND84" i="11" s="1"/>
  <c r="RD84" i="11" s="1"/>
  <c r="FH86" i="11"/>
  <c r="FI86" i="11" s="1"/>
  <c r="HD86" i="11"/>
  <c r="HE86" i="11" s="1"/>
  <c r="IQ86" i="11"/>
  <c r="LW86" i="11"/>
  <c r="NF86" i="11"/>
  <c r="NG86" i="11" s="1"/>
  <c r="NH86" i="11" s="1"/>
  <c r="OY86" i="11"/>
  <c r="OZ86" i="11" s="1"/>
  <c r="OM88" i="11"/>
  <c r="OK88" i="11"/>
  <c r="AP88" i="11"/>
  <c r="BS88" i="11"/>
  <c r="BV88" i="11" s="1"/>
  <c r="BX88" i="11"/>
  <c r="MF88" i="11"/>
  <c r="JI88" i="11"/>
  <c r="EY88" i="11"/>
  <c r="FA88" i="11"/>
  <c r="FF88" i="11"/>
  <c r="HG88" i="11"/>
  <c r="HH88" i="11" s="1"/>
  <c r="KC88" i="11"/>
  <c r="KR88" i="11"/>
  <c r="LI88" i="11"/>
  <c r="MT88" i="11"/>
  <c r="RC88" i="11" s="1"/>
  <c r="NL88" i="11"/>
  <c r="NR88" i="11"/>
  <c r="OZ88" i="11"/>
  <c r="PE88" i="11"/>
  <c r="PM88" i="11"/>
  <c r="PW88" i="11"/>
  <c r="QC88" i="11"/>
  <c r="AK90" i="11"/>
  <c r="AL90" i="11"/>
  <c r="AM90" i="11" s="1"/>
  <c r="AL92" i="11"/>
  <c r="AM92" i="11" s="1"/>
  <c r="DS92" i="11" s="1"/>
  <c r="AK92" i="11"/>
  <c r="IQ92" i="11"/>
  <c r="AK94" i="11"/>
  <c r="AL94" i="11"/>
  <c r="AM94" i="11" s="1"/>
  <c r="O88" i="12" s="1"/>
  <c r="P88" i="12" s="1"/>
  <c r="OK84" i="11"/>
  <c r="FF86" i="11"/>
  <c r="PM86" i="11"/>
  <c r="PO86" i="11"/>
  <c r="PU86" i="11"/>
  <c r="PW86" i="11"/>
  <c r="PZ86" i="11"/>
  <c r="QC86" i="11"/>
  <c r="NB88" i="11"/>
  <c r="NC88" i="11" s="1"/>
  <c r="ND88" i="11" s="1"/>
  <c r="RD88" i="11" s="1"/>
  <c r="NF88" i="11"/>
  <c r="NG88" i="11" s="1"/>
  <c r="NH88" i="11" s="1"/>
  <c r="BU88" i="11"/>
  <c r="MN88" i="11"/>
  <c r="MO88" i="11" s="1"/>
  <c r="MP88" i="11" s="1"/>
  <c r="LZ88" i="11"/>
  <c r="JQ88" i="11"/>
  <c r="KN88" i="11"/>
  <c r="KV88" i="11"/>
  <c r="LB88" i="11"/>
  <c r="LO88" i="11"/>
  <c r="LW88" i="11"/>
  <c r="RB88" i="11" s="1"/>
  <c r="OB88" i="11"/>
  <c r="OS88" i="11"/>
  <c r="OT88" i="11" s="1"/>
  <c r="RE88" i="11"/>
  <c r="PJ88" i="11"/>
  <c r="PO88" i="11"/>
  <c r="PU88" i="11"/>
  <c r="PZ88" i="11"/>
  <c r="JK90" i="11"/>
  <c r="JL90" i="11" s="1"/>
  <c r="JM90" i="11" s="1"/>
  <c r="IT90" i="11"/>
  <c r="LZ90" i="11"/>
  <c r="MN90" i="11"/>
  <c r="MO90" i="11" s="1"/>
  <c r="MP90" i="11" s="1"/>
  <c r="FD90" i="11"/>
  <c r="RL90" i="11" s="1"/>
  <c r="FN90" i="11"/>
  <c r="IT92" i="11"/>
  <c r="MN92" i="11"/>
  <c r="MO92" i="11" s="1"/>
  <c r="MP92" i="11" s="1"/>
  <c r="LZ92" i="11"/>
  <c r="RJ92" i="11"/>
  <c r="FD92" i="11"/>
  <c r="RL92" i="11" s="1"/>
  <c r="LW92" i="11"/>
  <c r="RB92" i="11" s="1"/>
  <c r="RE92" i="11"/>
  <c r="RC92" i="11"/>
  <c r="MV94" i="11"/>
  <c r="MW94" i="11" s="1"/>
  <c r="MX94" i="11" s="1"/>
  <c r="BU94" i="11"/>
  <c r="BX94" i="11"/>
  <c r="BS94" i="11"/>
  <c r="BV94" i="11" s="1"/>
  <c r="BS90" i="11"/>
  <c r="BV90" i="11" s="1"/>
  <c r="BX90" i="11"/>
  <c r="EY90" i="11"/>
  <c r="FA90" i="11"/>
  <c r="FF90" i="11"/>
  <c r="HE90" i="11"/>
  <c r="MV90" i="11"/>
  <c r="MW90" i="11" s="1"/>
  <c r="MX90" i="11" s="1"/>
  <c r="NB90" i="11"/>
  <c r="NC90" i="11" s="1"/>
  <c r="ND90" i="11" s="1"/>
  <c r="RD90" i="11" s="1"/>
  <c r="PM90" i="11"/>
  <c r="PO90" i="11"/>
  <c r="PU90" i="11"/>
  <c r="PW90" i="11"/>
  <c r="PZ90" i="11"/>
  <c r="QC90" i="11"/>
  <c r="RA90" i="11"/>
  <c r="RR90" i="11"/>
  <c r="BU92" i="11"/>
  <c r="HH92" i="11"/>
  <c r="NF92" i="11"/>
  <c r="NG92" i="11" s="1"/>
  <c r="NH92" i="11" s="1"/>
  <c r="OK92" i="11"/>
  <c r="OM92" i="11"/>
  <c r="QC94" i="11"/>
  <c r="PZ94" i="11"/>
  <c r="PW94" i="11"/>
  <c r="PU94" i="11"/>
  <c r="PO94" i="11"/>
  <c r="PM94" i="11"/>
  <c r="FH94" i="11"/>
  <c r="FI94" i="11" s="1"/>
  <c r="RR94" i="11"/>
  <c r="MF94" i="11"/>
  <c r="JI94" i="11"/>
  <c r="KC94" i="11"/>
  <c r="KN94" i="11"/>
  <c r="KR94" i="11"/>
  <c r="LI94" i="11"/>
  <c r="MT94" i="11"/>
  <c r="NX94" i="11"/>
  <c r="OK94" i="11"/>
  <c r="OS94" i="11"/>
  <c r="OT94" i="11" s="1"/>
  <c r="PE94" i="11"/>
  <c r="JK96" i="11"/>
  <c r="JL96" i="11" s="1"/>
  <c r="JM96" i="11" s="1"/>
  <c r="IT96" i="11"/>
  <c r="FN96" i="11"/>
  <c r="IQ96" i="11"/>
  <c r="LW90" i="11"/>
  <c r="AP92" i="11"/>
  <c r="BS92" i="11"/>
  <c r="BV92" i="11" s="1"/>
  <c r="BX92" i="11"/>
  <c r="EY92" i="11"/>
  <c r="FA92" i="11"/>
  <c r="FF92" i="11"/>
  <c r="NF94" i="11"/>
  <c r="NG94" i="11" s="1"/>
  <c r="NH94" i="11" s="1"/>
  <c r="NB94" i="11"/>
  <c r="NC94" i="11" s="1"/>
  <c r="ND94" i="11" s="1"/>
  <c r="RD94" i="11" s="1"/>
  <c r="IS94" i="11"/>
  <c r="FF94" i="11"/>
  <c r="EY94" i="11"/>
  <c r="LY94" i="11"/>
  <c r="FA94" i="11"/>
  <c r="RT94" i="11"/>
  <c r="JB94" i="11"/>
  <c r="ML94" i="11"/>
  <c r="FC94" i="11"/>
  <c r="II94" i="11"/>
  <c r="IQ94" i="11"/>
  <c r="JQ94" i="11"/>
  <c r="KV94" i="11"/>
  <c r="LB94" i="11"/>
  <c r="NL94" i="11"/>
  <c r="NR94" i="11"/>
  <c r="OB94" i="11"/>
  <c r="OM94" i="11"/>
  <c r="PJ94" i="11"/>
  <c r="AL96" i="11"/>
  <c r="AM96" i="11" s="1"/>
  <c r="O90" i="12" s="1"/>
  <c r="P90" i="12" s="1"/>
  <c r="AK96" i="11"/>
  <c r="HG94" i="11"/>
  <c r="HH94" i="11" s="1"/>
  <c r="RA94" i="11"/>
  <c r="NF96" i="11"/>
  <c r="NG96" i="11" s="1"/>
  <c r="NH96" i="11" s="1"/>
  <c r="NB96" i="11"/>
  <c r="NC96" i="11" s="1"/>
  <c r="ND96" i="11" s="1"/>
  <c r="RD96" i="11" s="1"/>
  <c r="BU96" i="11"/>
  <c r="LZ96" i="11"/>
  <c r="MN96" i="11"/>
  <c r="MO96" i="11" s="1"/>
  <c r="MP96" i="11" s="1"/>
  <c r="RJ96" i="11"/>
  <c r="ML96" i="11"/>
  <c r="FH96" i="11"/>
  <c r="FI96" i="11" s="1"/>
  <c r="HH96" i="11"/>
  <c r="KR96" i="11"/>
  <c r="LI96" i="11"/>
  <c r="MT96" i="11"/>
  <c r="RC96" i="11" s="1"/>
  <c r="NX96" i="11"/>
  <c r="OB96" i="11"/>
  <c r="OS96" i="11"/>
  <c r="OT96" i="11" s="1"/>
  <c r="RE96" i="11"/>
  <c r="PJ96" i="11"/>
  <c r="PO96" i="11"/>
  <c r="PU96" i="11"/>
  <c r="JK98" i="11"/>
  <c r="JL98" i="11" s="1"/>
  <c r="JM98" i="11" s="1"/>
  <c r="IT98" i="11"/>
  <c r="MN98" i="11"/>
  <c r="MO98" i="11" s="1"/>
  <c r="MP98" i="11" s="1"/>
  <c r="LZ98" i="11"/>
  <c r="RJ98" i="11"/>
  <c r="FD98" i="11"/>
  <c r="RL98" i="11" s="1"/>
  <c r="IQ98" i="11"/>
  <c r="LW98" i="11"/>
  <c r="RB98" i="11" s="1"/>
  <c r="RE98" i="11"/>
  <c r="LW94" i="11"/>
  <c r="OM96" i="11"/>
  <c r="QC96" i="11"/>
  <c r="PZ96" i="11"/>
  <c r="PW96" i="11"/>
  <c r="AP96" i="11"/>
  <c r="BS96" i="11"/>
  <c r="BV96" i="11" s="1"/>
  <c r="BX96" i="11"/>
  <c r="MF96" i="11"/>
  <c r="EY96" i="11"/>
  <c r="FA96" i="11"/>
  <c r="FF96" i="11"/>
  <c r="KV96" i="11"/>
  <c r="LB96" i="11"/>
  <c r="LW96" i="11"/>
  <c r="RB96" i="11" s="1"/>
  <c r="NL96" i="11"/>
  <c r="NR96" i="11"/>
  <c r="OK96" i="11"/>
  <c r="OZ96" i="11"/>
  <c r="PE96" i="11"/>
  <c r="PM96" i="11"/>
  <c r="AL98" i="11"/>
  <c r="AM98" i="11" s="1"/>
  <c r="DS98" i="11" s="1"/>
  <c r="AK98" i="11"/>
  <c r="BU98" i="11"/>
  <c r="FH98" i="11"/>
  <c r="FI98" i="11" s="1"/>
  <c r="HH98" i="11"/>
  <c r="NF98" i="11"/>
  <c r="NG98" i="11" s="1"/>
  <c r="NH98" i="11" s="1"/>
  <c r="OK98" i="11"/>
  <c r="OM98" i="11"/>
  <c r="AP98" i="11"/>
  <c r="BS98" i="11"/>
  <c r="BV98" i="11" s="1"/>
  <c r="BX98" i="11"/>
  <c r="EY98" i="11"/>
  <c r="FA98" i="11"/>
  <c r="FF98" i="11"/>
  <c r="AL100" i="11"/>
  <c r="AK100" i="11"/>
  <c r="BX100" i="11"/>
  <c r="BS100" i="11"/>
  <c r="BV100" i="11" s="1"/>
  <c r="MV100" i="11"/>
  <c r="MW100" i="11" s="1"/>
  <c r="MX100" i="11" s="1"/>
  <c r="BU100" i="11"/>
  <c r="JK100" i="11"/>
  <c r="LZ100" i="11"/>
  <c r="MN100" i="11"/>
  <c r="MO100" i="11" s="1"/>
  <c r="MP100" i="11" s="1"/>
  <c r="RT100" i="11"/>
  <c r="FF100" i="11"/>
  <c r="GT100" i="11"/>
  <c r="HE100" i="11"/>
  <c r="IQ100" i="11"/>
  <c r="KA100" i="11"/>
  <c r="KB100" i="11" s="1"/>
  <c r="KC100" i="11" s="1"/>
  <c r="KV100" i="11"/>
  <c r="NB100" i="11"/>
  <c r="NC100" i="11" s="1"/>
  <c r="ND100" i="11" s="1"/>
  <c r="RD100" i="11" s="1"/>
  <c r="NR100" i="11"/>
  <c r="OB100" i="11"/>
  <c r="OM100" i="11"/>
  <c r="OZ100" i="11"/>
  <c r="PM100" i="11"/>
  <c r="PO100" i="11"/>
  <c r="PU100" i="11"/>
  <c r="PW100" i="11"/>
  <c r="PZ100" i="11"/>
  <c r="QC100" i="11"/>
  <c r="RR100" i="11"/>
  <c r="RJ100" i="11" s="1"/>
  <c r="II100" i="11"/>
  <c r="JQ100" i="11"/>
  <c r="LW100" i="11"/>
  <c r="MT100" i="11"/>
  <c r="OK100" i="11"/>
  <c r="RA100" i="11"/>
  <c r="GP36" i="11"/>
  <c r="GO36" i="11"/>
  <c r="GN36" i="11"/>
  <c r="GP34" i="11"/>
  <c r="GO34" i="11"/>
  <c r="GN34" i="11"/>
  <c r="GP32" i="11"/>
  <c r="GO32" i="11"/>
  <c r="GN32" i="11"/>
  <c r="GD20" i="13"/>
  <c r="GD22" i="13"/>
  <c r="GD24" i="13"/>
  <c r="GD26" i="13"/>
  <c r="GD28" i="13"/>
  <c r="GD30" i="13"/>
  <c r="GD32" i="13"/>
  <c r="GD34" i="13"/>
  <c r="GD36" i="13"/>
  <c r="H16" i="12"/>
  <c r="H18" i="12"/>
  <c r="H20" i="12"/>
  <c r="H22" i="12"/>
  <c r="H24" i="12"/>
  <c r="H26" i="12"/>
  <c r="H28" i="12"/>
  <c r="H30" i="12"/>
  <c r="NT18" i="11"/>
  <c r="RW36" i="11"/>
  <c r="RK36" i="11"/>
  <c r="RH36" i="11"/>
  <c r="QX36" i="11"/>
  <c r="QW36" i="11"/>
  <c r="QV36" i="11"/>
  <c r="QT36" i="11"/>
  <c r="QS36" i="11"/>
  <c r="QR36" i="11"/>
  <c r="QB36" i="11"/>
  <c r="PY36" i="11"/>
  <c r="PV36" i="11"/>
  <c r="PT36" i="11"/>
  <c r="PQ36" i="11"/>
  <c r="PN36" i="11"/>
  <c r="PL36" i="11"/>
  <c r="PI36" i="11"/>
  <c r="PH36" i="11"/>
  <c r="PG36" i="11"/>
  <c r="PD36" i="11"/>
  <c r="PC36" i="11"/>
  <c r="PB36" i="11"/>
  <c r="OX36" i="11"/>
  <c r="OW36" i="11"/>
  <c r="OV36" i="11"/>
  <c r="OQ36" i="11"/>
  <c r="OP36" i="11"/>
  <c r="OO36" i="11"/>
  <c r="OL36" i="11"/>
  <c r="OJ36" i="11"/>
  <c r="NZ36" i="11"/>
  <c r="OA36" i="11" s="1"/>
  <c r="NP36" i="11"/>
  <c r="NQ36" i="11" s="1"/>
  <c r="NN36" i="11"/>
  <c r="NO36" i="11" s="1"/>
  <c r="NJ36" i="11"/>
  <c r="NK36" i="11" s="1"/>
  <c r="MR36" i="11"/>
  <c r="MS36" i="11" s="1"/>
  <c r="LU36" i="11"/>
  <c r="LV36" i="11" s="1"/>
  <c r="KZ36" i="11"/>
  <c r="LA36" i="11" s="1"/>
  <c r="KX36" i="11"/>
  <c r="KY36" i="11" s="1"/>
  <c r="KT36" i="11"/>
  <c r="KU36" i="11" s="1"/>
  <c r="KK36" i="11"/>
  <c r="KJ36" i="11"/>
  <c r="KI36" i="11"/>
  <c r="KH36" i="11"/>
  <c r="KG36" i="11"/>
  <c r="KE36" i="11"/>
  <c r="JO36" i="11"/>
  <c r="JP36" i="11" s="1"/>
  <c r="JD36" i="11"/>
  <c r="IW36" i="11"/>
  <c r="IV36" i="11"/>
  <c r="IO36" i="11"/>
  <c r="IP36" i="11" s="1"/>
  <c r="IE36" i="11"/>
  <c r="IB36" i="11"/>
  <c r="HZ36" i="11"/>
  <c r="HX36" i="11"/>
  <c r="HU36" i="11"/>
  <c r="HV36" i="11" s="1"/>
  <c r="HR36" i="11"/>
  <c r="HS36" i="11" s="1"/>
  <c r="IH36" i="11" s="1"/>
  <c r="HN36" i="11"/>
  <c r="HM36" i="11"/>
  <c r="HK36" i="11"/>
  <c r="HJ36" i="11"/>
  <c r="HF36" i="11"/>
  <c r="HG36" i="11" s="1"/>
  <c r="HC36" i="11"/>
  <c r="HD36" i="11" s="1"/>
  <c r="GZ36" i="11"/>
  <c r="GK36" i="11"/>
  <c r="FL36" i="11"/>
  <c r="FJ36" i="11"/>
  <c r="FB36" i="11"/>
  <c r="EZ36" i="11"/>
  <c r="EX36" i="11"/>
  <c r="EW36" i="11"/>
  <c r="EV36" i="11"/>
  <c r="EU36" i="11"/>
  <c r="EK36" i="11"/>
  <c r="DZ36" i="11"/>
  <c r="DM36" i="11"/>
  <c r="DG36" i="11"/>
  <c r="DE36" i="11"/>
  <c r="GD36" i="11" s="1"/>
  <c r="DC36" i="11"/>
  <c r="MI36" i="11" s="1"/>
  <c r="DB36" i="11"/>
  <c r="CZ36" i="11"/>
  <c r="MJ36" i="11" s="1"/>
  <c r="MK36" i="11" s="1"/>
  <c r="CY36" i="11"/>
  <c r="CW36" i="11"/>
  <c r="FW36" i="11" s="1"/>
  <c r="CU36" i="11"/>
  <c r="MC36" i="11" s="1"/>
  <c r="CT36" i="11"/>
  <c r="CR36" i="11"/>
  <c r="MD36" i="11" s="1"/>
  <c r="ME36" i="11" s="1"/>
  <c r="CQ36" i="11"/>
  <c r="CO36" i="11"/>
  <c r="GW36" i="11" s="1"/>
  <c r="CN36" i="11"/>
  <c r="CM36" i="11"/>
  <c r="CL36" i="11"/>
  <c r="CK36" i="11"/>
  <c r="CJ36" i="11"/>
  <c r="CI36" i="11"/>
  <c r="CH36" i="11"/>
  <c r="CG36" i="11"/>
  <c r="CF36" i="11"/>
  <c r="CE36" i="11"/>
  <c r="RR36" i="11" s="1"/>
  <c r="CD36" i="11"/>
  <c r="GY36" i="11" s="1"/>
  <c r="CC36" i="11"/>
  <c r="CB36" i="11"/>
  <c r="LY36" i="11" s="1"/>
  <c r="CA36" i="11"/>
  <c r="BZ36" i="11"/>
  <c r="BW36" i="11"/>
  <c r="BQ36" i="11"/>
  <c r="BR36" i="11" s="1"/>
  <c r="BI36" i="11"/>
  <c r="BJ36" i="11" s="1"/>
  <c r="AW36" i="11"/>
  <c r="AX36" i="11" s="1"/>
  <c r="AR36" i="11"/>
  <c r="AS36" i="11" s="1"/>
  <c r="AO36" i="11"/>
  <c r="CI36" i="13" s="1"/>
  <c r="AC36" i="11"/>
  <c r="Z36" i="11"/>
  <c r="M36" i="11"/>
  <c r="BN36" i="11" s="1"/>
  <c r="L36" i="11"/>
  <c r="K36" i="11"/>
  <c r="J36" i="11"/>
  <c r="I36" i="11"/>
  <c r="AJ36" i="11" s="1"/>
  <c r="H36" i="11"/>
  <c r="BA36" i="11" s="1"/>
  <c r="G36" i="11"/>
  <c r="AB36" i="11" s="1"/>
  <c r="F36" i="11"/>
  <c r="E36" i="11"/>
  <c r="AI36" i="11" s="1"/>
  <c r="D36" i="11"/>
  <c r="AH36" i="11" s="1"/>
  <c r="A36" i="11"/>
  <c r="B30" i="12" s="1"/>
  <c r="RW34" i="11"/>
  <c r="RK34" i="11"/>
  <c r="RH34" i="11"/>
  <c r="QX34" i="11"/>
  <c r="QW34" i="11"/>
  <c r="QV34" i="11"/>
  <c r="QT34" i="11"/>
  <c r="QS34" i="11"/>
  <c r="QR34" i="11"/>
  <c r="QB34" i="11"/>
  <c r="PY34" i="11"/>
  <c r="PV34" i="11"/>
  <c r="PT34" i="11"/>
  <c r="PQ34" i="11"/>
  <c r="PN34" i="11"/>
  <c r="PL34" i="11"/>
  <c r="PI34" i="11"/>
  <c r="PH34" i="11"/>
  <c r="PG34" i="11"/>
  <c r="PD34" i="11"/>
  <c r="PC34" i="11"/>
  <c r="PB34" i="11"/>
  <c r="OX34" i="11"/>
  <c r="OW34" i="11"/>
  <c r="OV34" i="11"/>
  <c r="OQ34" i="11"/>
  <c r="OP34" i="11"/>
  <c r="OO34" i="11"/>
  <c r="OL34" i="11"/>
  <c r="OJ34" i="11"/>
  <c r="NZ34" i="11"/>
  <c r="OA34" i="11" s="1"/>
  <c r="NP34" i="11"/>
  <c r="NQ34" i="11" s="1"/>
  <c r="NN34" i="11"/>
  <c r="NO34" i="11" s="1"/>
  <c r="NJ34" i="11"/>
  <c r="NK34" i="11" s="1"/>
  <c r="MR34" i="11"/>
  <c r="MS34" i="11" s="1"/>
  <c r="LU34" i="11"/>
  <c r="LV34" i="11" s="1"/>
  <c r="KZ34" i="11"/>
  <c r="LA34" i="11" s="1"/>
  <c r="KX34" i="11"/>
  <c r="KY34" i="11" s="1"/>
  <c r="KT34" i="11"/>
  <c r="KU34" i="11" s="1"/>
  <c r="KK34" i="11"/>
  <c r="KJ34" i="11"/>
  <c r="KI34" i="11"/>
  <c r="KH34" i="11"/>
  <c r="KG34" i="11"/>
  <c r="KE34" i="11"/>
  <c r="JO34" i="11"/>
  <c r="JP34" i="11" s="1"/>
  <c r="JD34" i="11"/>
  <c r="IW34" i="11"/>
  <c r="IV34" i="11"/>
  <c r="IO34" i="11"/>
  <c r="IP34" i="11" s="1"/>
  <c r="IE34" i="11"/>
  <c r="IB34" i="11"/>
  <c r="HZ34" i="11"/>
  <c r="HX34" i="11"/>
  <c r="HU34" i="11"/>
  <c r="HV34" i="11" s="1"/>
  <c r="HR34" i="11"/>
  <c r="HS34" i="11" s="1"/>
  <c r="IH34" i="11" s="1"/>
  <c r="HN34" i="11"/>
  <c r="HM34" i="11"/>
  <c r="HK34" i="11"/>
  <c r="HJ34" i="11"/>
  <c r="HF34" i="11"/>
  <c r="HG34" i="11" s="1"/>
  <c r="HC34" i="11"/>
  <c r="HD34" i="11" s="1"/>
  <c r="HE34" i="11" s="1"/>
  <c r="GZ34" i="11"/>
  <c r="GK34" i="11"/>
  <c r="FL34" i="11"/>
  <c r="FJ34" i="11"/>
  <c r="FB34" i="11"/>
  <c r="EZ34" i="11"/>
  <c r="EX34" i="11"/>
  <c r="EW34" i="11"/>
  <c r="EV34" i="11"/>
  <c r="EU34" i="11"/>
  <c r="EK34" i="11"/>
  <c r="DZ34" i="11"/>
  <c r="DM34" i="11"/>
  <c r="DG34" i="11"/>
  <c r="DE34" i="11"/>
  <c r="GD34" i="11" s="1"/>
  <c r="DC34" i="11"/>
  <c r="MI34" i="11" s="1"/>
  <c r="DB34" i="11"/>
  <c r="CZ34" i="11"/>
  <c r="MJ34" i="11" s="1"/>
  <c r="MK34" i="11" s="1"/>
  <c r="CY34" i="11"/>
  <c r="CW34" i="11"/>
  <c r="FW34" i="11" s="1"/>
  <c r="CU34" i="11"/>
  <c r="MC34" i="11" s="1"/>
  <c r="CT34" i="11"/>
  <c r="CR34" i="11"/>
  <c r="MD34" i="11" s="1"/>
  <c r="ME34" i="11" s="1"/>
  <c r="CQ34" i="11"/>
  <c r="CO34" i="11"/>
  <c r="GW34" i="11" s="1"/>
  <c r="CN34" i="11"/>
  <c r="CM34" i="11"/>
  <c r="CL34" i="11"/>
  <c r="CK34" i="11"/>
  <c r="CJ34" i="11"/>
  <c r="CI34" i="11"/>
  <c r="CH34" i="11"/>
  <c r="CG34" i="11"/>
  <c r="CF34" i="11"/>
  <c r="CE34" i="11"/>
  <c r="CD34" i="11"/>
  <c r="GY34" i="11" s="1"/>
  <c r="CC34" i="11"/>
  <c r="CB34" i="11"/>
  <c r="LY34" i="11" s="1"/>
  <c r="CA34" i="11"/>
  <c r="BZ34" i="11"/>
  <c r="BW34" i="11"/>
  <c r="BQ34" i="11"/>
  <c r="BR34" i="11" s="1"/>
  <c r="MV34" i="11" s="1"/>
  <c r="MW34" i="11" s="1"/>
  <c r="BI34" i="11"/>
  <c r="BJ34" i="11" s="1"/>
  <c r="AW34" i="11"/>
  <c r="AX34" i="11" s="1"/>
  <c r="AR34" i="11"/>
  <c r="AS34" i="11" s="1"/>
  <c r="AO34" i="11"/>
  <c r="AC34" i="11"/>
  <c r="Z34" i="11"/>
  <c r="M34" i="11"/>
  <c r="BN34" i="11" s="1"/>
  <c r="L34" i="11"/>
  <c r="K34" i="11"/>
  <c r="J34" i="11"/>
  <c r="I34" i="11"/>
  <c r="AJ34" i="11" s="1"/>
  <c r="H34" i="11"/>
  <c r="BA34" i="11" s="1"/>
  <c r="G34" i="11"/>
  <c r="AB34" i="11" s="1"/>
  <c r="F34" i="11"/>
  <c r="E34" i="11"/>
  <c r="AI34" i="11" s="1"/>
  <c r="D34" i="11"/>
  <c r="AH34" i="11" s="1"/>
  <c r="A34" i="11"/>
  <c r="B28" i="12" s="1"/>
  <c r="RW32" i="11"/>
  <c r="RK32" i="11"/>
  <c r="RH32" i="11"/>
  <c r="QX32" i="11"/>
  <c r="QW32" i="11"/>
  <c r="QV32" i="11"/>
  <c r="QT32" i="11"/>
  <c r="QS32" i="11"/>
  <c r="QR32" i="11"/>
  <c r="QB32" i="11"/>
  <c r="PY32" i="11"/>
  <c r="PV32" i="11"/>
  <c r="PT32" i="11"/>
  <c r="PQ32" i="11"/>
  <c r="PN32" i="11"/>
  <c r="PL32" i="11"/>
  <c r="PI32" i="11"/>
  <c r="PH32" i="11"/>
  <c r="PG32" i="11"/>
  <c r="PD32" i="11"/>
  <c r="PC32" i="11"/>
  <c r="PB32" i="11"/>
  <c r="OX32" i="11"/>
  <c r="OW32" i="11"/>
  <c r="OV32" i="11"/>
  <c r="OQ32" i="11"/>
  <c r="OP32" i="11"/>
  <c r="OO32" i="11"/>
  <c r="OL32" i="11"/>
  <c r="OJ32" i="11"/>
  <c r="NZ32" i="11"/>
  <c r="OA32" i="11" s="1"/>
  <c r="NP32" i="11"/>
  <c r="NQ32" i="11" s="1"/>
  <c r="NN32" i="11"/>
  <c r="NO32" i="11" s="1"/>
  <c r="NJ32" i="11"/>
  <c r="NK32" i="11" s="1"/>
  <c r="MR32" i="11"/>
  <c r="MS32" i="11" s="1"/>
  <c r="LU32" i="11"/>
  <c r="LV32" i="11" s="1"/>
  <c r="KZ32" i="11"/>
  <c r="LA32" i="11" s="1"/>
  <c r="KX32" i="11"/>
  <c r="KY32" i="11" s="1"/>
  <c r="KT32" i="11"/>
  <c r="KU32" i="11" s="1"/>
  <c r="KK32" i="11"/>
  <c r="KJ32" i="11"/>
  <c r="KI32" i="11"/>
  <c r="KH32" i="11"/>
  <c r="KG32" i="11"/>
  <c r="KE32" i="11"/>
  <c r="JO32" i="11"/>
  <c r="JP32" i="11" s="1"/>
  <c r="JD32" i="11"/>
  <c r="IW32" i="11"/>
  <c r="IV32" i="11"/>
  <c r="IO32" i="11"/>
  <c r="IP32" i="11" s="1"/>
  <c r="IE32" i="11"/>
  <c r="IB32" i="11"/>
  <c r="HZ32" i="11"/>
  <c r="HX32" i="11"/>
  <c r="HU32" i="11"/>
  <c r="HV32" i="11" s="1"/>
  <c r="HR32" i="11"/>
  <c r="HS32" i="11" s="1"/>
  <c r="IH32" i="11" s="1"/>
  <c r="HN32" i="11"/>
  <c r="HM32" i="11"/>
  <c r="HK32" i="11"/>
  <c r="HJ32" i="11"/>
  <c r="HF32" i="11"/>
  <c r="HG32" i="11" s="1"/>
  <c r="HC32" i="11"/>
  <c r="HD32" i="11" s="1"/>
  <c r="GZ32" i="11"/>
  <c r="GK32" i="11"/>
  <c r="FL32" i="11"/>
  <c r="FJ32" i="11"/>
  <c r="FB32" i="11"/>
  <c r="EZ32" i="11"/>
  <c r="EX32" i="11"/>
  <c r="EW32" i="11"/>
  <c r="EV32" i="11"/>
  <c r="EU32" i="11"/>
  <c r="EK32" i="11"/>
  <c r="DZ32" i="11"/>
  <c r="DM32" i="11"/>
  <c r="DG32" i="11"/>
  <c r="DE32" i="11"/>
  <c r="GD32" i="11" s="1"/>
  <c r="DC32" i="11"/>
  <c r="MI32" i="11" s="1"/>
  <c r="DB32" i="11"/>
  <c r="CZ32" i="11"/>
  <c r="MJ32" i="11" s="1"/>
  <c r="MK32" i="11" s="1"/>
  <c r="CY32" i="11"/>
  <c r="CW32" i="11"/>
  <c r="FW32" i="11" s="1"/>
  <c r="CU32" i="11"/>
  <c r="MC32" i="11" s="1"/>
  <c r="CT32" i="11"/>
  <c r="CR32" i="11"/>
  <c r="MD32" i="11" s="1"/>
  <c r="ME32" i="11" s="1"/>
  <c r="CQ32" i="11"/>
  <c r="CO32" i="11"/>
  <c r="GW32" i="11" s="1"/>
  <c r="CN32" i="11"/>
  <c r="CM32" i="11"/>
  <c r="CL32" i="11"/>
  <c r="CK32" i="11"/>
  <c r="CJ32" i="11"/>
  <c r="CI32" i="11"/>
  <c r="CH32" i="11"/>
  <c r="CG32" i="11"/>
  <c r="CF32" i="11"/>
  <c r="CE32" i="11"/>
  <c r="RR32" i="11" s="1"/>
  <c r="CD32" i="11"/>
  <c r="GY32" i="11" s="1"/>
  <c r="CC32" i="11"/>
  <c r="CB32" i="11"/>
  <c r="LY32" i="11" s="1"/>
  <c r="CA32" i="11"/>
  <c r="BZ32" i="11"/>
  <c r="BW32" i="11"/>
  <c r="BQ32" i="11"/>
  <c r="BR32" i="11" s="1"/>
  <c r="BI32" i="11"/>
  <c r="BJ32" i="11" s="1"/>
  <c r="AW32" i="11"/>
  <c r="AX32" i="11" s="1"/>
  <c r="AR32" i="11"/>
  <c r="AS32" i="11" s="1"/>
  <c r="AO32" i="11"/>
  <c r="AC32" i="11"/>
  <c r="Z32" i="11"/>
  <c r="M32" i="11"/>
  <c r="BN32" i="11" s="1"/>
  <c r="L32" i="11"/>
  <c r="K32" i="11"/>
  <c r="J32" i="11"/>
  <c r="JY32" i="11" s="1"/>
  <c r="HI32" i="13" s="1"/>
  <c r="I32" i="11"/>
  <c r="AJ32" i="11" s="1"/>
  <c r="H32" i="11"/>
  <c r="BA32" i="11" s="1"/>
  <c r="G32" i="11"/>
  <c r="AB32" i="11" s="1"/>
  <c r="F32" i="11"/>
  <c r="E32" i="11"/>
  <c r="AI32" i="11" s="1"/>
  <c r="D32" i="11"/>
  <c r="AH32" i="11" s="1"/>
  <c r="A32" i="11"/>
  <c r="B26" i="12" s="1"/>
  <c r="RW30" i="11"/>
  <c r="RK30" i="11"/>
  <c r="RH30" i="11"/>
  <c r="QX30" i="11"/>
  <c r="QW30" i="11"/>
  <c r="QV30" i="11"/>
  <c r="QT30" i="11"/>
  <c r="QR30" i="11"/>
  <c r="QB30" i="11"/>
  <c r="PY30" i="11"/>
  <c r="PV30" i="11"/>
  <c r="PT30" i="11"/>
  <c r="PQ30" i="11"/>
  <c r="PN30" i="11"/>
  <c r="PL30" i="11"/>
  <c r="PI30" i="11"/>
  <c r="PH30" i="11"/>
  <c r="PG30" i="11"/>
  <c r="PD30" i="11"/>
  <c r="PC30" i="11"/>
  <c r="PB30" i="11"/>
  <c r="OX30" i="11"/>
  <c r="OW30" i="11"/>
  <c r="OV30" i="11"/>
  <c r="OQ30" i="11"/>
  <c r="OP30" i="11"/>
  <c r="OO30" i="11"/>
  <c r="OL30" i="11"/>
  <c r="OJ30" i="11"/>
  <c r="NZ30" i="11"/>
  <c r="OA30" i="11" s="1"/>
  <c r="NP30" i="11"/>
  <c r="NQ30" i="11" s="1"/>
  <c r="NN30" i="11"/>
  <c r="NO30" i="11" s="1"/>
  <c r="NJ30" i="11"/>
  <c r="NK30" i="11" s="1"/>
  <c r="MR30" i="11"/>
  <c r="MS30" i="11" s="1"/>
  <c r="LU30" i="11"/>
  <c r="LV30" i="11" s="1"/>
  <c r="KZ30" i="11"/>
  <c r="LA30" i="11" s="1"/>
  <c r="KX30" i="11"/>
  <c r="KY30" i="11" s="1"/>
  <c r="KT30" i="11"/>
  <c r="KU30" i="11" s="1"/>
  <c r="KK30" i="11"/>
  <c r="KJ30" i="11"/>
  <c r="KI30" i="11"/>
  <c r="KH30" i="11"/>
  <c r="KG30" i="11"/>
  <c r="KE30" i="11"/>
  <c r="JO30" i="11"/>
  <c r="JP30" i="11" s="1"/>
  <c r="JD30" i="11"/>
  <c r="IW30" i="11"/>
  <c r="IV30" i="11"/>
  <c r="IO30" i="11"/>
  <c r="IP30" i="11" s="1"/>
  <c r="IE30" i="11"/>
  <c r="IB30" i="11"/>
  <c r="HZ30" i="11"/>
  <c r="HX30" i="11"/>
  <c r="HU30" i="11"/>
  <c r="HV30" i="11" s="1"/>
  <c r="HR30" i="11"/>
  <c r="HS30" i="11" s="1"/>
  <c r="IH30" i="11" s="1"/>
  <c r="HN30" i="11"/>
  <c r="HM30" i="11"/>
  <c r="HK30" i="11"/>
  <c r="HJ30" i="11"/>
  <c r="HF30" i="11"/>
  <c r="HG30" i="11" s="1"/>
  <c r="HC30" i="11"/>
  <c r="HD30" i="11" s="1"/>
  <c r="GZ30" i="11"/>
  <c r="GK30" i="11"/>
  <c r="GO30" i="11" s="1"/>
  <c r="FL30" i="11"/>
  <c r="FJ30" i="11"/>
  <c r="FB30" i="11"/>
  <c r="EZ30" i="11"/>
  <c r="EX30" i="11"/>
  <c r="EW30" i="11"/>
  <c r="EV30" i="11"/>
  <c r="EU30" i="11"/>
  <c r="EK30" i="11"/>
  <c r="DZ30" i="11"/>
  <c r="DM30" i="11"/>
  <c r="DG30" i="11"/>
  <c r="DE30" i="11"/>
  <c r="GD30" i="11" s="1"/>
  <c r="DC30" i="11"/>
  <c r="MI30" i="11" s="1"/>
  <c r="DB30" i="11"/>
  <c r="CZ30" i="11"/>
  <c r="MJ30" i="11" s="1"/>
  <c r="MK30" i="11" s="1"/>
  <c r="CY30" i="11"/>
  <c r="CW30" i="11"/>
  <c r="FW30" i="11" s="1"/>
  <c r="CU30" i="11"/>
  <c r="MC30" i="11" s="1"/>
  <c r="CT30" i="11"/>
  <c r="CR30" i="11"/>
  <c r="MD30" i="11" s="1"/>
  <c r="ME30" i="11" s="1"/>
  <c r="CQ30" i="11"/>
  <c r="CO30" i="11"/>
  <c r="GW30" i="11" s="1"/>
  <c r="CN30" i="11"/>
  <c r="CM30" i="11"/>
  <c r="CL30" i="11"/>
  <c r="CK30" i="11"/>
  <c r="CJ30" i="11"/>
  <c r="CI30" i="11"/>
  <c r="CH30" i="11"/>
  <c r="CG30" i="11"/>
  <c r="CF30" i="11"/>
  <c r="CE30" i="11"/>
  <c r="RR30" i="11" s="1"/>
  <c r="CD30" i="11"/>
  <c r="GY30" i="11" s="1"/>
  <c r="CC30" i="11"/>
  <c r="CB30" i="11"/>
  <c r="LY30" i="11" s="1"/>
  <c r="CA30" i="11"/>
  <c r="BZ30" i="11"/>
  <c r="BW30" i="11"/>
  <c r="BQ30" i="11"/>
  <c r="BR30" i="11" s="1"/>
  <c r="NU30" i="11" s="1"/>
  <c r="BI30" i="11"/>
  <c r="BJ30" i="11" s="1"/>
  <c r="AW30" i="11"/>
  <c r="AX30" i="11" s="1"/>
  <c r="AR30" i="11"/>
  <c r="AS30" i="11" s="1"/>
  <c r="AO30" i="11"/>
  <c r="AP30" i="11" s="1"/>
  <c r="AC30" i="11"/>
  <c r="Z30" i="11"/>
  <c r="M30" i="11"/>
  <c r="BN30" i="11" s="1"/>
  <c r="L30" i="11"/>
  <c r="K30" i="11"/>
  <c r="J30" i="11"/>
  <c r="I30" i="11"/>
  <c r="AJ30" i="11" s="1"/>
  <c r="H30" i="11"/>
  <c r="BA30" i="11" s="1"/>
  <c r="G30" i="11"/>
  <c r="AB30" i="11" s="1"/>
  <c r="F30" i="11"/>
  <c r="E30" i="11"/>
  <c r="AI30" i="11" s="1"/>
  <c r="D30" i="11"/>
  <c r="AH30" i="11" s="1"/>
  <c r="A30" i="11"/>
  <c r="B24" i="12" s="1"/>
  <c r="RW28" i="11"/>
  <c r="RK28" i="11"/>
  <c r="RH28" i="11"/>
  <c r="QX28" i="11"/>
  <c r="QW28" i="11"/>
  <c r="QV28" i="11"/>
  <c r="QT28" i="11"/>
  <c r="QS28" i="11"/>
  <c r="QR28" i="11"/>
  <c r="QB28" i="11"/>
  <c r="PY28" i="11"/>
  <c r="PV28" i="11"/>
  <c r="PT28" i="11"/>
  <c r="PQ28" i="11"/>
  <c r="PN28" i="11"/>
  <c r="PL28" i="11"/>
  <c r="PI28" i="11"/>
  <c r="PH28" i="11"/>
  <c r="PG28" i="11"/>
  <c r="PD28" i="11"/>
  <c r="PC28" i="11"/>
  <c r="PB28" i="11"/>
  <c r="OX28" i="11"/>
  <c r="OW28" i="11"/>
  <c r="OV28" i="11"/>
  <c r="OQ28" i="11"/>
  <c r="OP28" i="11"/>
  <c r="OO28" i="11"/>
  <c r="OL28" i="11"/>
  <c r="OJ28" i="11"/>
  <c r="NZ28" i="11"/>
  <c r="OA28" i="11" s="1"/>
  <c r="NP28" i="11"/>
  <c r="NQ28" i="11" s="1"/>
  <c r="NN28" i="11"/>
  <c r="NO28" i="11" s="1"/>
  <c r="NJ28" i="11"/>
  <c r="NK28" i="11" s="1"/>
  <c r="MR28" i="11"/>
  <c r="MS28" i="11" s="1"/>
  <c r="LU28" i="11"/>
  <c r="LV28" i="11" s="1"/>
  <c r="KZ28" i="11"/>
  <c r="LA28" i="11" s="1"/>
  <c r="KX28" i="11"/>
  <c r="KY28" i="11" s="1"/>
  <c r="KT28" i="11"/>
  <c r="KU28" i="11" s="1"/>
  <c r="KK28" i="11"/>
  <c r="KJ28" i="11"/>
  <c r="KI28" i="11"/>
  <c r="KH28" i="11"/>
  <c r="KG28" i="11"/>
  <c r="KE28" i="11"/>
  <c r="JO28" i="11"/>
  <c r="JP28" i="11" s="1"/>
  <c r="JD28" i="11"/>
  <c r="IW28" i="11"/>
  <c r="IV28" i="11"/>
  <c r="IO28" i="11"/>
  <c r="IP28" i="11" s="1"/>
  <c r="IE28" i="11"/>
  <c r="IB28" i="11"/>
  <c r="HZ28" i="11"/>
  <c r="HX28" i="11"/>
  <c r="HU28" i="11"/>
  <c r="HV28" i="11" s="1"/>
  <c r="HR28" i="11"/>
  <c r="HS28" i="11" s="1"/>
  <c r="IH28" i="11" s="1"/>
  <c r="HN28" i="11"/>
  <c r="HM28" i="11"/>
  <c r="HK28" i="11"/>
  <c r="HJ28" i="11"/>
  <c r="HF28" i="11"/>
  <c r="HG28" i="11" s="1"/>
  <c r="HC28" i="11"/>
  <c r="HD28" i="11" s="1"/>
  <c r="GZ28" i="11"/>
  <c r="GK28" i="11"/>
  <c r="FL28" i="11"/>
  <c r="FJ28" i="11"/>
  <c r="FB28" i="11"/>
  <c r="EZ28" i="11"/>
  <c r="EX28" i="11"/>
  <c r="EW28" i="11"/>
  <c r="EV28" i="11"/>
  <c r="EU28" i="11"/>
  <c r="EK28" i="11"/>
  <c r="DZ28" i="11"/>
  <c r="DM28" i="11"/>
  <c r="DG28" i="11"/>
  <c r="DE28" i="11"/>
  <c r="GD28" i="11" s="1"/>
  <c r="DC28" i="11"/>
  <c r="MI28" i="11" s="1"/>
  <c r="DB28" i="11"/>
  <c r="CZ28" i="11"/>
  <c r="MJ28" i="11" s="1"/>
  <c r="MK28" i="11" s="1"/>
  <c r="CY28" i="11"/>
  <c r="CW28" i="11"/>
  <c r="FW28" i="11" s="1"/>
  <c r="CU28" i="11"/>
  <c r="MC28" i="11" s="1"/>
  <c r="CT28" i="11"/>
  <c r="CR28" i="11"/>
  <c r="MD28" i="11" s="1"/>
  <c r="ME28" i="11" s="1"/>
  <c r="CQ28" i="11"/>
  <c r="CO28" i="11"/>
  <c r="GW28" i="11" s="1"/>
  <c r="CN28" i="11"/>
  <c r="CM28" i="11"/>
  <c r="CL28" i="11"/>
  <c r="CK28" i="11"/>
  <c r="CJ28" i="11"/>
  <c r="CI28" i="11"/>
  <c r="CH28" i="11"/>
  <c r="CG28" i="11"/>
  <c r="CF28" i="11"/>
  <c r="CE28" i="11"/>
  <c r="RR28" i="11" s="1"/>
  <c r="CD28" i="11"/>
  <c r="GY28" i="11" s="1"/>
  <c r="CC28" i="11"/>
  <c r="GT28" i="11" s="1"/>
  <c r="CB28" i="11"/>
  <c r="LY28" i="11" s="1"/>
  <c r="CA28" i="11"/>
  <c r="BZ28" i="11"/>
  <c r="BW28" i="11"/>
  <c r="BQ28" i="11"/>
  <c r="BR28" i="11" s="1"/>
  <c r="BI28" i="11"/>
  <c r="BJ28" i="11" s="1"/>
  <c r="AW28" i="11"/>
  <c r="AX28" i="11" s="1"/>
  <c r="AR28" i="11"/>
  <c r="AS28" i="11" s="1"/>
  <c r="AO28" i="11"/>
  <c r="CI28" i="13" s="1"/>
  <c r="AC28" i="11"/>
  <c r="Z28" i="11"/>
  <c r="M28" i="11"/>
  <c r="BN28" i="11" s="1"/>
  <c r="L28" i="11"/>
  <c r="K28" i="11"/>
  <c r="J28" i="11"/>
  <c r="I28" i="11"/>
  <c r="AJ28" i="11" s="1"/>
  <c r="H28" i="11"/>
  <c r="BA28" i="11" s="1"/>
  <c r="G28" i="11"/>
  <c r="AB28" i="11" s="1"/>
  <c r="F28" i="11"/>
  <c r="E28" i="11"/>
  <c r="AI28" i="11" s="1"/>
  <c r="D28" i="11"/>
  <c r="AH28" i="11" s="1"/>
  <c r="A28" i="11"/>
  <c r="B22" i="12" s="1"/>
  <c r="RW26" i="11"/>
  <c r="RK26" i="11"/>
  <c r="RH26" i="11"/>
  <c r="QX26" i="11"/>
  <c r="QW26" i="11"/>
  <c r="QV26" i="11"/>
  <c r="QU26" i="11"/>
  <c r="QT26" i="11"/>
  <c r="QS26" i="11"/>
  <c r="QB26" i="11"/>
  <c r="PY26" i="11"/>
  <c r="PV26" i="11"/>
  <c r="PT26" i="11"/>
  <c r="PQ26" i="11"/>
  <c r="PR26" i="11" s="1"/>
  <c r="PN26" i="11"/>
  <c r="PL26" i="11"/>
  <c r="PI26" i="11"/>
  <c r="PH26" i="11"/>
  <c r="PG26" i="11"/>
  <c r="PD26" i="11"/>
  <c r="PC26" i="11"/>
  <c r="PB26" i="11"/>
  <c r="OX26" i="11"/>
  <c r="OW26" i="11"/>
  <c r="OV26" i="11"/>
  <c r="OQ26" i="11"/>
  <c r="OP26" i="11"/>
  <c r="OO26" i="11"/>
  <c r="OL26" i="11"/>
  <c r="OJ26" i="11"/>
  <c r="NZ26" i="11"/>
  <c r="OA26" i="11" s="1"/>
  <c r="NP26" i="11"/>
  <c r="NQ26" i="11" s="1"/>
  <c r="NN26" i="11"/>
  <c r="NO26" i="11" s="1"/>
  <c r="NJ26" i="11"/>
  <c r="NK26" i="11" s="1"/>
  <c r="MR26" i="11"/>
  <c r="MS26" i="11" s="1"/>
  <c r="LU26" i="11"/>
  <c r="LV26" i="11" s="1"/>
  <c r="KZ26" i="11"/>
  <c r="LA26" i="11" s="1"/>
  <c r="KX26" i="11"/>
  <c r="KY26" i="11" s="1"/>
  <c r="KT26" i="11"/>
  <c r="KU26" i="11" s="1"/>
  <c r="KK26" i="11"/>
  <c r="KJ26" i="11"/>
  <c r="KI26" i="11"/>
  <c r="KH26" i="11"/>
  <c r="KG26" i="11"/>
  <c r="KE26" i="11"/>
  <c r="JO26" i="11"/>
  <c r="JP26" i="11" s="1"/>
  <c r="JD26" i="11"/>
  <c r="IW26" i="11"/>
  <c r="IV26" i="11"/>
  <c r="IO26" i="11"/>
  <c r="IP26" i="11" s="1"/>
  <c r="IE26" i="11"/>
  <c r="IB26" i="11"/>
  <c r="HZ26" i="11"/>
  <c r="HX26" i="11"/>
  <c r="HU26" i="11"/>
  <c r="HV26" i="11" s="1"/>
  <c r="HR26" i="11"/>
  <c r="HS26" i="11" s="1"/>
  <c r="IH26" i="11" s="1"/>
  <c r="HN26" i="11"/>
  <c r="HM26" i="11"/>
  <c r="HK26" i="11"/>
  <c r="HJ26" i="11"/>
  <c r="HF26" i="11"/>
  <c r="HG26" i="11" s="1"/>
  <c r="HC26" i="11"/>
  <c r="HD26" i="11" s="1"/>
  <c r="GZ26" i="11"/>
  <c r="GK26" i="11"/>
  <c r="GO26" i="11" s="1"/>
  <c r="FL26" i="11"/>
  <c r="FJ26" i="11"/>
  <c r="FB26" i="11"/>
  <c r="EZ26" i="11"/>
  <c r="EX26" i="11"/>
  <c r="EW26" i="11"/>
  <c r="EV26" i="11"/>
  <c r="EU26" i="11"/>
  <c r="EK26" i="11"/>
  <c r="DZ26" i="11"/>
  <c r="DM26" i="11"/>
  <c r="DG26" i="11"/>
  <c r="DE26" i="11"/>
  <c r="GD26" i="11" s="1"/>
  <c r="DC26" i="11"/>
  <c r="MI26" i="11" s="1"/>
  <c r="DB26" i="11"/>
  <c r="CZ26" i="11"/>
  <c r="MJ26" i="11" s="1"/>
  <c r="MK26" i="11" s="1"/>
  <c r="CY26" i="11"/>
  <c r="CW26" i="11"/>
  <c r="FW26" i="11" s="1"/>
  <c r="CU26" i="11"/>
  <c r="MC26" i="11" s="1"/>
  <c r="CT26" i="11"/>
  <c r="CR26" i="11"/>
  <c r="MD26" i="11" s="1"/>
  <c r="ME26" i="11" s="1"/>
  <c r="CQ26" i="11"/>
  <c r="CO26" i="11"/>
  <c r="GW26" i="11" s="1"/>
  <c r="CN26" i="11"/>
  <c r="CM26" i="11"/>
  <c r="CL26" i="11"/>
  <c r="CK26" i="11"/>
  <c r="CJ26" i="11"/>
  <c r="CI26" i="11"/>
  <c r="CH26" i="11"/>
  <c r="CG26" i="11"/>
  <c r="CF26" i="11"/>
  <c r="CE26" i="11"/>
  <c r="RR26" i="11" s="1"/>
  <c r="CD26" i="11"/>
  <c r="GY26" i="11" s="1"/>
  <c r="CC26" i="11"/>
  <c r="CB26" i="11"/>
  <c r="LY26" i="11" s="1"/>
  <c r="CA26" i="11"/>
  <c r="BZ26" i="11"/>
  <c r="BW26" i="11"/>
  <c r="BQ26" i="11"/>
  <c r="BR26" i="11" s="1"/>
  <c r="BX26" i="11" s="1"/>
  <c r="BI26" i="11"/>
  <c r="BJ26" i="11" s="1"/>
  <c r="AW26" i="11"/>
  <c r="AX26" i="11" s="1"/>
  <c r="AR26" i="11"/>
  <c r="AS26" i="11" s="1"/>
  <c r="AO26" i="11"/>
  <c r="AC26" i="11"/>
  <c r="Z26" i="11"/>
  <c r="M26" i="11"/>
  <c r="BN26" i="11" s="1"/>
  <c r="L26" i="11"/>
  <c r="K26" i="11"/>
  <c r="J26" i="11"/>
  <c r="JY26" i="11" s="1"/>
  <c r="I26" i="11"/>
  <c r="AJ26" i="11" s="1"/>
  <c r="H26" i="11"/>
  <c r="BA26" i="11" s="1"/>
  <c r="G26" i="11"/>
  <c r="AB26" i="11" s="1"/>
  <c r="F26" i="11"/>
  <c r="E26" i="11"/>
  <c r="AI26" i="11" s="1"/>
  <c r="D26" i="11"/>
  <c r="AH26" i="11" s="1"/>
  <c r="A26" i="11"/>
  <c r="B20" i="12" s="1"/>
  <c r="RW24" i="11"/>
  <c r="RK24" i="11"/>
  <c r="RH24" i="11"/>
  <c r="QX24" i="11"/>
  <c r="QW24" i="11"/>
  <c r="QU24" i="11"/>
  <c r="QT24" i="11"/>
  <c r="QS24" i="11"/>
  <c r="QB24" i="11"/>
  <c r="PY24" i="11"/>
  <c r="PV24" i="11"/>
  <c r="PT24" i="11"/>
  <c r="PQ24" i="11"/>
  <c r="PN24" i="11"/>
  <c r="PL24" i="11"/>
  <c r="PI24" i="11"/>
  <c r="PH24" i="11"/>
  <c r="PG24" i="11"/>
  <c r="PD24" i="11"/>
  <c r="PC24" i="11"/>
  <c r="PB24" i="11"/>
  <c r="OX24" i="11"/>
  <c r="OW24" i="11"/>
  <c r="OV24" i="11"/>
  <c r="OQ24" i="11"/>
  <c r="OP24" i="11"/>
  <c r="OO24" i="11"/>
  <c r="OL24" i="11"/>
  <c r="OJ24" i="11"/>
  <c r="NZ24" i="11"/>
  <c r="OA24" i="11" s="1"/>
  <c r="NP24" i="11"/>
  <c r="NQ24" i="11" s="1"/>
  <c r="NN24" i="11"/>
  <c r="NO24" i="11" s="1"/>
  <c r="NJ24" i="11"/>
  <c r="NK24" i="11" s="1"/>
  <c r="MR24" i="11"/>
  <c r="MS24" i="11" s="1"/>
  <c r="LU24" i="11"/>
  <c r="LV24" i="11" s="1"/>
  <c r="KZ24" i="11"/>
  <c r="LA24" i="11" s="1"/>
  <c r="KX24" i="11"/>
  <c r="KY24" i="11" s="1"/>
  <c r="KT24" i="11"/>
  <c r="KU24" i="11" s="1"/>
  <c r="KK24" i="11"/>
  <c r="KJ24" i="11"/>
  <c r="KI24" i="11"/>
  <c r="KH24" i="11"/>
  <c r="KG24" i="11"/>
  <c r="KE24" i="11"/>
  <c r="JO24" i="11"/>
  <c r="JP24" i="11" s="1"/>
  <c r="JD24" i="11"/>
  <c r="IW24" i="11"/>
  <c r="IV24" i="11"/>
  <c r="IO24" i="11"/>
  <c r="IP24" i="11" s="1"/>
  <c r="IE24" i="11"/>
  <c r="IB24" i="11"/>
  <c r="HZ24" i="11"/>
  <c r="HX24" i="11"/>
  <c r="HU24" i="11"/>
  <c r="HV24" i="11" s="1"/>
  <c r="HR24" i="11"/>
  <c r="HS24" i="11" s="1"/>
  <c r="IH24" i="11" s="1"/>
  <c r="HN24" i="11"/>
  <c r="HM24" i="11"/>
  <c r="HK24" i="11"/>
  <c r="HJ24" i="11"/>
  <c r="HF24" i="11"/>
  <c r="HG24" i="11" s="1"/>
  <c r="HC24" i="11"/>
  <c r="HD24" i="11" s="1"/>
  <c r="GZ24" i="11"/>
  <c r="GK24" i="11"/>
  <c r="GP24" i="11" s="1"/>
  <c r="FL24" i="11"/>
  <c r="FJ24" i="11"/>
  <c r="FB24" i="11"/>
  <c r="EZ24" i="11"/>
  <c r="EX24" i="11"/>
  <c r="EW24" i="11"/>
  <c r="EV24" i="11"/>
  <c r="EU24" i="11"/>
  <c r="EK24" i="11"/>
  <c r="DZ24" i="11"/>
  <c r="DM24" i="11"/>
  <c r="DG24" i="11"/>
  <c r="DE24" i="11"/>
  <c r="GD24" i="11" s="1"/>
  <c r="DC24" i="11"/>
  <c r="MI24" i="11" s="1"/>
  <c r="DB24" i="11"/>
  <c r="CZ24" i="11"/>
  <c r="MJ24" i="11" s="1"/>
  <c r="MK24" i="11" s="1"/>
  <c r="CY24" i="11"/>
  <c r="CW24" i="11"/>
  <c r="FW24" i="11" s="1"/>
  <c r="CU24" i="11"/>
  <c r="MC24" i="11" s="1"/>
  <c r="CT24" i="11"/>
  <c r="CR24" i="11"/>
  <c r="MD24" i="11" s="1"/>
  <c r="ME24" i="11" s="1"/>
  <c r="CQ24" i="11"/>
  <c r="CO24" i="11"/>
  <c r="GW24" i="11" s="1"/>
  <c r="CN24" i="11"/>
  <c r="CM24" i="11"/>
  <c r="CL24" i="11"/>
  <c r="CK24" i="11"/>
  <c r="CJ24" i="11"/>
  <c r="CI24" i="11"/>
  <c r="CH24" i="11"/>
  <c r="CG24" i="11"/>
  <c r="CF24" i="11"/>
  <c r="CE24" i="11"/>
  <c r="RR24" i="11" s="1"/>
  <c r="CD24" i="11"/>
  <c r="GY24" i="11" s="1"/>
  <c r="CC24" i="11"/>
  <c r="CB24" i="11"/>
  <c r="LY24" i="11" s="1"/>
  <c r="CA24" i="11"/>
  <c r="BZ24" i="11"/>
  <c r="BW24" i="11"/>
  <c r="BQ24" i="11"/>
  <c r="BR24" i="11" s="1"/>
  <c r="BI24" i="11"/>
  <c r="BJ24" i="11" s="1"/>
  <c r="AW24" i="11"/>
  <c r="AX24" i="11" s="1"/>
  <c r="AR24" i="11"/>
  <c r="AS24" i="11" s="1"/>
  <c r="AO24" i="11"/>
  <c r="CL24" i="13" s="1"/>
  <c r="AC24" i="11"/>
  <c r="Z24" i="11"/>
  <c r="M24" i="11"/>
  <c r="BN24" i="11" s="1"/>
  <c r="L24" i="11"/>
  <c r="K24" i="11"/>
  <c r="J24" i="11"/>
  <c r="I24" i="11"/>
  <c r="AJ24" i="11" s="1"/>
  <c r="H24" i="11"/>
  <c r="BA24" i="11" s="1"/>
  <c r="G24" i="11"/>
  <c r="AB24" i="11" s="1"/>
  <c r="F24" i="11"/>
  <c r="E24" i="11"/>
  <c r="AI24" i="11" s="1"/>
  <c r="D24" i="11"/>
  <c r="AH24" i="11" s="1"/>
  <c r="A24" i="11"/>
  <c r="B18" i="12" s="1"/>
  <c r="RW22" i="11"/>
  <c r="RK22" i="11"/>
  <c r="RH22" i="11"/>
  <c r="QX22" i="11"/>
  <c r="QW22" i="11"/>
  <c r="QV22" i="11"/>
  <c r="QU22" i="11"/>
  <c r="QT22" i="11"/>
  <c r="QS22" i="11"/>
  <c r="QB22" i="11"/>
  <c r="PY22" i="11"/>
  <c r="PV22" i="11"/>
  <c r="PT22" i="11"/>
  <c r="PQ22" i="11"/>
  <c r="PN22" i="11"/>
  <c r="PL22" i="11"/>
  <c r="PI22" i="11"/>
  <c r="PH22" i="11"/>
  <c r="PG22" i="11"/>
  <c r="PD22" i="11"/>
  <c r="PC22" i="11"/>
  <c r="PB22" i="11"/>
  <c r="OX22" i="11"/>
  <c r="OW22" i="11"/>
  <c r="OV22" i="11"/>
  <c r="OQ22" i="11"/>
  <c r="OP22" i="11"/>
  <c r="OO22" i="11"/>
  <c r="OL22" i="11"/>
  <c r="OJ22" i="11"/>
  <c r="NZ22" i="11"/>
  <c r="OA22" i="11" s="1"/>
  <c r="NP22" i="11"/>
  <c r="NQ22" i="11" s="1"/>
  <c r="NN22" i="11"/>
  <c r="NO22" i="11" s="1"/>
  <c r="NJ22" i="11"/>
  <c r="NK22" i="11" s="1"/>
  <c r="MR22" i="11"/>
  <c r="MS22" i="11" s="1"/>
  <c r="LU22" i="11"/>
  <c r="LV22" i="11" s="1"/>
  <c r="KZ22" i="11"/>
  <c r="LA22" i="11" s="1"/>
  <c r="KX22" i="11"/>
  <c r="KY22" i="11" s="1"/>
  <c r="KT22" i="11"/>
  <c r="KU22" i="11" s="1"/>
  <c r="KK22" i="11"/>
  <c r="KJ22" i="11"/>
  <c r="KI22" i="11"/>
  <c r="KH22" i="11"/>
  <c r="KG22" i="11"/>
  <c r="KE22" i="11"/>
  <c r="JO22" i="11"/>
  <c r="JP22" i="11" s="1"/>
  <c r="JD22" i="11"/>
  <c r="IW22" i="11"/>
  <c r="IV22" i="11"/>
  <c r="IO22" i="11"/>
  <c r="IP22" i="11" s="1"/>
  <c r="IE22" i="11"/>
  <c r="IB22" i="11"/>
  <c r="HZ22" i="11"/>
  <c r="HX22" i="11"/>
  <c r="HU22" i="11"/>
  <c r="HV22" i="11" s="1"/>
  <c r="HR22" i="11"/>
  <c r="HS22" i="11" s="1"/>
  <c r="IH22" i="11" s="1"/>
  <c r="HN22" i="11"/>
  <c r="HM22" i="11"/>
  <c r="HK22" i="11"/>
  <c r="HJ22" i="11"/>
  <c r="HF22" i="11"/>
  <c r="HG22" i="11" s="1"/>
  <c r="HC22" i="11"/>
  <c r="HD22" i="11" s="1"/>
  <c r="GZ22" i="11"/>
  <c r="GK22" i="11"/>
  <c r="GO22" i="11" s="1"/>
  <c r="FL22" i="11"/>
  <c r="FJ22" i="11"/>
  <c r="FB22" i="11"/>
  <c r="EZ22" i="11"/>
  <c r="EX22" i="11"/>
  <c r="EW22" i="11"/>
  <c r="EV22" i="11"/>
  <c r="EU22" i="11"/>
  <c r="EK22" i="11"/>
  <c r="DZ22" i="11"/>
  <c r="DM22" i="11"/>
  <c r="DG22" i="11"/>
  <c r="DE22" i="11"/>
  <c r="GD22" i="11" s="1"/>
  <c r="DC22" i="11"/>
  <c r="MI22" i="11" s="1"/>
  <c r="DB22" i="11"/>
  <c r="CZ22" i="11"/>
  <c r="MJ22" i="11" s="1"/>
  <c r="MK22" i="11" s="1"/>
  <c r="CY22" i="11"/>
  <c r="CW22" i="11"/>
  <c r="FW22" i="11" s="1"/>
  <c r="CU22" i="11"/>
  <c r="MC22" i="11" s="1"/>
  <c r="CT22" i="11"/>
  <c r="CR22" i="11"/>
  <c r="MD22" i="11" s="1"/>
  <c r="ME22" i="11" s="1"/>
  <c r="CQ22" i="11"/>
  <c r="CO22" i="11"/>
  <c r="GW22" i="11" s="1"/>
  <c r="CN22" i="11"/>
  <c r="CM22" i="11"/>
  <c r="CL22" i="11"/>
  <c r="CK22" i="11"/>
  <c r="CJ22" i="11"/>
  <c r="CI22" i="11"/>
  <c r="CH22" i="11"/>
  <c r="CG22" i="11"/>
  <c r="CF22" i="11"/>
  <c r="CE22" i="11"/>
  <c r="RR22" i="11" s="1"/>
  <c r="CD22" i="11"/>
  <c r="GY22" i="11" s="1"/>
  <c r="CC22" i="11"/>
  <c r="CB22" i="11"/>
  <c r="LY22" i="11" s="1"/>
  <c r="CA22" i="11"/>
  <c r="BZ22" i="11"/>
  <c r="BW22" i="11"/>
  <c r="BQ22" i="11"/>
  <c r="BR22" i="11" s="1"/>
  <c r="BI22" i="11"/>
  <c r="BJ22" i="11" s="1"/>
  <c r="AW22" i="11"/>
  <c r="AX22" i="11" s="1"/>
  <c r="AR22" i="11"/>
  <c r="AS22" i="11" s="1"/>
  <c r="AO22" i="11"/>
  <c r="CL22" i="13" s="1"/>
  <c r="AC22" i="11"/>
  <c r="Z22" i="11"/>
  <c r="M22" i="11"/>
  <c r="BN22" i="11" s="1"/>
  <c r="L22" i="11"/>
  <c r="K22" i="11"/>
  <c r="J22" i="11"/>
  <c r="I22" i="11"/>
  <c r="AJ22" i="11" s="1"/>
  <c r="H22" i="11"/>
  <c r="BA22" i="11" s="1"/>
  <c r="G22" i="11"/>
  <c r="AB22" i="11" s="1"/>
  <c r="F22" i="11"/>
  <c r="E22" i="11"/>
  <c r="AI22" i="11" s="1"/>
  <c r="D22" i="11"/>
  <c r="AH22" i="11" s="1"/>
  <c r="A22" i="11"/>
  <c r="B16" i="12" s="1"/>
  <c r="RW20" i="11"/>
  <c r="RK20" i="11"/>
  <c r="RH20" i="11"/>
  <c r="QX20" i="11"/>
  <c r="QW20" i="11"/>
  <c r="QV20" i="11"/>
  <c r="QU20" i="11"/>
  <c r="QT20" i="11"/>
  <c r="QS20" i="11"/>
  <c r="QR20" i="11"/>
  <c r="QB20" i="11"/>
  <c r="PY20" i="11"/>
  <c r="PV20" i="11"/>
  <c r="PT20" i="11"/>
  <c r="PQ20" i="11"/>
  <c r="PN20" i="11"/>
  <c r="PL20" i="11"/>
  <c r="PI20" i="11"/>
  <c r="PH20" i="11"/>
  <c r="PG20" i="11"/>
  <c r="PD20" i="11"/>
  <c r="PC20" i="11"/>
  <c r="PB20" i="11"/>
  <c r="OX20" i="11"/>
  <c r="OW20" i="11"/>
  <c r="OV20" i="11"/>
  <c r="OQ20" i="11"/>
  <c r="OP20" i="11"/>
  <c r="OO20" i="11"/>
  <c r="OL20" i="11"/>
  <c r="OJ20" i="11"/>
  <c r="NZ20" i="11"/>
  <c r="OA20" i="11" s="1"/>
  <c r="NP20" i="11"/>
  <c r="NQ20" i="11" s="1"/>
  <c r="NN20" i="11"/>
  <c r="NO20" i="11" s="1"/>
  <c r="NJ20" i="11"/>
  <c r="NK20" i="11" s="1"/>
  <c r="MR20" i="11"/>
  <c r="MS20" i="11" s="1"/>
  <c r="LU20" i="11"/>
  <c r="LV20" i="11" s="1"/>
  <c r="KZ20" i="11"/>
  <c r="LA20" i="11" s="1"/>
  <c r="KX20" i="11"/>
  <c r="KY20" i="11" s="1"/>
  <c r="KT20" i="11"/>
  <c r="KU20" i="11" s="1"/>
  <c r="KK20" i="11"/>
  <c r="KJ20" i="11"/>
  <c r="KI20" i="11"/>
  <c r="KH20" i="11"/>
  <c r="KG20" i="11"/>
  <c r="KE20" i="11"/>
  <c r="JO20" i="11"/>
  <c r="JP20" i="11" s="1"/>
  <c r="JD20" i="11"/>
  <c r="IW20" i="11"/>
  <c r="IV20" i="11"/>
  <c r="IO20" i="11"/>
  <c r="IP20" i="11" s="1"/>
  <c r="IE20" i="11"/>
  <c r="IB20" i="11"/>
  <c r="HZ20" i="11"/>
  <c r="HX20" i="11"/>
  <c r="HU20" i="11"/>
  <c r="HV20" i="11" s="1"/>
  <c r="HR20" i="11"/>
  <c r="HS20" i="11" s="1"/>
  <c r="IH20" i="11" s="1"/>
  <c r="HN20" i="11"/>
  <c r="HM20" i="11"/>
  <c r="HK20" i="11"/>
  <c r="HJ20" i="11"/>
  <c r="HF20" i="11"/>
  <c r="HG20" i="11" s="1"/>
  <c r="HH20" i="11" s="1"/>
  <c r="HC20" i="11"/>
  <c r="HD20" i="11" s="1"/>
  <c r="GZ20" i="11"/>
  <c r="GK20" i="11"/>
  <c r="FL20" i="11"/>
  <c r="FJ20" i="11"/>
  <c r="FB20" i="11"/>
  <c r="EZ20" i="11"/>
  <c r="EX20" i="11"/>
  <c r="EW20" i="11"/>
  <c r="EV20" i="11"/>
  <c r="EU20" i="11"/>
  <c r="EK20" i="11"/>
  <c r="DZ20" i="11"/>
  <c r="DM20" i="11"/>
  <c r="DG20" i="11"/>
  <c r="DE20" i="11"/>
  <c r="GD20" i="11" s="1"/>
  <c r="DC20" i="11"/>
  <c r="MI20" i="11" s="1"/>
  <c r="DB20" i="11"/>
  <c r="CZ20" i="11"/>
  <c r="MJ20" i="11" s="1"/>
  <c r="MK20" i="11" s="1"/>
  <c r="CY20" i="11"/>
  <c r="CW20" i="11"/>
  <c r="FW20" i="11" s="1"/>
  <c r="CU20" i="11"/>
  <c r="MC20" i="11" s="1"/>
  <c r="CT20" i="11"/>
  <c r="CR20" i="11"/>
  <c r="MD20" i="11" s="1"/>
  <c r="ME20" i="11" s="1"/>
  <c r="CQ20" i="11"/>
  <c r="CO20" i="11"/>
  <c r="GW20" i="11" s="1"/>
  <c r="CN20" i="11"/>
  <c r="CM20" i="11"/>
  <c r="CL20" i="11"/>
  <c r="CK20" i="11"/>
  <c r="CJ20" i="11"/>
  <c r="CI20" i="11"/>
  <c r="CH20" i="11"/>
  <c r="CG20" i="11"/>
  <c r="CF20" i="11"/>
  <c r="CE20" i="11"/>
  <c r="RR20" i="11" s="1"/>
  <c r="CD20" i="11"/>
  <c r="GY20" i="11" s="1"/>
  <c r="CC20" i="11"/>
  <c r="GT20" i="11" s="1"/>
  <c r="CB20" i="11"/>
  <c r="LY20" i="11" s="1"/>
  <c r="CA20" i="11"/>
  <c r="BZ20" i="11"/>
  <c r="BW20" i="11"/>
  <c r="BQ20" i="11"/>
  <c r="BR20" i="11" s="1"/>
  <c r="BI20" i="11"/>
  <c r="BJ20" i="11" s="1"/>
  <c r="AW20" i="11"/>
  <c r="AX20" i="11" s="1"/>
  <c r="AR20" i="11"/>
  <c r="AS20" i="11" s="1"/>
  <c r="AO20" i="11"/>
  <c r="CI20" i="13" s="1"/>
  <c r="AC20" i="11"/>
  <c r="Z20" i="11"/>
  <c r="GE20" i="11" s="1"/>
  <c r="M20" i="11"/>
  <c r="BN20" i="11" s="1"/>
  <c r="L20" i="11"/>
  <c r="K20" i="11"/>
  <c r="J20" i="11"/>
  <c r="I20" i="11"/>
  <c r="AJ20" i="11" s="1"/>
  <c r="H20" i="11"/>
  <c r="BA20" i="11" s="1"/>
  <c r="G20" i="11"/>
  <c r="AB20" i="11" s="1"/>
  <c r="F20" i="11"/>
  <c r="E20" i="11"/>
  <c r="AI20" i="11" s="1"/>
  <c r="D20" i="11"/>
  <c r="AH20" i="11" s="1"/>
  <c r="A20" i="11"/>
  <c r="LX36" i="13"/>
  <c r="LL36" i="13"/>
  <c r="LF36" i="13"/>
  <c r="KZ36" i="13"/>
  <c r="KB36" i="13"/>
  <c r="JV36" i="13"/>
  <c r="JP36" i="13"/>
  <c r="JN36" i="13"/>
  <c r="IM36" i="13"/>
  <c r="IG36" i="13"/>
  <c r="IA36" i="13"/>
  <c r="GI36" i="13"/>
  <c r="FX36" i="13"/>
  <c r="FF36" i="13"/>
  <c r="FC36" i="13"/>
  <c r="FB36" i="13"/>
  <c r="EO36" i="13"/>
  <c r="DW36" i="13"/>
  <c r="DU36" i="13"/>
  <c r="DO36" i="13"/>
  <c r="CL36" i="13"/>
  <c r="AL36" i="13"/>
  <c r="LX34" i="13"/>
  <c r="LL34" i="13"/>
  <c r="LF34" i="13"/>
  <c r="KZ34" i="13"/>
  <c r="KH34" i="13"/>
  <c r="KB34" i="13"/>
  <c r="JV34" i="13"/>
  <c r="JP34" i="13"/>
  <c r="JN34" i="13"/>
  <c r="IA34" i="13"/>
  <c r="GI34" i="13"/>
  <c r="FX34" i="13"/>
  <c r="FR34" i="13"/>
  <c r="FF34" i="13"/>
  <c r="FC34" i="13"/>
  <c r="FB34" i="13"/>
  <c r="EO34" i="13"/>
  <c r="DW34" i="13"/>
  <c r="DU34" i="13"/>
  <c r="DO34" i="13"/>
  <c r="CI34" i="13"/>
  <c r="AL34" i="13"/>
  <c r="LX32" i="13"/>
  <c r="LL32" i="13"/>
  <c r="LF32" i="13"/>
  <c r="KZ32" i="13"/>
  <c r="KB32" i="13"/>
  <c r="JV32" i="13"/>
  <c r="JP32" i="13"/>
  <c r="JN32" i="13"/>
  <c r="IM32" i="13"/>
  <c r="IA32" i="13"/>
  <c r="GI32" i="13"/>
  <c r="FX32" i="13"/>
  <c r="FR32" i="13"/>
  <c r="FF32" i="13"/>
  <c r="FC32" i="13"/>
  <c r="FB32" i="13"/>
  <c r="EO32" i="13"/>
  <c r="DW32" i="13"/>
  <c r="DU32" i="13"/>
  <c r="CT32" i="13"/>
  <c r="CL32" i="13"/>
  <c r="AL32" i="13"/>
  <c r="LX30" i="13"/>
  <c r="LF30" i="13"/>
  <c r="KZ30" i="13"/>
  <c r="KB30" i="13"/>
  <c r="JV30" i="13"/>
  <c r="JP30" i="13"/>
  <c r="JN30" i="13"/>
  <c r="IG30" i="13"/>
  <c r="IA30" i="13"/>
  <c r="GW30" i="13"/>
  <c r="GK30" i="13"/>
  <c r="GI30" i="13"/>
  <c r="FR30" i="13"/>
  <c r="FF30" i="13"/>
  <c r="FC30" i="13"/>
  <c r="EO30" i="13"/>
  <c r="DW30" i="13"/>
  <c r="DU30" i="13"/>
  <c r="CZ30" i="13"/>
  <c r="CT30" i="13"/>
  <c r="CL30" i="13"/>
  <c r="AL30" i="13"/>
  <c r="LX28" i="13"/>
  <c r="LL28" i="13"/>
  <c r="LF28" i="13"/>
  <c r="KZ28" i="13"/>
  <c r="KB28" i="13"/>
  <c r="JV28" i="13"/>
  <c r="JP28" i="13"/>
  <c r="JN28" i="13"/>
  <c r="IM28" i="13"/>
  <c r="IA28" i="13"/>
  <c r="GI28" i="13"/>
  <c r="FR28" i="13"/>
  <c r="FF28" i="13"/>
  <c r="FC28" i="13"/>
  <c r="FB28" i="13"/>
  <c r="EO28" i="13"/>
  <c r="DW28" i="13"/>
  <c r="DU28" i="13"/>
  <c r="DO28" i="13"/>
  <c r="CT28" i="13"/>
  <c r="CL28" i="13"/>
  <c r="AL28" i="13"/>
  <c r="LX26" i="13"/>
  <c r="LL26" i="13"/>
  <c r="LF26" i="13"/>
  <c r="KZ26" i="13"/>
  <c r="KB26" i="13"/>
  <c r="JV26" i="13"/>
  <c r="JP26" i="13"/>
  <c r="JN26" i="13"/>
  <c r="IG26" i="13"/>
  <c r="IA26" i="13"/>
  <c r="HI26" i="13"/>
  <c r="GW26" i="13"/>
  <c r="GK26" i="13"/>
  <c r="GI26" i="13"/>
  <c r="FX26" i="13"/>
  <c r="FF26" i="13"/>
  <c r="FC26" i="13"/>
  <c r="FB26" i="13"/>
  <c r="EO26" i="13"/>
  <c r="DW26" i="13"/>
  <c r="DU26" i="13"/>
  <c r="CZ26" i="13"/>
  <c r="CI26" i="13"/>
  <c r="AL26" i="13"/>
  <c r="LX24" i="13"/>
  <c r="LL24" i="13"/>
  <c r="LF24" i="13"/>
  <c r="KZ24" i="13"/>
  <c r="KB24" i="13"/>
  <c r="JV24" i="13"/>
  <c r="JP24" i="13"/>
  <c r="JN24" i="13"/>
  <c r="IM24" i="13"/>
  <c r="IG24" i="13"/>
  <c r="IA24" i="13"/>
  <c r="GW24" i="13"/>
  <c r="GK24" i="13"/>
  <c r="GI24" i="13"/>
  <c r="FR24" i="13"/>
  <c r="FF24" i="13"/>
  <c r="FC24" i="13"/>
  <c r="FB24" i="13"/>
  <c r="EO24" i="13"/>
  <c r="DW24" i="13"/>
  <c r="DU24" i="13"/>
  <c r="DO24" i="13"/>
  <c r="CZ24" i="13"/>
  <c r="CT24" i="13"/>
  <c r="AL24" i="13"/>
  <c r="LX22" i="13"/>
  <c r="LL22" i="13"/>
  <c r="LF22" i="13"/>
  <c r="KZ22" i="13"/>
  <c r="KB22" i="13"/>
  <c r="JV22" i="13"/>
  <c r="JP22" i="13"/>
  <c r="JN22" i="13"/>
  <c r="IM22" i="13"/>
  <c r="IG22" i="13"/>
  <c r="IA22" i="13"/>
  <c r="GK22" i="13"/>
  <c r="GI22" i="13"/>
  <c r="FF22" i="13"/>
  <c r="FC22" i="13"/>
  <c r="EO22" i="13"/>
  <c r="DW22" i="13"/>
  <c r="DU22" i="13"/>
  <c r="DO22" i="13"/>
  <c r="CZ22" i="13"/>
  <c r="CT22" i="13"/>
  <c r="CI22" i="13"/>
  <c r="AL22" i="13"/>
  <c r="LX20" i="13"/>
  <c r="LL20" i="13"/>
  <c r="LF20" i="13"/>
  <c r="KZ20" i="13"/>
  <c r="KB20" i="13"/>
  <c r="JV20" i="13"/>
  <c r="JP20" i="13"/>
  <c r="JN20" i="13"/>
  <c r="IM20" i="13"/>
  <c r="IA20" i="13"/>
  <c r="GK20" i="13"/>
  <c r="GI20" i="13"/>
  <c r="FF20" i="13"/>
  <c r="FC20" i="13"/>
  <c r="FB20" i="13"/>
  <c r="EO20" i="13"/>
  <c r="DW20" i="13"/>
  <c r="DU20" i="13"/>
  <c r="DO20" i="13"/>
  <c r="CZ20" i="13"/>
  <c r="CT20" i="13"/>
  <c r="CL20" i="13"/>
  <c r="AL20" i="13"/>
  <c r="FN62" i="11" l="1"/>
  <c r="RJ66" i="11"/>
  <c r="JK66" i="11"/>
  <c r="JL66" i="11" s="1"/>
  <c r="JM66" i="11" s="1"/>
  <c r="GT36" i="11"/>
  <c r="GT24" i="11"/>
  <c r="IT72" i="11"/>
  <c r="JL72" i="11"/>
  <c r="JM72" i="11" s="1"/>
  <c r="GQ72" i="13"/>
  <c r="IT70" i="11"/>
  <c r="JL60" i="11"/>
  <c r="JM60" i="11" s="1"/>
  <c r="GQ60" i="13"/>
  <c r="JK58" i="11"/>
  <c r="JL56" i="11"/>
  <c r="JM56" i="11" s="1"/>
  <c r="GQ56" i="13"/>
  <c r="JL54" i="11"/>
  <c r="JM54" i="11" s="1"/>
  <c r="GQ54" i="13"/>
  <c r="JK50" i="11"/>
  <c r="JL48" i="11"/>
  <c r="JM48" i="11" s="1"/>
  <c r="GQ48" i="13"/>
  <c r="JL44" i="11"/>
  <c r="JM44" i="11" s="1"/>
  <c r="GQ44" i="13"/>
  <c r="JL42" i="11"/>
  <c r="JM42" i="11" s="1"/>
  <c r="GQ42" i="13"/>
  <c r="JK40" i="11"/>
  <c r="GT34" i="11"/>
  <c r="GT32" i="11"/>
  <c r="GT30" i="11"/>
  <c r="GT26" i="11"/>
  <c r="GT22" i="11"/>
  <c r="JL52" i="11"/>
  <c r="JM52" i="11" s="1"/>
  <c r="GQ52" i="13"/>
  <c r="IT52" i="11"/>
  <c r="JK46" i="11"/>
  <c r="JL70" i="11"/>
  <c r="JM70" i="11" s="1"/>
  <c r="GQ70" i="13"/>
  <c r="JL68" i="11"/>
  <c r="JM68" i="11" s="1"/>
  <c r="GQ68" i="13"/>
  <c r="JL62" i="11"/>
  <c r="JM62" i="11" s="1"/>
  <c r="GQ62" i="13"/>
  <c r="IT62" i="11"/>
  <c r="JK38" i="11"/>
  <c r="JL38" i="11" s="1"/>
  <c r="JM38" i="11" s="1"/>
  <c r="KQ46" i="11"/>
  <c r="KR46" i="11" s="1"/>
  <c r="HU46" i="13"/>
  <c r="KQ44" i="11"/>
  <c r="KR44" i="11" s="1"/>
  <c r="HU44" i="13"/>
  <c r="KQ42" i="11"/>
  <c r="KR42" i="11" s="1"/>
  <c r="HU42" i="13"/>
  <c r="KQ40" i="11"/>
  <c r="KR40" i="11" s="1"/>
  <c r="HU40" i="13"/>
  <c r="KQ52" i="11"/>
  <c r="KR52" i="11" s="1"/>
  <c r="HU52" i="13"/>
  <c r="FD54" i="11"/>
  <c r="RL54" i="11" s="1"/>
  <c r="KQ56" i="11"/>
  <c r="KR56" i="11" s="1"/>
  <c r="HU56" i="13"/>
  <c r="KQ58" i="11"/>
  <c r="KR58" i="11" s="1"/>
  <c r="HU58" i="13"/>
  <c r="KQ60" i="11"/>
  <c r="KR60" i="11" s="1"/>
  <c r="HU60" i="13"/>
  <c r="LN72" i="11"/>
  <c r="LO72" i="11" s="1"/>
  <c r="IY72" i="13"/>
  <c r="KM72" i="11"/>
  <c r="KN72" i="11" s="1"/>
  <c r="HO72" i="13"/>
  <c r="AM72" i="11"/>
  <c r="O66" i="12" s="1"/>
  <c r="P66" i="12" s="1"/>
  <c r="CH72" i="13"/>
  <c r="LH72" i="11"/>
  <c r="LI72" i="11" s="1"/>
  <c r="IS72" i="13"/>
  <c r="RE70" i="11"/>
  <c r="RC70" i="11"/>
  <c r="NC70" i="11"/>
  <c r="ND70" i="11" s="1"/>
  <c r="RD70" i="11" s="1"/>
  <c r="KN70" i="13"/>
  <c r="NW70" i="11"/>
  <c r="NX70" i="11" s="1"/>
  <c r="LR70" i="13"/>
  <c r="MW70" i="11"/>
  <c r="MX70" i="11" s="1"/>
  <c r="KH70" i="13"/>
  <c r="RB70" i="11"/>
  <c r="AM70" i="11"/>
  <c r="CH70" i="13"/>
  <c r="KM70" i="11"/>
  <c r="KN70" i="11" s="1"/>
  <c r="HO70" i="13"/>
  <c r="FN70" i="11"/>
  <c r="GU70" i="11" s="1"/>
  <c r="NG68" i="11"/>
  <c r="NH68" i="11" s="1"/>
  <c r="KT68" i="13"/>
  <c r="NW68" i="11"/>
  <c r="NX68" i="11" s="1"/>
  <c r="LR68" i="13"/>
  <c r="AM68" i="11"/>
  <c r="CH68" i="13"/>
  <c r="KM68" i="11"/>
  <c r="KN68" i="11" s="1"/>
  <c r="HO68" i="13"/>
  <c r="FN68" i="11"/>
  <c r="FO68" i="11" s="1"/>
  <c r="NW66" i="11"/>
  <c r="NX66" i="11" s="1"/>
  <c r="LR66" i="13"/>
  <c r="NC66" i="11"/>
  <c r="ND66" i="11" s="1"/>
  <c r="RD66" i="11" s="1"/>
  <c r="KN66" i="13"/>
  <c r="MW66" i="11"/>
  <c r="MX66" i="11" s="1"/>
  <c r="KH66" i="13"/>
  <c r="KM66" i="11"/>
  <c r="KN66" i="11" s="1"/>
  <c r="HO66" i="13"/>
  <c r="AM66" i="11"/>
  <c r="CH66" i="13"/>
  <c r="LN64" i="11"/>
  <c r="LO64" i="11" s="1"/>
  <c r="IY64" i="13"/>
  <c r="AM64" i="11"/>
  <c r="AN64" i="11" s="1"/>
  <c r="AU64" i="11" s="1"/>
  <c r="CH64" i="13"/>
  <c r="KM64" i="11"/>
  <c r="KN64" i="11" s="1"/>
  <c r="HO64" i="13"/>
  <c r="AM62" i="11"/>
  <c r="CH62" i="13"/>
  <c r="KM62" i="11"/>
  <c r="KN62" i="11" s="1"/>
  <c r="HO62" i="13"/>
  <c r="LN58" i="11"/>
  <c r="LO58" i="11" s="1"/>
  <c r="IY58" i="13"/>
  <c r="AM58" i="11"/>
  <c r="O52" i="12" s="1"/>
  <c r="P52" i="12" s="1"/>
  <c r="CH58" i="13"/>
  <c r="LH58" i="11"/>
  <c r="LI58" i="11" s="1"/>
  <c r="IS58" i="13"/>
  <c r="KM58" i="11"/>
  <c r="KN58" i="11" s="1"/>
  <c r="HO58" i="13"/>
  <c r="FD58" i="11"/>
  <c r="RL58" i="11" s="1"/>
  <c r="AM56" i="11"/>
  <c r="DH56" i="11" s="1"/>
  <c r="DI56" i="11" s="1"/>
  <c r="CH56" i="13"/>
  <c r="LN56" i="11"/>
  <c r="LO56" i="11" s="1"/>
  <c r="IY56" i="13"/>
  <c r="KM56" i="11"/>
  <c r="KN56" i="11" s="1"/>
  <c r="HO56" i="13"/>
  <c r="LH56" i="11"/>
  <c r="LI56" i="11" s="1"/>
  <c r="IS56" i="13"/>
  <c r="LN54" i="11"/>
  <c r="LO54" i="11" s="1"/>
  <c r="IY54" i="13"/>
  <c r="LH54" i="11"/>
  <c r="LI54" i="11" s="1"/>
  <c r="IS54" i="13"/>
  <c r="AM54" i="11"/>
  <c r="O48" i="12" s="1"/>
  <c r="P48" i="12" s="1"/>
  <c r="CH54" i="13"/>
  <c r="KM54" i="11"/>
  <c r="KN54" i="11" s="1"/>
  <c r="HO54" i="13"/>
  <c r="AM52" i="11"/>
  <c r="DH52" i="11" s="1"/>
  <c r="DI52" i="11" s="1"/>
  <c r="CH52" i="13"/>
  <c r="KM52" i="11"/>
  <c r="KN52" i="11" s="1"/>
  <c r="HO52" i="13"/>
  <c r="AM50" i="11"/>
  <c r="O44" i="12" s="1"/>
  <c r="P44" i="12" s="1"/>
  <c r="CH50" i="13"/>
  <c r="KM50" i="11"/>
  <c r="KN50" i="11" s="1"/>
  <c r="HO50" i="13"/>
  <c r="LH50" i="11"/>
  <c r="LI50" i="11" s="1"/>
  <c r="IS50" i="13"/>
  <c r="LN50" i="11"/>
  <c r="LO50" i="11" s="1"/>
  <c r="IY50" i="13"/>
  <c r="LN48" i="11"/>
  <c r="LO48" i="11" s="1"/>
  <c r="IY48" i="13"/>
  <c r="KM48" i="11"/>
  <c r="KN48" i="11" s="1"/>
  <c r="HO48" i="13"/>
  <c r="AM48" i="11"/>
  <c r="CH48" i="13"/>
  <c r="AM46" i="11"/>
  <c r="BB46" i="11" s="1"/>
  <c r="CH46" i="13"/>
  <c r="KM46" i="11"/>
  <c r="KN46" i="11" s="1"/>
  <c r="HO46" i="13"/>
  <c r="FD46" i="11"/>
  <c r="RL46" i="11" s="1"/>
  <c r="LN44" i="11"/>
  <c r="LO44" i="11" s="1"/>
  <c r="IY44" i="13"/>
  <c r="LH44" i="11"/>
  <c r="LI44" i="11" s="1"/>
  <c r="IS44" i="13"/>
  <c r="AM44" i="11"/>
  <c r="DS44" i="11" s="1"/>
  <c r="DT44" i="11" s="1"/>
  <c r="CH44" i="13"/>
  <c r="KM44" i="11"/>
  <c r="KN44" i="11" s="1"/>
  <c r="HO44" i="13"/>
  <c r="AM42" i="11"/>
  <c r="O36" i="12" s="1"/>
  <c r="P36" i="12" s="1"/>
  <c r="CH42" i="13"/>
  <c r="LN42" i="11"/>
  <c r="LO42" i="11" s="1"/>
  <c r="IY42" i="13"/>
  <c r="LH42" i="11"/>
  <c r="LI42" i="11" s="1"/>
  <c r="IS42" i="13"/>
  <c r="FD42" i="11"/>
  <c r="RL42" i="11" s="1"/>
  <c r="KM42" i="11"/>
  <c r="KN42" i="11" s="1"/>
  <c r="HO42" i="13"/>
  <c r="LH40" i="11"/>
  <c r="LI40" i="11" s="1"/>
  <c r="IS40" i="13"/>
  <c r="KM40" i="11"/>
  <c r="KN40" i="11" s="1"/>
  <c r="HO40" i="13"/>
  <c r="AM40" i="11"/>
  <c r="DH40" i="11" s="1"/>
  <c r="DI40" i="11" s="1"/>
  <c r="CH40" i="13"/>
  <c r="LN40" i="11"/>
  <c r="LO40" i="11" s="1"/>
  <c r="IY40" i="13"/>
  <c r="FN40" i="11"/>
  <c r="FO40" i="11" s="1"/>
  <c r="RC38" i="11"/>
  <c r="O32" i="12"/>
  <c r="P32" i="12" s="1"/>
  <c r="LD38" i="11"/>
  <c r="LF38" i="11"/>
  <c r="L30" i="12"/>
  <c r="M30" i="12" s="1"/>
  <c r="GE36" i="11"/>
  <c r="CT36" i="13"/>
  <c r="GK36" i="13"/>
  <c r="CZ36" i="13"/>
  <c r="FR36" i="13"/>
  <c r="GW36" i="13"/>
  <c r="L28" i="12"/>
  <c r="M28" i="12" s="1"/>
  <c r="GE34" i="11"/>
  <c r="IG34" i="13"/>
  <c r="GK34" i="13"/>
  <c r="IM34" i="13"/>
  <c r="CZ34" i="13"/>
  <c r="GW34" i="13"/>
  <c r="L26" i="12"/>
  <c r="M26" i="12" s="1"/>
  <c r="GE32" i="11"/>
  <c r="PR32" i="11"/>
  <c r="GK32" i="13"/>
  <c r="GW32" i="13"/>
  <c r="DO32" i="13"/>
  <c r="DO30" i="13"/>
  <c r="IM30" i="13"/>
  <c r="L22" i="12"/>
  <c r="M22" i="12" s="1"/>
  <c r="GE28" i="11"/>
  <c r="GW28" i="13"/>
  <c r="CZ28" i="13"/>
  <c r="IG28" i="13"/>
  <c r="L20" i="12"/>
  <c r="M20" i="12" s="1"/>
  <c r="GE26" i="11"/>
  <c r="DO26" i="13"/>
  <c r="IM26" i="13"/>
  <c r="L18" i="12"/>
  <c r="M18" i="12" s="1"/>
  <c r="GE24" i="11"/>
  <c r="FX24" i="13"/>
  <c r="CI24" i="13"/>
  <c r="L16" i="12"/>
  <c r="M16" i="12" s="1"/>
  <c r="GE22" i="11"/>
  <c r="GW22" i="13"/>
  <c r="GW20" i="13"/>
  <c r="FX20" i="13"/>
  <c r="IG20" i="13"/>
  <c r="LN60" i="11"/>
  <c r="LO60" i="11" s="1"/>
  <c r="IY60" i="13"/>
  <c r="AM60" i="11"/>
  <c r="JS60" i="11" s="1"/>
  <c r="CH60" i="13"/>
  <c r="KM60" i="11"/>
  <c r="KN60" i="11" s="1"/>
  <c r="HO60" i="13"/>
  <c r="FB30" i="13"/>
  <c r="FX30" i="13"/>
  <c r="L24" i="12"/>
  <c r="M24" i="12" s="1"/>
  <c r="GE30" i="11"/>
  <c r="JG26" i="11"/>
  <c r="JH26" i="11" s="1"/>
  <c r="DA26" i="11"/>
  <c r="JF26" i="11"/>
  <c r="DD26" i="11"/>
  <c r="JG28" i="11"/>
  <c r="JH28" i="11" s="1"/>
  <c r="DA28" i="11"/>
  <c r="JF28" i="11"/>
  <c r="DD28" i="11"/>
  <c r="JG32" i="11"/>
  <c r="JH32" i="11" s="1"/>
  <c r="JI32" i="11" s="1"/>
  <c r="DA32" i="11"/>
  <c r="JF32" i="11"/>
  <c r="DD32" i="11"/>
  <c r="JG34" i="11"/>
  <c r="JH34" i="11" s="1"/>
  <c r="JI34" i="11" s="1"/>
  <c r="DA34" i="11"/>
  <c r="JF34" i="11"/>
  <c r="DD34" i="11"/>
  <c r="JG36" i="11"/>
  <c r="JH36" i="11" s="1"/>
  <c r="DA36" i="11"/>
  <c r="JF36" i="11"/>
  <c r="DD36" i="11"/>
  <c r="JG20" i="11"/>
  <c r="JH20" i="11" s="1"/>
  <c r="DA20" i="11"/>
  <c r="JF20" i="11"/>
  <c r="DD20" i="11"/>
  <c r="JG22" i="11"/>
  <c r="JH22" i="11" s="1"/>
  <c r="DA22" i="11"/>
  <c r="JF22" i="11"/>
  <c r="DD22" i="11"/>
  <c r="JG24" i="11"/>
  <c r="JH24" i="11" s="1"/>
  <c r="JI24" i="11" s="1"/>
  <c r="DA24" i="11"/>
  <c r="JF24" i="11"/>
  <c r="DD24" i="11"/>
  <c r="JG30" i="11"/>
  <c r="JH30" i="11" s="1"/>
  <c r="JI30" i="11" s="1"/>
  <c r="DA30" i="11"/>
  <c r="JF30" i="11"/>
  <c r="DD30" i="11"/>
  <c r="DH96" i="11"/>
  <c r="DI96" i="11" s="1"/>
  <c r="MZ88" i="11"/>
  <c r="FN100" i="11"/>
  <c r="FO100" i="11" s="1"/>
  <c r="FD88" i="11"/>
  <c r="RL88" i="11" s="1"/>
  <c r="JK64" i="11"/>
  <c r="MN58" i="11"/>
  <c r="MO58" i="11" s="1"/>
  <c r="MP58" i="11" s="1"/>
  <c r="FX20" i="11"/>
  <c r="FX22" i="11"/>
  <c r="FX24" i="11"/>
  <c r="FX30" i="11"/>
  <c r="FX26" i="11"/>
  <c r="FX28" i="11"/>
  <c r="FX32" i="11"/>
  <c r="FX34" i="11"/>
  <c r="FX36" i="11"/>
  <c r="MZ58" i="11"/>
  <c r="IZ20" i="11"/>
  <c r="JA20" i="11" s="1"/>
  <c r="CS20" i="11"/>
  <c r="IY20" i="11"/>
  <c r="CV20" i="11"/>
  <c r="IY22" i="11"/>
  <c r="CV22" i="11"/>
  <c r="IZ24" i="11"/>
  <c r="JA24" i="11" s="1"/>
  <c r="CS24" i="11"/>
  <c r="IZ30" i="11"/>
  <c r="JA30" i="11" s="1"/>
  <c r="JB30" i="11" s="1"/>
  <c r="CS30" i="11"/>
  <c r="IY30" i="11"/>
  <c r="CV30" i="11"/>
  <c r="IZ22" i="11"/>
  <c r="JA22" i="11" s="1"/>
  <c r="JB22" i="11" s="1"/>
  <c r="CS22" i="11"/>
  <c r="IY24" i="11"/>
  <c r="CV24" i="11"/>
  <c r="CI30" i="13"/>
  <c r="FM22" i="11"/>
  <c r="FM24" i="11"/>
  <c r="FF26" i="11"/>
  <c r="RT26" i="11"/>
  <c r="IZ26" i="11"/>
  <c r="JA26" i="11" s="1"/>
  <c r="CS26" i="11"/>
  <c r="IY26" i="11"/>
  <c r="CV26" i="11"/>
  <c r="OR26" i="11"/>
  <c r="RT28" i="11"/>
  <c r="IZ28" i="11"/>
  <c r="JA28" i="11" s="1"/>
  <c r="CS28" i="11"/>
  <c r="IY28" i="11"/>
  <c r="CV28" i="11"/>
  <c r="IZ32" i="11"/>
  <c r="JA32" i="11" s="1"/>
  <c r="CS32" i="11"/>
  <c r="IY32" i="11"/>
  <c r="CV32" i="11"/>
  <c r="IZ34" i="11"/>
  <c r="JA34" i="11" s="1"/>
  <c r="CS34" i="11"/>
  <c r="IY34" i="11"/>
  <c r="CV34" i="11"/>
  <c r="IZ36" i="11"/>
  <c r="JA36" i="11" s="1"/>
  <c r="JB36" i="11" s="1"/>
  <c r="CS36" i="11"/>
  <c r="IY36" i="11"/>
  <c r="CV36" i="11"/>
  <c r="BB98" i="11"/>
  <c r="BC98" i="11" s="1"/>
  <c r="DS96" i="11"/>
  <c r="DV94" i="11"/>
  <c r="BB92" i="11"/>
  <c r="BC92" i="11" s="1"/>
  <c r="FM30" i="11"/>
  <c r="FM20" i="11"/>
  <c r="FG26" i="11"/>
  <c r="FK26" i="11"/>
  <c r="FK28" i="11"/>
  <c r="FK32" i="11"/>
  <c r="FK34" i="11"/>
  <c r="FK36" i="11"/>
  <c r="FG94" i="11"/>
  <c r="GU96" i="11"/>
  <c r="FO96" i="11"/>
  <c r="FP90" i="11"/>
  <c r="FG90" i="11"/>
  <c r="GU90" i="11"/>
  <c r="FO90" i="11"/>
  <c r="BB90" i="11"/>
  <c r="BC90" i="11" s="1"/>
  <c r="O84" i="12"/>
  <c r="P84" i="12" s="1"/>
  <c r="FP88" i="11"/>
  <c r="FG88" i="11"/>
  <c r="GU84" i="11"/>
  <c r="FO84" i="11"/>
  <c r="FP82" i="11"/>
  <c r="FG82" i="11"/>
  <c r="DS80" i="11"/>
  <c r="O74" i="12"/>
  <c r="P74" i="12" s="1"/>
  <c r="DS78" i="11"/>
  <c r="O72" i="12"/>
  <c r="P72" i="12" s="1"/>
  <c r="GU74" i="11"/>
  <c r="FO74" i="11"/>
  <c r="GU80" i="11"/>
  <c r="FO80" i="11"/>
  <c r="GU76" i="11"/>
  <c r="FO76" i="11"/>
  <c r="DS74" i="11"/>
  <c r="O68" i="12"/>
  <c r="P68" i="12" s="1"/>
  <c r="DV62" i="11"/>
  <c r="O56" i="12"/>
  <c r="P56" i="12" s="1"/>
  <c r="FP58" i="11"/>
  <c r="FG58" i="11"/>
  <c r="FG50" i="11"/>
  <c r="FP42" i="11"/>
  <c r="FG42" i="11"/>
  <c r="FG38" i="11"/>
  <c r="GU72" i="11"/>
  <c r="FO72" i="11"/>
  <c r="FG60" i="11"/>
  <c r="FG52" i="11"/>
  <c r="FG44" i="11"/>
  <c r="GU40" i="11"/>
  <c r="O50" i="12"/>
  <c r="P50" i="12" s="1"/>
  <c r="DS48" i="11"/>
  <c r="DT48" i="11" s="1"/>
  <c r="DH44" i="11"/>
  <c r="DI44" i="11" s="1"/>
  <c r="O38" i="12"/>
  <c r="P38" i="12" s="1"/>
  <c r="GU88" i="11"/>
  <c r="FO88" i="11"/>
  <c r="GU54" i="11"/>
  <c r="FO54" i="11"/>
  <c r="FK20" i="11"/>
  <c r="FK22" i="11"/>
  <c r="FK24" i="11"/>
  <c r="FM26" i="11"/>
  <c r="FM28" i="11"/>
  <c r="FK30" i="11"/>
  <c r="FM32" i="11"/>
  <c r="FM34" i="11"/>
  <c r="FM36" i="11"/>
  <c r="FP100" i="11"/>
  <c r="FG100" i="11"/>
  <c r="FP98" i="11"/>
  <c r="FG98" i="11"/>
  <c r="DV98" i="11"/>
  <c r="O92" i="12"/>
  <c r="P92" i="12" s="1"/>
  <c r="FP96" i="11"/>
  <c r="FG96" i="11"/>
  <c r="FP92" i="11"/>
  <c r="FG92" i="11"/>
  <c r="FP86" i="11"/>
  <c r="FG86" i="11"/>
  <c r="DV92" i="11"/>
  <c r="O86" i="12"/>
  <c r="P86" i="12" s="1"/>
  <c r="FP84" i="11"/>
  <c r="FG84" i="11"/>
  <c r="FP80" i="11"/>
  <c r="FG80" i="11"/>
  <c r="FP76" i="11"/>
  <c r="FG76" i="11"/>
  <c r="GU86" i="11"/>
  <c r="FO86" i="11"/>
  <c r="FP78" i="11"/>
  <c r="FG78" i="11"/>
  <c r="FP74" i="11"/>
  <c r="FG74" i="11"/>
  <c r="FG68" i="11"/>
  <c r="FG64" i="11"/>
  <c r="GU82" i="11"/>
  <c r="FO82" i="11"/>
  <c r="GU78" i="11"/>
  <c r="FO78" i="11"/>
  <c r="FP72" i="11"/>
  <c r="FG72" i="11"/>
  <c r="FG70" i="11"/>
  <c r="FG66" i="11"/>
  <c r="FP62" i="11"/>
  <c r="FG62" i="11"/>
  <c r="DV70" i="11"/>
  <c r="DW70" i="11" s="1"/>
  <c r="O64" i="12"/>
  <c r="P64" i="12" s="1"/>
  <c r="FP54" i="11"/>
  <c r="FG54" i="11"/>
  <c r="FP46" i="11"/>
  <c r="FG46" i="11"/>
  <c r="DS38" i="11"/>
  <c r="DT38" i="11" s="1"/>
  <c r="GU62" i="11"/>
  <c r="FO62" i="11"/>
  <c r="FG56" i="11"/>
  <c r="FG48" i="11"/>
  <c r="FG40" i="11"/>
  <c r="FN56" i="11"/>
  <c r="GU92" i="11"/>
  <c r="FO92" i="11"/>
  <c r="RC84" i="11"/>
  <c r="GU98" i="11"/>
  <c r="FO98" i="11"/>
  <c r="RE72" i="11"/>
  <c r="RC68" i="11"/>
  <c r="GU58" i="11"/>
  <c r="FO58" i="11"/>
  <c r="RC44" i="11"/>
  <c r="GU46" i="11"/>
  <c r="FO46" i="11"/>
  <c r="GU42" i="11"/>
  <c r="FO42" i="11"/>
  <c r="DS88" i="11"/>
  <c r="DH88" i="11"/>
  <c r="DI88" i="11" s="1"/>
  <c r="DV60" i="11"/>
  <c r="DW60" i="11" s="1"/>
  <c r="MP42" i="11"/>
  <c r="MZ42" i="11"/>
  <c r="IT88" i="11"/>
  <c r="JK88" i="11"/>
  <c r="JL88" i="11" s="1"/>
  <c r="JM88" i="11" s="1"/>
  <c r="RE86" i="11"/>
  <c r="RC50" i="11"/>
  <c r="BX32" i="11"/>
  <c r="DV84" i="11"/>
  <c r="DS84" i="11"/>
  <c r="DS68" i="11"/>
  <c r="DV38" i="11"/>
  <c r="DH38" i="11"/>
  <c r="DI38" i="11" s="1"/>
  <c r="FN66" i="11"/>
  <c r="GL66" i="11" s="1"/>
  <c r="GM66" i="11" s="1"/>
  <c r="FD66" i="11"/>
  <c r="RL66" i="11" s="1"/>
  <c r="RJ90" i="11"/>
  <c r="RB86" i="11"/>
  <c r="RB84" i="11"/>
  <c r="RB72" i="11"/>
  <c r="RC72" i="11"/>
  <c r="BB72" i="11"/>
  <c r="RB50" i="11"/>
  <c r="RB52" i="11"/>
  <c r="FN44" i="11"/>
  <c r="IT54" i="11"/>
  <c r="FN52" i="11"/>
  <c r="GL52" i="11" s="1"/>
  <c r="GM52" i="11" s="1"/>
  <c r="FN50" i="11"/>
  <c r="GL50" i="11" s="1"/>
  <c r="DH84" i="11"/>
  <c r="DI84" i="11" s="1"/>
  <c r="DS56" i="11"/>
  <c r="MZ38" i="11"/>
  <c r="RE68" i="11"/>
  <c r="RE50" i="11"/>
  <c r="DH80" i="11"/>
  <c r="DI80" i="11" s="1"/>
  <c r="BB88" i="11"/>
  <c r="BC88" i="11" s="1"/>
  <c r="EH88" i="11" s="1"/>
  <c r="EI88" i="11" s="1"/>
  <c r="RE80" i="11"/>
  <c r="DV48" i="11"/>
  <c r="DW48" i="11" s="1"/>
  <c r="DH48" i="11"/>
  <c r="DI48" i="11" s="1"/>
  <c r="BB44" i="11"/>
  <c r="DV44" i="11"/>
  <c r="DW44" i="11" s="1"/>
  <c r="DV40" i="11"/>
  <c r="RE52" i="11"/>
  <c r="RE44" i="11"/>
  <c r="RE38" i="11"/>
  <c r="RE46" i="11"/>
  <c r="IS20" i="11"/>
  <c r="IT20" i="11" s="1"/>
  <c r="RT20" i="11"/>
  <c r="IS22" i="11"/>
  <c r="IT22" i="11" s="1"/>
  <c r="RT22" i="11"/>
  <c r="IS24" i="11"/>
  <c r="IT24" i="11" s="1"/>
  <c r="RT24" i="11"/>
  <c r="RJ24" i="11" s="1"/>
  <c r="BB94" i="11"/>
  <c r="BC94" i="11" s="1"/>
  <c r="BD94" i="11" s="1"/>
  <c r="BH94" i="11" s="1"/>
  <c r="BL94" i="11" s="1"/>
  <c r="BB82" i="11"/>
  <c r="BC82" i="11" s="1"/>
  <c r="DS82" i="11"/>
  <c r="DV72" i="11"/>
  <c r="DH72" i="11"/>
  <c r="DI72" i="11" s="1"/>
  <c r="FD38" i="11"/>
  <c r="RL38" i="11" s="1"/>
  <c r="FN38" i="11"/>
  <c r="GL38" i="11" s="1"/>
  <c r="GM38" i="11" s="1"/>
  <c r="BB86" i="11"/>
  <c r="BC86" i="11" s="1"/>
  <c r="BB76" i="11"/>
  <c r="BC76" i="11" s="1"/>
  <c r="BG76" i="11" s="1"/>
  <c r="BK76" i="11" s="1"/>
  <c r="BB74" i="11"/>
  <c r="BC74" i="11" s="1"/>
  <c r="BB66" i="11"/>
  <c r="RB46" i="11"/>
  <c r="RB38" i="11"/>
  <c r="BB42" i="11"/>
  <c r="KQ100" i="11"/>
  <c r="KR100" i="11" s="1"/>
  <c r="HU100" i="13"/>
  <c r="RJ94" i="11"/>
  <c r="DV90" i="11"/>
  <c r="DS94" i="11"/>
  <c r="DT94" i="11" s="1"/>
  <c r="MZ84" i="11"/>
  <c r="BB84" i="11"/>
  <c r="BC84" i="11" s="1"/>
  <c r="EE84" i="11" s="1"/>
  <c r="EF84" i="11" s="1"/>
  <c r="BB78" i="11"/>
  <c r="BC78" i="11" s="1"/>
  <c r="JL100" i="11"/>
  <c r="JM100" i="11" s="1"/>
  <c r="GQ100" i="13"/>
  <c r="AM100" i="11"/>
  <c r="CH100" i="13"/>
  <c r="KM100" i="11"/>
  <c r="KN100" i="11" s="1"/>
  <c r="HO100" i="13"/>
  <c r="GU100" i="11"/>
  <c r="FF32" i="11"/>
  <c r="RT32" i="11"/>
  <c r="RJ32" i="11" s="1"/>
  <c r="RT36" i="11"/>
  <c r="RJ36" i="11" s="1"/>
  <c r="MZ96" i="11"/>
  <c r="BB96" i="11"/>
  <c r="BC96" i="11" s="1"/>
  <c r="DS90" i="11"/>
  <c r="DH90" i="11"/>
  <c r="DI90" i="11" s="1"/>
  <c r="MZ90" i="11"/>
  <c r="DV88" i="11"/>
  <c r="BB80" i="11"/>
  <c r="BC80" i="11" s="1"/>
  <c r="BG80" i="11" s="1"/>
  <c r="BK80" i="11" s="1"/>
  <c r="BB68" i="11"/>
  <c r="BB38" i="11"/>
  <c r="BC38" i="11" s="1"/>
  <c r="DW92" i="11"/>
  <c r="EH82" i="11"/>
  <c r="EI82" i="11" s="1"/>
  <c r="EE82" i="11"/>
  <c r="EF82" i="11" s="1"/>
  <c r="BD82" i="11"/>
  <c r="BH82" i="11" s="1"/>
  <c r="BL82" i="11" s="1"/>
  <c r="BG82" i="11"/>
  <c r="BK82" i="11" s="1"/>
  <c r="EH78" i="11"/>
  <c r="EI78" i="11" s="1"/>
  <c r="EE78" i="11"/>
  <c r="EF78" i="11" s="1"/>
  <c r="BD78" i="11"/>
  <c r="BH78" i="11" s="1"/>
  <c r="BL78" i="11" s="1"/>
  <c r="BG78" i="11"/>
  <c r="BK78" i="11" s="1"/>
  <c r="DW98" i="11"/>
  <c r="BG96" i="11"/>
  <c r="BK96" i="11" s="1"/>
  <c r="EH96" i="11"/>
  <c r="EI96" i="11" s="1"/>
  <c r="EE96" i="11"/>
  <c r="EF96" i="11" s="1"/>
  <c r="BD96" i="11"/>
  <c r="BH96" i="11" s="1"/>
  <c r="BL96" i="11" s="1"/>
  <c r="EE94" i="11"/>
  <c r="EF94" i="11" s="1"/>
  <c r="EH94" i="11"/>
  <c r="EI94" i="11" s="1"/>
  <c r="DW62" i="11"/>
  <c r="RB100" i="11"/>
  <c r="RE100" i="11"/>
  <c r="RC100" i="11"/>
  <c r="MZ100" i="11"/>
  <c r="RI98" i="11"/>
  <c r="RM98" i="11" s="1"/>
  <c r="GL98" i="11"/>
  <c r="RP98" i="11"/>
  <c r="RX98" i="11" s="1"/>
  <c r="DH98" i="11"/>
  <c r="DI98" i="11" s="1"/>
  <c r="DT96" i="11"/>
  <c r="MZ98" i="11"/>
  <c r="QN96" i="11"/>
  <c r="QO96" i="11" s="1"/>
  <c r="QL96" i="11"/>
  <c r="QM96" i="11" s="1"/>
  <c r="QJ96" i="11"/>
  <c r="QK96" i="11" s="1"/>
  <c r="QH96" i="11"/>
  <c r="QI96" i="11" s="1"/>
  <c r="QE96" i="11"/>
  <c r="QF96" i="11" s="1"/>
  <c r="LQ96" i="11"/>
  <c r="LR96" i="11" s="1"/>
  <c r="LS96" i="11" s="1"/>
  <c r="AN96" i="11"/>
  <c r="AU96" i="11" s="1"/>
  <c r="JS96" i="11"/>
  <c r="JT96" i="11" s="1"/>
  <c r="AT96" i="11"/>
  <c r="FD94" i="11"/>
  <c r="RL94" i="11" s="1"/>
  <c r="FN94" i="11"/>
  <c r="JK94" i="11"/>
  <c r="JL94" i="11" s="1"/>
  <c r="IT94" i="11"/>
  <c r="RI92" i="11"/>
  <c r="RM92" i="11" s="1"/>
  <c r="GL92" i="11"/>
  <c r="RP92" i="11"/>
  <c r="RX92" i="11" s="1"/>
  <c r="DH92" i="11"/>
  <c r="DI92" i="11" s="1"/>
  <c r="DV96" i="11"/>
  <c r="DH94" i="11"/>
  <c r="DI94" i="11" s="1"/>
  <c r="DT90" i="11"/>
  <c r="ER90" i="11"/>
  <c r="EO90" i="11"/>
  <c r="EL90" i="11"/>
  <c r="EM90" i="11" s="1"/>
  <c r="MZ92" i="11"/>
  <c r="RI86" i="11"/>
  <c r="RM86" i="11" s="1"/>
  <c r="GL86" i="11"/>
  <c r="RP86" i="11"/>
  <c r="RX86" i="11" s="1"/>
  <c r="QN90" i="11"/>
  <c r="QO90" i="11" s="1"/>
  <c r="QL90" i="11"/>
  <c r="QM90" i="11" s="1"/>
  <c r="QJ90" i="11"/>
  <c r="QK90" i="11" s="1"/>
  <c r="QH90" i="11"/>
  <c r="QI90" i="11" s="1"/>
  <c r="QE90" i="11"/>
  <c r="QF90" i="11" s="1"/>
  <c r="JS90" i="11"/>
  <c r="JT90" i="11" s="1"/>
  <c r="AT90" i="11"/>
  <c r="LQ90" i="11"/>
  <c r="LR90" i="11" s="1"/>
  <c r="LS90" i="11" s="1"/>
  <c r="AN90" i="11"/>
  <c r="AU90" i="11" s="1"/>
  <c r="DT88" i="11"/>
  <c r="ER88" i="11"/>
  <c r="EO88" i="11"/>
  <c r="EL88" i="11"/>
  <c r="EM88" i="11" s="1"/>
  <c r="RP84" i="11"/>
  <c r="RX84" i="11" s="1"/>
  <c r="RI84" i="11"/>
  <c r="RM84" i="11" s="1"/>
  <c r="GL84" i="11"/>
  <c r="MZ86" i="11"/>
  <c r="DW84" i="11"/>
  <c r="RE82" i="11"/>
  <c r="RC82" i="11"/>
  <c r="RB82" i="11"/>
  <c r="DT80" i="11"/>
  <c r="LQ88" i="11"/>
  <c r="LR88" i="11" s="1"/>
  <c r="LS88" i="11" s="1"/>
  <c r="QN88" i="11"/>
  <c r="QO88" i="11" s="1"/>
  <c r="QL88" i="11"/>
  <c r="QM88" i="11" s="1"/>
  <c r="QJ88" i="11"/>
  <c r="QK88" i="11" s="1"/>
  <c r="QH88" i="11"/>
  <c r="QI88" i="11" s="1"/>
  <c r="QE88" i="11"/>
  <c r="QF88" i="11" s="1"/>
  <c r="JS88" i="11"/>
  <c r="JT88" i="11" s="1"/>
  <c r="JU88" i="11" s="1"/>
  <c r="AT88" i="11"/>
  <c r="AN88" i="11"/>
  <c r="AU88" i="11" s="1"/>
  <c r="ER86" i="11"/>
  <c r="EO86" i="11"/>
  <c r="EL86" i="11"/>
  <c r="EM86" i="11" s="1"/>
  <c r="QN84" i="11"/>
  <c r="QO84" i="11" s="1"/>
  <c r="QL84" i="11"/>
  <c r="QM84" i="11" s="1"/>
  <c r="QJ84" i="11"/>
  <c r="QK84" i="11" s="1"/>
  <c r="QH84" i="11"/>
  <c r="QI84" i="11" s="1"/>
  <c r="QE84" i="11"/>
  <c r="QF84" i="11" s="1"/>
  <c r="JS84" i="11"/>
  <c r="JT84" i="11" s="1"/>
  <c r="JU84" i="11" s="1"/>
  <c r="AT84" i="11"/>
  <c r="LQ84" i="11"/>
  <c r="LR84" i="11" s="1"/>
  <c r="LS84" i="11" s="1"/>
  <c r="AN84" i="11"/>
  <c r="AU84" i="11" s="1"/>
  <c r="RI82" i="11"/>
  <c r="RM82" i="11" s="1"/>
  <c r="RP82" i="11"/>
  <c r="RX82" i="11" s="1"/>
  <c r="GL82" i="11"/>
  <c r="DH82" i="11"/>
  <c r="DI82" i="11" s="1"/>
  <c r="RP78" i="11"/>
  <c r="RX78" i="11" s="1"/>
  <c r="RI78" i="11"/>
  <c r="RM78" i="11" s="1"/>
  <c r="GL78" i="11"/>
  <c r="DH78" i="11"/>
  <c r="DI78" i="11" s="1"/>
  <c r="DT74" i="11"/>
  <c r="ER74" i="11"/>
  <c r="EO74" i="11"/>
  <c r="EL74" i="11"/>
  <c r="EM74" i="11" s="1"/>
  <c r="DW80" i="11"/>
  <c r="LQ80" i="11"/>
  <c r="LR80" i="11" s="1"/>
  <c r="LS80" i="11" s="1"/>
  <c r="AN80" i="11"/>
  <c r="AU80" i="11" s="1"/>
  <c r="QN80" i="11"/>
  <c r="QO80" i="11" s="1"/>
  <c r="QL80" i="11"/>
  <c r="QM80" i="11" s="1"/>
  <c r="QJ80" i="11"/>
  <c r="QK80" i="11" s="1"/>
  <c r="QH80" i="11"/>
  <c r="QI80" i="11" s="1"/>
  <c r="QE80" i="11"/>
  <c r="QF80" i="11" s="1"/>
  <c r="JS80" i="11"/>
  <c r="JT80" i="11" s="1"/>
  <c r="JU80" i="11" s="1"/>
  <c r="AT80" i="11"/>
  <c r="DW74" i="11"/>
  <c r="MZ72" i="11"/>
  <c r="ER68" i="11"/>
  <c r="EO68" i="11"/>
  <c r="EL68" i="11"/>
  <c r="EM68" i="11" s="1"/>
  <c r="RI64" i="11"/>
  <c r="RP64" i="11"/>
  <c r="RX64" i="11" s="1"/>
  <c r="MZ80" i="11"/>
  <c r="ER80" i="11"/>
  <c r="EO80" i="11"/>
  <c r="EL80" i="11"/>
  <c r="EM80" i="11" s="1"/>
  <c r="MZ78" i="11"/>
  <c r="MZ76" i="11"/>
  <c r="ER76" i="11"/>
  <c r="EO76" i="11"/>
  <c r="EL76" i="11"/>
  <c r="EM76" i="11" s="1"/>
  <c r="MZ74" i="11"/>
  <c r="QN74" i="11"/>
  <c r="QO74" i="11" s="1"/>
  <c r="QL74" i="11"/>
  <c r="QM74" i="11" s="1"/>
  <c r="QJ74" i="11"/>
  <c r="QK74" i="11" s="1"/>
  <c r="QH74" i="11"/>
  <c r="QI74" i="11" s="1"/>
  <c r="QE74" i="11"/>
  <c r="QF74" i="11" s="1"/>
  <c r="JS74" i="11"/>
  <c r="JT74" i="11" s="1"/>
  <c r="JU74" i="11" s="1"/>
  <c r="AT74" i="11"/>
  <c r="LQ74" i="11"/>
  <c r="LR74" i="11" s="1"/>
  <c r="LS74" i="11" s="1"/>
  <c r="AN74" i="11"/>
  <c r="AU74" i="11" s="1"/>
  <c r="RI72" i="11"/>
  <c r="RM72" i="11" s="1"/>
  <c r="RP72" i="11"/>
  <c r="RX72" i="11" s="1"/>
  <c r="GL72" i="11"/>
  <c r="RP70" i="11"/>
  <c r="RX70" i="11" s="1"/>
  <c r="RI70" i="11"/>
  <c r="RM70" i="11" s="1"/>
  <c r="DH70" i="11"/>
  <c r="DI70" i="11" s="1"/>
  <c r="RP66" i="11"/>
  <c r="RX66" i="11" s="1"/>
  <c r="RI66" i="11"/>
  <c r="DH66" i="11"/>
  <c r="DI66" i="11" s="1"/>
  <c r="RP62" i="11"/>
  <c r="RX62" i="11" s="1"/>
  <c r="RI62" i="11"/>
  <c r="RM62" i="11" s="1"/>
  <c r="GL62" i="11"/>
  <c r="GM62" i="11" s="1"/>
  <c r="DH62" i="11"/>
  <c r="DI62" i="11" s="1"/>
  <c r="BB70" i="11"/>
  <c r="LQ68" i="11"/>
  <c r="AN68" i="11"/>
  <c r="QL68" i="11"/>
  <c r="QM68" i="11" s="1"/>
  <c r="QJ68" i="11"/>
  <c r="QK68" i="11" s="1"/>
  <c r="QH68" i="11"/>
  <c r="QI68" i="11" s="1"/>
  <c r="JS68" i="11"/>
  <c r="AT68" i="11"/>
  <c r="BB62" i="11"/>
  <c r="RI38" i="11"/>
  <c r="RP38" i="11"/>
  <c r="RX38" i="11" s="1"/>
  <c r="MZ66" i="11"/>
  <c r="MZ64" i="11"/>
  <c r="QH64" i="11"/>
  <c r="QI64" i="11" s="1"/>
  <c r="MZ62" i="11"/>
  <c r="MZ60" i="11"/>
  <c r="DT56" i="11"/>
  <c r="ER56" i="11"/>
  <c r="EO56" i="11"/>
  <c r="EL56" i="11"/>
  <c r="EM56" i="11" s="1"/>
  <c r="RP52" i="11"/>
  <c r="RX52" i="11" s="1"/>
  <c r="RI52" i="11"/>
  <c r="RM52" i="11" s="1"/>
  <c r="ER48" i="11"/>
  <c r="EO48" i="11"/>
  <c r="EL48" i="11"/>
  <c r="EM48" i="11" s="1"/>
  <c r="ER44" i="11"/>
  <c r="EO44" i="11"/>
  <c r="EL44" i="11"/>
  <c r="EM44" i="11" s="1"/>
  <c r="ER40" i="11"/>
  <c r="EO40" i="11"/>
  <c r="EL40" i="11"/>
  <c r="EM40" i="11" s="1"/>
  <c r="MZ54" i="11"/>
  <c r="ER54" i="11"/>
  <c r="EO54" i="11"/>
  <c r="EL54" i="11"/>
  <c r="EM54" i="11" s="1"/>
  <c r="MZ52" i="11"/>
  <c r="QN52" i="11"/>
  <c r="QO52" i="11" s="1"/>
  <c r="QL52" i="11"/>
  <c r="QM52" i="11" s="1"/>
  <c r="QJ52" i="11"/>
  <c r="QK52" i="11" s="1"/>
  <c r="QE52" i="11"/>
  <c r="QF52" i="11" s="1"/>
  <c r="JS52" i="11"/>
  <c r="AT52" i="11"/>
  <c r="AN52" i="11"/>
  <c r="MZ46" i="11"/>
  <c r="ER46" i="11"/>
  <c r="EO46" i="11"/>
  <c r="EL46" i="11"/>
  <c r="EM46" i="11" s="1"/>
  <c r="DW40" i="11"/>
  <c r="ER38" i="11"/>
  <c r="EO38" i="11"/>
  <c r="EL38" i="11"/>
  <c r="EM38" i="11" s="1"/>
  <c r="ER58" i="11"/>
  <c r="EO58" i="11"/>
  <c r="EL58" i="11"/>
  <c r="EM58" i="11" s="1"/>
  <c r="MZ56" i="11"/>
  <c r="QJ56" i="11"/>
  <c r="QK56" i="11" s="1"/>
  <c r="QH56" i="11"/>
  <c r="QI56" i="11" s="1"/>
  <c r="LQ56" i="11"/>
  <c r="MZ50" i="11"/>
  <c r="ER50" i="11"/>
  <c r="EO50" i="11"/>
  <c r="EL50" i="11"/>
  <c r="EM50" i="11" s="1"/>
  <c r="MZ48" i="11"/>
  <c r="QL48" i="11"/>
  <c r="QM48" i="11" s="1"/>
  <c r="QJ48" i="11"/>
  <c r="QK48" i="11" s="1"/>
  <c r="QH48" i="11"/>
  <c r="QI48" i="11" s="1"/>
  <c r="JS48" i="11"/>
  <c r="AT48" i="11"/>
  <c r="LQ48" i="11"/>
  <c r="LQ42" i="11"/>
  <c r="DV42" i="11"/>
  <c r="DS42" i="11"/>
  <c r="DH42" i="11"/>
  <c r="DI42" i="11" s="1"/>
  <c r="AN42" i="11"/>
  <c r="AU42" i="11" s="1"/>
  <c r="QN42" i="11"/>
  <c r="QO42" i="11" s="1"/>
  <c r="QL42" i="11"/>
  <c r="QM42" i="11" s="1"/>
  <c r="QJ42" i="11"/>
  <c r="QK42" i="11" s="1"/>
  <c r="QH42" i="11"/>
  <c r="QI42" i="11" s="1"/>
  <c r="QE42" i="11"/>
  <c r="QF42" i="11" s="1"/>
  <c r="JS42" i="11"/>
  <c r="AT42" i="11"/>
  <c r="DW38" i="11"/>
  <c r="EH38" i="11"/>
  <c r="EI38" i="11" s="1"/>
  <c r="LQ38" i="11"/>
  <c r="LR38" i="11" s="1"/>
  <c r="LS38" i="11" s="1"/>
  <c r="AN38" i="11"/>
  <c r="QN38" i="11"/>
  <c r="QO38" i="11" s="1"/>
  <c r="QL38" i="11"/>
  <c r="QM38" i="11" s="1"/>
  <c r="QJ38" i="11"/>
  <c r="QK38" i="11" s="1"/>
  <c r="QH38" i="11"/>
  <c r="QI38" i="11" s="1"/>
  <c r="QE38" i="11"/>
  <c r="QF38" i="11" s="1"/>
  <c r="JS38" i="11"/>
  <c r="JT38" i="11" s="1"/>
  <c r="JU38" i="11" s="1"/>
  <c r="AT38" i="11"/>
  <c r="RP100" i="11"/>
  <c r="RX100" i="11" s="1"/>
  <c r="RI100" i="11"/>
  <c r="RM100" i="11" s="1"/>
  <c r="GL100" i="11"/>
  <c r="GM100" i="11" s="1"/>
  <c r="EO100" i="11"/>
  <c r="ER100" i="11"/>
  <c r="EL100" i="11"/>
  <c r="EM100" i="11" s="1"/>
  <c r="QN100" i="11"/>
  <c r="QO100" i="11" s="1"/>
  <c r="QJ100" i="11"/>
  <c r="QK100" i="11" s="1"/>
  <c r="QE100" i="11"/>
  <c r="QF100" i="11" s="1"/>
  <c r="AN100" i="11"/>
  <c r="AT100" i="11"/>
  <c r="DT98" i="11"/>
  <c r="ER98" i="11"/>
  <c r="EO98" i="11"/>
  <c r="EL98" i="11"/>
  <c r="EM98" i="11" s="1"/>
  <c r="BG98" i="11"/>
  <c r="BK98" i="11" s="1"/>
  <c r="EH98" i="11"/>
  <c r="EI98" i="11" s="1"/>
  <c r="EE98" i="11"/>
  <c r="EF98" i="11" s="1"/>
  <c r="BD98" i="11"/>
  <c r="BH98" i="11" s="1"/>
  <c r="BL98" i="11" s="1"/>
  <c r="LQ98" i="11"/>
  <c r="LR98" i="11" s="1"/>
  <c r="LS98" i="11" s="1"/>
  <c r="AN98" i="11"/>
  <c r="AU98" i="11" s="1"/>
  <c r="QN98" i="11"/>
  <c r="QO98" i="11" s="1"/>
  <c r="QL98" i="11"/>
  <c r="QM98" i="11" s="1"/>
  <c r="QJ98" i="11"/>
  <c r="QK98" i="11" s="1"/>
  <c r="QH98" i="11"/>
  <c r="QI98" i="11" s="1"/>
  <c r="QE98" i="11"/>
  <c r="QF98" i="11" s="1"/>
  <c r="JS98" i="11"/>
  <c r="JT98" i="11" s="1"/>
  <c r="JU98" i="11" s="1"/>
  <c r="AT98" i="11"/>
  <c r="IL98" i="11" s="1"/>
  <c r="OD98" i="11" s="1"/>
  <c r="RP96" i="11"/>
  <c r="RX96" i="11" s="1"/>
  <c r="RI96" i="11"/>
  <c r="RM96" i="11" s="1"/>
  <c r="GL96" i="11"/>
  <c r="ER96" i="11"/>
  <c r="EO96" i="11"/>
  <c r="EL96" i="11"/>
  <c r="EM96" i="11" s="1"/>
  <c r="RB94" i="11"/>
  <c r="RE94" i="11"/>
  <c r="RC94" i="11"/>
  <c r="LZ94" i="11"/>
  <c r="MN94" i="11"/>
  <c r="MO94" i="11" s="1"/>
  <c r="RP94" i="11"/>
  <c r="RX94" i="11" s="1"/>
  <c r="RI94" i="11"/>
  <c r="DW94" i="11"/>
  <c r="DT92" i="11"/>
  <c r="ER92" i="11"/>
  <c r="EO92" i="11"/>
  <c r="EL92" i="11"/>
  <c r="EM92" i="11" s="1"/>
  <c r="RB90" i="11"/>
  <c r="RE90" i="11"/>
  <c r="RC90" i="11"/>
  <c r="RP90" i="11"/>
  <c r="RX90" i="11" s="1"/>
  <c r="RI90" i="11"/>
  <c r="RM90" i="11" s="1"/>
  <c r="GL90" i="11"/>
  <c r="ER94" i="11"/>
  <c r="EO94" i="11"/>
  <c r="EL94" i="11"/>
  <c r="EM94" i="11" s="1"/>
  <c r="DW90" i="11"/>
  <c r="IX94" i="11"/>
  <c r="QN94" i="11"/>
  <c r="QO94" i="11" s="1"/>
  <c r="QL94" i="11"/>
  <c r="QM94" i="11" s="1"/>
  <c r="QJ94" i="11"/>
  <c r="QK94" i="11" s="1"/>
  <c r="QH94" i="11"/>
  <c r="QI94" i="11" s="1"/>
  <c r="QE94" i="11"/>
  <c r="QF94" i="11" s="1"/>
  <c r="JS94" i="11"/>
  <c r="JT94" i="11" s="1"/>
  <c r="JU94" i="11" s="1"/>
  <c r="LQ94" i="11"/>
  <c r="LR94" i="11" s="1"/>
  <c r="LS94" i="11" s="1"/>
  <c r="AT94" i="11"/>
  <c r="AN94" i="11"/>
  <c r="AU94" i="11" s="1"/>
  <c r="BG92" i="11"/>
  <c r="BK92" i="11" s="1"/>
  <c r="EH92" i="11"/>
  <c r="EI92" i="11" s="1"/>
  <c r="EE92" i="11"/>
  <c r="EF92" i="11" s="1"/>
  <c r="BD92" i="11"/>
  <c r="BH92" i="11" s="1"/>
  <c r="BL92" i="11" s="1"/>
  <c r="LQ92" i="11"/>
  <c r="LR92" i="11" s="1"/>
  <c r="LS92" i="11" s="1"/>
  <c r="AN92" i="11"/>
  <c r="AU92" i="11" s="1"/>
  <c r="QN92" i="11"/>
  <c r="QO92" i="11" s="1"/>
  <c r="QL92" i="11"/>
  <c r="QM92" i="11" s="1"/>
  <c r="QJ92" i="11"/>
  <c r="QK92" i="11" s="1"/>
  <c r="QH92" i="11"/>
  <c r="QI92" i="11" s="1"/>
  <c r="QE92" i="11"/>
  <c r="QF92" i="11" s="1"/>
  <c r="JS92" i="11"/>
  <c r="JT92" i="11" s="1"/>
  <c r="JU92" i="11" s="1"/>
  <c r="AT92" i="11"/>
  <c r="IL92" i="11" s="1"/>
  <c r="OD92" i="11" s="1"/>
  <c r="EH90" i="11"/>
  <c r="EI90" i="11" s="1"/>
  <c r="EE90" i="11"/>
  <c r="EF90" i="11" s="1"/>
  <c r="BD90" i="11"/>
  <c r="BH90" i="11" s="1"/>
  <c r="BL90" i="11" s="1"/>
  <c r="BG90" i="11"/>
  <c r="BK90" i="11" s="1"/>
  <c r="RI88" i="11"/>
  <c r="RM88" i="11" s="1"/>
  <c r="RP88" i="11"/>
  <c r="RX88" i="11" s="1"/>
  <c r="GL88" i="11"/>
  <c r="DT84" i="11"/>
  <c r="ER84" i="11"/>
  <c r="EO84" i="11"/>
  <c r="EL84" i="11"/>
  <c r="EM84" i="11" s="1"/>
  <c r="DW88" i="11"/>
  <c r="RI80" i="11"/>
  <c r="RM80" i="11" s="1"/>
  <c r="GL80" i="11"/>
  <c r="RP80" i="11"/>
  <c r="RX80" i="11" s="1"/>
  <c r="RI76" i="11"/>
  <c r="RM76" i="11" s="1"/>
  <c r="GL76" i="11"/>
  <c r="RP76" i="11"/>
  <c r="RX76" i="11" s="1"/>
  <c r="EE88" i="11"/>
  <c r="EF88" i="11" s="1"/>
  <c r="BG88" i="11"/>
  <c r="BK88" i="11" s="1"/>
  <c r="BG86" i="11"/>
  <c r="BK86" i="11" s="1"/>
  <c r="EH86" i="11"/>
  <c r="EI86" i="11" s="1"/>
  <c r="EE86" i="11"/>
  <c r="EF86" i="11" s="1"/>
  <c r="BD86" i="11"/>
  <c r="BH86" i="11" s="1"/>
  <c r="BL86" i="11" s="1"/>
  <c r="LQ86" i="11"/>
  <c r="LR86" i="11" s="1"/>
  <c r="LS86" i="11" s="1"/>
  <c r="DV86" i="11"/>
  <c r="DS86" i="11"/>
  <c r="DH86" i="11"/>
  <c r="DI86" i="11" s="1"/>
  <c r="AN86" i="11"/>
  <c r="AU86" i="11" s="1"/>
  <c r="QN86" i="11"/>
  <c r="QO86" i="11" s="1"/>
  <c r="QL86" i="11"/>
  <c r="QM86" i="11" s="1"/>
  <c r="QJ86" i="11"/>
  <c r="QK86" i="11" s="1"/>
  <c r="QH86" i="11"/>
  <c r="QI86" i="11" s="1"/>
  <c r="QE86" i="11"/>
  <c r="QF86" i="11" s="1"/>
  <c r="JS86" i="11"/>
  <c r="JT86" i="11" s="1"/>
  <c r="AT86" i="11"/>
  <c r="IL86" i="11" s="1"/>
  <c r="OD86" i="11" s="1"/>
  <c r="JW84" i="11"/>
  <c r="OE84" i="11" s="1"/>
  <c r="EH84" i="11"/>
  <c r="EI84" i="11" s="1"/>
  <c r="BD84" i="11"/>
  <c r="BH84" i="11" s="1"/>
  <c r="BL84" i="11" s="1"/>
  <c r="DT82" i="11"/>
  <c r="ER82" i="11"/>
  <c r="EO82" i="11"/>
  <c r="EL82" i="11"/>
  <c r="EM82" i="11" s="1"/>
  <c r="DT78" i="11"/>
  <c r="IX78" i="11"/>
  <c r="ER78" i="11"/>
  <c r="EO78" i="11"/>
  <c r="EL78" i="11"/>
  <c r="EM78" i="11" s="1"/>
  <c r="RP74" i="11"/>
  <c r="RX74" i="11" s="1"/>
  <c r="RI74" i="11"/>
  <c r="RM74" i="11" s="1"/>
  <c r="GL74" i="11"/>
  <c r="QN82" i="11"/>
  <c r="QO82" i="11" s="1"/>
  <c r="QL82" i="11"/>
  <c r="QM82" i="11" s="1"/>
  <c r="QJ82" i="11"/>
  <c r="QK82" i="11" s="1"/>
  <c r="QH82" i="11"/>
  <c r="QI82" i="11" s="1"/>
  <c r="QE82" i="11"/>
  <c r="QF82" i="11" s="1"/>
  <c r="JS82" i="11"/>
  <c r="JT82" i="11" s="1"/>
  <c r="AT82" i="11"/>
  <c r="IL82" i="11" s="1"/>
  <c r="OD82" i="11" s="1"/>
  <c r="LQ82" i="11"/>
  <c r="LR82" i="11" s="1"/>
  <c r="LS82" i="11" s="1"/>
  <c r="AN82" i="11"/>
  <c r="AU82" i="11" s="1"/>
  <c r="QN78" i="11"/>
  <c r="QO78" i="11" s="1"/>
  <c r="QL78" i="11"/>
  <c r="QM78" i="11" s="1"/>
  <c r="QJ78" i="11"/>
  <c r="QK78" i="11" s="1"/>
  <c r="QH78" i="11"/>
  <c r="QI78" i="11" s="1"/>
  <c r="QE78" i="11"/>
  <c r="QF78" i="11" s="1"/>
  <c r="JS78" i="11"/>
  <c r="JT78" i="11" s="1"/>
  <c r="AT78" i="11"/>
  <c r="LQ78" i="11"/>
  <c r="LR78" i="11" s="1"/>
  <c r="LS78" i="11" s="1"/>
  <c r="AN78" i="11"/>
  <c r="AU78" i="11" s="1"/>
  <c r="EO72" i="11"/>
  <c r="ER72" i="11"/>
  <c r="EL72" i="11"/>
  <c r="EM72" i="11" s="1"/>
  <c r="RI68" i="11"/>
  <c r="RM68" i="11" s="1"/>
  <c r="RP68" i="11"/>
  <c r="RX68" i="11" s="1"/>
  <c r="ER64" i="11"/>
  <c r="EO64" i="11"/>
  <c r="EL64" i="11"/>
  <c r="EM64" i="11" s="1"/>
  <c r="MZ82" i="11"/>
  <c r="DV82" i="11"/>
  <c r="DV78" i="11"/>
  <c r="EH76" i="11"/>
  <c r="EI76" i="11" s="1"/>
  <c r="BD76" i="11"/>
  <c r="BH76" i="11" s="1"/>
  <c r="BL76" i="11" s="1"/>
  <c r="LQ76" i="11"/>
  <c r="LR76" i="11" s="1"/>
  <c r="LS76" i="11" s="1"/>
  <c r="DV76" i="11"/>
  <c r="DS76" i="11"/>
  <c r="DH76" i="11"/>
  <c r="DI76" i="11" s="1"/>
  <c r="AN76" i="11"/>
  <c r="AU76" i="11" s="1"/>
  <c r="QN76" i="11"/>
  <c r="QO76" i="11" s="1"/>
  <c r="QL76" i="11"/>
  <c r="QM76" i="11" s="1"/>
  <c r="QJ76" i="11"/>
  <c r="QK76" i="11" s="1"/>
  <c r="QH76" i="11"/>
  <c r="QI76" i="11" s="1"/>
  <c r="QE76" i="11"/>
  <c r="QF76" i="11" s="1"/>
  <c r="JS76" i="11"/>
  <c r="JT76" i="11" s="1"/>
  <c r="AT76" i="11"/>
  <c r="JW74" i="11"/>
  <c r="OE74" i="11" s="1"/>
  <c r="EH74" i="11"/>
  <c r="EI74" i="11" s="1"/>
  <c r="EE74" i="11"/>
  <c r="EF74" i="11" s="1"/>
  <c r="BD74" i="11"/>
  <c r="BH74" i="11" s="1"/>
  <c r="BL74" i="11" s="1"/>
  <c r="BG74" i="11"/>
  <c r="BK74" i="11" s="1"/>
  <c r="DW72" i="11"/>
  <c r="ER70" i="11"/>
  <c r="EO70" i="11"/>
  <c r="EL70" i="11"/>
  <c r="EM70" i="11" s="1"/>
  <c r="ER66" i="11"/>
  <c r="EO66" i="11"/>
  <c r="EL66" i="11"/>
  <c r="EM66" i="11" s="1"/>
  <c r="ER62" i="11"/>
  <c r="EO62" i="11"/>
  <c r="EL62" i="11"/>
  <c r="EM62" i="11" s="1"/>
  <c r="LQ72" i="11"/>
  <c r="QN72" i="11"/>
  <c r="QO72" i="11" s="1"/>
  <c r="QL72" i="11"/>
  <c r="QM72" i="11" s="1"/>
  <c r="QJ72" i="11"/>
  <c r="QK72" i="11" s="1"/>
  <c r="QH72" i="11"/>
  <c r="QI72" i="11" s="1"/>
  <c r="QE72" i="11"/>
  <c r="QF72" i="11" s="1"/>
  <c r="JS72" i="11"/>
  <c r="AN72" i="11"/>
  <c r="AU72" i="11" s="1"/>
  <c r="AT72" i="11"/>
  <c r="QN70" i="11"/>
  <c r="QO70" i="11" s="1"/>
  <c r="QL70" i="11"/>
  <c r="QM70" i="11" s="1"/>
  <c r="QJ70" i="11"/>
  <c r="QK70" i="11" s="1"/>
  <c r="QH70" i="11"/>
  <c r="QI70" i="11" s="1"/>
  <c r="QE70" i="11"/>
  <c r="QF70" i="11" s="1"/>
  <c r="JS70" i="11"/>
  <c r="AT70" i="11"/>
  <c r="LQ70" i="11"/>
  <c r="AN70" i="11"/>
  <c r="QN66" i="11"/>
  <c r="QO66" i="11" s="1"/>
  <c r="QL66" i="11"/>
  <c r="QM66" i="11" s="1"/>
  <c r="QJ66" i="11"/>
  <c r="QK66" i="11" s="1"/>
  <c r="QH66" i="11"/>
  <c r="QI66" i="11" s="1"/>
  <c r="QE66" i="11"/>
  <c r="QF66" i="11" s="1"/>
  <c r="JS66" i="11"/>
  <c r="AT66" i="11"/>
  <c r="LQ66" i="11"/>
  <c r="AN66" i="11"/>
  <c r="QN62" i="11"/>
  <c r="QO62" i="11" s="1"/>
  <c r="QL62" i="11"/>
  <c r="QM62" i="11" s="1"/>
  <c r="QJ62" i="11"/>
  <c r="QK62" i="11" s="1"/>
  <c r="QH62" i="11"/>
  <c r="QI62" i="11" s="1"/>
  <c r="QE62" i="11"/>
  <c r="QF62" i="11" s="1"/>
  <c r="JS62" i="11"/>
  <c r="AT62" i="11"/>
  <c r="LQ62" i="11"/>
  <c r="AN62" i="11"/>
  <c r="RI58" i="11"/>
  <c r="RM58" i="11" s="1"/>
  <c r="GL58" i="11"/>
  <c r="RP58" i="11"/>
  <c r="RX58" i="11" s="1"/>
  <c r="RI54" i="11"/>
  <c r="RM54" i="11" s="1"/>
  <c r="GL54" i="11"/>
  <c r="RP54" i="11"/>
  <c r="RX54" i="11" s="1"/>
  <c r="RI50" i="11"/>
  <c r="RM50" i="11" s="1"/>
  <c r="RP50" i="11"/>
  <c r="RX50" i="11" s="1"/>
  <c r="RI46" i="11"/>
  <c r="GL46" i="11"/>
  <c r="GM46" i="11" s="1"/>
  <c r="RP46" i="11"/>
  <c r="RX46" i="11" s="1"/>
  <c r="RI42" i="11"/>
  <c r="GL42" i="11"/>
  <c r="RP42" i="11"/>
  <c r="RX42" i="11" s="1"/>
  <c r="DS72" i="11"/>
  <c r="DV68" i="11"/>
  <c r="DV66" i="11"/>
  <c r="RI60" i="11"/>
  <c r="RP60" i="11"/>
  <c r="RX60" i="11" s="1"/>
  <c r="RP56" i="11"/>
  <c r="RX56" i="11" s="1"/>
  <c r="RI56" i="11"/>
  <c r="RM56" i="11" s="1"/>
  <c r="GL56" i="11"/>
  <c r="ER52" i="11"/>
  <c r="EO52" i="11"/>
  <c r="EL52" i="11"/>
  <c r="EM52" i="11" s="1"/>
  <c r="RP48" i="11"/>
  <c r="RX48" i="11" s="1"/>
  <c r="RI48" i="11"/>
  <c r="RP44" i="11"/>
  <c r="RX44" i="11" s="1"/>
  <c r="RI44" i="11"/>
  <c r="RM44" i="11" s="1"/>
  <c r="GL44" i="11"/>
  <c r="RP40" i="11"/>
  <c r="RX40" i="11" s="1"/>
  <c r="RI40" i="11"/>
  <c r="RM40" i="11" s="1"/>
  <c r="AN54" i="11"/>
  <c r="AU54" i="11" s="1"/>
  <c r="JS54" i="11"/>
  <c r="QH46" i="11"/>
  <c r="QI46" i="11" s="1"/>
  <c r="MZ40" i="11"/>
  <c r="ER60" i="11"/>
  <c r="EO60" i="11"/>
  <c r="EL60" i="11"/>
  <c r="EM60" i="11" s="1"/>
  <c r="DH58" i="11"/>
  <c r="DI58" i="11" s="1"/>
  <c r="AT58" i="11"/>
  <c r="DV52" i="11"/>
  <c r="LQ50" i="11"/>
  <c r="DS50" i="11"/>
  <c r="DH50" i="11"/>
  <c r="DI50" i="11" s="1"/>
  <c r="AN50" i="11"/>
  <c r="AU50" i="11" s="1"/>
  <c r="QL50" i="11"/>
  <c r="QM50" i="11" s="1"/>
  <c r="QJ50" i="11"/>
  <c r="QK50" i="11" s="1"/>
  <c r="QH50" i="11"/>
  <c r="QI50" i="11" s="1"/>
  <c r="JS50" i="11"/>
  <c r="AT50" i="11"/>
  <c r="BB48" i="11"/>
  <c r="MZ44" i="11"/>
  <c r="QN44" i="11"/>
  <c r="QO44" i="11" s="1"/>
  <c r="QJ44" i="11"/>
  <c r="QK44" i="11" s="1"/>
  <c r="QH44" i="11"/>
  <c r="QI44" i="11" s="1"/>
  <c r="QE44" i="11"/>
  <c r="QF44" i="11" s="1"/>
  <c r="AT44" i="11"/>
  <c r="LQ44" i="11"/>
  <c r="AN44" i="11"/>
  <c r="AU44" i="11" s="1"/>
  <c r="ER42" i="11"/>
  <c r="EO42" i="11"/>
  <c r="EL42" i="11"/>
  <c r="EM42" i="11" s="1"/>
  <c r="QN40" i="11"/>
  <c r="QO40" i="11" s="1"/>
  <c r="QE40" i="11"/>
  <c r="QF40" i="11" s="1"/>
  <c r="AN40" i="11"/>
  <c r="AU40" i="11" s="1"/>
  <c r="BO34" i="11"/>
  <c r="IS28" i="11"/>
  <c r="JK28" i="11" s="1"/>
  <c r="GN30" i="11"/>
  <c r="GO28" i="11"/>
  <c r="GN28" i="11"/>
  <c r="GN26" i="11"/>
  <c r="GP26" i="11"/>
  <c r="GO20" i="11"/>
  <c r="GN20" i="11"/>
  <c r="GN24" i="11"/>
  <c r="GP22" i="11"/>
  <c r="FX28" i="13"/>
  <c r="GK28" i="13"/>
  <c r="AY20" i="11"/>
  <c r="AY24" i="11"/>
  <c r="AY28" i="11"/>
  <c r="OR32" i="11"/>
  <c r="OS32" i="11" s="1"/>
  <c r="OT32" i="11" s="1"/>
  <c r="AY34" i="11"/>
  <c r="MX34" i="11"/>
  <c r="IS34" i="11"/>
  <c r="IT34" i="11" s="1"/>
  <c r="RT34" i="11"/>
  <c r="BO36" i="11"/>
  <c r="BO20" i="11"/>
  <c r="OR22" i="11"/>
  <c r="OS22" i="11" s="1"/>
  <c r="OT22" i="11" s="1"/>
  <c r="BO24" i="11"/>
  <c r="BO26" i="11"/>
  <c r="BO28" i="11"/>
  <c r="EY30" i="11"/>
  <c r="OY30" i="11"/>
  <c r="AY36" i="11"/>
  <c r="RA24" i="11"/>
  <c r="FF30" i="11"/>
  <c r="EY32" i="11"/>
  <c r="OY32" i="11"/>
  <c r="OZ32" i="11" s="1"/>
  <c r="EY34" i="11"/>
  <c r="EY36" i="11"/>
  <c r="FA22" i="11"/>
  <c r="FA26" i="11"/>
  <c r="FA30" i="11"/>
  <c r="FA34" i="11"/>
  <c r="EY20" i="11"/>
  <c r="EY22" i="11"/>
  <c r="EY24" i="11"/>
  <c r="EY26" i="11"/>
  <c r="EY28" i="11"/>
  <c r="JB34" i="11"/>
  <c r="ML34" i="11"/>
  <c r="II34" i="11"/>
  <c r="FA20" i="11"/>
  <c r="FA24" i="11"/>
  <c r="FA28" i="11"/>
  <c r="FA32" i="11"/>
  <c r="FA36" i="11"/>
  <c r="AA22" i="12"/>
  <c r="AB22" i="12" s="1"/>
  <c r="AA20" i="12"/>
  <c r="AB20" i="12" s="1"/>
  <c r="AA18" i="12"/>
  <c r="AB18" i="12" s="1"/>
  <c r="AA16" i="12"/>
  <c r="AB16" i="12" s="1"/>
  <c r="IS36" i="11"/>
  <c r="IT36" i="11" s="1"/>
  <c r="JQ32" i="11"/>
  <c r="LB32" i="11"/>
  <c r="MF32" i="11"/>
  <c r="NL32" i="11"/>
  <c r="NR32" i="11"/>
  <c r="OB32" i="11"/>
  <c r="OM32" i="11"/>
  <c r="PO32" i="11"/>
  <c r="PU32" i="11"/>
  <c r="PZ32" i="11"/>
  <c r="BO32" i="11"/>
  <c r="AY32" i="11"/>
  <c r="JB32" i="11"/>
  <c r="ML32" i="11"/>
  <c r="II32" i="11"/>
  <c r="PM32" i="11"/>
  <c r="PW32" i="11"/>
  <c r="QC32" i="11"/>
  <c r="BO30" i="11"/>
  <c r="AY30" i="11"/>
  <c r="AY26" i="11"/>
  <c r="JB26" i="11"/>
  <c r="ML26" i="11"/>
  <c r="II26" i="11"/>
  <c r="JI26" i="11"/>
  <c r="NL26" i="11"/>
  <c r="NR26" i="11"/>
  <c r="OB26" i="11"/>
  <c r="OM26" i="11"/>
  <c r="PM26" i="11"/>
  <c r="PW26" i="11"/>
  <c r="QC26" i="11"/>
  <c r="JQ26" i="11"/>
  <c r="LB26" i="11"/>
  <c r="MF26" i="11"/>
  <c r="OS26" i="11"/>
  <c r="OT26" i="11" s="1"/>
  <c r="PO26" i="11"/>
  <c r="PU26" i="11"/>
  <c r="PZ26" i="11"/>
  <c r="BO22" i="11"/>
  <c r="AY22" i="11"/>
  <c r="OY36" i="11"/>
  <c r="OZ36" i="11" s="1"/>
  <c r="PE32" i="11"/>
  <c r="RA28" i="11"/>
  <c r="RA22" i="11"/>
  <c r="RA20" i="11"/>
  <c r="OR36" i="11"/>
  <c r="OS36" i="11" s="1"/>
  <c r="OT36" i="11" s="1"/>
  <c r="OY34" i="11"/>
  <c r="OZ34" i="11" s="1"/>
  <c r="HE30" i="11"/>
  <c r="OR28" i="11"/>
  <c r="OS28" i="11" s="1"/>
  <c r="OT28" i="11" s="1"/>
  <c r="OY26" i="11"/>
  <c r="OZ26" i="11" s="1"/>
  <c r="PE26" i="11"/>
  <c r="OR24" i="11"/>
  <c r="OS24" i="11" s="1"/>
  <c r="OT24" i="11" s="1"/>
  <c r="OR20" i="11"/>
  <c r="FC34" i="11"/>
  <c r="FN34" i="11" s="1"/>
  <c r="OR34" i="11"/>
  <c r="OS34" i="11" s="1"/>
  <c r="OT34" i="11" s="1"/>
  <c r="HH32" i="11"/>
  <c r="OR30" i="11"/>
  <c r="OS30" i="11" s="1"/>
  <c r="OT30" i="11" s="1"/>
  <c r="FR26" i="13"/>
  <c r="HH26" i="11"/>
  <c r="FR22" i="13"/>
  <c r="FR20" i="13"/>
  <c r="AA30" i="12"/>
  <c r="AB30" i="12" s="1"/>
  <c r="AA28" i="12"/>
  <c r="AB28" i="12" s="1"/>
  <c r="AA26" i="12"/>
  <c r="AB26" i="12" s="1"/>
  <c r="AA24" i="12"/>
  <c r="AB24" i="12" s="1"/>
  <c r="MV36" i="11"/>
  <c r="NT36" i="11"/>
  <c r="NU36" i="11"/>
  <c r="RA36" i="11"/>
  <c r="NT34" i="11"/>
  <c r="NU34" i="11"/>
  <c r="NU32" i="11"/>
  <c r="PJ32" i="11"/>
  <c r="NT32" i="11"/>
  <c r="NV32" i="11" s="1"/>
  <c r="NT30" i="11"/>
  <c r="NV30" i="11" s="1"/>
  <c r="LL30" i="13"/>
  <c r="MV28" i="11"/>
  <c r="NT28" i="11"/>
  <c r="NU28" i="11"/>
  <c r="OY28" i="11"/>
  <c r="PJ26" i="11"/>
  <c r="NT26" i="11"/>
  <c r="NU26" i="11"/>
  <c r="MV24" i="11"/>
  <c r="NT24" i="11"/>
  <c r="NU24" i="11"/>
  <c r="OY24" i="11"/>
  <c r="OZ24" i="11" s="1"/>
  <c r="MV22" i="11"/>
  <c r="NT22" i="11"/>
  <c r="NU22" i="11"/>
  <c r="OY22" i="11"/>
  <c r="OZ22" i="11" s="1"/>
  <c r="FB22" i="13"/>
  <c r="FX22" i="13"/>
  <c r="MV20" i="11"/>
  <c r="NT20" i="11"/>
  <c r="NU20" i="11"/>
  <c r="OY20" i="11"/>
  <c r="OZ20" i="11" s="1"/>
  <c r="FC22" i="11"/>
  <c r="FD22" i="11" s="1"/>
  <c r="RL22" i="11" s="1"/>
  <c r="FC26" i="11"/>
  <c r="FN26" i="11" s="1"/>
  <c r="FC20" i="11"/>
  <c r="FD20" i="11" s="1"/>
  <c r="RL20" i="11" s="1"/>
  <c r="FC24" i="11"/>
  <c r="FD24" i="11" s="1"/>
  <c r="RL24" i="11" s="1"/>
  <c r="FC28" i="11"/>
  <c r="FN28" i="11" s="1"/>
  <c r="FC30" i="11"/>
  <c r="FN30" i="11" s="1"/>
  <c r="FC32" i="11"/>
  <c r="FD32" i="11" s="1"/>
  <c r="RL32" i="11" s="1"/>
  <c r="FC36" i="11"/>
  <c r="FN36" i="11" s="1"/>
  <c r="AK36" i="11"/>
  <c r="AL36" i="11"/>
  <c r="LE36" i="11"/>
  <c r="JY36" i="11"/>
  <c r="JZ36" i="11"/>
  <c r="OM36" i="11"/>
  <c r="OK36" i="11"/>
  <c r="AP36" i="11"/>
  <c r="BS36" i="11"/>
  <c r="BV36" i="11" s="1"/>
  <c r="BX36" i="11"/>
  <c r="MF36" i="11"/>
  <c r="JI36" i="11"/>
  <c r="FF36" i="11"/>
  <c r="HE36" i="11"/>
  <c r="JQ36" i="11"/>
  <c r="LW36" i="11"/>
  <c r="OB36" i="11"/>
  <c r="PJ36" i="11"/>
  <c r="PO36" i="11"/>
  <c r="PU36" i="11"/>
  <c r="PZ36" i="11"/>
  <c r="NF36" i="11"/>
  <c r="KF36" i="11"/>
  <c r="KL36" i="11" s="1"/>
  <c r="NB36" i="11"/>
  <c r="KP36" i="11"/>
  <c r="BU36" i="11"/>
  <c r="LZ36" i="11"/>
  <c r="MN36" i="11"/>
  <c r="MO36" i="11" s="1"/>
  <c r="MP36" i="11" s="1"/>
  <c r="ML36" i="11"/>
  <c r="FH36" i="11"/>
  <c r="FI36" i="11" s="1"/>
  <c r="HH36" i="11"/>
  <c r="II36" i="11"/>
  <c r="IQ36" i="11"/>
  <c r="KV36" i="11"/>
  <c r="LB36" i="11"/>
  <c r="MT36" i="11"/>
  <c r="NL36" i="11"/>
  <c r="NR36" i="11"/>
  <c r="PE36" i="11"/>
  <c r="PM36" i="11"/>
  <c r="PR36" i="11"/>
  <c r="PW36" i="11"/>
  <c r="QC36" i="11"/>
  <c r="AK34" i="11"/>
  <c r="AL34" i="11"/>
  <c r="LE34" i="11"/>
  <c r="NF34" i="11"/>
  <c r="KF34" i="11"/>
  <c r="KL34" i="11" s="1"/>
  <c r="NB34" i="11"/>
  <c r="KP34" i="11"/>
  <c r="CL34" i="13"/>
  <c r="CT34" i="13"/>
  <c r="JY34" i="11"/>
  <c r="JZ34" i="11"/>
  <c r="QC34" i="11"/>
  <c r="PZ34" i="11"/>
  <c r="PW34" i="11"/>
  <c r="PU34" i="11"/>
  <c r="PR34" i="11"/>
  <c r="PO34" i="11"/>
  <c r="PM34" i="11"/>
  <c r="AP34" i="11"/>
  <c r="BS34" i="11"/>
  <c r="BV34" i="11" s="1"/>
  <c r="BX34" i="11"/>
  <c r="FH34" i="11"/>
  <c r="FI34" i="11" s="1"/>
  <c r="RR34" i="11"/>
  <c r="MF34" i="11"/>
  <c r="FF34" i="11"/>
  <c r="NL34" i="11"/>
  <c r="NR34" i="11"/>
  <c r="OB34" i="11"/>
  <c r="OM34" i="11"/>
  <c r="PE34" i="11"/>
  <c r="BU34" i="11"/>
  <c r="LZ34" i="11"/>
  <c r="MN34" i="11"/>
  <c r="MO34" i="11" s="1"/>
  <c r="MP34" i="11" s="1"/>
  <c r="HH34" i="11"/>
  <c r="IQ34" i="11"/>
  <c r="JQ34" i="11"/>
  <c r="KV34" i="11"/>
  <c r="LB34" i="11"/>
  <c r="MT34" i="11"/>
  <c r="OK34" i="11"/>
  <c r="PJ34" i="11"/>
  <c r="RA34" i="11"/>
  <c r="LW34" i="11"/>
  <c r="AL32" i="11"/>
  <c r="AK32" i="11"/>
  <c r="LE32" i="11"/>
  <c r="ER32" i="11"/>
  <c r="EL32" i="11"/>
  <c r="EM32" i="11" s="1"/>
  <c r="EO32" i="11"/>
  <c r="RP32" i="11"/>
  <c r="RI32" i="11"/>
  <c r="LZ32" i="11"/>
  <c r="MN32" i="11"/>
  <c r="MO32" i="11" s="1"/>
  <c r="MP32" i="11" s="1"/>
  <c r="NF32" i="11"/>
  <c r="KF32" i="11"/>
  <c r="KL32" i="11" s="1"/>
  <c r="BU32" i="11"/>
  <c r="IS32" i="11"/>
  <c r="KP32" i="11"/>
  <c r="MV32" i="11"/>
  <c r="NB32" i="11"/>
  <c r="CI32" i="13"/>
  <c r="CZ32" i="13"/>
  <c r="IG32" i="13"/>
  <c r="AP32" i="11"/>
  <c r="BS32" i="11"/>
  <c r="BV32" i="11" s="1"/>
  <c r="FH32" i="11"/>
  <c r="FI32" i="11" s="1"/>
  <c r="HE32" i="11"/>
  <c r="IQ32" i="11"/>
  <c r="JZ32" i="11"/>
  <c r="KA32" i="11" s="1"/>
  <c r="KB32" i="11" s="1"/>
  <c r="KC32" i="11" s="1"/>
  <c r="KV32" i="11"/>
  <c r="LW32" i="11"/>
  <c r="MT32" i="11"/>
  <c r="OK32" i="11"/>
  <c r="RA32" i="11"/>
  <c r="AK30" i="11"/>
  <c r="AL30" i="11"/>
  <c r="LE30" i="11"/>
  <c r="MV30" i="11"/>
  <c r="BU30" i="11"/>
  <c r="BX30" i="11"/>
  <c r="BS30" i="11"/>
  <c r="BV30" i="11" s="1"/>
  <c r="RI30" i="11"/>
  <c r="JY30" i="11"/>
  <c r="JZ30" i="11"/>
  <c r="QC30" i="11"/>
  <c r="PZ30" i="11"/>
  <c r="PW30" i="11"/>
  <c r="PU30" i="11"/>
  <c r="PR30" i="11"/>
  <c r="PO30" i="11"/>
  <c r="PM30" i="11"/>
  <c r="MF30" i="11"/>
  <c r="HH30" i="11"/>
  <c r="II30" i="11"/>
  <c r="NL30" i="11"/>
  <c r="NR30" i="11"/>
  <c r="OB30" i="11"/>
  <c r="OM30" i="11"/>
  <c r="OZ30" i="11"/>
  <c r="PE30" i="11"/>
  <c r="NF30" i="11"/>
  <c r="KF30" i="11"/>
  <c r="KL30" i="11" s="1"/>
  <c r="NB30" i="11"/>
  <c r="KP30" i="11"/>
  <c r="IS30" i="11"/>
  <c r="LZ30" i="11"/>
  <c r="MN30" i="11"/>
  <c r="MO30" i="11" s="1"/>
  <c r="MP30" i="11" s="1"/>
  <c r="RT30" i="11"/>
  <c r="RJ30" i="11" s="1"/>
  <c r="ML30" i="11"/>
  <c r="FH30" i="11"/>
  <c r="FI30" i="11" s="1"/>
  <c r="IQ30" i="11"/>
  <c r="JQ30" i="11"/>
  <c r="KV30" i="11"/>
  <c r="LB30" i="11"/>
  <c r="MT30" i="11"/>
  <c r="OK30" i="11"/>
  <c r="PJ30" i="11"/>
  <c r="RA30" i="11"/>
  <c r="LW30" i="11"/>
  <c r="AK28" i="11"/>
  <c r="AL28" i="11"/>
  <c r="LE28" i="11"/>
  <c r="JY28" i="11"/>
  <c r="JZ28" i="11"/>
  <c r="OM28" i="11"/>
  <c r="OK28" i="11"/>
  <c r="AP28" i="11"/>
  <c r="BS28" i="11"/>
  <c r="BV28" i="11" s="1"/>
  <c r="BX28" i="11"/>
  <c r="MF28" i="11"/>
  <c r="JI28" i="11"/>
  <c r="FF28" i="11"/>
  <c r="HE28" i="11"/>
  <c r="JQ28" i="11"/>
  <c r="LW28" i="11"/>
  <c r="OB28" i="11"/>
  <c r="RE28" i="11" s="1"/>
  <c r="PJ28" i="11"/>
  <c r="PO28" i="11"/>
  <c r="PU28" i="11"/>
  <c r="PZ28" i="11"/>
  <c r="NF28" i="11"/>
  <c r="KF28" i="11"/>
  <c r="KL28" i="11" s="1"/>
  <c r="NB28" i="11"/>
  <c r="KP28" i="11"/>
  <c r="BU28" i="11"/>
  <c r="LZ28" i="11"/>
  <c r="MN28" i="11"/>
  <c r="MO28" i="11" s="1"/>
  <c r="MP28" i="11" s="1"/>
  <c r="RJ28" i="11"/>
  <c r="JB28" i="11"/>
  <c r="ML28" i="11"/>
  <c r="FH28" i="11"/>
  <c r="FI28" i="11" s="1"/>
  <c r="HH28" i="11"/>
  <c r="II28" i="11"/>
  <c r="IQ28" i="11"/>
  <c r="KV28" i="11"/>
  <c r="LB28" i="11"/>
  <c r="MT28" i="11"/>
  <c r="NL28" i="11"/>
  <c r="NR28" i="11"/>
  <c r="OZ28" i="11"/>
  <c r="PE28" i="11"/>
  <c r="PM28" i="11"/>
  <c r="PR28" i="11"/>
  <c r="PW28" i="11"/>
  <c r="QC28" i="11"/>
  <c r="AL26" i="11"/>
  <c r="AK26" i="11"/>
  <c r="LE26" i="11"/>
  <c r="ER26" i="11"/>
  <c r="EL26" i="11"/>
  <c r="EM26" i="11" s="1"/>
  <c r="EO26" i="11"/>
  <c r="RP26" i="11"/>
  <c r="RX26" i="11" s="1"/>
  <c r="RI26" i="11"/>
  <c r="LZ26" i="11"/>
  <c r="MN26" i="11"/>
  <c r="MO26" i="11" s="1"/>
  <c r="MP26" i="11" s="1"/>
  <c r="NF26" i="11"/>
  <c r="KF26" i="11"/>
  <c r="KL26" i="11" s="1"/>
  <c r="BU26" i="11"/>
  <c r="RJ26" i="11"/>
  <c r="IS26" i="11"/>
  <c r="KP26" i="11"/>
  <c r="MV26" i="11"/>
  <c r="NB26" i="11"/>
  <c r="CL26" i="13"/>
  <c r="CT26" i="13"/>
  <c r="AP26" i="11"/>
  <c r="BS26" i="11"/>
  <c r="BV26" i="11" s="1"/>
  <c r="FH26" i="11"/>
  <c r="FI26" i="11" s="1"/>
  <c r="HE26" i="11"/>
  <c r="IQ26" i="11"/>
  <c r="JZ26" i="11"/>
  <c r="KA26" i="11" s="1"/>
  <c r="KB26" i="11" s="1"/>
  <c r="KC26" i="11" s="1"/>
  <c r="KV26" i="11"/>
  <c r="LW26" i="11"/>
  <c r="MT26" i="11"/>
  <c r="OK26" i="11"/>
  <c r="RA26" i="11"/>
  <c r="AK24" i="11"/>
  <c r="AL24" i="11"/>
  <c r="LE24" i="11"/>
  <c r="JY24" i="11"/>
  <c r="JZ24" i="11"/>
  <c r="OM24" i="11"/>
  <c r="OK24" i="11"/>
  <c r="AP24" i="11"/>
  <c r="BS24" i="11"/>
  <c r="BV24" i="11" s="1"/>
  <c r="BX24" i="11"/>
  <c r="MF24" i="11"/>
  <c r="FF24" i="11"/>
  <c r="HE24" i="11"/>
  <c r="JQ24" i="11"/>
  <c r="LW24" i="11"/>
  <c r="RB24" i="11" s="1"/>
  <c r="OB24" i="11"/>
  <c r="RE24" i="11" s="1"/>
  <c r="PJ24" i="11"/>
  <c r="PO24" i="11"/>
  <c r="PU24" i="11"/>
  <c r="PZ24" i="11"/>
  <c r="NF24" i="11"/>
  <c r="KF24" i="11"/>
  <c r="KL24" i="11" s="1"/>
  <c r="NB24" i="11"/>
  <c r="KP24" i="11"/>
  <c r="BU24" i="11"/>
  <c r="LZ24" i="11"/>
  <c r="MN24" i="11"/>
  <c r="MO24" i="11" s="1"/>
  <c r="MP24" i="11" s="1"/>
  <c r="JB24" i="11"/>
  <c r="ML24" i="11"/>
  <c r="FH24" i="11"/>
  <c r="FI24" i="11" s="1"/>
  <c r="HH24" i="11"/>
  <c r="II24" i="11"/>
  <c r="IQ24" i="11"/>
  <c r="KV24" i="11"/>
  <c r="LB24" i="11"/>
  <c r="MT24" i="11"/>
  <c r="RC24" i="11" s="1"/>
  <c r="NL24" i="11"/>
  <c r="NR24" i="11"/>
  <c r="PE24" i="11"/>
  <c r="PM24" i="11"/>
  <c r="PR24" i="11"/>
  <c r="PW24" i="11"/>
  <c r="QC24" i="11"/>
  <c r="AK22" i="11"/>
  <c r="AL22" i="11"/>
  <c r="LE22" i="11"/>
  <c r="JY22" i="11"/>
  <c r="JZ22" i="11"/>
  <c r="OM22" i="11"/>
  <c r="OK22" i="11"/>
  <c r="AP22" i="11"/>
  <c r="BS22" i="11"/>
  <c r="BV22" i="11" s="1"/>
  <c r="BX22" i="11"/>
  <c r="MF22" i="11"/>
  <c r="JI22" i="11"/>
  <c r="FF22" i="11"/>
  <c r="HE22" i="11"/>
  <c r="JQ22" i="11"/>
  <c r="LW22" i="11"/>
  <c r="RB22" i="11" s="1"/>
  <c r="OB22" i="11"/>
  <c r="RE22" i="11" s="1"/>
  <c r="PJ22" i="11"/>
  <c r="PO22" i="11"/>
  <c r="PU22" i="11"/>
  <c r="PZ22" i="11"/>
  <c r="NF22" i="11"/>
  <c r="KF22" i="11"/>
  <c r="KL22" i="11" s="1"/>
  <c r="NB22" i="11"/>
  <c r="KP22" i="11"/>
  <c r="BU22" i="11"/>
  <c r="LZ22" i="11"/>
  <c r="MN22" i="11"/>
  <c r="MO22" i="11" s="1"/>
  <c r="MP22" i="11" s="1"/>
  <c r="RJ22" i="11"/>
  <c r="ML22" i="11"/>
  <c r="FH22" i="11"/>
  <c r="FI22" i="11" s="1"/>
  <c r="HH22" i="11"/>
  <c r="II22" i="11"/>
  <c r="IQ22" i="11"/>
  <c r="KV22" i="11"/>
  <c r="LB22" i="11"/>
  <c r="MT22" i="11"/>
  <c r="RC22" i="11" s="1"/>
  <c r="NL22" i="11"/>
  <c r="NR22" i="11"/>
  <c r="PE22" i="11"/>
  <c r="PM22" i="11"/>
  <c r="PR22" i="11"/>
  <c r="PW22" i="11"/>
  <c r="QC22" i="11"/>
  <c r="AK20" i="11"/>
  <c r="AL20" i="11"/>
  <c r="LE20" i="11"/>
  <c r="AP20" i="11"/>
  <c r="BS20" i="11"/>
  <c r="BV20" i="11" s="1"/>
  <c r="BX20" i="11"/>
  <c r="MF20" i="11"/>
  <c r="JI20" i="11"/>
  <c r="FF20" i="11"/>
  <c r="HE20" i="11"/>
  <c r="JQ20" i="11"/>
  <c r="LW20" i="11"/>
  <c r="OB20" i="11"/>
  <c r="OS20" i="11"/>
  <c r="OT20" i="11" s="1"/>
  <c r="PJ20" i="11"/>
  <c r="PO20" i="11"/>
  <c r="PU20" i="11"/>
  <c r="PZ20" i="11"/>
  <c r="JY20" i="11"/>
  <c r="JZ20" i="11"/>
  <c r="OM20" i="11"/>
  <c r="OK20" i="11"/>
  <c r="NF20" i="11"/>
  <c r="KF20" i="11"/>
  <c r="KL20" i="11" s="1"/>
  <c r="NB20" i="11"/>
  <c r="KP20" i="11"/>
  <c r="BU20" i="11"/>
  <c r="JK20" i="11"/>
  <c r="LZ20" i="11"/>
  <c r="MN20" i="11"/>
  <c r="MO20" i="11" s="1"/>
  <c r="MP20" i="11" s="1"/>
  <c r="RJ20" i="11"/>
  <c r="JB20" i="11"/>
  <c r="ML20" i="11"/>
  <c r="FH20" i="11"/>
  <c r="FI20" i="11" s="1"/>
  <c r="II20" i="11"/>
  <c r="IQ20" i="11"/>
  <c r="KV20" i="11"/>
  <c r="LB20" i="11"/>
  <c r="MT20" i="11"/>
  <c r="NL20" i="11"/>
  <c r="NR20" i="11"/>
  <c r="PE20" i="11"/>
  <c r="PM20" i="11"/>
  <c r="PR20" i="11"/>
  <c r="PW20" i="11"/>
  <c r="QC20" i="11"/>
  <c r="B14" i="12"/>
  <c r="AA14" i="12"/>
  <c r="AB14" i="12" s="1"/>
  <c r="H14" i="12"/>
  <c r="L14" i="12"/>
  <c r="M14" i="12" s="1"/>
  <c r="H12" i="12"/>
  <c r="B4" i="12"/>
  <c r="B3" i="12"/>
  <c r="S5" i="13"/>
  <c r="C5" i="12" s="1"/>
  <c r="B5" i="12"/>
  <c r="G5" i="12"/>
  <c r="RW18" i="11"/>
  <c r="CI18" i="11"/>
  <c r="RK18" i="11"/>
  <c r="RH18" i="11"/>
  <c r="BB52" i="11" l="1"/>
  <c r="O46" i="12"/>
  <c r="P46" i="12" s="1"/>
  <c r="DH46" i="11"/>
  <c r="DI46" i="11" s="1"/>
  <c r="GQ66" i="13"/>
  <c r="RJ34" i="11"/>
  <c r="GM72" i="11"/>
  <c r="GO72" i="11"/>
  <c r="JL64" i="11"/>
  <c r="JM64" i="11" s="1"/>
  <c r="GQ64" i="13"/>
  <c r="JL58" i="11"/>
  <c r="JM58" i="11" s="1"/>
  <c r="GQ58" i="13"/>
  <c r="GM58" i="11"/>
  <c r="GP58" i="11"/>
  <c r="GM56" i="11"/>
  <c r="GP56" i="11"/>
  <c r="GM54" i="11"/>
  <c r="GP54" i="11"/>
  <c r="GM50" i="11"/>
  <c r="GP50" i="11"/>
  <c r="JL50" i="11"/>
  <c r="JM50" i="11" s="1"/>
  <c r="GQ50" i="13"/>
  <c r="GM44" i="11"/>
  <c r="GP44" i="11"/>
  <c r="GM42" i="11"/>
  <c r="GP42" i="11"/>
  <c r="JL40" i="11"/>
  <c r="JM40" i="11" s="1"/>
  <c r="GQ40" i="13"/>
  <c r="FD28" i="11"/>
  <c r="RL28" i="11" s="1"/>
  <c r="JL46" i="11"/>
  <c r="JM46" i="11" s="1"/>
  <c r="GQ46" i="13"/>
  <c r="RM66" i="11"/>
  <c r="JK24" i="11"/>
  <c r="JL24" i="11" s="1"/>
  <c r="JK22" i="11"/>
  <c r="JL22" i="11" s="1"/>
  <c r="FP68" i="11"/>
  <c r="FS68" i="11" s="1"/>
  <c r="QJ46" i="11"/>
  <c r="QK46" i="11" s="1"/>
  <c r="DS46" i="11"/>
  <c r="DT46" i="11" s="1"/>
  <c r="RM46" i="11"/>
  <c r="AT46" i="11"/>
  <c r="QL46" i="11"/>
  <c r="QM46" i="11" s="1"/>
  <c r="LQ46" i="11"/>
  <c r="LR46" i="11" s="1"/>
  <c r="LS46" i="11" s="1"/>
  <c r="JS46" i="11"/>
  <c r="JT46" i="11" s="1"/>
  <c r="AN46" i="11"/>
  <c r="AU46" i="11" s="1"/>
  <c r="JS44" i="11"/>
  <c r="QL44" i="11"/>
  <c r="QM44" i="11" s="1"/>
  <c r="LQ40" i="11"/>
  <c r="QH40" i="11"/>
  <c r="QI40" i="11" s="1"/>
  <c r="BB40" i="11"/>
  <c r="BC40" i="11" s="1"/>
  <c r="FP40" i="11"/>
  <c r="FS40" i="11" s="1"/>
  <c r="O34" i="12"/>
  <c r="P34" i="12" s="1"/>
  <c r="AT40" i="11"/>
  <c r="QJ40" i="11"/>
  <c r="QK40" i="11" s="1"/>
  <c r="GL40" i="11"/>
  <c r="DS40" i="11"/>
  <c r="DT40" i="11" s="1"/>
  <c r="JS40" i="11"/>
  <c r="HC40" i="13" s="1"/>
  <c r="QL40" i="11"/>
  <c r="QM40" i="11" s="1"/>
  <c r="QE50" i="11"/>
  <c r="QF50" i="11" s="1"/>
  <c r="QN50" i="11"/>
  <c r="QO50" i="11" s="1"/>
  <c r="DV50" i="11"/>
  <c r="DW50" i="11" s="1"/>
  <c r="BB50" i="11"/>
  <c r="DF50" i="13" s="1"/>
  <c r="LQ52" i="11"/>
  <c r="QH52" i="11"/>
  <c r="QI52" i="11" s="1"/>
  <c r="DS52" i="11"/>
  <c r="DT52" i="11" s="1"/>
  <c r="QH54" i="11"/>
  <c r="QI54" i="11" s="1"/>
  <c r="DH54" i="11"/>
  <c r="DI54" i="11" s="1"/>
  <c r="QJ54" i="11"/>
  <c r="QK54" i="11" s="1"/>
  <c r="DS54" i="11"/>
  <c r="DT54" i="11" s="1"/>
  <c r="AT54" i="11"/>
  <c r="QL54" i="11"/>
  <c r="QM54" i="11" s="1"/>
  <c r="LQ54" i="11"/>
  <c r="LR54" i="11" s="1"/>
  <c r="LS54" i="11" s="1"/>
  <c r="BB54" i="11"/>
  <c r="BC54" i="11" s="1"/>
  <c r="AT56" i="11"/>
  <c r="QL56" i="11"/>
  <c r="QM56" i="11" s="1"/>
  <c r="DV56" i="11"/>
  <c r="DW56" i="11" s="1"/>
  <c r="JS56" i="11"/>
  <c r="JT56" i="11" s="1"/>
  <c r="QJ58" i="11"/>
  <c r="QK58" i="11" s="1"/>
  <c r="JT72" i="11"/>
  <c r="JW72" i="11" s="1"/>
  <c r="OE72" i="11" s="1"/>
  <c r="HC72" i="13"/>
  <c r="LR72" i="11"/>
  <c r="LS72" i="11" s="1"/>
  <c r="JH72" i="13"/>
  <c r="BC72" i="11"/>
  <c r="DF72" i="13"/>
  <c r="MZ70" i="11"/>
  <c r="FO70" i="11"/>
  <c r="LR70" i="11"/>
  <c r="LS70" i="11" s="1"/>
  <c r="JH70" i="13"/>
  <c r="JT70" i="11"/>
  <c r="HC70" i="13"/>
  <c r="BC70" i="11"/>
  <c r="DF70" i="13"/>
  <c r="AU70" i="11"/>
  <c r="QR70" i="11"/>
  <c r="DS70" i="11"/>
  <c r="DT70" i="11" s="1"/>
  <c r="LD70" i="11"/>
  <c r="LG70" i="11" s="1"/>
  <c r="LF70" i="11"/>
  <c r="GL70" i="11"/>
  <c r="GM70" i="11" s="1"/>
  <c r="FP70" i="11"/>
  <c r="FS70" i="11" s="1"/>
  <c r="GU68" i="11"/>
  <c r="AU68" i="11"/>
  <c r="QR68" i="11"/>
  <c r="LR68" i="11"/>
  <c r="LS68" i="11" s="1"/>
  <c r="JH68" i="13"/>
  <c r="DT68" i="11"/>
  <c r="BC68" i="11"/>
  <c r="DF68" i="13"/>
  <c r="JT68" i="11"/>
  <c r="JU68" i="11" s="1"/>
  <c r="HC68" i="13"/>
  <c r="O62" i="12"/>
  <c r="P62" i="12" s="1"/>
  <c r="LF68" i="11"/>
  <c r="LD68" i="11"/>
  <c r="GL68" i="11"/>
  <c r="GM68" i="11" s="1"/>
  <c r="QE68" i="11"/>
  <c r="QF68" i="11" s="1"/>
  <c r="QN68" i="11"/>
  <c r="QO68" i="11" s="1"/>
  <c r="DH68" i="11"/>
  <c r="DI68" i="11" s="1"/>
  <c r="JT66" i="11"/>
  <c r="JU66" i="11" s="1"/>
  <c r="HC66" i="13"/>
  <c r="AU66" i="11"/>
  <c r="QR66" i="11"/>
  <c r="O60" i="12"/>
  <c r="P60" i="12" s="1"/>
  <c r="LF66" i="11"/>
  <c r="LD66" i="11"/>
  <c r="LR66" i="11"/>
  <c r="LS66" i="11" s="1"/>
  <c r="JH66" i="13"/>
  <c r="BC66" i="11"/>
  <c r="DF66" i="13"/>
  <c r="DS66" i="11"/>
  <c r="DT66" i="11" s="1"/>
  <c r="O58" i="12"/>
  <c r="P58" i="12" s="1"/>
  <c r="LF64" i="11"/>
  <c r="LD64" i="11"/>
  <c r="EZ64" i="11"/>
  <c r="FC64" i="11" s="1"/>
  <c r="DH64" i="11"/>
  <c r="DI64" i="11" s="1"/>
  <c r="AT64" i="11"/>
  <c r="QJ64" i="11"/>
  <c r="QK64" i="11" s="1"/>
  <c r="LQ64" i="11"/>
  <c r="BB64" i="11"/>
  <c r="JS64" i="11"/>
  <c r="QL64" i="11"/>
  <c r="QM64" i="11" s="1"/>
  <c r="DS64" i="11"/>
  <c r="DT64" i="11" s="1"/>
  <c r="QE64" i="11"/>
  <c r="QF64" i="11" s="1"/>
  <c r="QN64" i="11"/>
  <c r="QO64" i="11" s="1"/>
  <c r="DV64" i="11"/>
  <c r="DW64" i="11" s="1"/>
  <c r="JT62" i="11"/>
  <c r="HC62" i="13"/>
  <c r="AU62" i="11"/>
  <c r="QR62" i="11"/>
  <c r="LR62" i="11"/>
  <c r="LS62" i="11" s="1"/>
  <c r="JH62" i="13"/>
  <c r="BC62" i="11"/>
  <c r="DF62" i="13"/>
  <c r="DS62" i="11"/>
  <c r="DT62" i="11" s="1"/>
  <c r="LF62" i="11"/>
  <c r="LD62" i="11"/>
  <c r="O54" i="12"/>
  <c r="P54" i="12" s="1"/>
  <c r="LF60" i="11"/>
  <c r="LD60" i="11"/>
  <c r="LG60" i="11" s="1"/>
  <c r="EZ60" i="11"/>
  <c r="FC60" i="11" s="1"/>
  <c r="BB60" i="11"/>
  <c r="QL60" i="11"/>
  <c r="QM60" i="11" s="1"/>
  <c r="AN60" i="11"/>
  <c r="AU60" i="11" s="1"/>
  <c r="QE60" i="11"/>
  <c r="QF60" i="11" s="1"/>
  <c r="QN60" i="11"/>
  <c r="QO60" i="11" s="1"/>
  <c r="DH60" i="11"/>
  <c r="DI60" i="11" s="1"/>
  <c r="QH60" i="11"/>
  <c r="QI60" i="11" s="1"/>
  <c r="LQ60" i="11"/>
  <c r="LR60" i="11" s="1"/>
  <c r="LS60" i="11" s="1"/>
  <c r="AT60" i="11"/>
  <c r="QJ60" i="11"/>
  <c r="QK60" i="11" s="1"/>
  <c r="DS60" i="11"/>
  <c r="DT60" i="11" s="1"/>
  <c r="DS58" i="11"/>
  <c r="QE58" i="11"/>
  <c r="QF58" i="11" s="1"/>
  <c r="QN58" i="11"/>
  <c r="QO58" i="11" s="1"/>
  <c r="QH58" i="11"/>
  <c r="QI58" i="11" s="1"/>
  <c r="AN58" i="11"/>
  <c r="AU58" i="11" s="1"/>
  <c r="LQ58" i="11"/>
  <c r="BB58" i="11"/>
  <c r="JS58" i="11"/>
  <c r="QL58" i="11"/>
  <c r="QM58" i="11" s="1"/>
  <c r="DV58" i="11"/>
  <c r="LR56" i="11"/>
  <c r="LS56" i="11" s="1"/>
  <c r="JH56" i="13"/>
  <c r="BB56" i="11"/>
  <c r="AN56" i="11"/>
  <c r="AU56" i="11" s="1"/>
  <c r="QE56" i="11"/>
  <c r="QF56" i="11" s="1"/>
  <c r="QN56" i="11"/>
  <c r="QO56" i="11" s="1"/>
  <c r="DF54" i="13"/>
  <c r="JT54" i="11"/>
  <c r="JW54" i="11" s="1"/>
  <c r="OE54" i="11" s="1"/>
  <c r="HC54" i="13"/>
  <c r="QE54" i="11"/>
  <c r="QF54" i="11" s="1"/>
  <c r="QN54" i="11"/>
  <c r="QO54" i="11" s="1"/>
  <c r="DV54" i="11"/>
  <c r="LR52" i="11"/>
  <c r="LS52" i="11" s="1"/>
  <c r="JH52" i="13"/>
  <c r="JT52" i="11"/>
  <c r="JU52" i="11" s="1"/>
  <c r="HC52" i="13"/>
  <c r="BC52" i="11"/>
  <c r="DF52" i="13"/>
  <c r="AU52" i="11"/>
  <c r="QU52" i="11"/>
  <c r="LD52" i="11"/>
  <c r="LF52" i="11"/>
  <c r="LR50" i="11"/>
  <c r="LS50" i="11" s="1"/>
  <c r="JH50" i="13"/>
  <c r="JT50" i="11"/>
  <c r="JU50" i="11" s="1"/>
  <c r="HC50" i="13"/>
  <c r="BC50" i="11"/>
  <c r="EE50" i="11" s="1"/>
  <c r="EF50" i="11" s="1"/>
  <c r="BC48" i="11"/>
  <c r="R42" i="12" s="1"/>
  <c r="S42" i="12" s="1"/>
  <c r="DF48" i="13"/>
  <c r="LR48" i="11"/>
  <c r="LS48" i="11" s="1"/>
  <c r="JH48" i="13"/>
  <c r="JT48" i="11"/>
  <c r="JU48" i="11" s="1"/>
  <c r="HC48" i="13"/>
  <c r="LF48" i="11"/>
  <c r="LD48" i="11"/>
  <c r="EZ48" i="11"/>
  <c r="FC48" i="11" s="1"/>
  <c r="AN48" i="11"/>
  <c r="AU48" i="11" s="1"/>
  <c r="QE48" i="11"/>
  <c r="QF48" i="11" s="1"/>
  <c r="QN48" i="11"/>
  <c r="QO48" i="11" s="1"/>
  <c r="O42" i="12"/>
  <c r="P42" i="12" s="1"/>
  <c r="JH46" i="13"/>
  <c r="BC46" i="11"/>
  <c r="BG46" i="11" s="1"/>
  <c r="BK46" i="11" s="1"/>
  <c r="DF46" i="13"/>
  <c r="O40" i="12"/>
  <c r="P40" i="12" s="1"/>
  <c r="LD46" i="11"/>
  <c r="LF46" i="11"/>
  <c r="QE46" i="11"/>
  <c r="QF46" i="11" s="1"/>
  <c r="QN46" i="11"/>
  <c r="QO46" i="11" s="1"/>
  <c r="DV46" i="11"/>
  <c r="DW46" i="11" s="1"/>
  <c r="LR44" i="11"/>
  <c r="LS44" i="11" s="1"/>
  <c r="JH44" i="13"/>
  <c r="BC44" i="11"/>
  <c r="EH44" i="11" s="1"/>
  <c r="DF44" i="13"/>
  <c r="JT44" i="11"/>
  <c r="JU44" i="11" s="1"/>
  <c r="HC44" i="13"/>
  <c r="BD44" i="11"/>
  <c r="BH44" i="11" s="1"/>
  <c r="BL44" i="11" s="1"/>
  <c r="JT42" i="11"/>
  <c r="JU42" i="11" s="1"/>
  <c r="HC42" i="13"/>
  <c r="RM42" i="11"/>
  <c r="LR42" i="11"/>
  <c r="LS42" i="11" s="1"/>
  <c r="JH42" i="13"/>
  <c r="BC42" i="11"/>
  <c r="DF42" i="13"/>
  <c r="BD42" i="11"/>
  <c r="BH42" i="11" s="1"/>
  <c r="BL42" i="11" s="1"/>
  <c r="LR40" i="11"/>
  <c r="LS40" i="11" s="1"/>
  <c r="JH40" i="13"/>
  <c r="DF40" i="13"/>
  <c r="JT40" i="11"/>
  <c r="JU40" i="11" s="1"/>
  <c r="BG38" i="11"/>
  <c r="BK38" i="11" s="1"/>
  <c r="IL38" i="11" s="1"/>
  <c r="OD38" i="11" s="1"/>
  <c r="LL38" i="11"/>
  <c r="LK38" i="11"/>
  <c r="LM38" i="11" s="1"/>
  <c r="LN38" i="11" s="1"/>
  <c r="LO38" i="11" s="1"/>
  <c r="R32" i="12"/>
  <c r="S32" i="12" s="1"/>
  <c r="LG38" i="11"/>
  <c r="LH38" i="11" s="1"/>
  <c r="LI38" i="11" s="1"/>
  <c r="AU38" i="11"/>
  <c r="QR38" i="11"/>
  <c r="BD38" i="11"/>
  <c r="BH38" i="11" s="1"/>
  <c r="BL38" i="11" s="1"/>
  <c r="EE38" i="11"/>
  <c r="RM38" i="11"/>
  <c r="FD34" i="11"/>
  <c r="RL34" i="11" s="1"/>
  <c r="FN22" i="11"/>
  <c r="GU22" i="11" s="1"/>
  <c r="FN20" i="11"/>
  <c r="GU20" i="11" s="1"/>
  <c r="JT60" i="11"/>
  <c r="JW60" i="11" s="1"/>
  <c r="OE60" i="11" s="1"/>
  <c r="HC60" i="13"/>
  <c r="BC60" i="11"/>
  <c r="BG60" i="11" s="1"/>
  <c r="BK60" i="11" s="1"/>
  <c r="DF60" i="13"/>
  <c r="FD30" i="11"/>
  <c r="RL30" i="11" s="1"/>
  <c r="RM30" i="11" s="1"/>
  <c r="EH80" i="11"/>
  <c r="EI80" i="11" s="1"/>
  <c r="RB36" i="11"/>
  <c r="IL96" i="11"/>
  <c r="OD96" i="11" s="1"/>
  <c r="FP20" i="11"/>
  <c r="FG20" i="11"/>
  <c r="FP22" i="11"/>
  <c r="FG22" i="11"/>
  <c r="FG24" i="11"/>
  <c r="FP34" i="11"/>
  <c r="FG34" i="11"/>
  <c r="FP36" i="11"/>
  <c r="FG36" i="11"/>
  <c r="GU36" i="11"/>
  <c r="FO36" i="11"/>
  <c r="GU30" i="11"/>
  <c r="FO30" i="11"/>
  <c r="GU26" i="11"/>
  <c r="FO26" i="11"/>
  <c r="RP30" i="11"/>
  <c r="FP30" i="11"/>
  <c r="FG30" i="11"/>
  <c r="JW66" i="11"/>
  <c r="OE66" i="11" s="1"/>
  <c r="GU94" i="11"/>
  <c r="FO94" i="11"/>
  <c r="FG32" i="11"/>
  <c r="GU50" i="11"/>
  <c r="FO50" i="11"/>
  <c r="GU44" i="11"/>
  <c r="FO44" i="11"/>
  <c r="GU66" i="11"/>
  <c r="FO66" i="11"/>
  <c r="GU56" i="11"/>
  <c r="FO56" i="11"/>
  <c r="FP66" i="11"/>
  <c r="FS66" i="11" s="1"/>
  <c r="FP26" i="11"/>
  <c r="FS26" i="11" s="1"/>
  <c r="FP28" i="11"/>
  <c r="FG28" i="11"/>
  <c r="GU28" i="11"/>
  <c r="FO28" i="11"/>
  <c r="GU34" i="11"/>
  <c r="FO34" i="11"/>
  <c r="BB100" i="11"/>
  <c r="O94" i="12"/>
  <c r="P94" i="12" s="1"/>
  <c r="GU38" i="11"/>
  <c r="FO38" i="11"/>
  <c r="GU52" i="11"/>
  <c r="FO52" i="11"/>
  <c r="FP56" i="11"/>
  <c r="FS56" i="11" s="1"/>
  <c r="FP44" i="11"/>
  <c r="FS44" i="11" s="1"/>
  <c r="FP52" i="11"/>
  <c r="FS52" i="11" s="1"/>
  <c r="FP38" i="11"/>
  <c r="FS38" i="11" s="1"/>
  <c r="FP50" i="11"/>
  <c r="FS50" i="11" s="1"/>
  <c r="FP94" i="11"/>
  <c r="FD26" i="11"/>
  <c r="RL26" i="11" s="1"/>
  <c r="RM26" i="11" s="1"/>
  <c r="RE36" i="11"/>
  <c r="IX82" i="11"/>
  <c r="IL76" i="11"/>
  <c r="OD76" i="11" s="1"/>
  <c r="FN24" i="11"/>
  <c r="GL24" i="11" s="1"/>
  <c r="RC28" i="11"/>
  <c r="IT28" i="11"/>
  <c r="RB28" i="11"/>
  <c r="RX32" i="11"/>
  <c r="JK34" i="11"/>
  <c r="JL34" i="11" s="1"/>
  <c r="RC36" i="11"/>
  <c r="JK36" i="11"/>
  <c r="GQ36" i="13" s="1"/>
  <c r="FD36" i="11"/>
  <c r="RL36" i="11" s="1"/>
  <c r="JW48" i="11"/>
  <c r="OE48" i="11" s="1"/>
  <c r="EE76" i="11"/>
  <c r="EF76" i="11" s="1"/>
  <c r="IL78" i="11"/>
  <c r="OD78" i="11" s="1"/>
  <c r="BG84" i="11"/>
  <c r="BK84" i="11" s="1"/>
  <c r="IL84" i="11" s="1"/>
  <c r="OD84" i="11" s="1"/>
  <c r="OF84" i="11" s="1"/>
  <c r="OG84" i="11" s="1"/>
  <c r="BD88" i="11"/>
  <c r="BH88" i="11" s="1"/>
  <c r="BL88" i="11" s="1"/>
  <c r="GL94" i="11"/>
  <c r="FS94" i="11"/>
  <c r="LQ100" i="11"/>
  <c r="JS100" i="11"/>
  <c r="HC100" i="13" s="1"/>
  <c r="QH100" i="11"/>
  <c r="QI100" i="11" s="1"/>
  <c r="QL100" i="11"/>
  <c r="QM100" i="11" s="1"/>
  <c r="IX96" i="11"/>
  <c r="BD80" i="11"/>
  <c r="BH80" i="11" s="1"/>
  <c r="BL80" i="11" s="1"/>
  <c r="BG94" i="11"/>
  <c r="BK94" i="11" s="1"/>
  <c r="IL94" i="11" s="1"/>
  <c r="OD94" i="11" s="1"/>
  <c r="BD66" i="11"/>
  <c r="BH66" i="11" s="1"/>
  <c r="BL66" i="11" s="1"/>
  <c r="GL30" i="11"/>
  <c r="GM30" i="11" s="1"/>
  <c r="AU100" i="11"/>
  <c r="QU100" i="11"/>
  <c r="DV100" i="11"/>
  <c r="DW100" i="11" s="1"/>
  <c r="LF100" i="11"/>
  <c r="LD100" i="11"/>
  <c r="DH100" i="11"/>
  <c r="DI100" i="11" s="1"/>
  <c r="DS100" i="11"/>
  <c r="DT100" i="11" s="1"/>
  <c r="LR100" i="11"/>
  <c r="LS100" i="11" s="1"/>
  <c r="JH100" i="13"/>
  <c r="JT100" i="11"/>
  <c r="JU100" i="11" s="1"/>
  <c r="BC100" i="11"/>
  <c r="R94" i="12" s="1"/>
  <c r="S94" i="12" s="1"/>
  <c r="DF100" i="13"/>
  <c r="MZ34" i="11"/>
  <c r="IX84" i="11"/>
  <c r="JE94" i="11"/>
  <c r="RM94" i="11"/>
  <c r="IL80" i="11"/>
  <c r="OD80" i="11" s="1"/>
  <c r="JE80" i="11"/>
  <c r="JW88" i="11"/>
  <c r="OE88" i="11" s="1"/>
  <c r="EE80" i="11"/>
  <c r="JW38" i="11"/>
  <c r="OE38" i="11" s="1"/>
  <c r="MH42" i="11"/>
  <c r="ES42" i="11"/>
  <c r="MB42" i="11"/>
  <c r="EP42" i="11"/>
  <c r="EH48" i="11"/>
  <c r="BD48" i="11"/>
  <c r="BH48" i="11" s="1"/>
  <c r="BL48" i="11" s="1"/>
  <c r="BG48" i="11"/>
  <c r="BK48" i="11" s="1"/>
  <c r="IL48" i="11" s="1"/>
  <c r="OD48" i="11" s="1"/>
  <c r="OF48" i="11" s="1"/>
  <c r="OG48" i="11" s="1"/>
  <c r="DT50" i="11"/>
  <c r="DW52" i="11"/>
  <c r="DW58" i="11"/>
  <c r="MH60" i="11"/>
  <c r="ES60" i="11"/>
  <c r="JU54" i="11"/>
  <c r="DW54" i="11"/>
  <c r="EP52" i="11"/>
  <c r="MB52" i="11"/>
  <c r="DW66" i="11"/>
  <c r="DW68" i="11"/>
  <c r="FS42" i="11"/>
  <c r="FS46" i="11"/>
  <c r="FS54" i="11"/>
  <c r="FS58" i="11"/>
  <c r="EP62" i="11"/>
  <c r="MB62" i="11"/>
  <c r="MH66" i="11"/>
  <c r="ES66" i="11"/>
  <c r="EP70" i="11"/>
  <c r="MB70" i="11"/>
  <c r="DT76" i="11"/>
  <c r="DW78" i="11"/>
  <c r="JE78" i="11"/>
  <c r="MB64" i="11"/>
  <c r="EP64" i="11"/>
  <c r="MB72" i="11"/>
  <c r="EP72" i="11"/>
  <c r="JU78" i="11"/>
  <c r="JW78" i="11"/>
  <c r="OE78" i="11" s="1"/>
  <c r="EP78" i="11"/>
  <c r="MB78" i="11"/>
  <c r="FY78" i="11" s="1"/>
  <c r="MH82" i="11"/>
  <c r="ES82" i="11"/>
  <c r="JU86" i="11"/>
  <c r="JW86" i="11"/>
  <c r="OE86" i="11" s="1"/>
  <c r="JE86" i="11"/>
  <c r="DW86" i="11"/>
  <c r="FS76" i="11"/>
  <c r="FS80" i="11"/>
  <c r="MH84" i="11"/>
  <c r="ES84" i="11"/>
  <c r="FS88" i="11"/>
  <c r="JW92" i="11"/>
  <c r="OE92" i="11" s="1"/>
  <c r="OF92" i="11" s="1"/>
  <c r="OG92" i="11" s="1"/>
  <c r="JE90" i="11"/>
  <c r="MH94" i="11"/>
  <c r="ES94" i="11"/>
  <c r="MH92" i="11"/>
  <c r="ES92" i="11"/>
  <c r="IX92" i="11"/>
  <c r="MH96" i="11"/>
  <c r="ES96" i="11"/>
  <c r="MB98" i="11"/>
  <c r="EP98" i="11"/>
  <c r="EP100" i="11"/>
  <c r="MB100" i="11"/>
  <c r="JE38" i="11"/>
  <c r="DT42" i="11"/>
  <c r="MH50" i="11"/>
  <c r="ES50" i="11"/>
  <c r="MH58" i="11"/>
  <c r="ES58" i="11"/>
  <c r="JU60" i="11"/>
  <c r="MB38" i="11"/>
  <c r="EP38" i="11"/>
  <c r="MH46" i="11"/>
  <c r="ES46" i="11"/>
  <c r="MH54" i="11"/>
  <c r="ES54" i="11"/>
  <c r="MH40" i="11"/>
  <c r="ES40" i="11"/>
  <c r="EP44" i="11"/>
  <c r="MB44" i="11"/>
  <c r="MH48" i="11"/>
  <c r="ES48" i="11"/>
  <c r="EP56" i="11"/>
  <c r="MB56" i="11"/>
  <c r="EE62" i="11"/>
  <c r="BD62" i="11"/>
  <c r="BH62" i="11" s="1"/>
  <c r="BL62" i="11" s="1"/>
  <c r="EH70" i="11"/>
  <c r="EE70" i="11"/>
  <c r="BD70" i="11"/>
  <c r="BH70" i="11" s="1"/>
  <c r="BL70" i="11" s="1"/>
  <c r="BG70" i="11"/>
  <c r="BK70" i="11" s="1"/>
  <c r="IL70" i="11" s="1"/>
  <c r="OD70" i="11" s="1"/>
  <c r="FS72" i="11"/>
  <c r="MB76" i="11"/>
  <c r="EP76" i="11"/>
  <c r="MH80" i="11"/>
  <c r="ES80" i="11"/>
  <c r="MH68" i="11"/>
  <c r="ES68" i="11"/>
  <c r="JW80" i="11"/>
  <c r="OE80" i="11" s="1"/>
  <c r="EP74" i="11"/>
  <c r="MB74" i="11"/>
  <c r="IX74" i="11"/>
  <c r="FS78" i="11"/>
  <c r="MB86" i="11"/>
  <c r="EP86" i="11"/>
  <c r="FS84" i="11"/>
  <c r="MH88" i="11"/>
  <c r="ES88" i="11"/>
  <c r="IX88" i="11"/>
  <c r="JU90" i="11"/>
  <c r="JW90" i="11"/>
  <c r="OE90" i="11" s="1"/>
  <c r="FS86" i="11"/>
  <c r="EP90" i="11"/>
  <c r="MB90" i="11"/>
  <c r="IX90" i="11"/>
  <c r="FS92" i="11"/>
  <c r="JE92" i="11"/>
  <c r="GF92" i="11" s="1"/>
  <c r="GH92" i="11" s="1"/>
  <c r="GI92" i="11" s="1"/>
  <c r="JW50" i="11"/>
  <c r="OE50" i="11" s="1"/>
  <c r="DT58" i="11"/>
  <c r="MB60" i="11"/>
  <c r="EP60" i="11"/>
  <c r="MH52" i="11"/>
  <c r="ES52" i="11"/>
  <c r="DT72" i="11"/>
  <c r="JU62" i="11"/>
  <c r="JW62" i="11"/>
  <c r="OE62" i="11" s="1"/>
  <c r="JU70" i="11"/>
  <c r="JW70" i="11"/>
  <c r="JU72" i="11"/>
  <c r="MH62" i="11"/>
  <c r="ES62" i="11"/>
  <c r="EP66" i="11"/>
  <c r="MB66" i="11"/>
  <c r="MH70" i="11"/>
  <c r="ES70" i="11"/>
  <c r="JU76" i="11"/>
  <c r="JW76" i="11"/>
  <c r="OE76" i="11" s="1"/>
  <c r="OF76" i="11" s="1"/>
  <c r="OG76" i="11" s="1"/>
  <c r="JE76" i="11"/>
  <c r="DW76" i="11"/>
  <c r="DW82" i="11"/>
  <c r="JE82" i="11"/>
  <c r="GF82" i="11" s="1"/>
  <c r="GH82" i="11" s="1"/>
  <c r="GI82" i="11" s="1"/>
  <c r="MH64" i="11"/>
  <c r="ES64" i="11"/>
  <c r="MH72" i="11"/>
  <c r="ES72" i="11"/>
  <c r="OF78" i="11"/>
  <c r="OG78" i="11" s="1"/>
  <c r="JU82" i="11"/>
  <c r="JW82" i="11"/>
  <c r="OE82" i="11" s="1"/>
  <c r="OF82" i="11" s="1"/>
  <c r="OG82" i="11" s="1"/>
  <c r="FS74" i="11"/>
  <c r="MH78" i="11"/>
  <c r="ES78" i="11"/>
  <c r="EP82" i="11"/>
  <c r="MB82" i="11"/>
  <c r="FY82" i="11" s="1"/>
  <c r="OF86" i="11"/>
  <c r="OG86" i="11" s="1"/>
  <c r="IX86" i="11"/>
  <c r="DT86" i="11"/>
  <c r="JE88" i="11"/>
  <c r="GF88" i="11" s="1"/>
  <c r="GH88" i="11" s="1"/>
  <c r="GI88" i="11" s="1"/>
  <c r="EP84" i="11"/>
  <c r="MB84" i="11"/>
  <c r="FY84" i="11" s="1"/>
  <c r="MB94" i="11"/>
  <c r="FY94" i="11" s="1"/>
  <c r="EP94" i="11"/>
  <c r="FS90" i="11"/>
  <c r="MB92" i="11"/>
  <c r="EP92" i="11"/>
  <c r="MP94" i="11"/>
  <c r="MZ94" i="11"/>
  <c r="MB96" i="11"/>
  <c r="FY96" i="11" s="1"/>
  <c r="EP96" i="11"/>
  <c r="FS96" i="11"/>
  <c r="MH98" i="11"/>
  <c r="ES98" i="11"/>
  <c r="IX98" i="11"/>
  <c r="MH100" i="11"/>
  <c r="ES100" i="11"/>
  <c r="JW100" i="11"/>
  <c r="OE100" i="11" s="1"/>
  <c r="FS100" i="11"/>
  <c r="JW40" i="11"/>
  <c r="OE40" i="11" s="1"/>
  <c r="JW42" i="11"/>
  <c r="OE42" i="11" s="1"/>
  <c r="DW42" i="11"/>
  <c r="JW44" i="11"/>
  <c r="OE44" i="11" s="1"/>
  <c r="MB50" i="11"/>
  <c r="EP50" i="11"/>
  <c r="MB58" i="11"/>
  <c r="EP58" i="11"/>
  <c r="MH38" i="11"/>
  <c r="ES38" i="11"/>
  <c r="MB46" i="11"/>
  <c r="EP46" i="11"/>
  <c r="MB54" i="11"/>
  <c r="EP54" i="11"/>
  <c r="EP40" i="11"/>
  <c r="MB40" i="11"/>
  <c r="MH44" i="11"/>
  <c r="ES44" i="11"/>
  <c r="EP48" i="11"/>
  <c r="MB48" i="11"/>
  <c r="MH56" i="11"/>
  <c r="ES56" i="11"/>
  <c r="FS62" i="11"/>
  <c r="IL74" i="11"/>
  <c r="OD74" i="11" s="1"/>
  <c r="OF74" i="11" s="1"/>
  <c r="OG74" i="11" s="1"/>
  <c r="MH76" i="11"/>
  <c r="ES76" i="11"/>
  <c r="MB80" i="11"/>
  <c r="EP80" i="11"/>
  <c r="MB68" i="11"/>
  <c r="EP68" i="11"/>
  <c r="JE74" i="11"/>
  <c r="GF80" i="11"/>
  <c r="GH80" i="11" s="1"/>
  <c r="GI80" i="11" s="1"/>
  <c r="MH74" i="11"/>
  <c r="ES74" i="11"/>
  <c r="FS82" i="11"/>
  <c r="MH86" i="11"/>
  <c r="ES86" i="11"/>
  <c r="IL88" i="11"/>
  <c r="OD88" i="11" s="1"/>
  <c r="OF88" i="11" s="1"/>
  <c r="OG88" i="11" s="1"/>
  <c r="JE84" i="11"/>
  <c r="MB88" i="11"/>
  <c r="EP88" i="11"/>
  <c r="IL90" i="11"/>
  <c r="OD90" i="11" s="1"/>
  <c r="OF90" i="11" s="1"/>
  <c r="OG90" i="11" s="1"/>
  <c r="MH90" i="11"/>
  <c r="ES90" i="11"/>
  <c r="JE96" i="11"/>
  <c r="DW96" i="11"/>
  <c r="JM94" i="11"/>
  <c r="JW94" i="11"/>
  <c r="OE94" i="11" s="1"/>
  <c r="JU96" i="11"/>
  <c r="JW96" i="11"/>
  <c r="OE96" i="11" s="1"/>
  <c r="OF96" i="11" s="1"/>
  <c r="OG96" i="11" s="1"/>
  <c r="JW98" i="11"/>
  <c r="OE98" i="11" s="1"/>
  <c r="OF98" i="11" s="1"/>
  <c r="OG98" i="11" s="1"/>
  <c r="FS98" i="11"/>
  <c r="JE98" i="11"/>
  <c r="GF98" i="11" s="1"/>
  <c r="GH98" i="11" s="1"/>
  <c r="GI98" i="11" s="1"/>
  <c r="GP30" i="11"/>
  <c r="RB20" i="11"/>
  <c r="NV34" i="11"/>
  <c r="NW34" i="11" s="1"/>
  <c r="NX34" i="11" s="1"/>
  <c r="FN32" i="11"/>
  <c r="GL32" i="11" s="1"/>
  <c r="GM32" i="11" s="1"/>
  <c r="RC20" i="11"/>
  <c r="RE20" i="11"/>
  <c r="NC36" i="11"/>
  <c r="ND36" i="11" s="1"/>
  <c r="RD36" i="11" s="1"/>
  <c r="KN36" i="13"/>
  <c r="NG36" i="11"/>
  <c r="NH36" i="11" s="1"/>
  <c r="KT36" i="13"/>
  <c r="NV36" i="11"/>
  <c r="MW36" i="11"/>
  <c r="MX36" i="11" s="1"/>
  <c r="KH36" i="13"/>
  <c r="NC34" i="11"/>
  <c r="ND34" i="11" s="1"/>
  <c r="RD34" i="11" s="1"/>
  <c r="KN34" i="13"/>
  <c r="NG34" i="11"/>
  <c r="NH34" i="11" s="1"/>
  <c r="KT34" i="13"/>
  <c r="LR34" i="13"/>
  <c r="MW32" i="11"/>
  <c r="MX32" i="11" s="1"/>
  <c r="KH32" i="13"/>
  <c r="NG32" i="11"/>
  <c r="NH32" i="11" s="1"/>
  <c r="KT32" i="13"/>
  <c r="NC32" i="11"/>
  <c r="ND32" i="11" s="1"/>
  <c r="RD32" i="11" s="1"/>
  <c r="KN32" i="13"/>
  <c r="NW32" i="11"/>
  <c r="NX32" i="11" s="1"/>
  <c r="LR32" i="13"/>
  <c r="NC30" i="11"/>
  <c r="ND30" i="11" s="1"/>
  <c r="RD30" i="11" s="1"/>
  <c r="KN30" i="13"/>
  <c r="NG30" i="11"/>
  <c r="NH30" i="11" s="1"/>
  <c r="KT30" i="13"/>
  <c r="MW30" i="11"/>
  <c r="KH30" i="13"/>
  <c r="NW30" i="11"/>
  <c r="NX30" i="11" s="1"/>
  <c r="LR30" i="13"/>
  <c r="NC28" i="11"/>
  <c r="ND28" i="11" s="1"/>
  <c r="RD28" i="11" s="1"/>
  <c r="KN28" i="13"/>
  <c r="NG28" i="11"/>
  <c r="NH28" i="11" s="1"/>
  <c r="KT28" i="13"/>
  <c r="NV28" i="11"/>
  <c r="MW28" i="11"/>
  <c r="MX28" i="11" s="1"/>
  <c r="KH28" i="13"/>
  <c r="MW26" i="11"/>
  <c r="KH26" i="13"/>
  <c r="NG26" i="11"/>
  <c r="NH26" i="11" s="1"/>
  <c r="KT26" i="13"/>
  <c r="NV26" i="11"/>
  <c r="NC26" i="11"/>
  <c r="ND26" i="11" s="1"/>
  <c r="RD26" i="11" s="1"/>
  <c r="KN26" i="13"/>
  <c r="NV24" i="11"/>
  <c r="NC24" i="11"/>
  <c r="ND24" i="11" s="1"/>
  <c r="RD24" i="11" s="1"/>
  <c r="KN24" i="13"/>
  <c r="NG24" i="11"/>
  <c r="NH24" i="11" s="1"/>
  <c r="KT24" i="13"/>
  <c r="MW24" i="11"/>
  <c r="MX24" i="11" s="1"/>
  <c r="KH24" i="13"/>
  <c r="NC22" i="11"/>
  <c r="ND22" i="11" s="1"/>
  <c r="RD22" i="11" s="1"/>
  <c r="KN22" i="13"/>
  <c r="NG22" i="11"/>
  <c r="NH22" i="11" s="1"/>
  <c r="KT22" i="13"/>
  <c r="NV22" i="11"/>
  <c r="MW22" i="11"/>
  <c r="MX22" i="11" s="1"/>
  <c r="KH22" i="13"/>
  <c r="NC20" i="11"/>
  <c r="ND20" i="11" s="1"/>
  <c r="RD20" i="11" s="1"/>
  <c r="KN20" i="13"/>
  <c r="NG20" i="11"/>
  <c r="NH20" i="11" s="1"/>
  <c r="KT20" i="13"/>
  <c r="NV20" i="11"/>
  <c r="MW20" i="11"/>
  <c r="MX20" i="11" s="1"/>
  <c r="KH20" i="13"/>
  <c r="KQ36" i="11"/>
  <c r="KR36" i="11" s="1"/>
  <c r="HU36" i="13"/>
  <c r="KM36" i="11"/>
  <c r="KN36" i="11" s="1"/>
  <c r="HO36" i="13"/>
  <c r="ER36" i="11"/>
  <c r="EO36" i="11"/>
  <c r="EL36" i="11"/>
  <c r="EM36" i="11" s="1"/>
  <c r="AM36" i="11"/>
  <c r="CH36" i="13"/>
  <c r="MZ36" i="11"/>
  <c r="RP36" i="11"/>
  <c r="RX36" i="11" s="1"/>
  <c r="RI36" i="11"/>
  <c r="GL36" i="11"/>
  <c r="GM36" i="11" s="1"/>
  <c r="KA36" i="11"/>
  <c r="KB36" i="11" s="1"/>
  <c r="KC36" i="11" s="1"/>
  <c r="HI36" i="13"/>
  <c r="RB34" i="11"/>
  <c r="RE34" i="11"/>
  <c r="RC34" i="11"/>
  <c r="KM34" i="11"/>
  <c r="KN34" i="11" s="1"/>
  <c r="HO34" i="13"/>
  <c r="KQ34" i="11"/>
  <c r="KR34" i="11" s="1"/>
  <c r="HU34" i="13"/>
  <c r="AM34" i="11"/>
  <c r="CH34" i="13"/>
  <c r="RP34" i="11"/>
  <c r="RX34" i="11" s="1"/>
  <c r="RI34" i="11"/>
  <c r="GL34" i="11"/>
  <c r="GM34" i="11" s="1"/>
  <c r="EO34" i="11"/>
  <c r="ER34" i="11"/>
  <c r="EL34" i="11"/>
  <c r="EM34" i="11" s="1"/>
  <c r="KA34" i="11"/>
  <c r="KB34" i="11" s="1"/>
  <c r="KC34" i="11" s="1"/>
  <c r="HI34" i="13"/>
  <c r="GQ34" i="13"/>
  <c r="KM32" i="11"/>
  <c r="KN32" i="11" s="1"/>
  <c r="HO32" i="13"/>
  <c r="JK32" i="11"/>
  <c r="IT32" i="11"/>
  <c r="RM32" i="11"/>
  <c r="RB32" i="11"/>
  <c r="RE32" i="11"/>
  <c r="RC32" i="11"/>
  <c r="MZ32" i="11"/>
  <c r="KQ32" i="11"/>
  <c r="KR32" i="11" s="1"/>
  <c r="HU32" i="13"/>
  <c r="EP32" i="11"/>
  <c r="MB32" i="11"/>
  <c r="MH32" i="11"/>
  <c r="ES32" i="11"/>
  <c r="AM32" i="11"/>
  <c r="CH32" i="13"/>
  <c r="KM30" i="11"/>
  <c r="KN30" i="11" s="1"/>
  <c r="HO30" i="13"/>
  <c r="RB30" i="11"/>
  <c r="RE30" i="11"/>
  <c r="RC30" i="11"/>
  <c r="KQ30" i="11"/>
  <c r="KR30" i="11" s="1"/>
  <c r="HU30" i="13"/>
  <c r="AM30" i="11"/>
  <c r="CH30" i="13"/>
  <c r="JK30" i="11"/>
  <c r="IT30" i="11"/>
  <c r="KA30" i="11"/>
  <c r="KB30" i="11" s="1"/>
  <c r="KC30" i="11" s="1"/>
  <c r="HI30" i="13"/>
  <c r="RX30" i="11"/>
  <c r="ER30" i="11"/>
  <c r="EO30" i="11"/>
  <c r="EL30" i="11"/>
  <c r="EM30" i="11" s="1"/>
  <c r="KQ28" i="11"/>
  <c r="KR28" i="11" s="1"/>
  <c r="HU28" i="13"/>
  <c r="KM28" i="11"/>
  <c r="KN28" i="11" s="1"/>
  <c r="HO28" i="13"/>
  <c r="ER28" i="11"/>
  <c r="EO28" i="11"/>
  <c r="EL28" i="11"/>
  <c r="EM28" i="11" s="1"/>
  <c r="AM28" i="11"/>
  <c r="CH28" i="13"/>
  <c r="JL28" i="11"/>
  <c r="GQ28" i="13"/>
  <c r="RP28" i="11"/>
  <c r="RX28" i="11" s="1"/>
  <c r="RI28" i="11"/>
  <c r="RM28" i="11" s="1"/>
  <c r="GL28" i="11"/>
  <c r="KA28" i="11"/>
  <c r="KB28" i="11" s="1"/>
  <c r="KC28" i="11" s="1"/>
  <c r="HI28" i="13"/>
  <c r="RB26" i="11"/>
  <c r="RE26" i="11"/>
  <c r="RC26" i="11"/>
  <c r="KM26" i="11"/>
  <c r="KN26" i="11" s="1"/>
  <c r="HO26" i="13"/>
  <c r="JK26" i="11"/>
  <c r="IT26" i="11"/>
  <c r="KQ26" i="11"/>
  <c r="KR26" i="11" s="1"/>
  <c r="HU26" i="13"/>
  <c r="GL26" i="11"/>
  <c r="GM26" i="11" s="1"/>
  <c r="EP26" i="11"/>
  <c r="MB26" i="11"/>
  <c r="MH26" i="11"/>
  <c r="ES26" i="11"/>
  <c r="CH26" i="13"/>
  <c r="AM26" i="11"/>
  <c r="KQ24" i="11"/>
  <c r="KR24" i="11" s="1"/>
  <c r="HU24" i="13"/>
  <c r="KM24" i="11"/>
  <c r="KN24" i="11" s="1"/>
  <c r="HO24" i="13"/>
  <c r="ER24" i="11"/>
  <c r="EO24" i="11"/>
  <c r="EL24" i="11"/>
  <c r="EM24" i="11" s="1"/>
  <c r="AM24" i="11"/>
  <c r="CH24" i="13"/>
  <c r="RP24" i="11"/>
  <c r="RX24" i="11" s="1"/>
  <c r="RI24" i="11"/>
  <c r="RM24" i="11" s="1"/>
  <c r="KA24" i="11"/>
  <c r="KB24" i="11" s="1"/>
  <c r="KC24" i="11" s="1"/>
  <c r="HI24" i="13"/>
  <c r="KQ22" i="11"/>
  <c r="KR22" i="11" s="1"/>
  <c r="HU22" i="13"/>
  <c r="KM22" i="11"/>
  <c r="KN22" i="11" s="1"/>
  <c r="HO22" i="13"/>
  <c r="ER22" i="11"/>
  <c r="EO22" i="11"/>
  <c r="EL22" i="11"/>
  <c r="EM22" i="11" s="1"/>
  <c r="AM22" i="11"/>
  <c r="CH22" i="13"/>
  <c r="MZ22" i="11"/>
  <c r="RP22" i="11"/>
  <c r="RX22" i="11" s="1"/>
  <c r="RI22" i="11"/>
  <c r="RM22" i="11" s="1"/>
  <c r="GL22" i="11"/>
  <c r="KA22" i="11"/>
  <c r="KB22" i="11" s="1"/>
  <c r="KC22" i="11" s="1"/>
  <c r="HI22" i="13"/>
  <c r="KQ20" i="11"/>
  <c r="KR20" i="11" s="1"/>
  <c r="HU20" i="13"/>
  <c r="KM20" i="11"/>
  <c r="KN20" i="11" s="1"/>
  <c r="HO20" i="13"/>
  <c r="KA20" i="11"/>
  <c r="KB20" i="11" s="1"/>
  <c r="KC20" i="11" s="1"/>
  <c r="HI20" i="13"/>
  <c r="MZ20" i="11"/>
  <c r="RP20" i="11"/>
  <c r="RX20" i="11" s="1"/>
  <c r="RI20" i="11"/>
  <c r="RM20" i="11" s="1"/>
  <c r="GL20" i="11"/>
  <c r="AM20" i="11"/>
  <c r="CH20" i="13"/>
  <c r="JL20" i="11"/>
  <c r="GQ20" i="13"/>
  <c r="ER20" i="11"/>
  <c r="EO20" i="11"/>
  <c r="EL20" i="11"/>
  <c r="EM20" i="11" s="1"/>
  <c r="NP18" i="11"/>
  <c r="NN18" i="11"/>
  <c r="KZ18" i="11"/>
  <c r="KX18" i="11"/>
  <c r="KK18" i="11"/>
  <c r="KI18" i="11"/>
  <c r="KH18" i="11"/>
  <c r="KG18" i="11"/>
  <c r="KE18" i="11"/>
  <c r="DC18" i="11"/>
  <c r="MI18" i="11" s="1"/>
  <c r="DB18" i="11"/>
  <c r="CZ18" i="11"/>
  <c r="MJ18" i="11" s="1"/>
  <c r="CY18" i="11"/>
  <c r="DE18" i="11"/>
  <c r="CU18" i="11"/>
  <c r="MC18" i="11" s="1"/>
  <c r="CT18" i="11"/>
  <c r="CR18" i="11"/>
  <c r="MD18" i="11" s="1"/>
  <c r="CQ18" i="11"/>
  <c r="CW18" i="11"/>
  <c r="CL18" i="11"/>
  <c r="CK18" i="11"/>
  <c r="CM18" i="11"/>
  <c r="CG18" i="11"/>
  <c r="CF18" i="11"/>
  <c r="CH18" i="11"/>
  <c r="CB18" i="11"/>
  <c r="CA18" i="11"/>
  <c r="CC18" i="11"/>
  <c r="IE18" i="11"/>
  <c r="AA12" i="12" s="1"/>
  <c r="GD18" i="13"/>
  <c r="HZ18" i="11"/>
  <c r="HX18" i="11"/>
  <c r="LG68" i="11" l="1"/>
  <c r="LG66" i="11"/>
  <c r="LG62" i="11"/>
  <c r="QU46" i="11"/>
  <c r="IL46" i="11"/>
  <c r="OD46" i="11" s="1"/>
  <c r="JL36" i="11"/>
  <c r="JM36" i="11" s="1"/>
  <c r="RM34" i="11"/>
  <c r="GQ24" i="13"/>
  <c r="GQ22" i="13"/>
  <c r="FO22" i="11"/>
  <c r="GM40" i="11"/>
  <c r="GP40" i="11"/>
  <c r="GM20" i="11"/>
  <c r="GP20" i="11"/>
  <c r="FO20" i="11"/>
  <c r="JW46" i="11"/>
  <c r="OE46" i="11" s="1"/>
  <c r="JU46" i="11"/>
  <c r="HC46" i="13"/>
  <c r="EI44" i="11"/>
  <c r="JE44" i="11"/>
  <c r="BG44" i="11"/>
  <c r="BK44" i="11" s="1"/>
  <c r="IL44" i="11" s="1"/>
  <c r="OD44" i="11" s="1"/>
  <c r="EH50" i="11"/>
  <c r="EI50" i="11" s="1"/>
  <c r="JW52" i="11"/>
  <c r="OE52" i="11" s="1"/>
  <c r="JH54" i="13"/>
  <c r="HC56" i="13"/>
  <c r="JH60" i="13"/>
  <c r="LG64" i="11"/>
  <c r="R66" i="12"/>
  <c r="S66" i="12" s="1"/>
  <c r="BG72" i="11"/>
  <c r="BK72" i="11" s="1"/>
  <c r="IL72" i="11" s="1"/>
  <c r="OD72" i="11" s="1"/>
  <c r="OF72" i="11" s="1"/>
  <c r="OG72" i="11" s="1"/>
  <c r="EH72" i="11"/>
  <c r="EE72" i="11"/>
  <c r="BD72" i="11"/>
  <c r="BH72" i="11" s="1"/>
  <c r="BL72" i="11" s="1"/>
  <c r="OE70" i="11"/>
  <c r="OF70" i="11" s="1"/>
  <c r="OG70" i="11" s="1"/>
  <c r="LH70" i="11"/>
  <c r="LI70" i="11" s="1"/>
  <c r="IS70" i="13"/>
  <c r="R64" i="12"/>
  <c r="S64" i="12" s="1"/>
  <c r="LK70" i="11"/>
  <c r="LL70" i="11"/>
  <c r="JW68" i="11"/>
  <c r="OE68" i="11" s="1"/>
  <c r="LL68" i="11"/>
  <c r="R62" i="12"/>
  <c r="S62" i="12" s="1"/>
  <c r="LK68" i="11"/>
  <c r="BD68" i="11"/>
  <c r="BH68" i="11" s="1"/>
  <c r="BL68" i="11" s="1"/>
  <c r="BG68" i="11"/>
  <c r="BK68" i="11" s="1"/>
  <c r="IL68" i="11" s="1"/>
  <c r="OD68" i="11" s="1"/>
  <c r="EH68" i="11"/>
  <c r="EE68" i="11"/>
  <c r="LH68" i="11"/>
  <c r="LI68" i="11" s="1"/>
  <c r="IS68" i="13"/>
  <c r="EH66" i="11"/>
  <c r="LL66" i="11"/>
  <c r="R60" i="12"/>
  <c r="S60" i="12" s="1"/>
  <c r="LK66" i="11"/>
  <c r="EE66" i="11"/>
  <c r="EF66" i="11" s="1"/>
  <c r="BG66" i="11"/>
  <c r="BK66" i="11" s="1"/>
  <c r="IL66" i="11" s="1"/>
  <c r="OD66" i="11" s="1"/>
  <c r="OF66" i="11" s="1"/>
  <c r="OG66" i="11" s="1"/>
  <c r="LH66" i="11"/>
  <c r="LI66" i="11" s="1"/>
  <c r="IS66" i="13"/>
  <c r="LH64" i="11"/>
  <c r="LI64" i="11" s="1"/>
  <c r="IS64" i="13"/>
  <c r="JT64" i="11"/>
  <c r="HC64" i="13"/>
  <c r="BC64" i="11"/>
  <c r="DF64" i="13"/>
  <c r="LR64" i="11"/>
  <c r="LS64" i="11" s="1"/>
  <c r="JH64" i="13"/>
  <c r="FN64" i="11"/>
  <c r="FD64" i="11"/>
  <c r="RL64" i="11" s="1"/>
  <c r="RM64" i="11" s="1"/>
  <c r="LH62" i="11"/>
  <c r="LI62" i="11" s="1"/>
  <c r="IS62" i="13"/>
  <c r="R56" i="12"/>
  <c r="S56" i="12" s="1"/>
  <c r="LK62" i="11"/>
  <c r="LL62" i="11"/>
  <c r="EH62" i="11"/>
  <c r="JE62" i="11" s="1"/>
  <c r="GF62" i="11" s="1"/>
  <c r="BG62" i="11"/>
  <c r="BK62" i="11" s="1"/>
  <c r="IL62" i="11" s="1"/>
  <c r="OD62" i="11" s="1"/>
  <c r="OF62" i="11" s="1"/>
  <c r="OG62" i="11" s="1"/>
  <c r="FN60" i="11"/>
  <c r="FD60" i="11"/>
  <c r="RL60" i="11" s="1"/>
  <c r="RM60" i="11" s="1"/>
  <c r="IS60" i="13"/>
  <c r="LH60" i="11"/>
  <c r="LI60" i="11" s="1"/>
  <c r="IL60" i="11"/>
  <c r="OD60" i="11" s="1"/>
  <c r="OF60" i="11"/>
  <c r="OG60" i="11" s="1"/>
  <c r="LR58" i="11"/>
  <c r="LS58" i="11" s="1"/>
  <c r="JH58" i="13"/>
  <c r="JT58" i="11"/>
  <c r="HC58" i="13"/>
  <c r="BC58" i="11"/>
  <c r="DF58" i="13"/>
  <c r="JU56" i="11"/>
  <c r="JW56" i="11"/>
  <c r="OE56" i="11" s="1"/>
  <c r="BC56" i="11"/>
  <c r="DF56" i="13"/>
  <c r="BG54" i="11"/>
  <c r="BK54" i="11" s="1"/>
  <c r="IL54" i="11" s="1"/>
  <c r="OD54" i="11" s="1"/>
  <c r="OF54" i="11" s="1"/>
  <c r="OG54" i="11" s="1"/>
  <c r="R48" i="12"/>
  <c r="S48" i="12" s="1"/>
  <c r="EH54" i="11"/>
  <c r="BD54" i="11"/>
  <c r="BH54" i="11" s="1"/>
  <c r="BL54" i="11" s="1"/>
  <c r="EE54" i="11"/>
  <c r="EF54" i="11" s="1"/>
  <c r="IX54" i="11"/>
  <c r="FY54" i="11" s="1"/>
  <c r="LG52" i="11"/>
  <c r="LL52" i="11"/>
  <c r="LK52" i="11"/>
  <c r="LM52" i="11" s="1"/>
  <c r="R46" i="12"/>
  <c r="S46" i="12" s="1"/>
  <c r="EE52" i="11"/>
  <c r="BD52" i="11"/>
  <c r="BH52" i="11" s="1"/>
  <c r="BL52" i="11" s="1"/>
  <c r="BG52" i="11"/>
  <c r="BK52" i="11" s="1"/>
  <c r="IL52" i="11" s="1"/>
  <c r="OD52" i="11" s="1"/>
  <c r="EH52" i="11"/>
  <c r="IX50" i="11"/>
  <c r="FY50" i="11" s="1"/>
  <c r="BG50" i="11"/>
  <c r="BK50" i="11" s="1"/>
  <c r="IL50" i="11" s="1"/>
  <c r="OD50" i="11" s="1"/>
  <c r="OF50" i="11" s="1"/>
  <c r="OG50" i="11" s="1"/>
  <c r="R44" i="12"/>
  <c r="S44" i="12" s="1"/>
  <c r="BD50" i="11"/>
  <c r="BH50" i="11" s="1"/>
  <c r="BL50" i="11" s="1"/>
  <c r="JE50" i="11"/>
  <c r="GF50" i="11" s="1"/>
  <c r="FD48" i="11"/>
  <c r="RL48" i="11" s="1"/>
  <c r="RM48" i="11" s="1"/>
  <c r="FN48" i="11"/>
  <c r="EE48" i="11"/>
  <c r="EF48" i="11" s="1"/>
  <c r="LG48" i="11"/>
  <c r="LG46" i="11"/>
  <c r="BD46" i="11"/>
  <c r="BH46" i="11" s="1"/>
  <c r="BL46" i="11" s="1"/>
  <c r="LL46" i="11"/>
  <c r="LK46" i="11"/>
  <c r="R40" i="12"/>
  <c r="S40" i="12" s="1"/>
  <c r="EH46" i="11"/>
  <c r="EI46" i="11" s="1"/>
  <c r="EE46" i="11"/>
  <c r="EE44" i="11"/>
  <c r="R38" i="12"/>
  <c r="S38" i="12" s="1"/>
  <c r="GF44" i="11"/>
  <c r="GG44" i="11" s="1"/>
  <c r="EE42" i="11"/>
  <c r="R36" i="12"/>
  <c r="S36" i="12" s="1"/>
  <c r="EH42" i="11"/>
  <c r="BG42" i="11"/>
  <c r="BK42" i="11" s="1"/>
  <c r="IL42" i="11" s="1"/>
  <c r="OD42" i="11" s="1"/>
  <c r="OF42" i="11" s="1"/>
  <c r="OG42" i="11" s="1"/>
  <c r="R34" i="12"/>
  <c r="S34" i="12" s="1"/>
  <c r="BD40" i="11"/>
  <c r="BH40" i="11" s="1"/>
  <c r="BL40" i="11" s="1"/>
  <c r="BG40" i="11"/>
  <c r="BK40" i="11" s="1"/>
  <c r="IL40" i="11" s="1"/>
  <c r="OD40" i="11" s="1"/>
  <c r="OF40" i="11" s="1"/>
  <c r="OG40" i="11" s="1"/>
  <c r="EH40" i="11"/>
  <c r="EE40" i="11"/>
  <c r="OF38" i="11"/>
  <c r="OG38" i="11" s="1"/>
  <c r="EF38" i="11"/>
  <c r="IX38" i="11"/>
  <c r="FY38" i="11" s="1"/>
  <c r="FZ38" i="11" s="1"/>
  <c r="RM36" i="11"/>
  <c r="EE60" i="11"/>
  <c r="R54" i="12"/>
  <c r="S54" i="12" s="1"/>
  <c r="BD60" i="11"/>
  <c r="BH60" i="11" s="1"/>
  <c r="BL60" i="11" s="1"/>
  <c r="EH60" i="11"/>
  <c r="JG18" i="11"/>
  <c r="JF18" i="11"/>
  <c r="GA94" i="11"/>
  <c r="GB94" i="11" s="1"/>
  <c r="FZ94" i="11"/>
  <c r="GA96" i="11"/>
  <c r="GB96" i="11" s="1"/>
  <c r="FZ96" i="11"/>
  <c r="GA84" i="11"/>
  <c r="GB84" i="11" s="1"/>
  <c r="FZ84" i="11"/>
  <c r="GA82" i="11"/>
  <c r="GB82" i="11" s="1"/>
  <c r="FZ82" i="11"/>
  <c r="GA78" i="11"/>
  <c r="GB78" i="11" s="1"/>
  <c r="FZ78" i="11"/>
  <c r="IZ18" i="11"/>
  <c r="JA18" i="11" s="1"/>
  <c r="IY18" i="11"/>
  <c r="GU24" i="11"/>
  <c r="FO24" i="11"/>
  <c r="GU32" i="11"/>
  <c r="FO32" i="11"/>
  <c r="FP32" i="11"/>
  <c r="FS32" i="11" s="1"/>
  <c r="FP24" i="11"/>
  <c r="FS24" i="11" s="1"/>
  <c r="OF94" i="11"/>
  <c r="OG94" i="11" s="1"/>
  <c r="OF80" i="11"/>
  <c r="OG80" i="11" s="1"/>
  <c r="MZ24" i="11"/>
  <c r="MZ28" i="11"/>
  <c r="GF96" i="11"/>
  <c r="GH96" i="11" s="1"/>
  <c r="GI96" i="11" s="1"/>
  <c r="GF84" i="11"/>
  <c r="GH84" i="11" s="1"/>
  <c r="GI84" i="11" s="1"/>
  <c r="OF44" i="11"/>
  <c r="OG44" i="11" s="1"/>
  <c r="FY98" i="11"/>
  <c r="FY86" i="11"/>
  <c r="GF94" i="11"/>
  <c r="GH94" i="11" s="1"/>
  <c r="GI94" i="11" s="1"/>
  <c r="IX76" i="11"/>
  <c r="LG100" i="11"/>
  <c r="IS100" i="13" s="1"/>
  <c r="FY90" i="11"/>
  <c r="LH100" i="11"/>
  <c r="LI100" i="11" s="1"/>
  <c r="LK100" i="11"/>
  <c r="LL100" i="11"/>
  <c r="EH100" i="11"/>
  <c r="BD100" i="11"/>
  <c r="BH100" i="11" s="1"/>
  <c r="BL100" i="11" s="1"/>
  <c r="EE100" i="11"/>
  <c r="BG100" i="11"/>
  <c r="BK100" i="11" s="1"/>
  <c r="IL100" i="11" s="1"/>
  <c r="OD100" i="11" s="1"/>
  <c r="OF100" i="11" s="1"/>
  <c r="OG100" i="11" s="1"/>
  <c r="EF80" i="11"/>
  <c r="IX80" i="11"/>
  <c r="FY80" i="11" s="1"/>
  <c r="GF74" i="11"/>
  <c r="GH74" i="11" s="1"/>
  <c r="GI74" i="11" s="1"/>
  <c r="GF76" i="11"/>
  <c r="GH76" i="11" s="1"/>
  <c r="GI76" i="11" s="1"/>
  <c r="FY88" i="11"/>
  <c r="FY74" i="11"/>
  <c r="EF70" i="11"/>
  <c r="IX70" i="11"/>
  <c r="FY70" i="11" s="1"/>
  <c r="EI62" i="11"/>
  <c r="GF38" i="11"/>
  <c r="FY92" i="11"/>
  <c r="GF86" i="11"/>
  <c r="GH86" i="11" s="1"/>
  <c r="GI86" i="11" s="1"/>
  <c r="FY76" i="11"/>
  <c r="EI70" i="11"/>
  <c r="JE70" i="11"/>
  <c r="GF70" i="11" s="1"/>
  <c r="EF62" i="11"/>
  <c r="IX62" i="11"/>
  <c r="FY62" i="11" s="1"/>
  <c r="GF90" i="11"/>
  <c r="GH90" i="11" s="1"/>
  <c r="GI90" i="11" s="1"/>
  <c r="GF78" i="11"/>
  <c r="GH78" i="11" s="1"/>
  <c r="GI78" i="11" s="1"/>
  <c r="EI48" i="11"/>
  <c r="JE48" i="11"/>
  <c r="GF48" i="11" s="1"/>
  <c r="GM28" i="11"/>
  <c r="GP28" i="11"/>
  <c r="GM24" i="11"/>
  <c r="GO24" i="11"/>
  <c r="GM22" i="11"/>
  <c r="GN22" i="11"/>
  <c r="LY18" i="11"/>
  <c r="FA18" i="11"/>
  <c r="AB12" i="12"/>
  <c r="O30" i="12"/>
  <c r="P30" i="12" s="1"/>
  <c r="LF36" i="11"/>
  <c r="LD36" i="11"/>
  <c r="O28" i="12"/>
  <c r="P28" i="12" s="1"/>
  <c r="LF34" i="11"/>
  <c r="LD34" i="11"/>
  <c r="O26" i="12"/>
  <c r="P26" i="12" s="1"/>
  <c r="LF32" i="11"/>
  <c r="LD32" i="11"/>
  <c r="O24" i="12"/>
  <c r="P24" i="12" s="1"/>
  <c r="LF30" i="11"/>
  <c r="LD30" i="11"/>
  <c r="O22" i="12"/>
  <c r="P22" i="12" s="1"/>
  <c r="LF28" i="11"/>
  <c r="LD28" i="11"/>
  <c r="O20" i="12"/>
  <c r="P20" i="12" s="1"/>
  <c r="LF26" i="11"/>
  <c r="LD26" i="11"/>
  <c r="O18" i="12"/>
  <c r="P18" i="12" s="1"/>
  <c r="LF24" i="11"/>
  <c r="LD24" i="11"/>
  <c r="O16" i="12"/>
  <c r="P16" i="12" s="1"/>
  <c r="LF22" i="11"/>
  <c r="LD22" i="11"/>
  <c r="LF20" i="11"/>
  <c r="LD20" i="11"/>
  <c r="NW36" i="11"/>
  <c r="NX36" i="11" s="1"/>
  <c r="LR36" i="13"/>
  <c r="MX30" i="11"/>
  <c r="MZ30" i="11"/>
  <c r="NW28" i="11"/>
  <c r="NX28" i="11" s="1"/>
  <c r="LR28" i="13"/>
  <c r="NW26" i="11"/>
  <c r="NX26" i="11" s="1"/>
  <c r="LR26" i="13"/>
  <c r="MX26" i="11"/>
  <c r="MZ26" i="11"/>
  <c r="NW24" i="11"/>
  <c r="NX24" i="11" s="1"/>
  <c r="LR24" i="13"/>
  <c r="NW22" i="11"/>
  <c r="NX22" i="11" s="1"/>
  <c r="LR22" i="13"/>
  <c r="NW20" i="11"/>
  <c r="NX20" i="11" s="1"/>
  <c r="LR20" i="13"/>
  <c r="FS36" i="11"/>
  <c r="QN36" i="11"/>
  <c r="QO36" i="11" s="1"/>
  <c r="QL36" i="11"/>
  <c r="QM36" i="11" s="1"/>
  <c r="QJ36" i="11"/>
  <c r="QK36" i="11" s="1"/>
  <c r="QH36" i="11"/>
  <c r="QI36" i="11" s="1"/>
  <c r="QE36" i="11"/>
  <c r="QF36" i="11" s="1"/>
  <c r="JS36" i="11"/>
  <c r="LQ36" i="11"/>
  <c r="AT36" i="11"/>
  <c r="AN36" i="11"/>
  <c r="DH36" i="11"/>
  <c r="DI36" i="11" s="1"/>
  <c r="BB36" i="11"/>
  <c r="DV36" i="11"/>
  <c r="DS36" i="11"/>
  <c r="MB36" i="11"/>
  <c r="EP36" i="11"/>
  <c r="MH36" i="11"/>
  <c r="ES36" i="11"/>
  <c r="EP34" i="11"/>
  <c r="MB34" i="11"/>
  <c r="QN34" i="11"/>
  <c r="QO34" i="11" s="1"/>
  <c r="QL34" i="11"/>
  <c r="QM34" i="11" s="1"/>
  <c r="QJ34" i="11"/>
  <c r="QK34" i="11" s="1"/>
  <c r="QH34" i="11"/>
  <c r="QI34" i="11" s="1"/>
  <c r="QE34" i="11"/>
  <c r="QF34" i="11" s="1"/>
  <c r="JS34" i="11"/>
  <c r="LQ34" i="11"/>
  <c r="AT34" i="11"/>
  <c r="AN34" i="11"/>
  <c r="DH34" i="11"/>
  <c r="DI34" i="11" s="1"/>
  <c r="BB34" i="11"/>
  <c r="DV34" i="11"/>
  <c r="DS34" i="11"/>
  <c r="JM34" i="11"/>
  <c r="MH34" i="11"/>
  <c r="ES34" i="11"/>
  <c r="FS34" i="11"/>
  <c r="QN32" i="11"/>
  <c r="QO32" i="11" s="1"/>
  <c r="QL32" i="11"/>
  <c r="QM32" i="11" s="1"/>
  <c r="QJ32" i="11"/>
  <c r="QK32" i="11" s="1"/>
  <c r="QH32" i="11"/>
  <c r="QI32" i="11" s="1"/>
  <c r="QE32" i="11"/>
  <c r="QF32" i="11" s="1"/>
  <c r="JS32" i="11"/>
  <c r="AN32" i="11"/>
  <c r="LQ32" i="11"/>
  <c r="AT32" i="11"/>
  <c r="DS32" i="11"/>
  <c r="BB32" i="11"/>
  <c r="DV32" i="11"/>
  <c r="DH32" i="11"/>
  <c r="DI32" i="11" s="1"/>
  <c r="JL32" i="11"/>
  <c r="GQ32" i="13"/>
  <c r="MB30" i="11"/>
  <c r="EP30" i="11"/>
  <c r="JL30" i="11"/>
  <c r="GQ30" i="13"/>
  <c r="QN30" i="11"/>
  <c r="QO30" i="11" s="1"/>
  <c r="QL30" i="11"/>
  <c r="QM30" i="11" s="1"/>
  <c r="QJ30" i="11"/>
  <c r="QK30" i="11" s="1"/>
  <c r="QH30" i="11"/>
  <c r="QI30" i="11" s="1"/>
  <c r="QE30" i="11"/>
  <c r="QF30" i="11" s="1"/>
  <c r="JS30" i="11"/>
  <c r="LQ30" i="11"/>
  <c r="AT30" i="11"/>
  <c r="AN30" i="11"/>
  <c r="QU30" i="11" s="1"/>
  <c r="DV30" i="11"/>
  <c r="DH30" i="11"/>
  <c r="DI30" i="11" s="1"/>
  <c r="BB30" i="11"/>
  <c r="DS30" i="11"/>
  <c r="FS30" i="11"/>
  <c r="MH30" i="11"/>
  <c r="ES30" i="11"/>
  <c r="FS28" i="11"/>
  <c r="JM28" i="11"/>
  <c r="QN28" i="11"/>
  <c r="QO28" i="11" s="1"/>
  <c r="QL28" i="11"/>
  <c r="QM28" i="11" s="1"/>
  <c r="QJ28" i="11"/>
  <c r="QK28" i="11" s="1"/>
  <c r="QH28" i="11"/>
  <c r="QI28" i="11" s="1"/>
  <c r="QE28" i="11"/>
  <c r="QF28" i="11" s="1"/>
  <c r="JS28" i="11"/>
  <c r="LQ28" i="11"/>
  <c r="AT28" i="11"/>
  <c r="AN28" i="11"/>
  <c r="DH28" i="11"/>
  <c r="DI28" i="11" s="1"/>
  <c r="BB28" i="11"/>
  <c r="DV28" i="11"/>
  <c r="DS28" i="11"/>
  <c r="MB28" i="11"/>
  <c r="EP28" i="11"/>
  <c r="MH28" i="11"/>
  <c r="ES28" i="11"/>
  <c r="QN26" i="11"/>
  <c r="QO26" i="11" s="1"/>
  <c r="QL26" i="11"/>
  <c r="QM26" i="11" s="1"/>
  <c r="QJ26" i="11"/>
  <c r="QK26" i="11" s="1"/>
  <c r="QH26" i="11"/>
  <c r="QI26" i="11" s="1"/>
  <c r="QE26" i="11"/>
  <c r="QF26" i="11" s="1"/>
  <c r="JS26" i="11"/>
  <c r="AN26" i="11"/>
  <c r="LQ26" i="11"/>
  <c r="AT26" i="11"/>
  <c r="DH26" i="11"/>
  <c r="DI26" i="11" s="1"/>
  <c r="BB26" i="11"/>
  <c r="DV26" i="11"/>
  <c r="DS26" i="11"/>
  <c r="GQ26" i="13"/>
  <c r="JL26" i="11"/>
  <c r="JM24" i="11"/>
  <c r="QN24" i="11"/>
  <c r="QO24" i="11" s="1"/>
  <c r="QL24" i="11"/>
  <c r="QM24" i="11" s="1"/>
  <c r="QJ24" i="11"/>
  <c r="QK24" i="11" s="1"/>
  <c r="QH24" i="11"/>
  <c r="QI24" i="11" s="1"/>
  <c r="QE24" i="11"/>
  <c r="QF24" i="11" s="1"/>
  <c r="JS24" i="11"/>
  <c r="LQ24" i="11"/>
  <c r="AT24" i="11"/>
  <c r="AN24" i="11"/>
  <c r="QR24" i="11" s="1"/>
  <c r="DH24" i="11"/>
  <c r="DI24" i="11" s="1"/>
  <c r="BB24" i="11"/>
  <c r="DV24" i="11"/>
  <c r="DS24" i="11"/>
  <c r="MB24" i="11"/>
  <c r="EP24" i="11"/>
  <c r="MH24" i="11"/>
  <c r="ES24" i="11"/>
  <c r="FS22" i="11"/>
  <c r="JM22" i="11"/>
  <c r="QN22" i="11"/>
  <c r="QO22" i="11" s="1"/>
  <c r="QL22" i="11"/>
  <c r="QM22" i="11" s="1"/>
  <c r="QJ22" i="11"/>
  <c r="QK22" i="11" s="1"/>
  <c r="QH22" i="11"/>
  <c r="QI22" i="11" s="1"/>
  <c r="QE22" i="11"/>
  <c r="QF22" i="11" s="1"/>
  <c r="JS22" i="11"/>
  <c r="LQ22" i="11"/>
  <c r="AT22" i="11"/>
  <c r="AN22" i="11"/>
  <c r="DH22" i="11"/>
  <c r="DI22" i="11" s="1"/>
  <c r="BB22" i="11"/>
  <c r="DV22" i="11"/>
  <c r="DS22" i="11"/>
  <c r="MB22" i="11"/>
  <c r="EP22" i="11"/>
  <c r="MH22" i="11"/>
  <c r="ES22" i="11"/>
  <c r="MH20" i="11"/>
  <c r="ES20" i="11"/>
  <c r="JM20" i="11"/>
  <c r="QN20" i="11"/>
  <c r="QO20" i="11" s="1"/>
  <c r="QL20" i="11"/>
  <c r="QM20" i="11" s="1"/>
  <c r="QJ20" i="11"/>
  <c r="QK20" i="11" s="1"/>
  <c r="QH20" i="11"/>
  <c r="QI20" i="11" s="1"/>
  <c r="QE20" i="11"/>
  <c r="QF20" i="11" s="1"/>
  <c r="JS20" i="11"/>
  <c r="LQ20" i="11"/>
  <c r="AT20" i="11"/>
  <c r="AN20" i="11"/>
  <c r="AU20" i="11" s="1"/>
  <c r="DV20" i="11"/>
  <c r="DS20" i="11"/>
  <c r="BB20" i="11"/>
  <c r="DH20" i="11"/>
  <c r="DI20" i="11" s="1"/>
  <c r="O14" i="12"/>
  <c r="P14" i="12" s="1"/>
  <c r="MB20" i="11"/>
  <c r="EP20" i="11"/>
  <c r="FS20" i="11"/>
  <c r="RT18" i="11"/>
  <c r="MK18" i="11"/>
  <c r="ME18" i="11"/>
  <c r="JH18" i="11"/>
  <c r="LM62" i="11" l="1"/>
  <c r="LM70" i="11"/>
  <c r="LM68" i="11"/>
  <c r="OF46" i="11"/>
  <c r="OG46" i="11" s="1"/>
  <c r="OF52" i="11"/>
  <c r="OG52" i="11" s="1"/>
  <c r="OF68" i="11"/>
  <c r="OG68" i="11" s="1"/>
  <c r="LM46" i="11"/>
  <c r="LN46" i="11" s="1"/>
  <c r="LO46" i="11" s="1"/>
  <c r="GH44" i="11"/>
  <c r="GI44" i="11" s="1"/>
  <c r="EI72" i="11"/>
  <c r="JE72" i="11"/>
  <c r="GF72" i="11" s="1"/>
  <c r="EF72" i="11"/>
  <c r="IX72" i="11"/>
  <c r="FY72" i="11" s="1"/>
  <c r="LN70" i="11"/>
  <c r="LO70" i="11" s="1"/>
  <c r="IY70" i="13"/>
  <c r="GH70" i="11"/>
  <c r="GI70" i="11" s="1"/>
  <c r="GG70" i="11"/>
  <c r="EF68" i="11"/>
  <c r="IX68" i="11"/>
  <c r="FY68" i="11" s="1"/>
  <c r="LN68" i="11"/>
  <c r="LO68" i="11" s="1"/>
  <c r="IY68" i="13"/>
  <c r="EI68" i="11"/>
  <c r="JE68" i="11"/>
  <c r="GF68" i="11" s="1"/>
  <c r="GG68" i="11" s="1"/>
  <c r="EI66" i="11"/>
  <c r="JE66" i="11"/>
  <c r="GF66" i="11" s="1"/>
  <c r="GH66" i="11" s="1"/>
  <c r="GI66" i="11" s="1"/>
  <c r="LM66" i="11"/>
  <c r="IX66" i="11"/>
  <c r="FY66" i="11" s="1"/>
  <c r="JU64" i="11"/>
  <c r="JW64" i="11"/>
  <c r="OE64" i="11" s="1"/>
  <c r="FO64" i="11"/>
  <c r="FP64" i="11"/>
  <c r="FS64" i="11" s="1"/>
  <c r="GL64" i="11"/>
  <c r="GM64" i="11" s="1"/>
  <c r="GU64" i="11"/>
  <c r="BG64" i="11"/>
  <c r="BK64" i="11" s="1"/>
  <c r="IL64" i="11" s="1"/>
  <c r="OD64" i="11" s="1"/>
  <c r="R58" i="12"/>
  <c r="S58" i="12" s="1"/>
  <c r="BD64" i="11"/>
  <c r="BH64" i="11" s="1"/>
  <c r="BL64" i="11" s="1"/>
  <c r="EH64" i="11"/>
  <c r="EE64" i="11"/>
  <c r="LN62" i="11"/>
  <c r="LO62" i="11" s="1"/>
  <c r="IY62" i="13"/>
  <c r="GH62" i="11"/>
  <c r="GI62" i="11" s="1"/>
  <c r="GG62" i="11"/>
  <c r="GU60" i="11"/>
  <c r="FP60" i="11"/>
  <c r="FS60" i="11" s="1"/>
  <c r="FO60" i="11"/>
  <c r="GL60" i="11"/>
  <c r="GM60" i="11" s="1"/>
  <c r="JU58" i="11"/>
  <c r="JW58" i="11"/>
  <c r="OE58" i="11" s="1"/>
  <c r="BG58" i="11"/>
  <c r="BK58" i="11" s="1"/>
  <c r="IL58" i="11" s="1"/>
  <c r="OD58" i="11" s="1"/>
  <c r="OF58" i="11" s="1"/>
  <c r="OG58" i="11" s="1"/>
  <c r="R52" i="12"/>
  <c r="S52" i="12" s="1"/>
  <c r="BD58" i="11"/>
  <c r="BH58" i="11" s="1"/>
  <c r="BL58" i="11" s="1"/>
  <c r="EH58" i="11"/>
  <c r="EE58" i="11"/>
  <c r="R50" i="12"/>
  <c r="S50" i="12" s="1"/>
  <c r="BG56" i="11"/>
  <c r="BK56" i="11" s="1"/>
  <c r="IL56" i="11" s="1"/>
  <c r="OD56" i="11" s="1"/>
  <c r="OF56" i="11" s="1"/>
  <c r="OG56" i="11" s="1"/>
  <c r="EH56" i="11"/>
  <c r="EE56" i="11"/>
  <c r="BD56" i="11"/>
  <c r="BH56" i="11" s="1"/>
  <c r="BL56" i="11" s="1"/>
  <c r="EI54" i="11"/>
  <c r="JE54" i="11"/>
  <c r="GF54" i="11" s="1"/>
  <c r="GG54" i="11" s="1"/>
  <c r="GH54" i="11"/>
  <c r="GI54" i="11" s="1"/>
  <c r="EI52" i="11"/>
  <c r="JE52" i="11"/>
  <c r="GF52" i="11" s="1"/>
  <c r="GH52" i="11" s="1"/>
  <c r="GI52" i="11" s="1"/>
  <c r="LN52" i="11"/>
  <c r="LO52" i="11" s="1"/>
  <c r="IY52" i="13"/>
  <c r="EF52" i="11"/>
  <c r="IX52" i="11"/>
  <c r="FY52" i="11" s="1"/>
  <c r="GA52" i="11" s="1"/>
  <c r="GB52" i="11" s="1"/>
  <c r="LH52" i="11"/>
  <c r="LI52" i="11" s="1"/>
  <c r="IS52" i="13"/>
  <c r="GH50" i="11"/>
  <c r="GI50" i="11" s="1"/>
  <c r="GG50" i="11"/>
  <c r="FO48" i="11"/>
  <c r="GL48" i="11"/>
  <c r="GM48" i="11" s="1"/>
  <c r="FP48" i="11"/>
  <c r="FS48" i="11" s="1"/>
  <c r="GU48" i="11"/>
  <c r="IX48" i="11"/>
  <c r="FY48" i="11" s="1"/>
  <c r="LH48" i="11"/>
  <c r="LI48" i="11" s="1"/>
  <c r="IS48" i="13"/>
  <c r="GH48" i="11"/>
  <c r="GI48" i="11" s="1"/>
  <c r="GG48" i="11"/>
  <c r="LH46" i="11"/>
  <c r="LI46" i="11" s="1"/>
  <c r="IS46" i="13"/>
  <c r="JE46" i="11"/>
  <c r="GF46" i="11" s="1"/>
  <c r="EF46" i="11"/>
  <c r="IX46" i="11"/>
  <c r="FY46" i="11" s="1"/>
  <c r="FZ46" i="11" s="1"/>
  <c r="EF44" i="11"/>
  <c r="IX44" i="11"/>
  <c r="FY44" i="11" s="1"/>
  <c r="EI42" i="11"/>
  <c r="JE42" i="11"/>
  <c r="GF42" i="11" s="1"/>
  <c r="EF42" i="11"/>
  <c r="IX42" i="11"/>
  <c r="FY42" i="11" s="1"/>
  <c r="EI40" i="11"/>
  <c r="JE40" i="11"/>
  <c r="GF40" i="11" s="1"/>
  <c r="GH40" i="11" s="1"/>
  <c r="GI40" i="11" s="1"/>
  <c r="EF40" i="11"/>
  <c r="IX40" i="11"/>
  <c r="FY40" i="11" s="1"/>
  <c r="GA40" i="11" s="1"/>
  <c r="GB40" i="11" s="1"/>
  <c r="GA38" i="11"/>
  <c r="GB38" i="11" s="1"/>
  <c r="AU36" i="11"/>
  <c r="QU36" i="11"/>
  <c r="AU34" i="11"/>
  <c r="QU34" i="11"/>
  <c r="AU32" i="11"/>
  <c r="QU32" i="11"/>
  <c r="AU26" i="11"/>
  <c r="QR26" i="11"/>
  <c r="AU22" i="11"/>
  <c r="QR22" i="11"/>
  <c r="EI60" i="11"/>
  <c r="JE60" i="11"/>
  <c r="GF60" i="11" s="1"/>
  <c r="EF60" i="11"/>
  <c r="IX60" i="11"/>
  <c r="FY60" i="11" s="1"/>
  <c r="GA60" i="11" s="1"/>
  <c r="GB60" i="11" s="1"/>
  <c r="GH38" i="11"/>
  <c r="GI38" i="11" s="1"/>
  <c r="GG38" i="11"/>
  <c r="GA50" i="11"/>
  <c r="GB50" i="11" s="1"/>
  <c r="FZ50" i="11"/>
  <c r="GA62" i="11"/>
  <c r="GB62" i="11" s="1"/>
  <c r="FZ62" i="11"/>
  <c r="GA46" i="11"/>
  <c r="GB46" i="11" s="1"/>
  <c r="GA88" i="11"/>
  <c r="GB88" i="11" s="1"/>
  <c r="FZ88" i="11"/>
  <c r="GA80" i="11"/>
  <c r="GB80" i="11" s="1"/>
  <c r="FZ80" i="11"/>
  <c r="GA90" i="11"/>
  <c r="GB90" i="11" s="1"/>
  <c r="FZ90" i="11"/>
  <c r="GA98" i="11"/>
  <c r="GB98" i="11" s="1"/>
  <c r="FZ98" i="11"/>
  <c r="GA48" i="11"/>
  <c r="GB48" i="11" s="1"/>
  <c r="FZ48" i="11"/>
  <c r="GA76" i="11"/>
  <c r="GB76" i="11" s="1"/>
  <c r="FZ76" i="11"/>
  <c r="GA92" i="11"/>
  <c r="GB92" i="11" s="1"/>
  <c r="FZ92" i="11"/>
  <c r="GA70" i="11"/>
  <c r="GB70" i="11" s="1"/>
  <c r="FZ70" i="11"/>
  <c r="GA74" i="11"/>
  <c r="GB74" i="11" s="1"/>
  <c r="FZ74" i="11"/>
  <c r="GA54" i="11"/>
  <c r="GB54" i="11" s="1"/>
  <c r="FZ54" i="11"/>
  <c r="FZ40" i="11"/>
  <c r="GA44" i="11"/>
  <c r="GB44" i="11" s="1"/>
  <c r="FZ44" i="11"/>
  <c r="GA86" i="11"/>
  <c r="GB86" i="11" s="1"/>
  <c r="FZ86" i="11"/>
  <c r="EI100" i="11"/>
  <c r="JE100" i="11"/>
  <c r="GF100" i="11" s="1"/>
  <c r="LM100" i="11"/>
  <c r="EF100" i="11"/>
  <c r="IX100" i="11"/>
  <c r="FY100" i="11" s="1"/>
  <c r="LG34" i="11"/>
  <c r="LH34" i="11" s="1"/>
  <c r="LI34" i="11" s="1"/>
  <c r="LG30" i="11"/>
  <c r="LH30" i="11" s="1"/>
  <c r="LI30" i="11" s="1"/>
  <c r="LG26" i="11"/>
  <c r="IS26" i="13" s="1"/>
  <c r="LG22" i="11"/>
  <c r="LH22" i="11" s="1"/>
  <c r="LI22" i="11" s="1"/>
  <c r="AU30" i="11"/>
  <c r="QS30" i="11"/>
  <c r="AU28" i="11"/>
  <c r="QU28" i="11"/>
  <c r="AU24" i="11"/>
  <c r="QV24" i="11"/>
  <c r="LG20" i="11"/>
  <c r="IS20" i="13" s="1"/>
  <c r="LG24" i="11"/>
  <c r="IS24" i="13" s="1"/>
  <c r="LG28" i="11"/>
  <c r="LH28" i="11" s="1"/>
  <c r="LI28" i="11" s="1"/>
  <c r="LG32" i="11"/>
  <c r="LH32" i="11" s="1"/>
  <c r="LI32" i="11" s="1"/>
  <c r="LG36" i="11"/>
  <c r="LH36" i="11" s="1"/>
  <c r="LI36" i="11" s="1"/>
  <c r="IS32" i="13"/>
  <c r="DT36" i="11"/>
  <c r="DF36" i="13"/>
  <c r="BC36" i="11"/>
  <c r="R30" i="12" s="1"/>
  <c r="S30" i="12" s="1"/>
  <c r="JT36" i="11"/>
  <c r="HC36" i="13"/>
  <c r="DW36" i="11"/>
  <c r="LR36" i="11"/>
  <c r="LS36" i="11" s="1"/>
  <c r="JH36" i="13"/>
  <c r="DT34" i="11"/>
  <c r="BC34" i="11"/>
  <c r="R28" i="12" s="1"/>
  <c r="S28" i="12" s="1"/>
  <c r="DF34" i="13"/>
  <c r="JT34" i="11"/>
  <c r="HC34" i="13"/>
  <c r="DW34" i="11"/>
  <c r="LR34" i="11"/>
  <c r="LS34" i="11" s="1"/>
  <c r="JH34" i="13"/>
  <c r="DW32" i="11"/>
  <c r="DT32" i="11"/>
  <c r="LR32" i="11"/>
  <c r="LS32" i="11" s="1"/>
  <c r="JH32" i="13"/>
  <c r="JT32" i="11"/>
  <c r="JU32" i="11" s="1"/>
  <c r="HC32" i="13"/>
  <c r="JM32" i="11"/>
  <c r="BC32" i="11"/>
  <c r="R26" i="12" s="1"/>
  <c r="S26" i="12" s="1"/>
  <c r="DF32" i="13"/>
  <c r="DT30" i="11"/>
  <c r="DW30" i="11"/>
  <c r="JT30" i="11"/>
  <c r="JU30" i="11" s="1"/>
  <c r="HC30" i="13"/>
  <c r="BC30" i="11"/>
  <c r="R24" i="12" s="1"/>
  <c r="S24" i="12" s="1"/>
  <c r="DF30" i="13"/>
  <c r="LR30" i="11"/>
  <c r="LS30" i="11" s="1"/>
  <c r="JH30" i="13"/>
  <c r="JM30" i="11"/>
  <c r="DT28" i="11"/>
  <c r="DF28" i="13"/>
  <c r="BC28" i="11"/>
  <c r="R22" i="12" s="1"/>
  <c r="S22" i="12" s="1"/>
  <c r="JT28" i="11"/>
  <c r="HC28" i="13"/>
  <c r="DW28" i="11"/>
  <c r="LR28" i="11"/>
  <c r="LS28" i="11" s="1"/>
  <c r="JH28" i="13"/>
  <c r="JM26" i="11"/>
  <c r="DT26" i="11"/>
  <c r="BC26" i="11"/>
  <c r="R20" i="12" s="1"/>
  <c r="S20" i="12" s="1"/>
  <c r="DF26" i="13"/>
  <c r="LR26" i="11"/>
  <c r="LS26" i="11" s="1"/>
  <c r="JH26" i="13"/>
  <c r="JT26" i="11"/>
  <c r="JU26" i="11" s="1"/>
  <c r="HC26" i="13"/>
  <c r="DW26" i="11"/>
  <c r="DT24" i="11"/>
  <c r="DF24" i="13"/>
  <c r="BC24" i="11"/>
  <c r="R18" i="12" s="1"/>
  <c r="S18" i="12" s="1"/>
  <c r="JT24" i="11"/>
  <c r="HC24" i="13"/>
  <c r="DW24" i="11"/>
  <c r="LR24" i="11"/>
  <c r="LS24" i="11" s="1"/>
  <c r="JH24" i="13"/>
  <c r="DW22" i="11"/>
  <c r="DT22" i="11"/>
  <c r="BC22" i="11"/>
  <c r="R16" i="12" s="1"/>
  <c r="S16" i="12" s="1"/>
  <c r="DF22" i="13"/>
  <c r="JT22" i="11"/>
  <c r="HC22" i="13"/>
  <c r="LR22" i="11"/>
  <c r="LS22" i="11" s="1"/>
  <c r="JH22" i="13"/>
  <c r="DF20" i="13"/>
  <c r="BC20" i="11"/>
  <c r="DW20" i="11"/>
  <c r="JT20" i="11"/>
  <c r="HC20" i="13"/>
  <c r="DT20" i="11"/>
  <c r="LR20" i="11"/>
  <c r="LS20" i="11" s="1"/>
  <c r="JH20" i="13"/>
  <c r="HU18" i="11"/>
  <c r="GH68" i="11" l="1"/>
  <c r="GI68" i="11" s="1"/>
  <c r="GG66" i="11"/>
  <c r="FZ52" i="11"/>
  <c r="IY46" i="13"/>
  <c r="IS36" i="13"/>
  <c r="LH26" i="11"/>
  <c r="LI26" i="11" s="1"/>
  <c r="IS22" i="13"/>
  <c r="OF64" i="11"/>
  <c r="OG64" i="11" s="1"/>
  <c r="GG40" i="11"/>
  <c r="GG52" i="11"/>
  <c r="GA72" i="11"/>
  <c r="GB72" i="11" s="1"/>
  <c r="FZ72" i="11"/>
  <c r="GH72" i="11"/>
  <c r="GI72" i="11" s="1"/>
  <c r="GG72" i="11"/>
  <c r="FZ68" i="11"/>
  <c r="GA68" i="11"/>
  <c r="GB68" i="11" s="1"/>
  <c r="GA66" i="11"/>
  <c r="GB66" i="11" s="1"/>
  <c r="FZ66" i="11"/>
  <c r="LN66" i="11"/>
  <c r="LO66" i="11" s="1"/>
  <c r="IY66" i="13"/>
  <c r="IX64" i="11"/>
  <c r="FY64" i="11" s="1"/>
  <c r="EF64" i="11"/>
  <c r="EI64" i="11"/>
  <c r="JE64" i="11"/>
  <c r="GF64" i="11" s="1"/>
  <c r="FZ60" i="11"/>
  <c r="EF58" i="11"/>
  <c r="IX58" i="11"/>
  <c r="FY58" i="11" s="1"/>
  <c r="EI58" i="11"/>
  <c r="JE58" i="11"/>
  <c r="GF58" i="11" s="1"/>
  <c r="EI56" i="11"/>
  <c r="JE56" i="11"/>
  <c r="GF56" i="11" s="1"/>
  <c r="EF56" i="11"/>
  <c r="IX56" i="11"/>
  <c r="FY56" i="11" s="1"/>
  <c r="GH46" i="11"/>
  <c r="GI46" i="11" s="1"/>
  <c r="GG46" i="11"/>
  <c r="GA42" i="11"/>
  <c r="GB42" i="11" s="1"/>
  <c r="FZ42" i="11"/>
  <c r="GH42" i="11"/>
  <c r="GI42" i="11" s="1"/>
  <c r="GG42" i="11"/>
  <c r="IS34" i="13"/>
  <c r="IS30" i="13"/>
  <c r="IS28" i="13"/>
  <c r="GH60" i="11"/>
  <c r="GI60" i="11" s="1"/>
  <c r="GG60" i="11"/>
  <c r="GH100" i="11"/>
  <c r="GI100" i="11" s="1"/>
  <c r="GG100" i="11"/>
  <c r="GA100" i="11"/>
  <c r="GB100" i="11" s="1"/>
  <c r="FZ100" i="11"/>
  <c r="LH24" i="11"/>
  <c r="LI24" i="11" s="1"/>
  <c r="LH20" i="11"/>
  <c r="LI20" i="11" s="1"/>
  <c r="LN100" i="11"/>
  <c r="LO100" i="11" s="1"/>
  <c r="IY100" i="13"/>
  <c r="JW32" i="11"/>
  <c r="OE32" i="11" s="1"/>
  <c r="JW30" i="11"/>
  <c r="OE30" i="11" s="1"/>
  <c r="JW26" i="11"/>
  <c r="OE26" i="11" s="1"/>
  <c r="JU36" i="11"/>
  <c r="JW36" i="11"/>
  <c r="OE36" i="11" s="1"/>
  <c r="LK36" i="11"/>
  <c r="LL36" i="11"/>
  <c r="EH36" i="11"/>
  <c r="EE36" i="11"/>
  <c r="BD36" i="11"/>
  <c r="BH36" i="11" s="1"/>
  <c r="BL36" i="11" s="1"/>
  <c r="BG36" i="11"/>
  <c r="BK36" i="11" s="1"/>
  <c r="IL36" i="11" s="1"/>
  <c r="OD36" i="11" s="1"/>
  <c r="JU34" i="11"/>
  <c r="JW34" i="11"/>
  <c r="OE34" i="11" s="1"/>
  <c r="LK34" i="11"/>
  <c r="LL34" i="11"/>
  <c r="EH34" i="11"/>
  <c r="EE34" i="11"/>
  <c r="BG34" i="11"/>
  <c r="BK34" i="11" s="1"/>
  <c r="IL34" i="11" s="1"/>
  <c r="OD34" i="11" s="1"/>
  <c r="BD34" i="11"/>
  <c r="BH34" i="11" s="1"/>
  <c r="BL34" i="11" s="1"/>
  <c r="LK32" i="11"/>
  <c r="BG32" i="11"/>
  <c r="BK32" i="11" s="1"/>
  <c r="IL32" i="11" s="1"/>
  <c r="OD32" i="11" s="1"/>
  <c r="LL32" i="11"/>
  <c r="EH32" i="11"/>
  <c r="EE32" i="11"/>
  <c r="BD32" i="11"/>
  <c r="BH32" i="11" s="1"/>
  <c r="BL32" i="11" s="1"/>
  <c r="LK30" i="11"/>
  <c r="LL30" i="11"/>
  <c r="EH30" i="11"/>
  <c r="EE30" i="11"/>
  <c r="BD30" i="11"/>
  <c r="BH30" i="11" s="1"/>
  <c r="BL30" i="11" s="1"/>
  <c r="BG30" i="11"/>
  <c r="BK30" i="11" s="1"/>
  <c r="IL30" i="11" s="1"/>
  <c r="OD30" i="11" s="1"/>
  <c r="JU28" i="11"/>
  <c r="JW28" i="11"/>
  <c r="OE28" i="11" s="1"/>
  <c r="LK28" i="11"/>
  <c r="LL28" i="11"/>
  <c r="EH28" i="11"/>
  <c r="EE28" i="11"/>
  <c r="BD28" i="11"/>
  <c r="BH28" i="11" s="1"/>
  <c r="BL28" i="11" s="1"/>
  <c r="BG28" i="11"/>
  <c r="BK28" i="11" s="1"/>
  <c r="IL28" i="11" s="1"/>
  <c r="OD28" i="11" s="1"/>
  <c r="LK26" i="11"/>
  <c r="BG26" i="11"/>
  <c r="BK26" i="11" s="1"/>
  <c r="IL26" i="11" s="1"/>
  <c r="OD26" i="11" s="1"/>
  <c r="LL26" i="11"/>
  <c r="EH26" i="11"/>
  <c r="EE26" i="11"/>
  <c r="BD26" i="11"/>
  <c r="BH26" i="11" s="1"/>
  <c r="BL26" i="11" s="1"/>
  <c r="JU24" i="11"/>
  <c r="JW24" i="11"/>
  <c r="OE24" i="11" s="1"/>
  <c r="LK24" i="11"/>
  <c r="LL24" i="11"/>
  <c r="EH24" i="11"/>
  <c r="EE24" i="11"/>
  <c r="BD24" i="11"/>
  <c r="BH24" i="11" s="1"/>
  <c r="BL24" i="11" s="1"/>
  <c r="BG24" i="11"/>
  <c r="BK24" i="11" s="1"/>
  <c r="IL24" i="11" s="1"/>
  <c r="OD24" i="11" s="1"/>
  <c r="LK22" i="11"/>
  <c r="LL22" i="11"/>
  <c r="EH22" i="11"/>
  <c r="EE22" i="11"/>
  <c r="BD22" i="11"/>
  <c r="BH22" i="11" s="1"/>
  <c r="BL22" i="11" s="1"/>
  <c r="BG22" i="11"/>
  <c r="BK22" i="11" s="1"/>
  <c r="IL22" i="11" s="1"/>
  <c r="OD22" i="11" s="1"/>
  <c r="JU22" i="11"/>
  <c r="JW22" i="11"/>
  <c r="OE22" i="11" s="1"/>
  <c r="JU20" i="11"/>
  <c r="JW20" i="11"/>
  <c r="OE20" i="11" s="1"/>
  <c r="LK20" i="11"/>
  <c r="LL20" i="11"/>
  <c r="EH20" i="11"/>
  <c r="EE20" i="11"/>
  <c r="BD20" i="11"/>
  <c r="BH20" i="11" s="1"/>
  <c r="BL20" i="11" s="1"/>
  <c r="BG20" i="11"/>
  <c r="BK20" i="11" s="1"/>
  <c r="IL20" i="11" s="1"/>
  <c r="OD20" i="11" s="1"/>
  <c r="R14" i="12"/>
  <c r="S14" i="12" s="1"/>
  <c r="FR18" i="13"/>
  <c r="HV18" i="11"/>
  <c r="HR18" i="11"/>
  <c r="GZ18" i="11"/>
  <c r="OF32" i="11" l="1"/>
  <c r="OG32" i="11" s="1"/>
  <c r="FZ64" i="11"/>
  <c r="GA64" i="11"/>
  <c r="GB64" i="11" s="1"/>
  <c r="GH64" i="11"/>
  <c r="GI64" i="11" s="1"/>
  <c r="GG64" i="11"/>
  <c r="GG58" i="11"/>
  <c r="GH58" i="11"/>
  <c r="GI58" i="11" s="1"/>
  <c r="GA58" i="11"/>
  <c r="GB58" i="11" s="1"/>
  <c r="FZ58" i="11"/>
  <c r="GH56" i="11"/>
  <c r="GI56" i="11" s="1"/>
  <c r="GG56" i="11"/>
  <c r="GA56" i="11"/>
  <c r="GB56" i="11" s="1"/>
  <c r="FZ56" i="11"/>
  <c r="OF26" i="11"/>
  <c r="OG26" i="11" s="1"/>
  <c r="OF30" i="11"/>
  <c r="OG30" i="11" s="1"/>
  <c r="OF34" i="11"/>
  <c r="OG34" i="11" s="1"/>
  <c r="LM24" i="11"/>
  <c r="LN24" i="11" s="1"/>
  <c r="LO24" i="11" s="1"/>
  <c r="LM30" i="11"/>
  <c r="LN30" i="11" s="1"/>
  <c r="LO30" i="11" s="1"/>
  <c r="LM34" i="11"/>
  <c r="LN34" i="11" s="1"/>
  <c r="LO34" i="11" s="1"/>
  <c r="OF28" i="11"/>
  <c r="OG28" i="11" s="1"/>
  <c r="OF24" i="11"/>
  <c r="OG24" i="11" s="1"/>
  <c r="OF36" i="11"/>
  <c r="OG36" i="11" s="1"/>
  <c r="OF20" i="11"/>
  <c r="OG20" i="11" s="1"/>
  <c r="LM36" i="11"/>
  <c r="IY36" i="13" s="1"/>
  <c r="LM22" i="11"/>
  <c r="LN22" i="11" s="1"/>
  <c r="LO22" i="11" s="1"/>
  <c r="LM20" i="11"/>
  <c r="LN20" i="11" s="1"/>
  <c r="LO20" i="11" s="1"/>
  <c r="OF22" i="11"/>
  <c r="OG22" i="11" s="1"/>
  <c r="EF36" i="11"/>
  <c r="IX36" i="11"/>
  <c r="FY36" i="11" s="1"/>
  <c r="EI36" i="11"/>
  <c r="JE36" i="11"/>
  <c r="GF36" i="11" s="1"/>
  <c r="LN36" i="11"/>
  <c r="LO36" i="11" s="1"/>
  <c r="EF34" i="11"/>
  <c r="IX34" i="11"/>
  <c r="FY34" i="11" s="1"/>
  <c r="EI34" i="11"/>
  <c r="JE34" i="11"/>
  <c r="GF34" i="11" s="1"/>
  <c r="EF32" i="11"/>
  <c r="IX32" i="11"/>
  <c r="FY32" i="11" s="1"/>
  <c r="EI32" i="11"/>
  <c r="JE32" i="11"/>
  <c r="GF32" i="11" s="1"/>
  <c r="LM32" i="11"/>
  <c r="EF30" i="11"/>
  <c r="IX30" i="11"/>
  <c r="FY30" i="11" s="1"/>
  <c r="EI30" i="11"/>
  <c r="JE30" i="11"/>
  <c r="GF30" i="11" s="1"/>
  <c r="IY30" i="13"/>
  <c r="EF28" i="11"/>
  <c r="IX28" i="11"/>
  <c r="FY28" i="11" s="1"/>
  <c r="EI28" i="11"/>
  <c r="JE28" i="11"/>
  <c r="GF28" i="11" s="1"/>
  <c r="LM28" i="11"/>
  <c r="EF26" i="11"/>
  <c r="IX26" i="11"/>
  <c r="FY26" i="11" s="1"/>
  <c r="EI26" i="11"/>
  <c r="JE26" i="11"/>
  <c r="GF26" i="11" s="1"/>
  <c r="LM26" i="11"/>
  <c r="EF24" i="11"/>
  <c r="IX24" i="11"/>
  <c r="FY24" i="11" s="1"/>
  <c r="EI24" i="11"/>
  <c r="JE24" i="11"/>
  <c r="GF24" i="11" s="1"/>
  <c r="IY24" i="13"/>
  <c r="EF22" i="11"/>
  <c r="IX22" i="11"/>
  <c r="FY22" i="11" s="1"/>
  <c r="EI22" i="11"/>
  <c r="JE22" i="11"/>
  <c r="GF22" i="11" s="1"/>
  <c r="EF20" i="11"/>
  <c r="IX20" i="11"/>
  <c r="FY20" i="11" s="1"/>
  <c r="EI20" i="11"/>
  <c r="JE20" i="11"/>
  <c r="GF20" i="11" s="1"/>
  <c r="IY20" i="13"/>
  <c r="FX18" i="13"/>
  <c r="HS18" i="11"/>
  <c r="IH18" i="11" s="1"/>
  <c r="CD18" i="11"/>
  <c r="CN18" i="11"/>
  <c r="CJ18" i="11"/>
  <c r="GK18" i="11"/>
  <c r="Z18" i="11"/>
  <c r="M18" i="11"/>
  <c r="BN18" i="11" s="1"/>
  <c r="DW18" i="13" s="1"/>
  <c r="L18" i="11"/>
  <c r="K18" i="11"/>
  <c r="J18" i="11"/>
  <c r="I18" i="11"/>
  <c r="AJ18" i="11" s="1"/>
  <c r="H18" i="11"/>
  <c r="BA18" i="11" s="1"/>
  <c r="G18" i="11"/>
  <c r="AB18" i="11" s="1"/>
  <c r="F18" i="11"/>
  <c r="E18" i="11"/>
  <c r="AI18" i="11" s="1"/>
  <c r="D18" i="11"/>
  <c r="AH18" i="11" s="1"/>
  <c r="A18" i="11"/>
  <c r="B12" i="12" s="1"/>
  <c r="GD18" i="11"/>
  <c r="FW18" i="11"/>
  <c r="CO18" i="11"/>
  <c r="GW18" i="11" s="1"/>
  <c r="ER15" i="13"/>
  <c r="BS15" i="13"/>
  <c r="CE18" i="11"/>
  <c r="RR18" i="11" s="1"/>
  <c r="GT18" i="11"/>
  <c r="BZ18" i="11"/>
  <c r="IY34" i="13" l="1"/>
  <c r="GH36" i="11"/>
  <c r="GI36" i="11" s="1"/>
  <c r="GG36" i="11"/>
  <c r="GH34" i="11"/>
  <c r="GI34" i="11" s="1"/>
  <c r="GG34" i="11"/>
  <c r="GH32" i="11"/>
  <c r="GI32" i="11" s="1"/>
  <c r="GG32" i="11"/>
  <c r="GH28" i="11"/>
  <c r="GI28" i="11" s="1"/>
  <c r="GG28" i="11"/>
  <c r="GH26" i="11"/>
  <c r="GI26" i="11" s="1"/>
  <c r="GG26" i="11"/>
  <c r="GH24" i="11"/>
  <c r="GI24" i="11" s="1"/>
  <c r="GG24" i="11"/>
  <c r="IY22" i="13"/>
  <c r="GH22" i="11"/>
  <c r="GI22" i="11" s="1"/>
  <c r="GG22" i="11"/>
  <c r="GH20" i="11"/>
  <c r="GI20" i="11" s="1"/>
  <c r="GG20" i="11"/>
  <c r="GH30" i="11"/>
  <c r="GI30" i="11" s="1"/>
  <c r="GG30" i="11"/>
  <c r="GE18" i="11"/>
  <c r="GE102" i="11" s="1"/>
  <c r="L108" i="12" s="1"/>
  <c r="FX18" i="11"/>
  <c r="FX102" i="11" s="1"/>
  <c r="J108" i="12" s="1"/>
  <c r="DA18" i="11"/>
  <c r="DA102" i="11" s="1"/>
  <c r="L102" i="12" s="1"/>
  <c r="DD18" i="11"/>
  <c r="DD102" i="11" s="1"/>
  <c r="L103" i="12" s="1"/>
  <c r="GA26" i="11"/>
  <c r="GB26" i="11" s="1"/>
  <c r="FZ26" i="11"/>
  <c r="GA30" i="11"/>
  <c r="GB30" i="11" s="1"/>
  <c r="FZ30" i="11"/>
  <c r="GA20" i="11"/>
  <c r="GB20" i="11" s="1"/>
  <c r="FZ20" i="11"/>
  <c r="GA22" i="11"/>
  <c r="GB22" i="11" s="1"/>
  <c r="FZ22" i="11"/>
  <c r="GA24" i="11"/>
  <c r="GB24" i="11" s="1"/>
  <c r="FZ24" i="11"/>
  <c r="GA28" i="11"/>
  <c r="GB28" i="11" s="1"/>
  <c r="FZ28" i="11"/>
  <c r="GA32" i="11"/>
  <c r="GB32" i="11" s="1"/>
  <c r="FZ32" i="11"/>
  <c r="GA34" i="11"/>
  <c r="GB34" i="11" s="1"/>
  <c r="FZ34" i="11"/>
  <c r="GA36" i="11"/>
  <c r="GB36" i="11" s="1"/>
  <c r="FZ36" i="11"/>
  <c r="GO18" i="11"/>
  <c r="GO102" i="11" s="1"/>
  <c r="GP18" i="11"/>
  <c r="GP102" i="11" s="1"/>
  <c r="GN18" i="11"/>
  <c r="GN102" i="11" s="1"/>
  <c r="CS18" i="11"/>
  <c r="CS102" i="11" s="1"/>
  <c r="J102" i="12" s="1"/>
  <c r="CV18" i="11"/>
  <c r="CV102" i="11" s="1"/>
  <c r="J103" i="12" s="1"/>
  <c r="IS18" i="11"/>
  <c r="EY18" i="11"/>
  <c r="L12" i="12"/>
  <c r="M12" i="12" s="1"/>
  <c r="LN32" i="11"/>
  <c r="LO32" i="11" s="1"/>
  <c r="IY32" i="13"/>
  <c r="LN28" i="11"/>
  <c r="LO28" i="11" s="1"/>
  <c r="IY28" i="13"/>
  <c r="LN26" i="11"/>
  <c r="LO26" i="11" s="1"/>
  <c r="IY26" i="13"/>
  <c r="RJ18" i="11"/>
  <c r="NF18" i="11"/>
  <c r="KP18" i="11"/>
  <c r="NB18" i="11"/>
  <c r="KF18" i="11"/>
  <c r="JY18" i="11"/>
  <c r="JZ18" i="11"/>
  <c r="GY18" i="11"/>
  <c r="FF18" i="11"/>
  <c r="FG18" i="11" s="1"/>
  <c r="FG102" i="11" s="1"/>
  <c r="H102" i="12" s="1"/>
  <c r="FH18" i="11"/>
  <c r="FI18" i="11" s="1"/>
  <c r="FI102" i="11" s="1"/>
  <c r="H103" i="12" s="1"/>
  <c r="BW15" i="13"/>
  <c r="BM15" i="13"/>
  <c r="BH15" i="13"/>
  <c r="AX16" i="13"/>
  <c r="AT16" i="13"/>
  <c r="AQ16" i="13"/>
  <c r="EO18" i="13"/>
  <c r="JN18" i="13"/>
  <c r="GI18" i="13"/>
  <c r="FF18" i="13"/>
  <c r="FC18" i="13"/>
  <c r="DU18" i="13"/>
  <c r="AL18" i="13"/>
  <c r="NQ18" i="11"/>
  <c r="LF18" i="13"/>
  <c r="IM18" i="13"/>
  <c r="IG18" i="13"/>
  <c r="JD18" i="11"/>
  <c r="NO18" i="11"/>
  <c r="QX18" i="11"/>
  <c r="QW18" i="11"/>
  <c r="QV18" i="11"/>
  <c r="QU18" i="11"/>
  <c r="QT18" i="11"/>
  <c r="QS18" i="11"/>
  <c r="QB18" i="11"/>
  <c r="PY18" i="11"/>
  <c r="PV18" i="11"/>
  <c r="PT18" i="11"/>
  <c r="PQ18" i="11"/>
  <c r="PN18" i="11"/>
  <c r="PL18" i="11"/>
  <c r="PI18" i="11"/>
  <c r="PH18" i="11"/>
  <c r="PG18" i="11"/>
  <c r="PD18" i="11"/>
  <c r="PC18" i="11"/>
  <c r="PB18" i="11"/>
  <c r="OX18" i="11"/>
  <c r="OW18" i="11"/>
  <c r="OV18" i="11"/>
  <c r="OQ18" i="11"/>
  <c r="OP18" i="11"/>
  <c r="OO18" i="11"/>
  <c r="OL18" i="11"/>
  <c r="OJ18" i="11"/>
  <c r="NZ18" i="11"/>
  <c r="OA18" i="11" s="1"/>
  <c r="NJ18" i="11"/>
  <c r="NK18" i="11" s="1"/>
  <c r="MR18" i="11"/>
  <c r="MS18" i="11" s="1"/>
  <c r="LU18" i="11"/>
  <c r="LV18" i="11" s="1"/>
  <c r="KT18" i="11"/>
  <c r="IA18" i="13" s="1"/>
  <c r="HU18" i="13"/>
  <c r="KJ18" i="11"/>
  <c r="JO18" i="11"/>
  <c r="GW18" i="13" s="1"/>
  <c r="IW18" i="11"/>
  <c r="IV18" i="11"/>
  <c r="IO18" i="11"/>
  <c r="IB18" i="11"/>
  <c r="HN18" i="11"/>
  <c r="HM18" i="11"/>
  <c r="HK18" i="11"/>
  <c r="HJ18" i="11"/>
  <c r="HF18" i="11"/>
  <c r="HG18" i="11" s="1"/>
  <c r="HC18" i="11"/>
  <c r="HD18" i="11" s="1"/>
  <c r="FL18" i="11"/>
  <c r="FM18" i="11" s="1"/>
  <c r="FM102" i="11" s="1"/>
  <c r="H106" i="12" s="1"/>
  <c r="FJ18" i="11"/>
  <c r="FB18" i="11"/>
  <c r="EZ18" i="11"/>
  <c r="EX18" i="11"/>
  <c r="EW18" i="11"/>
  <c r="EV18" i="11"/>
  <c r="EU18" i="11"/>
  <c r="EK18" i="11"/>
  <c r="DZ18" i="11"/>
  <c r="DM18" i="11"/>
  <c r="DG18" i="11"/>
  <c r="BW18" i="11"/>
  <c r="BI18" i="11"/>
  <c r="BJ18" i="11" s="1"/>
  <c r="AW18" i="11"/>
  <c r="CZ18" i="13" s="1"/>
  <c r="AR18" i="11"/>
  <c r="AO18" i="11"/>
  <c r="AC18" i="11"/>
  <c r="K6" i="11"/>
  <c r="L6" i="11" s="1"/>
  <c r="I6" i="11"/>
  <c r="J6" i="11" s="1"/>
  <c r="G6" i="11"/>
  <c r="H6" i="11" s="1"/>
  <c r="C6" i="11"/>
  <c r="B6" i="11"/>
  <c r="FK18" i="11" l="1"/>
  <c r="FK102" i="11" s="1"/>
  <c r="H105" i="12" s="1"/>
  <c r="RI18" i="11"/>
  <c r="RP18" i="11"/>
  <c r="RX18" i="11" s="1"/>
  <c r="GK18" i="13"/>
  <c r="IP18" i="11"/>
  <c r="CT18" i="13"/>
  <c r="AS18" i="11"/>
  <c r="KY18" i="11"/>
  <c r="LX18" i="13"/>
  <c r="JP18" i="13"/>
  <c r="KB18" i="13"/>
  <c r="KZ18" i="13"/>
  <c r="LL18" i="13"/>
  <c r="LA18" i="11"/>
  <c r="OY18" i="11"/>
  <c r="KU18" i="11"/>
  <c r="AP18" i="11"/>
  <c r="CI18" i="13"/>
  <c r="AX18" i="11"/>
  <c r="KV18" i="11"/>
  <c r="JP18" i="11"/>
  <c r="DO18" i="13"/>
  <c r="KA18" i="11"/>
  <c r="KB18" i="11" s="1"/>
  <c r="KL18" i="11"/>
  <c r="KQ18" i="11"/>
  <c r="CL18" i="13"/>
  <c r="HI18" i="13"/>
  <c r="FC18" i="11"/>
  <c r="FN18" i="11" s="1"/>
  <c r="FO18" i="11" s="1"/>
  <c r="FO102" i="11" s="1"/>
  <c r="H104" i="12" s="1"/>
  <c r="II18" i="11"/>
  <c r="OR18" i="11"/>
  <c r="OS18" i="11" s="1"/>
  <c r="OT18" i="11" s="1"/>
  <c r="HE18" i="11"/>
  <c r="NR18" i="11"/>
  <c r="OM18" i="11"/>
  <c r="PE18" i="11"/>
  <c r="HH18" i="11"/>
  <c r="PM18" i="11"/>
  <c r="PU18" i="11"/>
  <c r="PZ18" i="11"/>
  <c r="RA18" i="11"/>
  <c r="LW18" i="11"/>
  <c r="BH37" i="2"/>
  <c r="BH36" i="2"/>
  <c r="BH35" i="2"/>
  <c r="BH28" i="2"/>
  <c r="BH26" i="2"/>
  <c r="BH16" i="2"/>
  <c r="BH15" i="2"/>
  <c r="BH14" i="2"/>
  <c r="BH13" i="2"/>
  <c r="BH12" i="2"/>
  <c r="BH9" i="2"/>
  <c r="BH8" i="2"/>
  <c r="BH7" i="2"/>
  <c r="FP18" i="11" l="1"/>
  <c r="GU18" i="11"/>
  <c r="GL18" i="11"/>
  <c r="GM18" i="11" s="1"/>
  <c r="GM102" i="11" s="1"/>
  <c r="FD18" i="11"/>
  <c r="RL18" i="11" s="1"/>
  <c r="RM18" i="11" s="1"/>
  <c r="QC18" i="11"/>
  <c r="PW18" i="11"/>
  <c r="PO18" i="11"/>
  <c r="OZ18" i="11"/>
  <c r="OB18" i="11"/>
  <c r="MT18" i="11"/>
  <c r="RC18" i="11" s="1"/>
  <c r="AY18" i="11"/>
  <c r="NL18" i="11"/>
  <c r="PJ18" i="11"/>
  <c r="OK18" i="11"/>
  <c r="LB18" i="11"/>
  <c r="KR18" i="11"/>
  <c r="KC18" i="11"/>
  <c r="JQ18" i="11"/>
  <c r="PR18" i="11"/>
  <c r="HO18" i="13"/>
  <c r="KM18" i="11"/>
  <c r="KN18" i="11" s="1"/>
  <c r="RB18" i="11"/>
  <c r="RE18" i="11"/>
  <c r="L266" i="2"/>
  <c r="L7" i="2"/>
  <c r="L8" i="2"/>
  <c r="L10" i="2"/>
  <c r="L11" i="2"/>
  <c r="L12" i="2"/>
  <c r="GQ68" i="11" l="1"/>
  <c r="GQ70" i="11"/>
  <c r="GQ64" i="11"/>
  <c r="GQ66" i="11"/>
  <c r="GQ60" i="11"/>
  <c r="GQ62" i="11"/>
  <c r="GQ56" i="11"/>
  <c r="GQ58" i="11"/>
  <c r="GQ52" i="11"/>
  <c r="GQ54" i="11"/>
  <c r="GQ48" i="11"/>
  <c r="GQ50" i="11"/>
  <c r="GQ44" i="11"/>
  <c r="GQ46" i="11"/>
  <c r="GQ40" i="11"/>
  <c r="GQ42" i="11"/>
  <c r="GQ36" i="11"/>
  <c r="GQ38" i="11"/>
  <c r="GQ32" i="11"/>
  <c r="GQ34" i="11"/>
  <c r="GQ26" i="11"/>
  <c r="GQ28" i="11"/>
  <c r="GQ22" i="11"/>
  <c r="GQ24" i="11"/>
  <c r="GQ30" i="11"/>
  <c r="GQ20" i="11"/>
  <c r="GQ100" i="11"/>
  <c r="GQ18" i="11"/>
  <c r="K303" i="2"/>
  <c r="AU59" i="2" s="1"/>
  <c r="G53" i="5"/>
  <c r="K102" i="2"/>
  <c r="AB63" i="2" l="1"/>
  <c r="AR63" i="2"/>
  <c r="BK63" i="2"/>
  <c r="AC57" i="2"/>
  <c r="AC58" i="2"/>
  <c r="AC61" i="2"/>
  <c r="AC60" i="2"/>
  <c r="AC59" i="2"/>
  <c r="K80" i="2" l="1"/>
  <c r="K81" i="2"/>
  <c r="K82" i="2"/>
  <c r="L21" i="2" l="1"/>
  <c r="T25" i="5"/>
  <c r="DB21" i="2"/>
  <c r="CT21" i="2"/>
  <c r="CR21" i="2"/>
  <c r="CQ21" i="2"/>
  <c r="CO21" i="2"/>
  <c r="CM21" i="2"/>
  <c r="CL21" i="2"/>
  <c r="BI21" i="2"/>
  <c r="AS21" i="2"/>
  <c r="AC21" i="2"/>
  <c r="L36" i="2"/>
  <c r="L1140" i="2" l="1"/>
  <c r="L1062" i="2"/>
  <c r="L1050" i="2"/>
  <c r="L1060" i="2"/>
  <c r="L1051" i="2"/>
  <c r="M1051" i="2" s="1"/>
  <c r="N1051" i="2" s="1"/>
  <c r="L1058" i="2"/>
  <c r="L1052" i="2"/>
  <c r="L1057" i="2"/>
  <c r="L1061" i="2"/>
  <c r="L1059" i="2"/>
  <c r="Q1151" i="2"/>
  <c r="Q1149" i="2"/>
  <c r="Q1146" i="2"/>
  <c r="L1139" i="2"/>
  <c r="L1137" i="2" l="1"/>
  <c r="L1138" i="2"/>
  <c r="HJ34" i="3"/>
  <c r="HH34" i="3"/>
  <c r="W1120" i="2"/>
  <c r="S1120" i="2"/>
  <c r="L1054" i="2"/>
  <c r="L1055" i="2"/>
  <c r="L1056" i="2"/>
  <c r="L1053" i="2"/>
  <c r="L1023" i="2"/>
  <c r="M1023" i="2" s="1"/>
  <c r="L1022" i="2"/>
  <c r="M1022" i="2" s="1"/>
  <c r="L1021" i="2"/>
  <c r="M1021" i="2" s="1"/>
  <c r="L1020" i="2"/>
  <c r="M1020" i="2" s="1"/>
  <c r="L1019" i="2"/>
  <c r="M1019" i="2" s="1"/>
  <c r="L1049" i="2"/>
  <c r="M1049" i="2" s="1"/>
  <c r="L1047" i="2"/>
  <c r="M1047" i="2" s="1"/>
  <c r="L1048" i="2"/>
  <c r="M1048" i="2" s="1"/>
  <c r="L1046" i="2"/>
  <c r="M1046" i="2" s="1"/>
  <c r="L1040" i="2"/>
  <c r="L1041" i="2"/>
  <c r="L1042" i="2"/>
  <c r="L1043" i="2"/>
  <c r="L1044" i="2"/>
  <c r="L1045" i="2"/>
  <c r="L1039" i="2"/>
  <c r="L1037" i="2"/>
  <c r="M1037" i="2" s="1"/>
  <c r="N1037" i="2" s="1"/>
  <c r="L1038" i="2"/>
  <c r="M1038" i="2" s="1"/>
  <c r="N1038" i="2" s="1"/>
  <c r="L1036" i="2"/>
  <c r="M1036" i="2" s="1"/>
  <c r="N1036" i="2" s="1"/>
  <c r="L1032" i="2"/>
  <c r="L1033" i="2"/>
  <c r="L1034" i="2"/>
  <c r="L1035" i="2"/>
  <c r="L1031" i="2"/>
  <c r="L1030" i="2"/>
  <c r="L1029" i="2"/>
  <c r="M1029" i="2" s="1"/>
  <c r="N1029" i="2" s="1"/>
  <c r="L1028" i="2"/>
  <c r="M1028" i="2" s="1"/>
  <c r="N1028" i="2" s="1"/>
  <c r="L1025" i="2"/>
  <c r="M1025" i="2" s="1"/>
  <c r="N1025" i="2" s="1"/>
  <c r="L1026" i="2"/>
  <c r="M1026" i="2" s="1"/>
  <c r="N1026" i="2" s="1"/>
  <c r="L1027" i="2"/>
  <c r="M1027" i="2" s="1"/>
  <c r="N1027" i="2" s="1"/>
  <c r="L1024" i="2"/>
  <c r="M1024" i="2" s="1"/>
  <c r="N1024" i="2" s="1"/>
  <c r="L1018" i="2"/>
  <c r="S1119" i="2"/>
  <c r="W1119" i="2"/>
  <c r="L1015" i="2"/>
  <c r="L1016" i="2"/>
  <c r="L1017" i="2"/>
  <c r="L1014" i="2"/>
  <c r="W1118" i="2"/>
  <c r="S1118" i="2"/>
  <c r="L1013" i="2"/>
  <c r="L1012" i="2"/>
  <c r="L1011" i="2"/>
  <c r="M1011" i="2" s="1"/>
  <c r="L1010" i="2"/>
  <c r="M1010" i="2" s="1"/>
  <c r="L1009" i="2"/>
  <c r="M1009" i="2" s="1"/>
  <c r="L1008" i="2"/>
  <c r="M1008" i="2" s="1"/>
  <c r="S1117" i="2"/>
  <c r="W1116" i="2"/>
  <c r="W1117" i="2"/>
  <c r="S1116" i="2"/>
  <c r="L1002" i="2"/>
  <c r="M1002" i="2" s="1"/>
  <c r="L1003" i="2"/>
  <c r="M1003" i="2" s="1"/>
  <c r="L1004" i="2"/>
  <c r="M1004" i="2" s="1"/>
  <c r="L1005" i="2"/>
  <c r="M1005" i="2" s="1"/>
  <c r="L1006" i="2"/>
  <c r="M1006" i="2" s="1"/>
  <c r="L1007" i="2"/>
  <c r="M1007" i="2" s="1"/>
  <c r="L1001" i="2"/>
  <c r="M1001" i="2" s="1"/>
  <c r="S1115" i="2"/>
  <c r="W1114" i="2"/>
  <c r="W1115" i="2"/>
  <c r="S1114" i="2"/>
  <c r="L998" i="2"/>
  <c r="L999" i="2"/>
  <c r="L1000" i="2"/>
  <c r="L997" i="2"/>
  <c r="W1113" i="2"/>
  <c r="S1113" i="2"/>
  <c r="L996" i="2"/>
  <c r="L995" i="2"/>
  <c r="L994" i="2"/>
  <c r="L993" i="2"/>
  <c r="L992" i="2"/>
  <c r="L991" i="2"/>
  <c r="W1103" i="2"/>
  <c r="S1103" i="2"/>
  <c r="L990" i="2"/>
  <c r="L989" i="2"/>
  <c r="M989" i="2" s="1"/>
  <c r="N989" i="2" s="1"/>
  <c r="O989" i="2" s="1"/>
  <c r="P989" i="2" s="1"/>
  <c r="Q989" i="2" s="1"/>
  <c r="R989" i="2" s="1"/>
  <c r="S989" i="2" s="1"/>
  <c r="L988" i="2"/>
  <c r="L987" i="2"/>
  <c r="L986" i="2"/>
  <c r="M986" i="2" s="1"/>
  <c r="N986" i="2" s="1"/>
  <c r="O986" i="2" s="1"/>
  <c r="P986" i="2" s="1"/>
  <c r="Q986" i="2" s="1"/>
  <c r="R986" i="2" s="1"/>
  <c r="S986" i="2" s="1"/>
  <c r="L985" i="2"/>
  <c r="M985" i="2" s="1"/>
  <c r="N985" i="2" s="1"/>
  <c r="O985" i="2" s="1"/>
  <c r="P985" i="2" s="1"/>
  <c r="Q985" i="2" s="1"/>
  <c r="R985" i="2" s="1"/>
  <c r="S985" i="2" s="1"/>
  <c r="L984" i="2"/>
  <c r="M984" i="2" s="1"/>
  <c r="L983" i="2"/>
  <c r="M983" i="2" s="1"/>
  <c r="N983" i="2" s="1"/>
  <c r="O983" i="2" s="1"/>
  <c r="P983" i="2" s="1"/>
  <c r="Q983" i="2" s="1"/>
  <c r="R983" i="2" s="1"/>
  <c r="S983" i="2" s="1"/>
  <c r="T983" i="2" s="1"/>
  <c r="U983" i="2" s="1"/>
  <c r="V983" i="2" s="1"/>
  <c r="W983" i="2" s="1"/>
  <c r="L982" i="2"/>
  <c r="L981" i="2"/>
  <c r="M981" i="2" s="1"/>
  <c r="N981" i="2" s="1"/>
  <c r="O981" i="2" s="1"/>
  <c r="P981" i="2" s="1"/>
  <c r="Q981" i="2" s="1"/>
  <c r="R981" i="2" s="1"/>
  <c r="S981" i="2" s="1"/>
  <c r="T981" i="2" s="1"/>
  <c r="U981" i="2" s="1"/>
  <c r="V981" i="2" s="1"/>
  <c r="W981" i="2" s="1"/>
  <c r="L980" i="2"/>
  <c r="M980" i="2" s="1"/>
  <c r="N980" i="2" s="1"/>
  <c r="O980" i="2" s="1"/>
  <c r="P980" i="2" s="1"/>
  <c r="Q980" i="2" s="1"/>
  <c r="R980" i="2" s="1"/>
  <c r="S980" i="2" s="1"/>
  <c r="T980" i="2" s="1"/>
  <c r="U980" i="2" s="1"/>
  <c r="V980" i="2" s="1"/>
  <c r="W980" i="2" s="1"/>
  <c r="L979" i="2"/>
  <c r="M979" i="2" s="1"/>
  <c r="N979" i="2" s="1"/>
  <c r="O979" i="2" s="1"/>
  <c r="P979" i="2" s="1"/>
  <c r="Q979" i="2" s="1"/>
  <c r="R979" i="2" s="1"/>
  <c r="S979" i="2" s="1"/>
  <c r="T979" i="2" s="1"/>
  <c r="U979" i="2" s="1"/>
  <c r="V979" i="2" s="1"/>
  <c r="W979" i="2" s="1"/>
  <c r="L978" i="2"/>
  <c r="M978" i="2" s="1"/>
  <c r="N978" i="2" s="1"/>
  <c r="O978" i="2" s="1"/>
  <c r="P978" i="2" s="1"/>
  <c r="Q978" i="2" s="1"/>
  <c r="R978" i="2" s="1"/>
  <c r="S978" i="2" s="1"/>
  <c r="T978" i="2" s="1"/>
  <c r="U978" i="2" s="1"/>
  <c r="V978" i="2" s="1"/>
  <c r="W978" i="2" s="1"/>
  <c r="L1127" i="2"/>
  <c r="L1128" i="2"/>
  <c r="L1129" i="2"/>
  <c r="L1130" i="2"/>
  <c r="L1131" i="2"/>
  <c r="L1132" i="2"/>
  <c r="S1074" i="2"/>
  <c r="W1074" i="2"/>
  <c r="S1075" i="2"/>
  <c r="W1075" i="2"/>
  <c r="S1076" i="2"/>
  <c r="W1076" i="2"/>
  <c r="S1077" i="2"/>
  <c r="W1077" i="2"/>
  <c r="S1078" i="2"/>
  <c r="W1078" i="2"/>
  <c r="S1079" i="2"/>
  <c r="W1079" i="2"/>
  <c r="S1080" i="2"/>
  <c r="V1080" i="2"/>
  <c r="W1080" i="2"/>
  <c r="S1081" i="2"/>
  <c r="S1082" i="2"/>
  <c r="V1082" i="2"/>
  <c r="W1082" i="2"/>
  <c r="S1083" i="2"/>
  <c r="V1083" i="2"/>
  <c r="W1083" i="2"/>
  <c r="S1084" i="2"/>
  <c r="V1084" i="2"/>
  <c r="W1084" i="2"/>
  <c r="S1085" i="2"/>
  <c r="V1085" i="2"/>
  <c r="W1085" i="2"/>
  <c r="S1086" i="2"/>
  <c r="V1086" i="2"/>
  <c r="W1086" i="2"/>
  <c r="S1087" i="2"/>
  <c r="T1087" i="2"/>
  <c r="V1087" i="2"/>
  <c r="W1087" i="2"/>
  <c r="S1088" i="2"/>
  <c r="W1088" i="2"/>
  <c r="S1089" i="2"/>
  <c r="W1089" i="2"/>
  <c r="S1090" i="2"/>
  <c r="W1090" i="2"/>
  <c r="S1091" i="2"/>
  <c r="W1091" i="2"/>
  <c r="S1092" i="2"/>
  <c r="V1092" i="2"/>
  <c r="W1092" i="2"/>
  <c r="S1093" i="2"/>
  <c r="V1093" i="2"/>
  <c r="W1093" i="2"/>
  <c r="S1094" i="2"/>
  <c r="V1094" i="2"/>
  <c r="W1094" i="2"/>
  <c r="S1095" i="2"/>
  <c r="V1095" i="2"/>
  <c r="W1095" i="2"/>
  <c r="S1096" i="2"/>
  <c r="W1096" i="2"/>
  <c r="S1097" i="2"/>
  <c r="W1097" i="2"/>
  <c r="S1098" i="2"/>
  <c r="W1098" i="2"/>
  <c r="S1099" i="2"/>
  <c r="S1100" i="2"/>
  <c r="W1100" i="2"/>
  <c r="S1101" i="2"/>
  <c r="W1101" i="2"/>
  <c r="S1102" i="2"/>
  <c r="W1102" i="2"/>
  <c r="S1104" i="2"/>
  <c r="W1104" i="2"/>
  <c r="S1105" i="2"/>
  <c r="W1105" i="2"/>
  <c r="S1106" i="2"/>
  <c r="W1106" i="2"/>
  <c r="S1107" i="2"/>
  <c r="W1107" i="2"/>
  <c r="S1108" i="2"/>
  <c r="W1108" i="2"/>
  <c r="S1109" i="2"/>
  <c r="W1109" i="2"/>
  <c r="S1110" i="2"/>
  <c r="W1110" i="2"/>
  <c r="S1111" i="2"/>
  <c r="W1111" i="2"/>
  <c r="S1112" i="2"/>
  <c r="W1112" i="2"/>
  <c r="T5" i="1" l="1"/>
  <c r="HJ152" i="3" l="1"/>
  <c r="HH152" i="3"/>
  <c r="HJ150" i="3"/>
  <c r="HH150" i="3"/>
  <c r="HJ148" i="3"/>
  <c r="HH148" i="3"/>
  <c r="HJ146" i="3"/>
  <c r="HH146" i="3"/>
  <c r="HJ144" i="3"/>
  <c r="HH144" i="3"/>
  <c r="HJ142" i="3"/>
  <c r="HH142" i="3"/>
  <c r="HJ140" i="3"/>
  <c r="HH140" i="3"/>
  <c r="HJ138" i="3"/>
  <c r="HH138" i="3"/>
  <c r="HJ130" i="3"/>
  <c r="HH130" i="3"/>
  <c r="HJ128" i="3"/>
  <c r="HH128" i="3"/>
  <c r="HJ126" i="3"/>
  <c r="HH126" i="3"/>
  <c r="HJ124" i="3"/>
  <c r="HH124" i="3"/>
  <c r="HJ122" i="3"/>
  <c r="HH122" i="3"/>
  <c r="HJ120" i="3"/>
  <c r="HH120" i="3"/>
  <c r="HJ118" i="3"/>
  <c r="HH118" i="3"/>
  <c r="HJ116" i="3"/>
  <c r="HH116" i="3"/>
  <c r="HJ70" i="3"/>
  <c r="HH70" i="3"/>
  <c r="HJ68" i="3"/>
  <c r="HH68" i="3"/>
  <c r="HJ66" i="3"/>
  <c r="HH66" i="3"/>
  <c r="HJ64" i="3"/>
  <c r="HH64" i="3"/>
  <c r="HJ62" i="3"/>
  <c r="HH62" i="3"/>
  <c r="HJ60" i="3"/>
  <c r="HH60" i="3"/>
  <c r="HJ58" i="3"/>
  <c r="HH58" i="3"/>
  <c r="HJ56" i="3"/>
  <c r="HH56" i="3"/>
  <c r="HJ48" i="3"/>
  <c r="HH48" i="3"/>
  <c r="HJ46" i="3"/>
  <c r="HH46" i="3"/>
  <c r="HJ44" i="3"/>
  <c r="HH44" i="3"/>
  <c r="HJ42" i="3"/>
  <c r="HH42" i="3"/>
  <c r="HJ40" i="3"/>
  <c r="HH40" i="3"/>
  <c r="HJ38" i="3"/>
  <c r="HH38" i="3"/>
  <c r="HJ36" i="3"/>
  <c r="HH36" i="3"/>
  <c r="N28" i="3" l="1"/>
  <c r="R28" i="3"/>
  <c r="T51" i="5" l="1"/>
  <c r="G51" i="5"/>
  <c r="K100" i="2"/>
  <c r="G19" i="5"/>
  <c r="K109" i="2"/>
  <c r="L68" i="2" s="1"/>
  <c r="AU69" i="2"/>
  <c r="AU68" i="2"/>
  <c r="AU67" i="2"/>
  <c r="AU66" i="2"/>
  <c r="AU65" i="2"/>
  <c r="AU64" i="2"/>
  <c r="AB70" i="2"/>
  <c r="AR70" i="2"/>
  <c r="BK70" i="2"/>
  <c r="Q152" i="3"/>
  <c r="Q150" i="3"/>
  <c r="Q148" i="3"/>
  <c r="Q146" i="3"/>
  <c r="Q144" i="3"/>
  <c r="Q142" i="3"/>
  <c r="Q140" i="3"/>
  <c r="Q138" i="3"/>
  <c r="Q130" i="3"/>
  <c r="Q128" i="3"/>
  <c r="Q126" i="3"/>
  <c r="Q124" i="3"/>
  <c r="Q122" i="3"/>
  <c r="Q120" i="3"/>
  <c r="Q118" i="3"/>
  <c r="Q116" i="3"/>
  <c r="Q70" i="3"/>
  <c r="Q68" i="3"/>
  <c r="Q66" i="3"/>
  <c r="Q64" i="3"/>
  <c r="Q62" i="3"/>
  <c r="Q60" i="3"/>
  <c r="Q58" i="3"/>
  <c r="Q56" i="3"/>
  <c r="Q48" i="3"/>
  <c r="Q46" i="3"/>
  <c r="Q44" i="3"/>
  <c r="Q42" i="3"/>
  <c r="Q40" i="3"/>
  <c r="Q38" i="3"/>
  <c r="Q36" i="3"/>
  <c r="Q34" i="3"/>
  <c r="H99" i="6"/>
  <c r="H72" i="6"/>
  <c r="OO48" i="3"/>
  <c r="OO46" i="3"/>
  <c r="OO44" i="3"/>
  <c r="OO42" i="3"/>
  <c r="OO40" i="3"/>
  <c r="OO38" i="3"/>
  <c r="OO36" i="3"/>
  <c r="OO34" i="3"/>
  <c r="OO56" i="3"/>
  <c r="OO58" i="3"/>
  <c r="OO60" i="3"/>
  <c r="OO62" i="3"/>
  <c r="OO64" i="3"/>
  <c r="OO66" i="3"/>
  <c r="OO68" i="3"/>
  <c r="OO70" i="3"/>
  <c r="OO152" i="3"/>
  <c r="OO150" i="3"/>
  <c r="OO148" i="3"/>
  <c r="OO146" i="3"/>
  <c r="OO144" i="3"/>
  <c r="OO142" i="3"/>
  <c r="OO140" i="3"/>
  <c r="OO138" i="3"/>
  <c r="OO130" i="3"/>
  <c r="OO128" i="3"/>
  <c r="OO126" i="3"/>
  <c r="OO124" i="3"/>
  <c r="OO120" i="3"/>
  <c r="OO118" i="3"/>
  <c r="OO116" i="3"/>
  <c r="OO122" i="3"/>
  <c r="HP152" i="3"/>
  <c r="HP150" i="3"/>
  <c r="HP148" i="3"/>
  <c r="HP146" i="3"/>
  <c r="HP144" i="3"/>
  <c r="HP142" i="3"/>
  <c r="HP140" i="3"/>
  <c r="HP138" i="3"/>
  <c r="HP130" i="3"/>
  <c r="HP128" i="3"/>
  <c r="HP126" i="3"/>
  <c r="HP124" i="3"/>
  <c r="HP122" i="3"/>
  <c r="HP120" i="3"/>
  <c r="HP118" i="3"/>
  <c r="HP116" i="3"/>
  <c r="HP70" i="3"/>
  <c r="HP68" i="3"/>
  <c r="HP66" i="3"/>
  <c r="HP64" i="3"/>
  <c r="HP62" i="3"/>
  <c r="HP60" i="3"/>
  <c r="HP58" i="3"/>
  <c r="HP56" i="3"/>
  <c r="HP48" i="3"/>
  <c r="HP46" i="3"/>
  <c r="HP44" i="3"/>
  <c r="HP42" i="3"/>
  <c r="HP40" i="3"/>
  <c r="HP38" i="3"/>
  <c r="HP36" i="3"/>
  <c r="HP34" i="3"/>
  <c r="L15" i="2" l="1"/>
  <c r="L18" i="2"/>
  <c r="L20" i="2"/>
  <c r="L24" i="2"/>
  <c r="L31" i="2"/>
  <c r="L33" i="2"/>
  <c r="L65" i="2"/>
  <c r="L67" i="2"/>
  <c r="L69" i="2"/>
  <c r="L16" i="2"/>
  <c r="L19" i="2"/>
  <c r="L23" i="2"/>
  <c r="L28" i="2"/>
  <c r="L32" i="2"/>
  <c r="L64" i="2"/>
  <c r="L66" i="2"/>
  <c r="K97" i="2"/>
  <c r="T125" i="2"/>
  <c r="T124" i="2"/>
  <c r="T123" i="2"/>
  <c r="T122" i="2"/>
  <c r="T121" i="2"/>
  <c r="T120" i="2"/>
  <c r="T119" i="2"/>
  <c r="T118" i="2"/>
  <c r="T117" i="2"/>
  <c r="T116" i="2"/>
  <c r="T115" i="2"/>
  <c r="T114" i="2"/>
  <c r="S125" i="2"/>
  <c r="S124" i="2"/>
  <c r="S123" i="2"/>
  <c r="S122" i="2"/>
  <c r="S121" i="2"/>
  <c r="S120" i="2"/>
  <c r="S119" i="2"/>
  <c r="S118" i="2"/>
  <c r="S117" i="2"/>
  <c r="S115" i="2"/>
  <c r="S116" i="2"/>
  <c r="S114" i="2"/>
  <c r="N52" i="3"/>
  <c r="N110" i="3"/>
  <c r="N134" i="3"/>
  <c r="K91" i="2"/>
  <c r="K90" i="2"/>
  <c r="AH67" i="5"/>
  <c r="AH65" i="5"/>
  <c r="AM122" i="3"/>
  <c r="AM70" i="3"/>
  <c r="AM66" i="3"/>
  <c r="AM62" i="3"/>
  <c r="AM58" i="3"/>
  <c r="N152" i="3"/>
  <c r="N150" i="3"/>
  <c r="N148" i="3"/>
  <c r="N146" i="3"/>
  <c r="N144" i="3"/>
  <c r="N142" i="3"/>
  <c r="N140" i="3"/>
  <c r="N138" i="3"/>
  <c r="N130" i="3"/>
  <c r="N128" i="3"/>
  <c r="N126" i="3"/>
  <c r="N124" i="3"/>
  <c r="N122" i="3"/>
  <c r="N120" i="3"/>
  <c r="N118" i="3"/>
  <c r="N116" i="3"/>
  <c r="N70" i="3"/>
  <c r="N68" i="3"/>
  <c r="N66" i="3"/>
  <c r="N64" i="3"/>
  <c r="N62" i="3"/>
  <c r="N60" i="3"/>
  <c r="N58" i="3"/>
  <c r="N56" i="3"/>
  <c r="N34" i="3"/>
  <c r="N48" i="3"/>
  <c r="N46" i="3"/>
  <c r="N44" i="3"/>
  <c r="N42" i="3"/>
  <c r="N40" i="3"/>
  <c r="N38" i="3"/>
  <c r="N36" i="3"/>
  <c r="M129" i="1"/>
  <c r="M127" i="1"/>
  <c r="M125" i="1"/>
  <c r="M123" i="1"/>
  <c r="M121" i="1"/>
  <c r="M119" i="1"/>
  <c r="M117" i="1"/>
  <c r="M115" i="1"/>
  <c r="E282" i="6"/>
  <c r="B282" i="6"/>
  <c r="B281" i="6"/>
  <c r="B280" i="6"/>
  <c r="E205" i="6"/>
  <c r="B205" i="6"/>
  <c r="B204" i="6"/>
  <c r="B203" i="6"/>
  <c r="E128" i="6"/>
  <c r="B128" i="6"/>
  <c r="B127" i="6"/>
  <c r="B126" i="6"/>
  <c r="I99" i="6"/>
  <c r="I72" i="6"/>
  <c r="I121" i="6"/>
  <c r="E121" i="6"/>
  <c r="B121" i="6"/>
  <c r="I120" i="6"/>
  <c r="E120" i="6"/>
  <c r="B120" i="6"/>
  <c r="I119" i="6"/>
  <c r="E119" i="6"/>
  <c r="B119" i="6"/>
  <c r="I118" i="6"/>
  <c r="E118" i="6"/>
  <c r="B118" i="6"/>
  <c r="I117" i="6"/>
  <c r="E117" i="6"/>
  <c r="B117" i="6"/>
  <c r="I116" i="6"/>
  <c r="E116" i="6"/>
  <c r="B116" i="6"/>
  <c r="I115" i="6"/>
  <c r="E115" i="6"/>
  <c r="B115" i="6"/>
  <c r="I114" i="6"/>
  <c r="E114" i="6"/>
  <c r="B114" i="6"/>
  <c r="I109" i="6"/>
  <c r="E109" i="6"/>
  <c r="B109" i="6"/>
  <c r="I108" i="6"/>
  <c r="E108" i="6"/>
  <c r="B108" i="6"/>
  <c r="I107" i="6"/>
  <c r="E107" i="6"/>
  <c r="B107" i="6"/>
  <c r="I106" i="6"/>
  <c r="E106" i="6"/>
  <c r="B106" i="6"/>
  <c r="I105" i="6"/>
  <c r="E105" i="6"/>
  <c r="B105" i="6"/>
  <c r="I104" i="6"/>
  <c r="E104" i="6"/>
  <c r="B104" i="6"/>
  <c r="I103" i="6"/>
  <c r="E103" i="6"/>
  <c r="B103" i="6"/>
  <c r="I102" i="6"/>
  <c r="E102" i="6"/>
  <c r="B102" i="6"/>
  <c r="I95" i="6"/>
  <c r="E95" i="6"/>
  <c r="B95" i="6"/>
  <c r="I94" i="6"/>
  <c r="E94" i="6"/>
  <c r="B94" i="6"/>
  <c r="I93" i="6"/>
  <c r="E93" i="6"/>
  <c r="B93" i="6"/>
  <c r="I92" i="6"/>
  <c r="E92" i="6"/>
  <c r="B92" i="6"/>
  <c r="I91" i="6"/>
  <c r="E91" i="6"/>
  <c r="B91" i="6"/>
  <c r="I90" i="6"/>
  <c r="E90" i="6"/>
  <c r="B90" i="6"/>
  <c r="I89" i="6"/>
  <c r="E89" i="6"/>
  <c r="B89" i="6"/>
  <c r="I88" i="6"/>
  <c r="E88" i="6"/>
  <c r="B88" i="6"/>
  <c r="E6" i="6"/>
  <c r="B6" i="6"/>
  <c r="B5" i="6"/>
  <c r="B4" i="6"/>
  <c r="U149" i="1"/>
  <c r="U147" i="1"/>
  <c r="U145" i="1"/>
  <c r="U143" i="1"/>
  <c r="U141" i="1"/>
  <c r="U139" i="1"/>
  <c r="U137" i="1"/>
  <c r="U127" i="1"/>
  <c r="U125" i="1"/>
  <c r="U123" i="1"/>
  <c r="U121" i="1"/>
  <c r="U119" i="1"/>
  <c r="U117" i="1"/>
  <c r="U115" i="1"/>
  <c r="G151" i="1"/>
  <c r="G149" i="1"/>
  <c r="G147" i="1"/>
  <c r="G145" i="1"/>
  <c r="G143" i="1"/>
  <c r="G141" i="1"/>
  <c r="G139" i="1"/>
  <c r="G129" i="1"/>
  <c r="G127" i="1"/>
  <c r="G125" i="1"/>
  <c r="G123" i="1"/>
  <c r="G121" i="1"/>
  <c r="G119" i="1"/>
  <c r="G117" i="1"/>
  <c r="C151" i="1"/>
  <c r="C149" i="1"/>
  <c r="C147" i="1"/>
  <c r="C145" i="1"/>
  <c r="C143" i="1"/>
  <c r="C141" i="1"/>
  <c r="C139" i="1"/>
  <c r="C129" i="1"/>
  <c r="C127" i="1"/>
  <c r="C125" i="1"/>
  <c r="C123" i="1"/>
  <c r="C121" i="1"/>
  <c r="C119" i="1"/>
  <c r="C117" i="1"/>
  <c r="C57" i="1"/>
  <c r="U67" i="1"/>
  <c r="U65" i="1"/>
  <c r="U63" i="1"/>
  <c r="U61" i="1"/>
  <c r="U59" i="1"/>
  <c r="U57" i="1"/>
  <c r="U55" i="1"/>
  <c r="G69" i="1"/>
  <c r="G67" i="1"/>
  <c r="G65" i="1"/>
  <c r="G63" i="1"/>
  <c r="G61" i="1"/>
  <c r="G59" i="1"/>
  <c r="G57" i="1"/>
  <c r="C69" i="1"/>
  <c r="C67" i="1"/>
  <c r="C65" i="1"/>
  <c r="C63" i="1"/>
  <c r="C61" i="1"/>
  <c r="C59" i="1"/>
  <c r="U33" i="1"/>
  <c r="U45" i="1"/>
  <c r="U43" i="1"/>
  <c r="U41" i="1"/>
  <c r="U39" i="1"/>
  <c r="U37" i="1"/>
  <c r="U35" i="1"/>
  <c r="G47" i="1"/>
  <c r="G45" i="1"/>
  <c r="G43" i="1"/>
  <c r="G41" i="1"/>
  <c r="G39" i="1"/>
  <c r="G37" i="1"/>
  <c r="G35" i="1"/>
  <c r="C47" i="1"/>
  <c r="C45" i="1"/>
  <c r="C43" i="1"/>
  <c r="C41" i="1"/>
  <c r="C39" i="1"/>
  <c r="C37" i="1"/>
  <c r="C35" i="1"/>
  <c r="C282" i="6"/>
  <c r="AM144" i="3" l="1"/>
  <c r="AM68" i="3"/>
  <c r="AM118" i="3"/>
  <c r="AM56" i="3"/>
  <c r="AM60" i="3"/>
  <c r="AM64" i="3"/>
  <c r="U28" i="3"/>
  <c r="AM152" i="3"/>
  <c r="P134" i="3"/>
  <c r="H14" i="8"/>
  <c r="AM140" i="3"/>
  <c r="AM150" i="3"/>
  <c r="GP152" i="3"/>
  <c r="GP148" i="3"/>
  <c r="GP144" i="3"/>
  <c r="GP140" i="3"/>
  <c r="GP150" i="3"/>
  <c r="GP146" i="3"/>
  <c r="GP142" i="3"/>
  <c r="GP138" i="3"/>
  <c r="GP70" i="3"/>
  <c r="GP66" i="3"/>
  <c r="GP62" i="3"/>
  <c r="GP58" i="3"/>
  <c r="GP68" i="3"/>
  <c r="GP64" i="3"/>
  <c r="GP60" i="3"/>
  <c r="GP56" i="3"/>
  <c r="AM148" i="3"/>
  <c r="AM48" i="3"/>
  <c r="GP48" i="3"/>
  <c r="GP44" i="3"/>
  <c r="GP40" i="3"/>
  <c r="GP36" i="3"/>
  <c r="GP46" i="3"/>
  <c r="GP42" i="3"/>
  <c r="GP38" i="3"/>
  <c r="GP34" i="3"/>
  <c r="AM128" i="3"/>
  <c r="GP130" i="3"/>
  <c r="GP126" i="3"/>
  <c r="GP122" i="3"/>
  <c r="GP118" i="3"/>
  <c r="GP128" i="3"/>
  <c r="GP124" i="3"/>
  <c r="GP120" i="3"/>
  <c r="GP116" i="3"/>
  <c r="AM46" i="3"/>
  <c r="AM138" i="3"/>
  <c r="AM142" i="3"/>
  <c r="AM146" i="3"/>
  <c r="AM126" i="3"/>
  <c r="AM38" i="3"/>
  <c r="AM42" i="3"/>
  <c r="AM116" i="3"/>
  <c r="AM120" i="3"/>
  <c r="AM124" i="3"/>
  <c r="AM130" i="3"/>
  <c r="U110" i="3"/>
  <c r="P52" i="3"/>
  <c r="N72" i="3"/>
  <c r="Z72" i="1" s="1"/>
  <c r="N154" i="3"/>
  <c r="N132" i="3"/>
  <c r="Z132" i="1" s="1"/>
  <c r="E14" i="8"/>
  <c r="AM34" i="3"/>
  <c r="AM36" i="3"/>
  <c r="AM40" i="3"/>
  <c r="AM44" i="3"/>
  <c r="M118" i="3"/>
  <c r="C205" i="6"/>
  <c r="C128" i="6"/>
  <c r="BU152" i="1"/>
  <c r="BU150" i="1"/>
  <c r="BU148" i="1"/>
  <c r="BU146" i="1"/>
  <c r="BU144" i="1"/>
  <c r="BU142" i="1"/>
  <c r="BU140" i="1"/>
  <c r="BU138" i="1"/>
  <c r="BU130" i="1"/>
  <c r="BU128" i="1"/>
  <c r="BU126" i="1"/>
  <c r="BU124" i="1"/>
  <c r="BU122" i="1"/>
  <c r="BU120" i="1"/>
  <c r="BU118" i="1"/>
  <c r="BU116" i="1"/>
  <c r="BU70" i="1"/>
  <c r="BU68" i="1"/>
  <c r="BU66" i="1"/>
  <c r="BU64" i="1"/>
  <c r="BU62" i="1"/>
  <c r="BU60" i="1"/>
  <c r="BU58" i="1"/>
  <c r="BU56" i="1"/>
  <c r="BU48" i="1"/>
  <c r="BU46" i="1"/>
  <c r="BU44" i="1"/>
  <c r="BU42" i="1"/>
  <c r="BU40" i="1"/>
  <c r="BU38" i="1"/>
  <c r="BU36" i="1"/>
  <c r="BU34" i="1"/>
  <c r="T53" i="5"/>
  <c r="K108" i="2"/>
  <c r="CO29" i="2"/>
  <c r="CE152" i="3"/>
  <c r="CF152" i="3" s="1"/>
  <c r="CE150" i="3"/>
  <c r="CF150" i="3" s="1"/>
  <c r="CE148" i="3"/>
  <c r="CF148" i="3" s="1"/>
  <c r="CE130" i="3"/>
  <c r="CF130" i="3" s="1"/>
  <c r="CE70" i="3"/>
  <c r="CF70" i="3" s="1"/>
  <c r="CE68" i="3"/>
  <c r="CF68" i="3" s="1"/>
  <c r="CE66" i="3"/>
  <c r="CF66" i="3" s="1"/>
  <c r="CE48" i="3"/>
  <c r="CF48" i="3" s="1"/>
  <c r="L125" i="2"/>
  <c r="L124" i="2"/>
  <c r="L123" i="2"/>
  <c r="L122" i="2"/>
  <c r="L121" i="2"/>
  <c r="L120" i="2"/>
  <c r="L119" i="2"/>
  <c r="L118" i="2"/>
  <c r="L117" i="2"/>
  <c r="L116" i="2"/>
  <c r="L115" i="2"/>
  <c r="L114" i="2"/>
  <c r="K125" i="2"/>
  <c r="K124" i="2"/>
  <c r="K123" i="2"/>
  <c r="K122" i="2"/>
  <c r="K121" i="2"/>
  <c r="K120" i="2"/>
  <c r="K119" i="2"/>
  <c r="K118" i="2"/>
  <c r="K117" i="2"/>
  <c r="K116" i="2"/>
  <c r="K115" i="2"/>
  <c r="K114" i="2"/>
  <c r="JT152" i="3"/>
  <c r="JT150" i="3"/>
  <c r="JT148" i="3"/>
  <c r="JT146" i="3"/>
  <c r="JT144" i="3"/>
  <c r="JT142" i="3"/>
  <c r="JT140" i="3"/>
  <c r="JT138" i="3"/>
  <c r="JT130" i="3"/>
  <c r="JT122" i="3"/>
  <c r="JT120" i="3"/>
  <c r="JT118" i="3"/>
  <c r="JT116" i="3"/>
  <c r="JT70" i="3"/>
  <c r="JT68" i="3"/>
  <c r="JT66" i="3"/>
  <c r="JT64" i="3"/>
  <c r="JT62" i="3"/>
  <c r="JT60" i="3"/>
  <c r="JT58" i="3"/>
  <c r="JT48" i="3"/>
  <c r="JT40" i="3"/>
  <c r="JT38" i="3"/>
  <c r="JT36" i="3"/>
  <c r="JW152" i="3"/>
  <c r="JW150" i="3"/>
  <c r="JW148" i="3"/>
  <c r="JW146" i="3"/>
  <c r="JW144" i="3"/>
  <c r="JW142" i="3"/>
  <c r="JW140" i="3"/>
  <c r="JW138" i="3"/>
  <c r="JW130" i="3"/>
  <c r="JW128" i="3"/>
  <c r="JW126" i="3"/>
  <c r="JW124" i="3"/>
  <c r="JW122" i="3"/>
  <c r="JW120" i="3"/>
  <c r="JW118" i="3"/>
  <c r="JW116" i="3"/>
  <c r="JW70" i="3"/>
  <c r="JW68" i="3"/>
  <c r="JW66" i="3"/>
  <c r="JW64" i="3"/>
  <c r="JW62" i="3"/>
  <c r="JW60" i="3"/>
  <c r="JW58" i="3"/>
  <c r="JW56" i="3"/>
  <c r="JW48" i="3"/>
  <c r="JW46" i="3"/>
  <c r="JW44" i="3"/>
  <c r="JW42" i="3"/>
  <c r="JW40" i="3"/>
  <c r="JW38" i="3"/>
  <c r="JW36" i="3"/>
  <c r="JW34" i="3"/>
  <c r="JR152" i="3"/>
  <c r="JR146" i="3"/>
  <c r="JR144" i="3"/>
  <c r="JR142" i="3"/>
  <c r="JR140" i="3"/>
  <c r="JR138" i="3"/>
  <c r="JR124" i="3"/>
  <c r="JR70" i="3"/>
  <c r="JR64" i="3"/>
  <c r="JR62" i="3"/>
  <c r="JR60" i="3"/>
  <c r="JR58" i="3"/>
  <c r="JR56" i="3"/>
  <c r="T49" i="5"/>
  <c r="K305" i="2"/>
  <c r="K304" i="2"/>
  <c r="G57" i="5"/>
  <c r="G55" i="5"/>
  <c r="K302" i="2"/>
  <c r="G49" i="5"/>
  <c r="G47" i="5"/>
  <c r="G45" i="5"/>
  <c r="G39" i="5"/>
  <c r="G37" i="5"/>
  <c r="G35" i="5"/>
  <c r="N196" i="2"/>
  <c r="N195" i="2"/>
  <c r="M196" i="2"/>
  <c r="M195" i="2"/>
  <c r="L196" i="2"/>
  <c r="L195" i="2"/>
  <c r="G33" i="5"/>
  <c r="G31" i="5"/>
  <c r="G29" i="5"/>
  <c r="G27" i="5"/>
  <c r="G25" i="5"/>
  <c r="G23" i="5"/>
  <c r="G21" i="5"/>
  <c r="L48" i="2"/>
  <c r="L47" i="2"/>
  <c r="L46" i="2"/>
  <c r="L45" i="2"/>
  <c r="L43" i="2"/>
  <c r="L42" i="2"/>
  <c r="L41" i="2"/>
  <c r="L40" i="2"/>
  <c r="L39" i="2"/>
  <c r="L38" i="2"/>
  <c r="L37" i="2"/>
  <c r="L35" i="2"/>
  <c r="L30" i="2"/>
  <c r="L29" i="2"/>
  <c r="T21" i="5"/>
  <c r="L27" i="2"/>
  <c r="T47" i="5"/>
  <c r="L26" i="2"/>
  <c r="L25" i="2"/>
  <c r="L22" i="2"/>
  <c r="L17" i="2"/>
  <c r="L14" i="2"/>
  <c r="L13" i="2"/>
  <c r="T45" i="5"/>
  <c r="T43" i="5"/>
  <c r="T41" i="5"/>
  <c r="T39" i="5"/>
  <c r="T37" i="5"/>
  <c r="T35" i="5"/>
  <c r="T33" i="5"/>
  <c r="T31" i="5"/>
  <c r="T29" i="5"/>
  <c r="T27" i="5"/>
  <c r="T23" i="5"/>
  <c r="T19" i="5"/>
  <c r="T17" i="5"/>
  <c r="T15" i="5"/>
  <c r="T13" i="5"/>
  <c r="T11" i="5"/>
  <c r="T9" i="5"/>
  <c r="T7" i="5"/>
  <c r="T5" i="5"/>
  <c r="T3" i="5"/>
  <c r="K12" i="3"/>
  <c r="I12" i="3"/>
  <c r="G12" i="3"/>
  <c r="K99" i="2"/>
  <c r="G17" i="5"/>
  <c r="G7" i="5"/>
  <c r="G9" i="5"/>
  <c r="G5" i="5"/>
  <c r="FB152" i="3"/>
  <c r="FB150" i="3"/>
  <c r="FB148" i="3"/>
  <c r="FB146" i="3"/>
  <c r="FB144" i="3"/>
  <c r="FB142" i="3"/>
  <c r="FB140" i="3"/>
  <c r="FB138" i="3"/>
  <c r="FB130" i="3"/>
  <c r="FB128" i="3"/>
  <c r="FB126" i="3"/>
  <c r="FB124" i="3"/>
  <c r="FB122" i="3"/>
  <c r="FB120" i="3"/>
  <c r="FB118" i="3"/>
  <c r="FB116" i="3"/>
  <c r="FB70" i="3"/>
  <c r="FB66" i="3"/>
  <c r="FB64" i="3"/>
  <c r="FB62" i="3"/>
  <c r="FB60" i="3"/>
  <c r="FB58" i="3"/>
  <c r="FB56" i="3"/>
  <c r="FB48" i="3"/>
  <c r="FB46" i="3"/>
  <c r="FB44" i="3"/>
  <c r="FB42" i="3"/>
  <c r="FB40" i="3"/>
  <c r="FB38" i="3"/>
  <c r="FB36" i="3"/>
  <c r="BQ18" i="11" l="1"/>
  <c r="AM7" i="2"/>
  <c r="AM21" i="2"/>
  <c r="K28" i="3"/>
  <c r="AU58" i="2"/>
  <c r="AU61" i="2"/>
  <c r="M68" i="3"/>
  <c r="M60" i="3"/>
  <c r="M66" i="3"/>
  <c r="M124" i="3"/>
  <c r="Z154" i="1"/>
  <c r="M150" i="3"/>
  <c r="M146" i="3"/>
  <c r="M142" i="3"/>
  <c r="M152" i="3"/>
  <c r="M148" i="3"/>
  <c r="M144" i="3"/>
  <c r="M140" i="3"/>
  <c r="M138" i="3"/>
  <c r="M116" i="3"/>
  <c r="M130" i="3"/>
  <c r="M58" i="3"/>
  <c r="M56" i="3"/>
  <c r="M64" i="3"/>
  <c r="M70" i="3"/>
  <c r="M62" i="3"/>
  <c r="M128" i="3"/>
  <c r="M120" i="3"/>
  <c r="M126" i="3"/>
  <c r="M122" i="3"/>
  <c r="AM8" i="2"/>
  <c r="AM13" i="2"/>
  <c r="AM22" i="2"/>
  <c r="AM35" i="2"/>
  <c r="AM39" i="2"/>
  <c r="AM41" i="2"/>
  <c r="AM43" i="2"/>
  <c r="CE128" i="3" s="1"/>
  <c r="CF128" i="3" s="1"/>
  <c r="AM46" i="2"/>
  <c r="AM12" i="2"/>
  <c r="AM17" i="2"/>
  <c r="AM30" i="2"/>
  <c r="AM38" i="2"/>
  <c r="AM40" i="2"/>
  <c r="AM42" i="2"/>
  <c r="AM45" i="2"/>
  <c r="AM47" i="2"/>
  <c r="CL19" i="2"/>
  <c r="CL20" i="2"/>
  <c r="CL18" i="2"/>
  <c r="DB8" i="2"/>
  <c r="DB9" i="2"/>
  <c r="DB10" i="2"/>
  <c r="DB11" i="2"/>
  <c r="DB12" i="2"/>
  <c r="DB13" i="2"/>
  <c r="DB14" i="2"/>
  <c r="DB15" i="2"/>
  <c r="DB16" i="2"/>
  <c r="DB17" i="2"/>
  <c r="DB18" i="2"/>
  <c r="DB19" i="2"/>
  <c r="DB20" i="2"/>
  <c r="DB22" i="2"/>
  <c r="DB23" i="2"/>
  <c r="DB24" i="2"/>
  <c r="DB25" i="2"/>
  <c r="DB26" i="2"/>
  <c r="DB27" i="2"/>
  <c r="DB28" i="2"/>
  <c r="DB29" i="2"/>
  <c r="DB30" i="2"/>
  <c r="DB31" i="2"/>
  <c r="DB32" i="2"/>
  <c r="DB33" i="2"/>
  <c r="DB34" i="2"/>
  <c r="DB35" i="2"/>
  <c r="DB36" i="2"/>
  <c r="DB37" i="2"/>
  <c r="DB38" i="2"/>
  <c r="DB39" i="2"/>
  <c r="DB40" i="2"/>
  <c r="DB41" i="2"/>
  <c r="DB42" i="2"/>
  <c r="DB43" i="2"/>
  <c r="DB44" i="2"/>
  <c r="DB45" i="2"/>
  <c r="DB46" i="2"/>
  <c r="DB47" i="2"/>
  <c r="DB48" i="2"/>
  <c r="CT41" i="2"/>
  <c r="CR41" i="2"/>
  <c r="CQ41" i="2"/>
  <c r="CO41" i="2"/>
  <c r="CL41" i="2"/>
  <c r="BI41" i="2"/>
  <c r="AS41" i="2"/>
  <c r="AC41" i="2"/>
  <c r="V25" i="1"/>
  <c r="V17" i="1"/>
  <c r="V15" i="1"/>
  <c r="V21" i="1"/>
  <c r="V23" i="1"/>
  <c r="V107" i="1"/>
  <c r="V99" i="1"/>
  <c r="V97" i="1"/>
  <c r="V103" i="1"/>
  <c r="V105" i="1"/>
  <c r="BR18" i="11" l="1"/>
  <c r="BU18" i="11" s="1"/>
  <c r="FB18" i="13"/>
  <c r="AC70" i="1"/>
  <c r="AC56" i="1"/>
  <c r="AC66" i="1"/>
  <c r="AC68" i="1"/>
  <c r="AC62" i="1"/>
  <c r="AC64" i="1"/>
  <c r="AC58" i="1"/>
  <c r="AC60" i="1"/>
  <c r="CE56" i="3"/>
  <c r="CF56" i="3" s="1"/>
  <c r="CE138" i="3"/>
  <c r="CF138" i="3" s="1"/>
  <c r="CE144" i="3"/>
  <c r="CF144" i="3" s="1"/>
  <c r="CE64" i="3"/>
  <c r="CF64" i="3" s="1"/>
  <c r="CE146" i="3"/>
  <c r="CF146" i="3" s="1"/>
  <c r="CE62" i="3"/>
  <c r="CF62" i="3" s="1"/>
  <c r="CE140" i="3"/>
  <c r="CF140" i="3" s="1"/>
  <c r="CE58" i="3"/>
  <c r="CF58" i="3" s="1"/>
  <c r="CE60" i="3"/>
  <c r="CF60" i="3" s="1"/>
  <c r="CE142" i="3"/>
  <c r="CF142" i="3" s="1"/>
  <c r="CE116" i="3"/>
  <c r="CF116" i="3" s="1"/>
  <c r="CE36" i="3"/>
  <c r="CF36" i="3" s="1"/>
  <c r="CE46" i="3"/>
  <c r="CF46" i="3" s="1"/>
  <c r="CE126" i="3"/>
  <c r="CF126" i="3" s="1"/>
  <c r="CE44" i="3"/>
  <c r="CF44" i="3" s="1"/>
  <c r="CE120" i="3"/>
  <c r="CF120" i="3" s="1"/>
  <c r="CE122" i="3"/>
  <c r="CF122" i="3" s="1"/>
  <c r="CE42" i="3"/>
  <c r="CF42" i="3" s="1"/>
  <c r="CE38" i="3"/>
  <c r="CF38" i="3" s="1"/>
  <c r="CE124" i="3"/>
  <c r="CF124" i="3" s="1"/>
  <c r="CE40" i="3"/>
  <c r="CF40" i="3" s="1"/>
  <c r="CE118" i="3"/>
  <c r="CF118" i="3" s="1"/>
  <c r="G218" i="6"/>
  <c r="AN54" i="4"/>
  <c r="NU18" i="11" l="1"/>
  <c r="MV18" i="11"/>
  <c r="KH18" i="13" s="1"/>
  <c r="BS18" i="11"/>
  <c r="BX18" i="11"/>
  <c r="ER18" i="11" s="1"/>
  <c r="I218" i="6"/>
  <c r="E218" i="6"/>
  <c r="U210" i="1"/>
  <c r="O210" i="1"/>
  <c r="H210" i="1"/>
  <c r="K310" i="2"/>
  <c r="K311" i="2"/>
  <c r="JQ152" i="1"/>
  <c r="JK152" i="1"/>
  <c r="JE152" i="1"/>
  <c r="IY152" i="1"/>
  <c r="IS152" i="1"/>
  <c r="IM152" i="1"/>
  <c r="IG152" i="1"/>
  <c r="IA152" i="1"/>
  <c r="HU152" i="1"/>
  <c r="HO152" i="1"/>
  <c r="HI152" i="1"/>
  <c r="HG152" i="1"/>
  <c r="EB152" i="1"/>
  <c r="JQ150" i="1"/>
  <c r="JK150" i="1"/>
  <c r="JE150" i="1"/>
  <c r="IY150" i="1"/>
  <c r="IS150" i="1"/>
  <c r="IM150" i="1"/>
  <c r="IG150" i="1"/>
  <c r="IA150" i="1"/>
  <c r="HU150" i="1"/>
  <c r="HO150" i="1"/>
  <c r="HI150" i="1"/>
  <c r="HG150" i="1"/>
  <c r="EB150" i="1"/>
  <c r="HG148" i="1"/>
  <c r="EB148" i="1"/>
  <c r="HG146" i="1"/>
  <c r="EB146" i="1"/>
  <c r="HG144" i="1"/>
  <c r="EB144" i="1"/>
  <c r="HG142" i="1"/>
  <c r="EB142" i="1"/>
  <c r="HG140" i="1"/>
  <c r="EB140" i="1"/>
  <c r="JQ138" i="1"/>
  <c r="JK138" i="1"/>
  <c r="JE138" i="1"/>
  <c r="IY138" i="1"/>
  <c r="IS138" i="1"/>
  <c r="IM138" i="1"/>
  <c r="IG138" i="1"/>
  <c r="IA138" i="1"/>
  <c r="HU138" i="1"/>
  <c r="HO138" i="1"/>
  <c r="HI138" i="1"/>
  <c r="HG138" i="1"/>
  <c r="EB138" i="1"/>
  <c r="JQ130" i="1"/>
  <c r="JK130" i="1"/>
  <c r="JE130" i="1"/>
  <c r="IY130" i="1"/>
  <c r="IS130" i="1"/>
  <c r="IM130" i="1"/>
  <c r="IG130" i="1"/>
  <c r="IA130" i="1"/>
  <c r="HU130" i="1"/>
  <c r="HO130" i="1"/>
  <c r="HI130" i="1"/>
  <c r="HG130" i="1"/>
  <c r="EB130" i="1"/>
  <c r="JQ128" i="1"/>
  <c r="JK128" i="1"/>
  <c r="JE128" i="1"/>
  <c r="IY128" i="1"/>
  <c r="IS128" i="1"/>
  <c r="IM128" i="1"/>
  <c r="IG128" i="1"/>
  <c r="IA128" i="1"/>
  <c r="HU128" i="1"/>
  <c r="HO128" i="1"/>
  <c r="HI128" i="1"/>
  <c r="HG128" i="1"/>
  <c r="EB128" i="1"/>
  <c r="HG126" i="1"/>
  <c r="EB126" i="1"/>
  <c r="HG124" i="1"/>
  <c r="EB124" i="1"/>
  <c r="HG122" i="1"/>
  <c r="EB122" i="1"/>
  <c r="HG120" i="1"/>
  <c r="EB120" i="1"/>
  <c r="HG118" i="1"/>
  <c r="EB118" i="1"/>
  <c r="DD152" i="1"/>
  <c r="DA152" i="1"/>
  <c r="CZ152" i="1"/>
  <c r="DY152" i="1"/>
  <c r="DV152" i="1"/>
  <c r="DP152" i="1"/>
  <c r="DJ152" i="1"/>
  <c r="CX152" i="1"/>
  <c r="BO152" i="1"/>
  <c r="DD150" i="1"/>
  <c r="DA150" i="1"/>
  <c r="CZ150" i="1"/>
  <c r="DY150" i="1"/>
  <c r="DV150" i="1"/>
  <c r="DP150" i="1"/>
  <c r="DJ150" i="1"/>
  <c r="CX150" i="1"/>
  <c r="BO150" i="1"/>
  <c r="DD148" i="1"/>
  <c r="DA148" i="1"/>
  <c r="DV148" i="1"/>
  <c r="CX148" i="1"/>
  <c r="BO148" i="1"/>
  <c r="DD146" i="1"/>
  <c r="DA146" i="1"/>
  <c r="CX146" i="1"/>
  <c r="BO146" i="1"/>
  <c r="DD144" i="1"/>
  <c r="DA144" i="1"/>
  <c r="DV144" i="1"/>
  <c r="CX144" i="1"/>
  <c r="BO144" i="1"/>
  <c r="DD142" i="1"/>
  <c r="DA142" i="1"/>
  <c r="DV142" i="1"/>
  <c r="CX142" i="1"/>
  <c r="BO142" i="1"/>
  <c r="DD140" i="1"/>
  <c r="DA140" i="1"/>
  <c r="DV140" i="1"/>
  <c r="CX140" i="1"/>
  <c r="BO140" i="1"/>
  <c r="DD138" i="1"/>
  <c r="DA138" i="1"/>
  <c r="CZ138" i="1"/>
  <c r="DY138" i="1"/>
  <c r="DV138" i="1"/>
  <c r="DP138" i="1"/>
  <c r="DJ138" i="1"/>
  <c r="CX138" i="1"/>
  <c r="BO138" i="1"/>
  <c r="DD130" i="1"/>
  <c r="DA130" i="1"/>
  <c r="CZ130" i="1"/>
  <c r="DY130" i="1"/>
  <c r="DV130" i="1"/>
  <c r="DP130" i="1"/>
  <c r="DJ130" i="1"/>
  <c r="CX130" i="1"/>
  <c r="DD128" i="1"/>
  <c r="DA128" i="1"/>
  <c r="CZ128" i="1"/>
  <c r="DY128" i="1"/>
  <c r="DV128" i="1"/>
  <c r="DP128" i="1"/>
  <c r="DJ128" i="1"/>
  <c r="CX128" i="1"/>
  <c r="DD126" i="1"/>
  <c r="DA126" i="1"/>
  <c r="DV126" i="1"/>
  <c r="CX126" i="1"/>
  <c r="BO126" i="1"/>
  <c r="DD124" i="1"/>
  <c r="DA124" i="1"/>
  <c r="CX124" i="1"/>
  <c r="BO124" i="1"/>
  <c r="DD122" i="1"/>
  <c r="DA122" i="1"/>
  <c r="DV122" i="1"/>
  <c r="CX122" i="1"/>
  <c r="DD120" i="1"/>
  <c r="DA120" i="1"/>
  <c r="CX120" i="1"/>
  <c r="DD118" i="1"/>
  <c r="DA118" i="1"/>
  <c r="CX118" i="1"/>
  <c r="AF152" i="1"/>
  <c r="CR152" i="1"/>
  <c r="AF150" i="1"/>
  <c r="AF148" i="1"/>
  <c r="AF146" i="1"/>
  <c r="AF144" i="1"/>
  <c r="AF142" i="1"/>
  <c r="AF140" i="1"/>
  <c r="AF138" i="1"/>
  <c r="AF130" i="1"/>
  <c r="AF128" i="1"/>
  <c r="AF126" i="1"/>
  <c r="AF124" i="1"/>
  <c r="AF122" i="1"/>
  <c r="AF120" i="1"/>
  <c r="AF118" i="1"/>
  <c r="HG116" i="1"/>
  <c r="EB116" i="1"/>
  <c r="DD116" i="1"/>
  <c r="DA116" i="1"/>
  <c r="CX116" i="1"/>
  <c r="AF116" i="1"/>
  <c r="Q181" i="6"/>
  <c r="N181" i="6"/>
  <c r="N155" i="6"/>
  <c r="N153" i="6"/>
  <c r="I82" i="6"/>
  <c r="E82" i="6"/>
  <c r="B82" i="6"/>
  <c r="I81" i="6"/>
  <c r="E81" i="6"/>
  <c r="B81" i="6"/>
  <c r="I80" i="6"/>
  <c r="E80" i="6"/>
  <c r="B80" i="6"/>
  <c r="I79" i="6"/>
  <c r="E79" i="6"/>
  <c r="B79" i="6"/>
  <c r="I78" i="6"/>
  <c r="E78" i="6"/>
  <c r="B78" i="6"/>
  <c r="I77" i="6"/>
  <c r="E77" i="6"/>
  <c r="B77" i="6"/>
  <c r="I76" i="6"/>
  <c r="E76" i="6"/>
  <c r="B76" i="6"/>
  <c r="I75" i="6"/>
  <c r="E75" i="6"/>
  <c r="B75" i="6"/>
  <c r="Q169" i="1"/>
  <c r="N169" i="1"/>
  <c r="K169" i="1"/>
  <c r="K161" i="1"/>
  <c r="T110" i="3"/>
  <c r="S110" i="3"/>
  <c r="JL118" i="3" s="1"/>
  <c r="FB118" i="1" s="1"/>
  <c r="R110" i="3"/>
  <c r="K110" i="3"/>
  <c r="L134" i="3"/>
  <c r="K134" i="3"/>
  <c r="J134" i="3"/>
  <c r="F134" i="3"/>
  <c r="F160" i="3"/>
  <c r="Q160" i="3"/>
  <c r="E160" i="3"/>
  <c r="QK152" i="3"/>
  <c r="QJ152" i="3"/>
  <c r="QI152" i="3"/>
  <c r="QG152" i="3"/>
  <c r="QE152" i="3"/>
  <c r="PO152" i="3"/>
  <c r="PL152" i="3"/>
  <c r="PI152" i="3"/>
  <c r="PG152" i="3"/>
  <c r="PD152" i="3"/>
  <c r="PA152" i="3"/>
  <c r="OY152" i="3"/>
  <c r="OV152" i="3"/>
  <c r="OU152" i="3"/>
  <c r="OT152" i="3"/>
  <c r="OQ152" i="3"/>
  <c r="OP152" i="3"/>
  <c r="OK152" i="3"/>
  <c r="OJ152" i="3"/>
  <c r="OI152" i="3"/>
  <c r="OD152" i="3"/>
  <c r="OC152" i="3"/>
  <c r="OB152" i="3"/>
  <c r="NY152" i="3"/>
  <c r="NW152" i="3"/>
  <c r="NH152" i="3"/>
  <c r="NG152" i="3"/>
  <c r="NA152" i="3"/>
  <c r="NB152" i="3" s="1"/>
  <c r="NC152" i="3" s="1"/>
  <c r="ND152" i="3" s="1"/>
  <c r="KK152" i="3"/>
  <c r="KL152" i="3" s="1"/>
  <c r="KM152" i="3" s="1"/>
  <c r="GF152" i="1" s="1"/>
  <c r="JX152" i="3"/>
  <c r="JV152" i="3"/>
  <c r="JU152" i="3"/>
  <c r="JS152" i="3"/>
  <c r="JM152" i="3"/>
  <c r="JL152" i="3"/>
  <c r="FB152" i="1" s="1"/>
  <c r="IQ152" i="3"/>
  <c r="IJ152" i="3"/>
  <c r="II152" i="3"/>
  <c r="HU152" i="3"/>
  <c r="HD152" i="3"/>
  <c r="HC152" i="3"/>
  <c r="HA152" i="3"/>
  <c r="GZ152" i="3"/>
  <c r="GV152" i="3"/>
  <c r="GW152" i="3" s="1"/>
  <c r="GS152" i="3"/>
  <c r="GT152" i="3" s="1"/>
  <c r="FN152" i="3"/>
  <c r="FM152" i="3"/>
  <c r="FG152" i="3"/>
  <c r="FE152" i="3"/>
  <c r="FC152" i="3"/>
  <c r="FA152" i="3"/>
  <c r="EZ152" i="3"/>
  <c r="EP152" i="3"/>
  <c r="EE152" i="3"/>
  <c r="DR152" i="3"/>
  <c r="DL152" i="3"/>
  <c r="DI152" i="3"/>
  <c r="CS152" i="3"/>
  <c r="BS152" i="3"/>
  <c r="BT152" i="3" s="1"/>
  <c r="BN152" i="3"/>
  <c r="BK152" i="3"/>
  <c r="AT152" i="3"/>
  <c r="AD152" i="3"/>
  <c r="AC152" i="3"/>
  <c r="AB152" i="3"/>
  <c r="QK150" i="3"/>
  <c r="QJ150" i="3"/>
  <c r="QI150" i="3"/>
  <c r="QG150" i="3"/>
  <c r="QF150" i="3"/>
  <c r="QE150" i="3"/>
  <c r="PO150" i="3"/>
  <c r="PL150" i="3"/>
  <c r="PI150" i="3"/>
  <c r="PG150" i="3"/>
  <c r="PD150" i="3"/>
  <c r="PA150" i="3"/>
  <c r="OY150" i="3"/>
  <c r="OV150" i="3"/>
  <c r="OU150" i="3"/>
  <c r="OT150" i="3"/>
  <c r="OQ150" i="3"/>
  <c r="OP150" i="3"/>
  <c r="OK150" i="3"/>
  <c r="OJ150" i="3"/>
  <c r="OI150" i="3"/>
  <c r="OD150" i="3"/>
  <c r="OC150" i="3"/>
  <c r="OB150" i="3"/>
  <c r="NY150" i="3"/>
  <c r="NW150" i="3"/>
  <c r="NH150" i="3"/>
  <c r="NG150" i="3"/>
  <c r="NA150" i="3"/>
  <c r="NB150" i="3" s="1"/>
  <c r="NC150" i="3" s="1"/>
  <c r="ND150" i="3" s="1"/>
  <c r="KK150" i="3"/>
  <c r="KL150" i="3" s="1"/>
  <c r="KM150" i="3" s="1"/>
  <c r="GF150" i="1" s="1"/>
  <c r="JX150" i="3"/>
  <c r="JV150" i="3"/>
  <c r="JU150" i="3"/>
  <c r="JS150" i="3"/>
  <c r="JM150" i="3"/>
  <c r="JL150" i="3"/>
  <c r="FB150" i="1" s="1"/>
  <c r="IQ150" i="3"/>
  <c r="IJ150" i="3"/>
  <c r="II150" i="3"/>
  <c r="HU150" i="3"/>
  <c r="HD150" i="3"/>
  <c r="HC150" i="3"/>
  <c r="HA150" i="3"/>
  <c r="GZ150" i="3"/>
  <c r="GV150" i="3"/>
  <c r="GW150" i="3" s="1"/>
  <c r="GS150" i="3"/>
  <c r="GT150" i="3" s="1"/>
  <c r="FN150" i="3"/>
  <c r="FM150" i="3"/>
  <c r="FG150" i="3"/>
  <c r="FC150" i="3"/>
  <c r="FA150" i="3"/>
  <c r="EZ150" i="3"/>
  <c r="EP150" i="3"/>
  <c r="EE150" i="3"/>
  <c r="DR150" i="3"/>
  <c r="DL150" i="3"/>
  <c r="DI150" i="3"/>
  <c r="CS150" i="3"/>
  <c r="BS150" i="3"/>
  <c r="BT150" i="3" s="1"/>
  <c r="BN150" i="3"/>
  <c r="BK150" i="3"/>
  <c r="BF150" i="3"/>
  <c r="AT150" i="3"/>
  <c r="AD150" i="3"/>
  <c r="AC150" i="3"/>
  <c r="AB150" i="3"/>
  <c r="QK148" i="3"/>
  <c r="QJ148" i="3"/>
  <c r="QI148" i="3"/>
  <c r="QG148" i="3"/>
  <c r="QF148" i="3"/>
  <c r="QE148" i="3"/>
  <c r="PO148" i="3"/>
  <c r="PL148" i="3"/>
  <c r="PI148" i="3"/>
  <c r="PG148" i="3"/>
  <c r="PD148" i="3"/>
  <c r="PA148" i="3"/>
  <c r="OY148" i="3"/>
  <c r="OV148" i="3"/>
  <c r="OU148" i="3"/>
  <c r="OT148" i="3"/>
  <c r="OQ148" i="3"/>
  <c r="OP148" i="3"/>
  <c r="OK148" i="3"/>
  <c r="OJ148" i="3"/>
  <c r="OI148" i="3"/>
  <c r="OD148" i="3"/>
  <c r="OC148" i="3"/>
  <c r="OB148" i="3"/>
  <c r="NY148" i="3"/>
  <c r="NW148" i="3"/>
  <c r="NH148" i="3"/>
  <c r="NG148" i="3"/>
  <c r="NA148" i="3"/>
  <c r="NB148" i="3" s="1"/>
  <c r="NC148" i="3" s="1"/>
  <c r="ND148" i="3" s="1"/>
  <c r="KK148" i="3"/>
  <c r="KL148" i="3" s="1"/>
  <c r="KM148" i="3" s="1"/>
  <c r="GF148" i="1" s="1"/>
  <c r="JX148" i="3"/>
  <c r="JV148" i="3"/>
  <c r="JU148" i="3"/>
  <c r="JS148" i="3"/>
  <c r="JM148" i="3"/>
  <c r="JL148" i="3"/>
  <c r="FB148" i="1" s="1"/>
  <c r="IQ148" i="3"/>
  <c r="IJ148" i="3"/>
  <c r="II148" i="3"/>
  <c r="HU148" i="3"/>
  <c r="HD148" i="3"/>
  <c r="HC148" i="3"/>
  <c r="HA148" i="3"/>
  <c r="GZ148" i="3"/>
  <c r="GV148" i="3"/>
  <c r="GW148" i="3" s="1"/>
  <c r="GS148" i="3"/>
  <c r="GT148" i="3" s="1"/>
  <c r="FN148" i="3"/>
  <c r="FM148" i="3"/>
  <c r="FG148" i="3"/>
  <c r="FC148" i="3"/>
  <c r="FA148" i="3"/>
  <c r="EZ148" i="3"/>
  <c r="EP148" i="3"/>
  <c r="EE148" i="3"/>
  <c r="DR148" i="3"/>
  <c r="DL148" i="3"/>
  <c r="DI148" i="3"/>
  <c r="CS148" i="3"/>
  <c r="BS148" i="3"/>
  <c r="BT148" i="3" s="1"/>
  <c r="BN148" i="3"/>
  <c r="BK148" i="3"/>
  <c r="BF148" i="3"/>
  <c r="AT148" i="3"/>
  <c r="AD148" i="3"/>
  <c r="AC148" i="3"/>
  <c r="AB148" i="3"/>
  <c r="QK146" i="3"/>
  <c r="QJ146" i="3"/>
  <c r="QI146" i="3"/>
  <c r="QG146" i="3"/>
  <c r="PO146" i="3"/>
  <c r="PL146" i="3"/>
  <c r="PI146" i="3"/>
  <c r="PG146" i="3"/>
  <c r="PD146" i="3"/>
  <c r="PA146" i="3"/>
  <c r="OY146" i="3"/>
  <c r="OV146" i="3"/>
  <c r="OU146" i="3"/>
  <c r="OT146" i="3"/>
  <c r="OQ146" i="3"/>
  <c r="OP146" i="3"/>
  <c r="OK146" i="3"/>
  <c r="OJ146" i="3"/>
  <c r="OI146" i="3"/>
  <c r="OD146" i="3"/>
  <c r="OC146" i="3"/>
  <c r="OB146" i="3"/>
  <c r="NY146" i="3"/>
  <c r="NW146" i="3"/>
  <c r="NA146" i="3"/>
  <c r="NB146" i="3" s="1"/>
  <c r="NC146" i="3" s="1"/>
  <c r="ND146" i="3" s="1"/>
  <c r="KK146" i="3"/>
  <c r="KL146" i="3" s="1"/>
  <c r="KM146" i="3" s="1"/>
  <c r="GF146" i="1" s="1"/>
  <c r="JX146" i="3"/>
  <c r="JV146" i="3"/>
  <c r="JU146" i="3"/>
  <c r="JS146" i="3"/>
  <c r="JM146" i="3"/>
  <c r="JL146" i="3"/>
  <c r="FB146" i="1" s="1"/>
  <c r="IQ146" i="3"/>
  <c r="IJ146" i="3"/>
  <c r="II146" i="3"/>
  <c r="HU146" i="3"/>
  <c r="HD146" i="3"/>
  <c r="HC146" i="3"/>
  <c r="HA146" i="3"/>
  <c r="GZ146" i="3"/>
  <c r="GV146" i="3"/>
  <c r="GW146" i="3" s="1"/>
  <c r="GS146" i="3"/>
  <c r="GT146" i="3" s="1"/>
  <c r="FN146" i="3"/>
  <c r="FM146" i="3"/>
  <c r="FE146" i="3"/>
  <c r="FC146" i="3"/>
  <c r="FA146" i="3"/>
  <c r="EZ146" i="3"/>
  <c r="EP146" i="3"/>
  <c r="EE146" i="3"/>
  <c r="DR146" i="3"/>
  <c r="DL146" i="3"/>
  <c r="DI146" i="3"/>
  <c r="CS146" i="3"/>
  <c r="BS146" i="3"/>
  <c r="BT146" i="3" s="1"/>
  <c r="BN146" i="3"/>
  <c r="BK146" i="3"/>
  <c r="BF146" i="3"/>
  <c r="AT146" i="3"/>
  <c r="AD146" i="3"/>
  <c r="AC146" i="3"/>
  <c r="AB146" i="3"/>
  <c r="QK144" i="3"/>
  <c r="QJ144" i="3"/>
  <c r="QI144" i="3"/>
  <c r="QG144" i="3"/>
  <c r="PO144" i="3"/>
  <c r="PL144" i="3"/>
  <c r="PI144" i="3"/>
  <c r="PG144" i="3"/>
  <c r="PD144" i="3"/>
  <c r="PA144" i="3"/>
  <c r="OY144" i="3"/>
  <c r="OV144" i="3"/>
  <c r="OU144" i="3"/>
  <c r="OT144" i="3"/>
  <c r="OQ144" i="3"/>
  <c r="OP144" i="3"/>
  <c r="OK144" i="3"/>
  <c r="OJ144" i="3"/>
  <c r="OI144" i="3"/>
  <c r="OD144" i="3"/>
  <c r="OC144" i="3"/>
  <c r="OB144" i="3"/>
  <c r="NY144" i="3"/>
  <c r="NW144" i="3"/>
  <c r="NH144" i="3"/>
  <c r="NG144" i="3"/>
  <c r="NA144" i="3"/>
  <c r="NB144" i="3" s="1"/>
  <c r="NC144" i="3" s="1"/>
  <c r="ND144" i="3" s="1"/>
  <c r="KK144" i="3"/>
  <c r="KL144" i="3" s="1"/>
  <c r="KM144" i="3" s="1"/>
  <c r="GF144" i="1" s="1"/>
  <c r="JX144" i="3"/>
  <c r="JV144" i="3"/>
  <c r="JU144" i="3"/>
  <c r="JS144" i="3"/>
  <c r="JM144" i="3"/>
  <c r="JL144" i="3"/>
  <c r="FB144" i="1" s="1"/>
  <c r="IQ144" i="3"/>
  <c r="IJ144" i="3"/>
  <c r="II144" i="3"/>
  <c r="HU144" i="3"/>
  <c r="HD144" i="3"/>
  <c r="HC144" i="3"/>
  <c r="HA144" i="3"/>
  <c r="GZ144" i="3"/>
  <c r="GV144" i="3"/>
  <c r="GW144" i="3" s="1"/>
  <c r="GS144" i="3"/>
  <c r="GT144" i="3" s="1"/>
  <c r="FN144" i="3"/>
  <c r="FM144" i="3"/>
  <c r="FG144" i="3"/>
  <c r="FE144" i="3"/>
  <c r="FC144" i="3"/>
  <c r="FA144" i="3"/>
  <c r="EZ144" i="3"/>
  <c r="EP144" i="3"/>
  <c r="EE144" i="3"/>
  <c r="DR144" i="3"/>
  <c r="DL144" i="3"/>
  <c r="DI144" i="3"/>
  <c r="CS144" i="3"/>
  <c r="BS144" i="3"/>
  <c r="BT144" i="3" s="1"/>
  <c r="BN144" i="3"/>
  <c r="BK144" i="3"/>
  <c r="AT144" i="3"/>
  <c r="AD144" i="3"/>
  <c r="AC144" i="3"/>
  <c r="AB144" i="3"/>
  <c r="QK142" i="3"/>
  <c r="QJ142" i="3"/>
  <c r="QI142" i="3"/>
  <c r="QG142" i="3"/>
  <c r="QF142" i="3"/>
  <c r="QE142" i="3"/>
  <c r="PO142" i="3"/>
  <c r="PL142" i="3"/>
  <c r="PI142" i="3"/>
  <c r="PG142" i="3"/>
  <c r="PD142" i="3"/>
  <c r="PA142" i="3"/>
  <c r="OY142" i="3"/>
  <c r="OV142" i="3"/>
  <c r="OU142" i="3"/>
  <c r="OT142" i="3"/>
  <c r="OQ142" i="3"/>
  <c r="OP142" i="3"/>
  <c r="OK142" i="3"/>
  <c r="OJ142" i="3"/>
  <c r="OI142" i="3"/>
  <c r="OD142" i="3"/>
  <c r="OC142" i="3"/>
  <c r="OB142" i="3"/>
  <c r="NY142" i="3"/>
  <c r="NW142" i="3"/>
  <c r="NH142" i="3"/>
  <c r="NG142" i="3"/>
  <c r="NA142" i="3"/>
  <c r="NB142" i="3" s="1"/>
  <c r="NC142" i="3" s="1"/>
  <c r="ND142" i="3" s="1"/>
  <c r="KK142" i="3"/>
  <c r="KL142" i="3" s="1"/>
  <c r="KM142" i="3" s="1"/>
  <c r="GF142" i="1" s="1"/>
  <c r="JX142" i="3"/>
  <c r="JV142" i="3"/>
  <c r="JU142" i="3"/>
  <c r="JS142" i="3"/>
  <c r="JM142" i="3"/>
  <c r="JL142" i="3"/>
  <c r="FB142" i="1" s="1"/>
  <c r="IQ142" i="3"/>
  <c r="IJ142" i="3"/>
  <c r="II142" i="3"/>
  <c r="HU142" i="3"/>
  <c r="HD142" i="3"/>
  <c r="HC142" i="3"/>
  <c r="HA142" i="3"/>
  <c r="GZ142" i="3"/>
  <c r="GV142" i="3"/>
  <c r="GW142" i="3" s="1"/>
  <c r="GS142" i="3"/>
  <c r="GT142" i="3" s="1"/>
  <c r="FN142" i="3"/>
  <c r="FM142" i="3"/>
  <c r="FG142" i="3"/>
  <c r="FE142" i="3"/>
  <c r="FC142" i="3"/>
  <c r="FA142" i="3"/>
  <c r="EZ142" i="3"/>
  <c r="EP142" i="3"/>
  <c r="EE142" i="3"/>
  <c r="DR142" i="3"/>
  <c r="DL142" i="3"/>
  <c r="DI142" i="3"/>
  <c r="CS142" i="3"/>
  <c r="BS142" i="3"/>
  <c r="BT142" i="3" s="1"/>
  <c r="BN142" i="3"/>
  <c r="BK142" i="3"/>
  <c r="BF142" i="3"/>
  <c r="AT142" i="3"/>
  <c r="AD142" i="3"/>
  <c r="AC142" i="3"/>
  <c r="AB142" i="3"/>
  <c r="QK140" i="3"/>
  <c r="QJ140" i="3"/>
  <c r="QI140" i="3"/>
  <c r="QG140" i="3"/>
  <c r="QE140" i="3"/>
  <c r="PO140" i="3"/>
  <c r="PL140" i="3"/>
  <c r="PI140" i="3"/>
  <c r="PG140" i="3"/>
  <c r="PD140" i="3"/>
  <c r="PA140" i="3"/>
  <c r="OY140" i="3"/>
  <c r="OV140" i="3"/>
  <c r="OU140" i="3"/>
  <c r="OT140" i="3"/>
  <c r="OQ140" i="3"/>
  <c r="OP140" i="3"/>
  <c r="OK140" i="3"/>
  <c r="OJ140" i="3"/>
  <c r="OI140" i="3"/>
  <c r="OD140" i="3"/>
  <c r="OC140" i="3"/>
  <c r="OB140" i="3"/>
  <c r="NY140" i="3"/>
  <c r="NW140" i="3"/>
  <c r="NH140" i="3"/>
  <c r="NG140" i="3"/>
  <c r="NA140" i="3"/>
  <c r="NB140" i="3" s="1"/>
  <c r="NC140" i="3" s="1"/>
  <c r="ND140" i="3" s="1"/>
  <c r="KK140" i="3"/>
  <c r="KL140" i="3" s="1"/>
  <c r="KM140" i="3" s="1"/>
  <c r="GF140" i="1" s="1"/>
  <c r="JX140" i="3"/>
  <c r="JV140" i="3"/>
  <c r="JU140" i="3"/>
  <c r="JS140" i="3"/>
  <c r="JM140" i="3"/>
  <c r="JL140" i="3"/>
  <c r="FB140" i="1" s="1"/>
  <c r="IQ140" i="3"/>
  <c r="IJ140" i="3"/>
  <c r="II140" i="3"/>
  <c r="HU140" i="3"/>
  <c r="HD140" i="3"/>
  <c r="HC140" i="3"/>
  <c r="HA140" i="3"/>
  <c r="GZ140" i="3"/>
  <c r="GV140" i="3"/>
  <c r="GW140" i="3" s="1"/>
  <c r="GS140" i="3"/>
  <c r="GT140" i="3" s="1"/>
  <c r="FN140" i="3"/>
  <c r="FM140" i="3"/>
  <c r="FG140" i="3"/>
  <c r="FE140" i="3"/>
  <c r="FC140" i="3"/>
  <c r="FA140" i="3"/>
  <c r="EZ140" i="3"/>
  <c r="EP140" i="3"/>
  <c r="EE140" i="3"/>
  <c r="DR140" i="3"/>
  <c r="DL140" i="3"/>
  <c r="DI140" i="3"/>
  <c r="CS140" i="3"/>
  <c r="BS140" i="3"/>
  <c r="BT140" i="3" s="1"/>
  <c r="BN140" i="3"/>
  <c r="BK140" i="3"/>
  <c r="BF140" i="3"/>
  <c r="AT140" i="3"/>
  <c r="AD140" i="3"/>
  <c r="AC140" i="3"/>
  <c r="AB140" i="3"/>
  <c r="JL70" i="3"/>
  <c r="JM70" i="3"/>
  <c r="JM64" i="3"/>
  <c r="JM62" i="3"/>
  <c r="JM58" i="3"/>
  <c r="JM56" i="3"/>
  <c r="NA138" i="3"/>
  <c r="NB138" i="3" s="1"/>
  <c r="NC138" i="3" s="1"/>
  <c r="KK138" i="3"/>
  <c r="KL138" i="3" s="1"/>
  <c r="KM138" i="3" s="1"/>
  <c r="KN138" i="3" s="1"/>
  <c r="JX138" i="3"/>
  <c r="JV138" i="3"/>
  <c r="JU138" i="3"/>
  <c r="JS138" i="3"/>
  <c r="JM138" i="3"/>
  <c r="JL138" i="3"/>
  <c r="FB138" i="1" s="1"/>
  <c r="IQ138" i="3"/>
  <c r="HU138" i="3"/>
  <c r="EZ138" i="3"/>
  <c r="BF138" i="3"/>
  <c r="QK138" i="3"/>
  <c r="QJ138" i="3"/>
  <c r="QI138" i="3"/>
  <c r="QG138" i="3"/>
  <c r="PO138" i="3"/>
  <c r="PL138" i="3"/>
  <c r="PI138" i="3"/>
  <c r="PG138" i="3"/>
  <c r="PD138" i="3"/>
  <c r="PA138" i="3"/>
  <c r="OY138" i="3"/>
  <c r="OV138" i="3"/>
  <c r="OU138" i="3"/>
  <c r="OT138" i="3"/>
  <c r="OQ138" i="3"/>
  <c r="OP138" i="3"/>
  <c r="OK138" i="3"/>
  <c r="OJ138" i="3"/>
  <c r="OI138" i="3"/>
  <c r="OD138" i="3"/>
  <c r="OC138" i="3"/>
  <c r="OB138" i="3"/>
  <c r="NY138" i="3"/>
  <c r="NW138" i="3"/>
  <c r="NH138" i="3"/>
  <c r="NG138" i="3"/>
  <c r="IJ138" i="3"/>
  <c r="II138" i="3"/>
  <c r="HD138" i="3"/>
  <c r="HC138" i="3"/>
  <c r="HA138" i="3"/>
  <c r="GZ138" i="3"/>
  <c r="GV138" i="3"/>
  <c r="GW138" i="3" s="1"/>
  <c r="GS138" i="3"/>
  <c r="GT138" i="3" s="1"/>
  <c r="FN138" i="3"/>
  <c r="FM138" i="3"/>
  <c r="FG138" i="3"/>
  <c r="FE138" i="3"/>
  <c r="FC138" i="3"/>
  <c r="FA138" i="3"/>
  <c r="EP138" i="3"/>
  <c r="EE138" i="3"/>
  <c r="DR138" i="3"/>
  <c r="DL138" i="3"/>
  <c r="DI138" i="3"/>
  <c r="CS138" i="3"/>
  <c r="BS138" i="3"/>
  <c r="BT138" i="3" s="1"/>
  <c r="BN138" i="3"/>
  <c r="BK138" i="3"/>
  <c r="AT138" i="3"/>
  <c r="AD138" i="3"/>
  <c r="AC138" i="3"/>
  <c r="AB138" i="3"/>
  <c r="PO130" i="3"/>
  <c r="PL130" i="3"/>
  <c r="PI130" i="3"/>
  <c r="PG130" i="3"/>
  <c r="PD130" i="3"/>
  <c r="PA130" i="3"/>
  <c r="OY130" i="3"/>
  <c r="OV130" i="3"/>
  <c r="OU130" i="3"/>
  <c r="OT130" i="3"/>
  <c r="OQ130" i="3"/>
  <c r="OP130" i="3"/>
  <c r="OK130" i="3"/>
  <c r="OJ130" i="3"/>
  <c r="OI130" i="3"/>
  <c r="OD130" i="3"/>
  <c r="OC130" i="3"/>
  <c r="OB130" i="3"/>
  <c r="NY130" i="3"/>
  <c r="NW130" i="3"/>
  <c r="NH130" i="3"/>
  <c r="NG130" i="3"/>
  <c r="NA130" i="3"/>
  <c r="NB130" i="3" s="1"/>
  <c r="NC130" i="3" s="1"/>
  <c r="ND130" i="3" s="1"/>
  <c r="KK130" i="3"/>
  <c r="KL130" i="3" s="1"/>
  <c r="KM130" i="3" s="1"/>
  <c r="JX130" i="3"/>
  <c r="JV130" i="3"/>
  <c r="JU130" i="3"/>
  <c r="JS130" i="3"/>
  <c r="JM130" i="3"/>
  <c r="JL130" i="3"/>
  <c r="FB130" i="1" s="1"/>
  <c r="IQ130" i="3"/>
  <c r="IJ130" i="3"/>
  <c r="II130" i="3"/>
  <c r="HU130" i="3"/>
  <c r="HD130" i="3"/>
  <c r="HC130" i="3"/>
  <c r="HA130" i="3"/>
  <c r="GZ130" i="3"/>
  <c r="GV130" i="3"/>
  <c r="GW130" i="3" s="1"/>
  <c r="GS130" i="3"/>
  <c r="GT130" i="3" s="1"/>
  <c r="FN130" i="3"/>
  <c r="FG130" i="3"/>
  <c r="FE130" i="3"/>
  <c r="FC130" i="3"/>
  <c r="FA130" i="3"/>
  <c r="EZ130" i="3"/>
  <c r="EP130" i="3"/>
  <c r="EE130" i="3"/>
  <c r="DL130" i="3"/>
  <c r="DI130" i="3"/>
  <c r="CS130" i="3"/>
  <c r="BN130" i="3"/>
  <c r="BK130" i="3"/>
  <c r="AT130" i="3"/>
  <c r="AD130" i="3"/>
  <c r="AC130" i="3"/>
  <c r="AB130" i="3"/>
  <c r="PO128" i="3"/>
  <c r="PL128" i="3"/>
  <c r="PI128" i="3"/>
  <c r="PG128" i="3"/>
  <c r="PD128" i="3"/>
  <c r="PA128" i="3"/>
  <c r="OY128" i="3"/>
  <c r="OV128" i="3"/>
  <c r="OU128" i="3"/>
  <c r="OT128" i="3"/>
  <c r="OQ128" i="3"/>
  <c r="OP128" i="3"/>
  <c r="OK128" i="3"/>
  <c r="OJ128" i="3"/>
  <c r="OI128" i="3"/>
  <c r="OD128" i="3"/>
  <c r="OC128" i="3"/>
  <c r="OB128" i="3"/>
  <c r="NY128" i="3"/>
  <c r="NW128" i="3"/>
  <c r="NH128" i="3"/>
  <c r="NG128" i="3"/>
  <c r="NA128" i="3"/>
  <c r="NB128" i="3" s="1"/>
  <c r="NC128" i="3" s="1"/>
  <c r="ND128" i="3" s="1"/>
  <c r="KM128" i="3"/>
  <c r="KN128" i="3" s="1"/>
  <c r="KK128" i="3"/>
  <c r="KL128" i="3" s="1"/>
  <c r="JX128" i="3"/>
  <c r="JV128" i="3"/>
  <c r="JU128" i="3"/>
  <c r="JS128" i="3"/>
  <c r="JM128" i="3"/>
  <c r="IQ128" i="3"/>
  <c r="IJ128" i="3"/>
  <c r="II128" i="3"/>
  <c r="HU128" i="3"/>
  <c r="HD128" i="3"/>
  <c r="HC128" i="3"/>
  <c r="HA128" i="3"/>
  <c r="GZ128" i="3"/>
  <c r="GV128" i="3"/>
  <c r="GW128" i="3" s="1"/>
  <c r="GS128" i="3"/>
  <c r="GT128" i="3" s="1"/>
  <c r="FN128" i="3"/>
  <c r="FG128" i="3"/>
  <c r="FC128" i="3"/>
  <c r="FA128" i="3"/>
  <c r="EZ128" i="3"/>
  <c r="EP128" i="3"/>
  <c r="EE128" i="3"/>
  <c r="DL128" i="3"/>
  <c r="DI128" i="3"/>
  <c r="CS128" i="3"/>
  <c r="BN128" i="3"/>
  <c r="BK128" i="3"/>
  <c r="BF128" i="3"/>
  <c r="AT128" i="3"/>
  <c r="AD128" i="3"/>
  <c r="AC128" i="3"/>
  <c r="AB128" i="3"/>
  <c r="PO126" i="3"/>
  <c r="PL126" i="3"/>
  <c r="PI126" i="3"/>
  <c r="PG126" i="3"/>
  <c r="PD126" i="3"/>
  <c r="PA126" i="3"/>
  <c r="OY126" i="3"/>
  <c r="OV126" i="3"/>
  <c r="OU126" i="3"/>
  <c r="OT126" i="3"/>
  <c r="OQ126" i="3"/>
  <c r="OP126" i="3"/>
  <c r="OK126" i="3"/>
  <c r="OJ126" i="3"/>
  <c r="OI126" i="3"/>
  <c r="OD126" i="3"/>
  <c r="OC126" i="3"/>
  <c r="OB126" i="3"/>
  <c r="NY126" i="3"/>
  <c r="NW126" i="3"/>
  <c r="NH126" i="3"/>
  <c r="NG126" i="3"/>
  <c r="NA126" i="3"/>
  <c r="NB126" i="3" s="1"/>
  <c r="NC126" i="3" s="1"/>
  <c r="ND126" i="3" s="1"/>
  <c r="KK126" i="3"/>
  <c r="KL126" i="3" s="1"/>
  <c r="KM126" i="3" s="1"/>
  <c r="GF126" i="1" s="1"/>
  <c r="JX126" i="3"/>
  <c r="JV126" i="3"/>
  <c r="JU126" i="3"/>
  <c r="JS126" i="3"/>
  <c r="JM126" i="3"/>
  <c r="JL126" i="3"/>
  <c r="FB126" i="1" s="1"/>
  <c r="IQ126" i="3"/>
  <c r="IJ126" i="3"/>
  <c r="II126" i="3"/>
  <c r="HU126" i="3"/>
  <c r="HD126" i="3"/>
  <c r="HC126" i="3"/>
  <c r="HA126" i="3"/>
  <c r="GZ126" i="3"/>
  <c r="GV126" i="3"/>
  <c r="GW126" i="3" s="1"/>
  <c r="GS126" i="3"/>
  <c r="GT126" i="3" s="1"/>
  <c r="FN126" i="3"/>
  <c r="FG126" i="3"/>
  <c r="FC126" i="3"/>
  <c r="FA126" i="3"/>
  <c r="EZ126" i="3"/>
  <c r="EP126" i="3"/>
  <c r="EE126" i="3"/>
  <c r="DL126" i="3"/>
  <c r="DI126" i="3"/>
  <c r="CS126" i="3"/>
  <c r="BS126" i="3"/>
  <c r="BT126" i="3" s="1"/>
  <c r="BN126" i="3"/>
  <c r="BK126" i="3"/>
  <c r="BF126" i="3"/>
  <c r="AT126" i="3"/>
  <c r="AD126" i="3"/>
  <c r="AC126" i="3"/>
  <c r="AB126" i="3"/>
  <c r="PO124" i="3"/>
  <c r="PL124" i="3"/>
  <c r="PI124" i="3"/>
  <c r="PG124" i="3"/>
  <c r="PD124" i="3"/>
  <c r="PA124" i="3"/>
  <c r="OY124" i="3"/>
  <c r="OV124" i="3"/>
  <c r="OU124" i="3"/>
  <c r="OT124" i="3"/>
  <c r="OQ124" i="3"/>
  <c r="OP124" i="3"/>
  <c r="OK124" i="3"/>
  <c r="OJ124" i="3"/>
  <c r="OI124" i="3"/>
  <c r="OD124" i="3"/>
  <c r="OC124" i="3"/>
  <c r="OB124" i="3"/>
  <c r="NY124" i="3"/>
  <c r="NW124" i="3"/>
  <c r="NA124" i="3"/>
  <c r="NB124" i="3" s="1"/>
  <c r="NC124" i="3" s="1"/>
  <c r="ND124" i="3" s="1"/>
  <c r="KK124" i="3"/>
  <c r="KL124" i="3" s="1"/>
  <c r="KM124" i="3" s="1"/>
  <c r="GF124" i="1" s="1"/>
  <c r="JX124" i="3"/>
  <c r="JV124" i="3"/>
  <c r="JU124" i="3"/>
  <c r="JS124" i="3"/>
  <c r="JM124" i="3"/>
  <c r="JL124" i="3"/>
  <c r="FB124" i="1" s="1"/>
  <c r="IQ124" i="3"/>
  <c r="IJ124" i="3"/>
  <c r="II124" i="3"/>
  <c r="HU124" i="3"/>
  <c r="HD124" i="3"/>
  <c r="HC124" i="3"/>
  <c r="HA124" i="3"/>
  <c r="GZ124" i="3"/>
  <c r="GV124" i="3"/>
  <c r="GW124" i="3" s="1"/>
  <c r="GS124" i="3"/>
  <c r="GT124" i="3" s="1"/>
  <c r="FN124" i="3"/>
  <c r="FE124" i="3"/>
  <c r="FC124" i="3"/>
  <c r="FA124" i="3"/>
  <c r="EP124" i="3"/>
  <c r="EE124" i="3"/>
  <c r="DL124" i="3"/>
  <c r="DI124" i="3"/>
  <c r="CS124" i="3"/>
  <c r="BS124" i="3"/>
  <c r="BT124" i="3" s="1"/>
  <c r="BN124" i="3"/>
  <c r="BK124" i="3"/>
  <c r="AT124" i="3"/>
  <c r="AD124" i="3"/>
  <c r="AC124" i="3"/>
  <c r="AB124" i="3"/>
  <c r="PO122" i="3"/>
  <c r="PL122" i="3"/>
  <c r="PI122" i="3"/>
  <c r="PG122" i="3"/>
  <c r="PD122" i="3"/>
  <c r="PA122" i="3"/>
  <c r="OY122" i="3"/>
  <c r="OV122" i="3"/>
  <c r="OU122" i="3"/>
  <c r="OT122" i="3"/>
  <c r="OQ122" i="3"/>
  <c r="OP122" i="3"/>
  <c r="OK122" i="3"/>
  <c r="OJ122" i="3"/>
  <c r="OI122" i="3"/>
  <c r="OD122" i="3"/>
  <c r="OC122" i="3"/>
  <c r="OB122" i="3"/>
  <c r="NY122" i="3"/>
  <c r="NW122" i="3"/>
  <c r="NH122" i="3"/>
  <c r="NG122" i="3"/>
  <c r="NA122" i="3"/>
  <c r="NB122" i="3" s="1"/>
  <c r="NC122" i="3" s="1"/>
  <c r="ND122" i="3" s="1"/>
  <c r="KM122" i="3"/>
  <c r="KN122" i="3" s="1"/>
  <c r="KK122" i="3"/>
  <c r="KL122" i="3" s="1"/>
  <c r="JX122" i="3"/>
  <c r="JV122" i="3"/>
  <c r="JU122" i="3"/>
  <c r="JS122" i="3"/>
  <c r="JM122" i="3"/>
  <c r="JL122" i="3"/>
  <c r="FB122" i="1" s="1"/>
  <c r="IQ122" i="3"/>
  <c r="IJ122" i="3"/>
  <c r="II122" i="3"/>
  <c r="HU122" i="3"/>
  <c r="HD122" i="3"/>
  <c r="HC122" i="3"/>
  <c r="HA122" i="3"/>
  <c r="GZ122" i="3"/>
  <c r="GV122" i="3"/>
  <c r="GW122" i="3" s="1"/>
  <c r="GS122" i="3"/>
  <c r="GT122" i="3" s="1"/>
  <c r="FN122" i="3"/>
  <c r="FG122" i="3"/>
  <c r="FE122" i="3"/>
  <c r="FC122" i="3"/>
  <c r="FA122" i="3"/>
  <c r="EP122" i="3"/>
  <c r="EE122" i="3"/>
  <c r="DL122" i="3"/>
  <c r="DI122" i="3"/>
  <c r="CS122" i="3"/>
  <c r="BN122" i="3"/>
  <c r="BK122" i="3"/>
  <c r="AT122" i="3"/>
  <c r="AD122" i="3"/>
  <c r="AC122" i="3"/>
  <c r="AB122" i="3"/>
  <c r="PO120" i="3"/>
  <c r="PL120" i="3"/>
  <c r="PI120" i="3"/>
  <c r="PG120" i="3"/>
  <c r="PD120" i="3"/>
  <c r="PA120" i="3"/>
  <c r="OY120" i="3"/>
  <c r="OV120" i="3"/>
  <c r="OU120" i="3"/>
  <c r="OT120" i="3"/>
  <c r="OQ120" i="3"/>
  <c r="OP120" i="3"/>
  <c r="OK120" i="3"/>
  <c r="OJ120" i="3"/>
  <c r="OI120" i="3"/>
  <c r="OD120" i="3"/>
  <c r="OC120" i="3"/>
  <c r="OB120" i="3"/>
  <c r="NY120" i="3"/>
  <c r="NW120" i="3"/>
  <c r="NH120" i="3"/>
  <c r="NG120" i="3"/>
  <c r="NA120" i="3"/>
  <c r="NB120" i="3" s="1"/>
  <c r="NC120" i="3" s="1"/>
  <c r="ND120" i="3" s="1"/>
  <c r="KK120" i="3"/>
  <c r="KL120" i="3" s="1"/>
  <c r="KM120" i="3" s="1"/>
  <c r="GF120" i="1" s="1"/>
  <c r="JX120" i="3"/>
  <c r="JV120" i="3"/>
  <c r="JU120" i="3"/>
  <c r="JS120" i="3"/>
  <c r="JM120" i="3"/>
  <c r="JL120" i="3"/>
  <c r="FB120" i="1" s="1"/>
  <c r="IQ120" i="3"/>
  <c r="IJ120" i="3"/>
  <c r="II120" i="3"/>
  <c r="HU120" i="3"/>
  <c r="HD120" i="3"/>
  <c r="HC120" i="3"/>
  <c r="HA120" i="3"/>
  <c r="GZ120" i="3"/>
  <c r="GV120" i="3"/>
  <c r="GW120" i="3" s="1"/>
  <c r="GS120" i="3"/>
  <c r="GT120" i="3" s="1"/>
  <c r="FN120" i="3"/>
  <c r="FG120" i="3"/>
  <c r="FE120" i="3"/>
  <c r="FC120" i="3"/>
  <c r="FA120" i="3"/>
  <c r="EP120" i="3"/>
  <c r="EE120" i="3"/>
  <c r="DL120" i="3"/>
  <c r="DI120" i="3"/>
  <c r="CS120" i="3"/>
  <c r="BS120" i="3"/>
  <c r="BT120" i="3" s="1"/>
  <c r="BN120" i="3"/>
  <c r="BK120" i="3"/>
  <c r="AT120" i="3"/>
  <c r="AD120" i="3"/>
  <c r="AC120" i="3"/>
  <c r="AB120" i="3"/>
  <c r="PO118" i="3"/>
  <c r="PL118" i="3"/>
  <c r="PI118" i="3"/>
  <c r="PG118" i="3"/>
  <c r="PD118" i="3"/>
  <c r="PA118" i="3"/>
  <c r="OY118" i="3"/>
  <c r="OV118" i="3"/>
  <c r="OU118" i="3"/>
  <c r="OT118" i="3"/>
  <c r="OQ118" i="3"/>
  <c r="OP118" i="3"/>
  <c r="OK118" i="3"/>
  <c r="OJ118" i="3"/>
  <c r="OI118" i="3"/>
  <c r="OD118" i="3"/>
  <c r="OC118" i="3"/>
  <c r="OB118" i="3"/>
  <c r="NY118" i="3"/>
  <c r="NW118" i="3"/>
  <c r="NH118" i="3"/>
  <c r="NG118" i="3"/>
  <c r="NA118" i="3"/>
  <c r="NB118" i="3" s="1"/>
  <c r="NC118" i="3" s="1"/>
  <c r="ND118" i="3" s="1"/>
  <c r="KK118" i="3"/>
  <c r="KL118" i="3" s="1"/>
  <c r="KM118" i="3" s="1"/>
  <c r="GF118" i="1" s="1"/>
  <c r="JX118" i="3"/>
  <c r="JV118" i="3"/>
  <c r="JU118" i="3"/>
  <c r="JS118" i="3"/>
  <c r="JM118" i="3"/>
  <c r="IQ118" i="3"/>
  <c r="IJ118" i="3"/>
  <c r="II118" i="3"/>
  <c r="HU118" i="3"/>
  <c r="HD118" i="3"/>
  <c r="HC118" i="3"/>
  <c r="HA118" i="3"/>
  <c r="GZ118" i="3"/>
  <c r="GV118" i="3"/>
  <c r="GW118" i="3" s="1"/>
  <c r="GS118" i="3"/>
  <c r="GT118" i="3" s="1"/>
  <c r="FN118" i="3"/>
  <c r="FG118" i="3"/>
  <c r="FE118" i="3"/>
  <c r="FC118" i="3"/>
  <c r="FA118" i="3"/>
  <c r="EP118" i="3"/>
  <c r="EE118" i="3"/>
  <c r="DL118" i="3"/>
  <c r="DI118" i="3"/>
  <c r="CS118" i="3"/>
  <c r="BS118" i="3"/>
  <c r="BT118" i="3" s="1"/>
  <c r="BN118" i="3"/>
  <c r="BK118" i="3"/>
  <c r="AT118" i="3"/>
  <c r="AD118" i="3"/>
  <c r="AC118" i="3"/>
  <c r="AB118" i="3"/>
  <c r="NA116" i="3"/>
  <c r="NB116" i="3" s="1"/>
  <c r="NC116" i="3" s="1"/>
  <c r="ND116" i="3" s="1"/>
  <c r="KK116" i="3"/>
  <c r="KL116" i="3" s="1"/>
  <c r="KM116" i="3" s="1"/>
  <c r="KN116" i="3" s="1"/>
  <c r="JX116" i="3"/>
  <c r="JV116" i="3"/>
  <c r="JU116" i="3"/>
  <c r="JS116" i="3"/>
  <c r="JM116" i="3"/>
  <c r="IQ116" i="3"/>
  <c r="HU116" i="3"/>
  <c r="CS116" i="3"/>
  <c r="AT116" i="3"/>
  <c r="BF116" i="3"/>
  <c r="PO116" i="3"/>
  <c r="PL116" i="3"/>
  <c r="PI116" i="3"/>
  <c r="PG116" i="3"/>
  <c r="PD116" i="3"/>
  <c r="PA116" i="3"/>
  <c r="OY116" i="3"/>
  <c r="OV116" i="3"/>
  <c r="OU116" i="3"/>
  <c r="OT116" i="3"/>
  <c r="OQ116" i="3"/>
  <c r="OP116" i="3"/>
  <c r="OK116" i="3"/>
  <c r="OJ116" i="3"/>
  <c r="OI116" i="3"/>
  <c r="OD116" i="3"/>
  <c r="OC116" i="3"/>
  <c r="OB116" i="3"/>
  <c r="NY116" i="3"/>
  <c r="NW116" i="3"/>
  <c r="NH116" i="3"/>
  <c r="NG116" i="3"/>
  <c r="IJ116" i="3"/>
  <c r="II116" i="3"/>
  <c r="HD116" i="3"/>
  <c r="HC116" i="3"/>
  <c r="HA116" i="3"/>
  <c r="GZ116" i="3"/>
  <c r="GV116" i="3"/>
  <c r="GW116" i="3" s="1"/>
  <c r="GS116" i="3"/>
  <c r="GT116" i="3" s="1"/>
  <c r="FN116" i="3"/>
  <c r="FG116" i="3"/>
  <c r="FC116" i="3"/>
  <c r="FA116" i="3"/>
  <c r="EP116" i="3"/>
  <c r="EE116" i="3"/>
  <c r="DL116" i="3"/>
  <c r="DI116" i="3"/>
  <c r="BS116" i="3"/>
  <c r="BT116" i="3" s="1"/>
  <c r="BN116" i="3"/>
  <c r="BK116" i="3"/>
  <c r="AD116" i="3"/>
  <c r="AC116" i="3"/>
  <c r="AB116" i="3"/>
  <c r="N107" i="1"/>
  <c r="HG70" i="1"/>
  <c r="EB70" i="1"/>
  <c r="DD70" i="1"/>
  <c r="DA70" i="1"/>
  <c r="CX70" i="1"/>
  <c r="AF70" i="1"/>
  <c r="HG68" i="1"/>
  <c r="EB68" i="1"/>
  <c r="DD68" i="1"/>
  <c r="DA68" i="1"/>
  <c r="CX68" i="1"/>
  <c r="AF68" i="1"/>
  <c r="HG66" i="1"/>
  <c r="EB66" i="1"/>
  <c r="DD66" i="1"/>
  <c r="DA66" i="1"/>
  <c r="CX66" i="1"/>
  <c r="AF66" i="1"/>
  <c r="HG64" i="1"/>
  <c r="EB64" i="1"/>
  <c r="DD64" i="1"/>
  <c r="DA64" i="1"/>
  <c r="CX64" i="1"/>
  <c r="AF64" i="1"/>
  <c r="HG62" i="1"/>
  <c r="EB62" i="1"/>
  <c r="DD62" i="1"/>
  <c r="DA62" i="1"/>
  <c r="CX62" i="1"/>
  <c r="AF62" i="1"/>
  <c r="HG60" i="1"/>
  <c r="EB60" i="1"/>
  <c r="DD60" i="1"/>
  <c r="DA60" i="1"/>
  <c r="CX60" i="1"/>
  <c r="AF60" i="1"/>
  <c r="HG58" i="1"/>
  <c r="EB58" i="1"/>
  <c r="DD58" i="1"/>
  <c r="DA58" i="1"/>
  <c r="CX58" i="1"/>
  <c r="AF58" i="1"/>
  <c r="HG56" i="1"/>
  <c r="EB56" i="1"/>
  <c r="DD56" i="1"/>
  <c r="DA56" i="1"/>
  <c r="CX56" i="1"/>
  <c r="AF56" i="1"/>
  <c r="JQ48" i="1"/>
  <c r="IY48" i="1"/>
  <c r="IS48" i="1"/>
  <c r="IM48" i="1"/>
  <c r="IG48" i="1"/>
  <c r="HU48" i="1"/>
  <c r="HI48" i="1"/>
  <c r="HG48" i="1"/>
  <c r="EB48" i="1"/>
  <c r="DD48" i="1"/>
  <c r="DA48" i="1"/>
  <c r="CZ48" i="1"/>
  <c r="DV48" i="1"/>
  <c r="CX48" i="1"/>
  <c r="AF48" i="1"/>
  <c r="JQ46" i="1"/>
  <c r="IY46" i="1"/>
  <c r="IS46" i="1"/>
  <c r="IM46" i="1"/>
  <c r="IG46" i="1"/>
  <c r="HU46" i="1"/>
  <c r="HI46" i="1"/>
  <c r="HG46" i="1"/>
  <c r="EB46" i="1"/>
  <c r="DD46" i="1"/>
  <c r="DA46" i="1"/>
  <c r="CZ46" i="1"/>
  <c r="DV46" i="1"/>
  <c r="CX46" i="1"/>
  <c r="AF46" i="1"/>
  <c r="HG44" i="1"/>
  <c r="EB44" i="1"/>
  <c r="DD44" i="1"/>
  <c r="DA44" i="1"/>
  <c r="CX44" i="1"/>
  <c r="AF44" i="1"/>
  <c r="HG42" i="1"/>
  <c r="EB42" i="1"/>
  <c r="DD42" i="1"/>
  <c r="DA42" i="1"/>
  <c r="CX42" i="1"/>
  <c r="AF42" i="1"/>
  <c r="HG40" i="1"/>
  <c r="EB40" i="1"/>
  <c r="DD40" i="1"/>
  <c r="DA40" i="1"/>
  <c r="CX40" i="1"/>
  <c r="AF40" i="1"/>
  <c r="HG38" i="1"/>
  <c r="EB38" i="1"/>
  <c r="DD38" i="1"/>
  <c r="DA38" i="1"/>
  <c r="CX38" i="1"/>
  <c r="AF38" i="1"/>
  <c r="HG36" i="1"/>
  <c r="EB36" i="1"/>
  <c r="DD36" i="1"/>
  <c r="DA36" i="1"/>
  <c r="CX36" i="1"/>
  <c r="AF36" i="1"/>
  <c r="HG34" i="1"/>
  <c r="CX34" i="1"/>
  <c r="EB34" i="1"/>
  <c r="AF34" i="1"/>
  <c r="BK58" i="2"/>
  <c r="BK59" i="2"/>
  <c r="BK60" i="2"/>
  <c r="BK61" i="2"/>
  <c r="BK62" i="2"/>
  <c r="BK64" i="2"/>
  <c r="BK65" i="2"/>
  <c r="BK66" i="2"/>
  <c r="BK67" i="2"/>
  <c r="BK68" i="2"/>
  <c r="BK69" i="2"/>
  <c r="BK57" i="2"/>
  <c r="AS8" i="2"/>
  <c r="AS9" i="2"/>
  <c r="AS10" i="2"/>
  <c r="AS11" i="2"/>
  <c r="AS12" i="2"/>
  <c r="AS13" i="2"/>
  <c r="AS14" i="2"/>
  <c r="AS15" i="2"/>
  <c r="AS16" i="2"/>
  <c r="AS17" i="2"/>
  <c r="AS18" i="2"/>
  <c r="AS19" i="2"/>
  <c r="AS20" i="2"/>
  <c r="AS22" i="2"/>
  <c r="AS23" i="2"/>
  <c r="AS24" i="2"/>
  <c r="FM126" i="3" s="1"/>
  <c r="AS25" i="2"/>
  <c r="AS26" i="2"/>
  <c r="AS27" i="2"/>
  <c r="AS28" i="2"/>
  <c r="FM118" i="3" s="1"/>
  <c r="AS29" i="2"/>
  <c r="AS30" i="2"/>
  <c r="AS31" i="2"/>
  <c r="AS32" i="2"/>
  <c r="AS33" i="2"/>
  <c r="AS34" i="2"/>
  <c r="DR130" i="3" s="1"/>
  <c r="AS35" i="2"/>
  <c r="AS36" i="2"/>
  <c r="AS37" i="2"/>
  <c r="AS38" i="2"/>
  <c r="AS39" i="2"/>
  <c r="AS40" i="2"/>
  <c r="FM120" i="3" s="1"/>
  <c r="AS42" i="2"/>
  <c r="AS43" i="2"/>
  <c r="FM128" i="3" s="1"/>
  <c r="AS44" i="2"/>
  <c r="AS45" i="2"/>
  <c r="FM124" i="3" s="1"/>
  <c r="AS46" i="2"/>
  <c r="AS47" i="2"/>
  <c r="AS48" i="2"/>
  <c r="AS7" i="2"/>
  <c r="AB58" i="2"/>
  <c r="AB59" i="2"/>
  <c r="AB60" i="2"/>
  <c r="AB61" i="2"/>
  <c r="AB62" i="2"/>
  <c r="AB64" i="2"/>
  <c r="AB65" i="2"/>
  <c r="AB66" i="2"/>
  <c r="AB67" i="2"/>
  <c r="AB68" i="2"/>
  <c r="AB69" i="2"/>
  <c r="AB57" i="2"/>
  <c r="AC8" i="2"/>
  <c r="AC9" i="2"/>
  <c r="AC10" i="2"/>
  <c r="AC11" i="2"/>
  <c r="AC12" i="2"/>
  <c r="AC13" i="2"/>
  <c r="AC14" i="2"/>
  <c r="AC15" i="2"/>
  <c r="AC16" i="2"/>
  <c r="AC17" i="2"/>
  <c r="AC18" i="2"/>
  <c r="AC19" i="2"/>
  <c r="AC20" i="2"/>
  <c r="AC22" i="2"/>
  <c r="AC23" i="2"/>
  <c r="AC24" i="2"/>
  <c r="AC25" i="2"/>
  <c r="AC26" i="2"/>
  <c r="AC27" i="2"/>
  <c r="AC28" i="2"/>
  <c r="AC29" i="2"/>
  <c r="AC30" i="2"/>
  <c r="AC31" i="2"/>
  <c r="AC32" i="2"/>
  <c r="AC33" i="2"/>
  <c r="AC34" i="2"/>
  <c r="AC35" i="2"/>
  <c r="AC36" i="2"/>
  <c r="AC37" i="2"/>
  <c r="AC38" i="2"/>
  <c r="AC39" i="2"/>
  <c r="AC40" i="2"/>
  <c r="AC42" i="2"/>
  <c r="AC43" i="2"/>
  <c r="AC44" i="2"/>
  <c r="AC45" i="2"/>
  <c r="AC46" i="2"/>
  <c r="AC47" i="2"/>
  <c r="AC48" i="2"/>
  <c r="AC7" i="2"/>
  <c r="M224" i="6"/>
  <c r="AS54" i="4"/>
  <c r="AO54" i="4" s="1"/>
  <c r="AS52" i="4"/>
  <c r="AO52" i="4" s="1"/>
  <c r="K107" i="2"/>
  <c r="AS50" i="4"/>
  <c r="AO50" i="4" s="1"/>
  <c r="AR61" i="2"/>
  <c r="AR58" i="2"/>
  <c r="B12" i="3"/>
  <c r="G11" i="4"/>
  <c r="C12" i="3" s="1"/>
  <c r="NV18" i="11" l="1"/>
  <c r="EL18" i="11"/>
  <c r="EM18" i="11" s="1"/>
  <c r="EM102" i="11" s="1"/>
  <c r="H112" i="12" s="1"/>
  <c r="EO18" i="11"/>
  <c r="MB18" i="11" s="1"/>
  <c r="MW18" i="11"/>
  <c r="MX18" i="11" s="1"/>
  <c r="BV18" i="11"/>
  <c r="P102" i="6"/>
  <c r="BO118" i="3"/>
  <c r="BO120" i="3"/>
  <c r="P105" i="6"/>
  <c r="BO124" i="3"/>
  <c r="P107" i="6"/>
  <c r="P108" i="6"/>
  <c r="P109" i="6"/>
  <c r="BO138" i="3"/>
  <c r="BO140" i="3"/>
  <c r="BO142" i="3"/>
  <c r="BO144" i="3"/>
  <c r="P118" i="6"/>
  <c r="P119" i="6"/>
  <c r="P120" i="6"/>
  <c r="BO152" i="3"/>
  <c r="BF152" i="3"/>
  <c r="BF130" i="3"/>
  <c r="JR126" i="3"/>
  <c r="BO116" i="3"/>
  <c r="P103" i="6"/>
  <c r="P104" i="6"/>
  <c r="BO122" i="3"/>
  <c r="P106" i="6"/>
  <c r="BO126" i="3"/>
  <c r="BO128" i="3"/>
  <c r="BO130" i="3"/>
  <c r="P114" i="6"/>
  <c r="P115" i="6"/>
  <c r="P116" i="6"/>
  <c r="P117" i="6"/>
  <c r="BO146" i="3"/>
  <c r="BO148" i="3"/>
  <c r="BO150" i="3"/>
  <c r="P121" i="6"/>
  <c r="BD152" i="3"/>
  <c r="BD130" i="3"/>
  <c r="MH18" i="11"/>
  <c r="ES18" i="11"/>
  <c r="ES102" i="11" s="1"/>
  <c r="L112" i="12" s="1"/>
  <c r="JL116" i="3"/>
  <c r="FB116" i="1" s="1"/>
  <c r="BD142" i="3"/>
  <c r="BD144" i="3"/>
  <c r="BD126" i="3"/>
  <c r="BD138" i="3"/>
  <c r="BD148" i="3"/>
  <c r="BD116" i="3"/>
  <c r="BD118" i="3"/>
  <c r="BD120" i="3"/>
  <c r="BD122" i="3"/>
  <c r="BD124" i="3"/>
  <c r="BD128" i="3"/>
  <c r="BD140" i="3"/>
  <c r="BD146" i="3"/>
  <c r="BD150" i="3"/>
  <c r="BF118" i="3"/>
  <c r="BF120" i="3"/>
  <c r="BF122" i="3"/>
  <c r="BF124" i="3"/>
  <c r="BF144" i="3"/>
  <c r="DV70" i="1"/>
  <c r="IY148" i="1"/>
  <c r="JE148" i="1"/>
  <c r="JE126" i="1"/>
  <c r="IY126" i="1"/>
  <c r="JR148" i="3"/>
  <c r="JR150" i="3"/>
  <c r="CR138" i="1"/>
  <c r="CR140" i="1"/>
  <c r="CR142" i="1"/>
  <c r="CR144" i="1"/>
  <c r="CR146" i="1"/>
  <c r="CR148" i="1"/>
  <c r="CR150" i="1"/>
  <c r="DV146" i="1"/>
  <c r="JT124" i="3"/>
  <c r="JT126" i="3"/>
  <c r="JR130" i="3"/>
  <c r="JT128" i="3"/>
  <c r="JR122" i="3"/>
  <c r="DR122" i="3"/>
  <c r="FM116" i="3"/>
  <c r="DR118" i="3"/>
  <c r="DR124" i="3"/>
  <c r="DR126" i="3"/>
  <c r="DV116" i="1"/>
  <c r="JE116" i="1"/>
  <c r="IY116" i="1"/>
  <c r="AZ150" i="1"/>
  <c r="IY140" i="1"/>
  <c r="IY146" i="1"/>
  <c r="FZ150" i="1"/>
  <c r="AT150" i="1"/>
  <c r="JE140" i="1"/>
  <c r="JE146" i="1"/>
  <c r="DV118" i="1"/>
  <c r="AT146" i="1"/>
  <c r="JE142" i="1"/>
  <c r="AZ146" i="1"/>
  <c r="IY142" i="1"/>
  <c r="FZ146" i="1"/>
  <c r="AN118" i="3"/>
  <c r="AN120" i="3"/>
  <c r="AN124" i="3"/>
  <c r="AN130" i="3"/>
  <c r="AN140" i="3"/>
  <c r="AN144" i="3"/>
  <c r="AN148" i="3"/>
  <c r="AN152" i="3"/>
  <c r="AN116" i="3"/>
  <c r="AN122" i="3"/>
  <c r="AN126" i="3"/>
  <c r="AN128" i="3"/>
  <c r="AN138" i="3"/>
  <c r="AN142" i="3"/>
  <c r="AN146" i="3"/>
  <c r="AN150" i="3"/>
  <c r="L104" i="6"/>
  <c r="M104" i="6" s="1"/>
  <c r="AC120" i="1"/>
  <c r="L105" i="6"/>
  <c r="M105" i="6" s="1"/>
  <c r="AC122" i="1"/>
  <c r="L106" i="6"/>
  <c r="M106" i="6" s="1"/>
  <c r="AC124" i="1"/>
  <c r="L107" i="6"/>
  <c r="M107" i="6" s="1"/>
  <c r="AC126" i="1"/>
  <c r="L115" i="6"/>
  <c r="M115" i="6" s="1"/>
  <c r="AC140" i="1"/>
  <c r="L117" i="6"/>
  <c r="M117" i="6" s="1"/>
  <c r="AC144" i="1"/>
  <c r="L119" i="6"/>
  <c r="M119" i="6" s="1"/>
  <c r="AC148" i="1"/>
  <c r="L121" i="6"/>
  <c r="M121" i="6" s="1"/>
  <c r="AC152" i="1"/>
  <c r="L102" i="6"/>
  <c r="M102" i="6" s="1"/>
  <c r="AC116" i="1"/>
  <c r="L103" i="6"/>
  <c r="M103" i="6" s="1"/>
  <c r="AC118" i="1"/>
  <c r="L108" i="6"/>
  <c r="M108" i="6" s="1"/>
  <c r="AC128" i="1"/>
  <c r="L109" i="6"/>
  <c r="M109" i="6" s="1"/>
  <c r="AC130" i="1"/>
  <c r="L114" i="6"/>
  <c r="M114" i="6" s="1"/>
  <c r="AC138" i="1"/>
  <c r="L116" i="6"/>
  <c r="M116" i="6" s="1"/>
  <c r="AC142" i="1"/>
  <c r="L118" i="6"/>
  <c r="M118" i="6" s="1"/>
  <c r="AC146" i="1"/>
  <c r="L120" i="6"/>
  <c r="M120" i="6" s="1"/>
  <c r="AC150" i="1"/>
  <c r="AZ148" i="1"/>
  <c r="FZ148" i="1"/>
  <c r="AT148" i="1"/>
  <c r="JE144" i="1"/>
  <c r="IY144" i="1"/>
  <c r="AT144" i="1"/>
  <c r="FZ144" i="1"/>
  <c r="AZ144" i="1"/>
  <c r="AZ142" i="1"/>
  <c r="FZ142" i="1"/>
  <c r="AT142" i="1"/>
  <c r="AT140" i="1"/>
  <c r="FZ140" i="1"/>
  <c r="AZ140" i="1"/>
  <c r="AZ152" i="1"/>
  <c r="AT152" i="1"/>
  <c r="FZ152" i="1"/>
  <c r="AT138" i="1"/>
  <c r="GF138" i="1"/>
  <c r="AZ138" i="1"/>
  <c r="FZ138" i="1"/>
  <c r="DV38" i="1"/>
  <c r="CR46" i="1"/>
  <c r="CR48" i="1"/>
  <c r="IY118" i="1"/>
  <c r="JE118" i="1"/>
  <c r="DV124" i="1"/>
  <c r="CR124" i="1"/>
  <c r="CR126" i="1"/>
  <c r="PE116" i="3"/>
  <c r="JE124" i="1"/>
  <c r="IY124" i="1"/>
  <c r="AZ126" i="1"/>
  <c r="AT126" i="1"/>
  <c r="FZ126" i="1"/>
  <c r="AT124" i="1"/>
  <c r="AZ124" i="1"/>
  <c r="FZ124" i="1"/>
  <c r="CT120" i="3"/>
  <c r="QN128" i="3"/>
  <c r="QN130" i="3"/>
  <c r="QN138" i="3"/>
  <c r="JR128" i="3"/>
  <c r="JR120" i="3"/>
  <c r="JR116" i="3"/>
  <c r="JR118" i="3"/>
  <c r="QN152" i="3"/>
  <c r="QN116" i="3"/>
  <c r="QN118" i="3"/>
  <c r="QN120" i="3"/>
  <c r="QN122" i="3"/>
  <c r="QN124" i="3"/>
  <c r="QN126" i="3"/>
  <c r="QN140" i="3"/>
  <c r="QN142" i="3"/>
  <c r="QN144" i="3"/>
  <c r="QN146" i="3"/>
  <c r="QN148" i="3"/>
  <c r="QN150" i="3"/>
  <c r="AU126" i="3"/>
  <c r="AU146" i="3"/>
  <c r="AU152" i="3"/>
  <c r="AA210" i="1"/>
  <c r="DR116" i="3"/>
  <c r="DR120" i="3"/>
  <c r="FM122" i="3"/>
  <c r="DR128" i="3"/>
  <c r="FM130" i="3"/>
  <c r="JL128" i="3"/>
  <c r="FB128" i="1" s="1"/>
  <c r="AI116" i="1"/>
  <c r="BL116" i="3"/>
  <c r="AL118" i="1"/>
  <c r="BL118" i="3"/>
  <c r="AI122" i="1"/>
  <c r="BL122" i="3"/>
  <c r="AI126" i="1"/>
  <c r="BL126" i="3"/>
  <c r="AI138" i="1"/>
  <c r="BL138" i="3"/>
  <c r="AI120" i="1"/>
  <c r="BL120" i="3"/>
  <c r="AI124" i="1"/>
  <c r="BL124" i="3"/>
  <c r="AI128" i="1"/>
  <c r="BL128" i="3"/>
  <c r="AI130" i="1"/>
  <c r="BL130" i="3"/>
  <c r="AI140" i="1"/>
  <c r="BL140" i="3"/>
  <c r="AI142" i="1"/>
  <c r="BL142" i="3"/>
  <c r="AI144" i="1"/>
  <c r="BL144" i="3"/>
  <c r="AI146" i="1"/>
  <c r="BL146" i="3"/>
  <c r="AI148" i="1"/>
  <c r="BL148" i="3"/>
  <c r="AI150" i="1"/>
  <c r="BL150" i="3"/>
  <c r="AI152" i="1"/>
  <c r="BL152" i="3"/>
  <c r="M156" i="3"/>
  <c r="DV120" i="1"/>
  <c r="CR120" i="1"/>
  <c r="CR122" i="1"/>
  <c r="CR128" i="1"/>
  <c r="CR130" i="1"/>
  <c r="JE120" i="1"/>
  <c r="IY120" i="1"/>
  <c r="PE128" i="3"/>
  <c r="AT128" i="1"/>
  <c r="FZ128" i="1"/>
  <c r="BO128" i="1"/>
  <c r="GF128" i="1"/>
  <c r="JE122" i="1"/>
  <c r="IY122" i="1"/>
  <c r="PE130" i="3"/>
  <c r="KN130" i="3"/>
  <c r="KO130" i="3" s="1"/>
  <c r="GF130" i="1"/>
  <c r="AT130" i="1"/>
  <c r="BO130" i="1"/>
  <c r="FZ130" i="1"/>
  <c r="AT122" i="1"/>
  <c r="GF122" i="1"/>
  <c r="BO122" i="1"/>
  <c r="FZ122" i="1"/>
  <c r="AT120" i="1"/>
  <c r="AZ120" i="1"/>
  <c r="BO120" i="1"/>
  <c r="FZ120" i="1"/>
  <c r="K7" i="1"/>
  <c r="AU116" i="3"/>
  <c r="M154" i="3"/>
  <c r="OL130" i="3"/>
  <c r="OM130" i="3" s="1"/>
  <c r="OL128" i="3"/>
  <c r="OM128" i="3" s="1"/>
  <c r="AL116" i="1"/>
  <c r="AZ116" i="1"/>
  <c r="BO116" i="1"/>
  <c r="FZ116" i="1"/>
  <c r="AL120" i="1"/>
  <c r="AL122" i="1"/>
  <c r="AL124" i="1"/>
  <c r="AL126" i="1"/>
  <c r="AL128" i="1"/>
  <c r="AL130" i="1"/>
  <c r="AL138" i="1"/>
  <c r="AL140" i="1"/>
  <c r="AL142" i="1"/>
  <c r="AL144" i="1"/>
  <c r="AL146" i="1"/>
  <c r="AL148" i="1"/>
  <c r="AL150" i="1"/>
  <c r="AL152" i="1"/>
  <c r="CR116" i="1"/>
  <c r="AT116" i="1"/>
  <c r="CR118" i="1"/>
  <c r="GF116" i="1"/>
  <c r="AI118" i="1"/>
  <c r="AZ118" i="1"/>
  <c r="BO118" i="1"/>
  <c r="FZ118" i="1"/>
  <c r="AT118" i="1"/>
  <c r="AU130" i="3"/>
  <c r="K180" i="1"/>
  <c r="Q180" i="1" s="1"/>
  <c r="OE128" i="3"/>
  <c r="OF128" i="3" s="1"/>
  <c r="OG128" i="3" s="1"/>
  <c r="OE130" i="3"/>
  <c r="OF130" i="3" s="1"/>
  <c r="OG130" i="3" s="1"/>
  <c r="OL116" i="3"/>
  <c r="OM116" i="3" s="1"/>
  <c r="AU148" i="3"/>
  <c r="AU150" i="3"/>
  <c r="AU142" i="3"/>
  <c r="AU140" i="3"/>
  <c r="AU138" i="3"/>
  <c r="OE126" i="3"/>
  <c r="OF126" i="3" s="1"/>
  <c r="OG126" i="3" s="1"/>
  <c r="OE124" i="3"/>
  <c r="OF124" i="3" s="1"/>
  <c r="OG124" i="3" s="1"/>
  <c r="AU128" i="3"/>
  <c r="KN118" i="3"/>
  <c r="KO118" i="3" s="1"/>
  <c r="AU118" i="3"/>
  <c r="AU120" i="3"/>
  <c r="AU144" i="3"/>
  <c r="AU122" i="3"/>
  <c r="AU124" i="3"/>
  <c r="KN142" i="3"/>
  <c r="KO142" i="3" s="1"/>
  <c r="BU118" i="3"/>
  <c r="NE118" i="3"/>
  <c r="OZ118" i="3"/>
  <c r="PE118" i="3"/>
  <c r="PJ118" i="3"/>
  <c r="PP118" i="3"/>
  <c r="HV120" i="3"/>
  <c r="NE120" i="3"/>
  <c r="OZ120" i="3"/>
  <c r="PE120" i="3"/>
  <c r="PJ120" i="3"/>
  <c r="PP120" i="3"/>
  <c r="KO122" i="3"/>
  <c r="NE122" i="3"/>
  <c r="OR122" i="3"/>
  <c r="OZ122" i="3"/>
  <c r="PE122" i="3"/>
  <c r="PJ122" i="3"/>
  <c r="PP122" i="3"/>
  <c r="HV124" i="3"/>
  <c r="OW124" i="3"/>
  <c r="PB124" i="3"/>
  <c r="PH124" i="3"/>
  <c r="PM124" i="3"/>
  <c r="BU126" i="3"/>
  <c r="NE126" i="3"/>
  <c r="OZ126" i="3"/>
  <c r="PE126" i="3"/>
  <c r="PJ126" i="3"/>
  <c r="PP126" i="3"/>
  <c r="HV128" i="3"/>
  <c r="KO128" i="3"/>
  <c r="OW128" i="3"/>
  <c r="PB128" i="3"/>
  <c r="PH128" i="3"/>
  <c r="PM128" i="3"/>
  <c r="HV130" i="3"/>
  <c r="OW130" i="3"/>
  <c r="PB130" i="3"/>
  <c r="PH130" i="3"/>
  <c r="PM130" i="3"/>
  <c r="BU138" i="3"/>
  <c r="PB138" i="3"/>
  <c r="PH138" i="3"/>
  <c r="PM138" i="3"/>
  <c r="HV138" i="3"/>
  <c r="BU140" i="3"/>
  <c r="NE140" i="3"/>
  <c r="OZ140" i="3"/>
  <c r="PE140" i="3"/>
  <c r="PJ140" i="3"/>
  <c r="PP140" i="3"/>
  <c r="HV142" i="3"/>
  <c r="PB142" i="3"/>
  <c r="PH142" i="3"/>
  <c r="PM142" i="3"/>
  <c r="HV144" i="3"/>
  <c r="OW144" i="3"/>
  <c r="PB144" i="3"/>
  <c r="PH144" i="3"/>
  <c r="PM144" i="3"/>
  <c r="BU146" i="3"/>
  <c r="NE146" i="3"/>
  <c r="OZ146" i="3"/>
  <c r="PE146" i="3"/>
  <c r="PJ146" i="3"/>
  <c r="PP146" i="3"/>
  <c r="HV148" i="3"/>
  <c r="PB148" i="3"/>
  <c r="PH148" i="3"/>
  <c r="PM148" i="3"/>
  <c r="BU150" i="3"/>
  <c r="NE150" i="3"/>
  <c r="OZ150" i="3"/>
  <c r="PE150" i="3"/>
  <c r="PJ150" i="3"/>
  <c r="PP150" i="3"/>
  <c r="HV152" i="3"/>
  <c r="PB152" i="3"/>
  <c r="PH152" i="3"/>
  <c r="PM152" i="3"/>
  <c r="HV118" i="3"/>
  <c r="PB118" i="3"/>
  <c r="PH118" i="3"/>
  <c r="PM118" i="3"/>
  <c r="BU120" i="3"/>
  <c r="PB120" i="3"/>
  <c r="PH120" i="3"/>
  <c r="PM120" i="3"/>
  <c r="HV122" i="3"/>
  <c r="PB122" i="3"/>
  <c r="PH122" i="3"/>
  <c r="PM122" i="3"/>
  <c r="BU124" i="3"/>
  <c r="NE124" i="3"/>
  <c r="OZ124" i="3"/>
  <c r="PE124" i="3"/>
  <c r="PJ124" i="3"/>
  <c r="PP124" i="3"/>
  <c r="HV126" i="3"/>
  <c r="OW126" i="3"/>
  <c r="PB126" i="3"/>
  <c r="PH126" i="3"/>
  <c r="PM126" i="3"/>
  <c r="NE128" i="3"/>
  <c r="OR128" i="3"/>
  <c r="OZ128" i="3"/>
  <c r="PJ128" i="3"/>
  <c r="PP128" i="3"/>
  <c r="NE130" i="3"/>
  <c r="OR130" i="3"/>
  <c r="OZ130" i="3"/>
  <c r="PJ130" i="3"/>
  <c r="PP130" i="3"/>
  <c r="M132" i="3"/>
  <c r="KO138" i="3"/>
  <c r="OZ138" i="3"/>
  <c r="PE138" i="3"/>
  <c r="PJ138" i="3"/>
  <c r="PP138" i="3"/>
  <c r="HV140" i="3"/>
  <c r="PB140" i="3"/>
  <c r="PH140" i="3"/>
  <c r="PM140" i="3"/>
  <c r="BU142" i="3"/>
  <c r="NE142" i="3"/>
  <c r="OR142" i="3"/>
  <c r="OZ142" i="3"/>
  <c r="PE142" i="3"/>
  <c r="PJ142" i="3"/>
  <c r="PP142" i="3"/>
  <c r="BU144" i="3"/>
  <c r="NE144" i="3"/>
  <c r="OZ144" i="3"/>
  <c r="PE144" i="3"/>
  <c r="PJ144" i="3"/>
  <c r="PP144" i="3"/>
  <c r="HV146" i="3"/>
  <c r="OW146" i="3"/>
  <c r="PB146" i="3"/>
  <c r="PH146" i="3"/>
  <c r="PM146" i="3"/>
  <c r="BU148" i="3"/>
  <c r="NE148" i="3"/>
  <c r="OZ148" i="3"/>
  <c r="PE148" i="3"/>
  <c r="PJ148" i="3"/>
  <c r="PP148" i="3"/>
  <c r="HV150" i="3"/>
  <c r="PB150" i="3"/>
  <c r="PH150" i="3"/>
  <c r="PM150" i="3"/>
  <c r="BU152" i="3"/>
  <c r="NE152" i="3"/>
  <c r="OZ152" i="3"/>
  <c r="PE152" i="3"/>
  <c r="PJ152" i="3"/>
  <c r="PP152" i="3"/>
  <c r="OL152" i="3"/>
  <c r="OM152" i="3" s="1"/>
  <c r="KN152" i="3"/>
  <c r="KO152" i="3" s="1"/>
  <c r="OW152" i="3"/>
  <c r="OE152" i="3"/>
  <c r="OF152" i="3" s="1"/>
  <c r="OG152" i="3" s="1"/>
  <c r="OR152" i="3"/>
  <c r="OL150" i="3"/>
  <c r="OM150" i="3" s="1"/>
  <c r="KN150" i="3"/>
  <c r="KO150" i="3" s="1"/>
  <c r="OW150" i="3"/>
  <c r="OE150" i="3"/>
  <c r="OF150" i="3" s="1"/>
  <c r="OG150" i="3" s="1"/>
  <c r="OR150" i="3"/>
  <c r="OL148" i="3"/>
  <c r="OM148" i="3" s="1"/>
  <c r="KN148" i="3"/>
  <c r="KO148" i="3" s="1"/>
  <c r="OW148" i="3"/>
  <c r="OE148" i="3"/>
  <c r="OF148" i="3" s="1"/>
  <c r="OG148" i="3" s="1"/>
  <c r="OR148" i="3"/>
  <c r="OL146" i="3"/>
  <c r="OM146" i="3" s="1"/>
  <c r="KN146" i="3"/>
  <c r="KO146" i="3" s="1"/>
  <c r="OE146" i="3"/>
  <c r="OF146" i="3" s="1"/>
  <c r="OG146" i="3" s="1"/>
  <c r="OR146" i="3"/>
  <c r="OL144" i="3"/>
  <c r="OM144" i="3" s="1"/>
  <c r="KN144" i="3"/>
  <c r="KO144" i="3" s="1"/>
  <c r="OE144" i="3"/>
  <c r="OF144" i="3" s="1"/>
  <c r="OG144" i="3" s="1"/>
  <c r="OR144" i="3"/>
  <c r="OL142" i="3"/>
  <c r="OM142" i="3" s="1"/>
  <c r="OW142" i="3"/>
  <c r="OE142" i="3"/>
  <c r="OF142" i="3" s="1"/>
  <c r="OG142" i="3" s="1"/>
  <c r="OL140" i="3"/>
  <c r="OM140" i="3" s="1"/>
  <c r="KN140" i="3"/>
  <c r="KO140" i="3" s="1"/>
  <c r="OE140" i="3"/>
  <c r="OF140" i="3" s="1"/>
  <c r="OG140" i="3" s="1"/>
  <c r="OW140" i="3"/>
  <c r="OR140" i="3"/>
  <c r="OL138" i="3"/>
  <c r="OM138" i="3" s="1"/>
  <c r="ND138" i="3"/>
  <c r="NE138" i="3" s="1"/>
  <c r="OE138" i="3"/>
  <c r="OF138" i="3" s="1"/>
  <c r="OG138" i="3" s="1"/>
  <c r="OW138" i="3"/>
  <c r="OR138" i="3"/>
  <c r="OL126" i="3"/>
  <c r="OM126" i="3" s="1"/>
  <c r="KN126" i="3"/>
  <c r="KO126" i="3" s="1"/>
  <c r="OR126" i="3"/>
  <c r="OL124" i="3"/>
  <c r="OM124" i="3" s="1"/>
  <c r="KN124" i="3"/>
  <c r="KO124" i="3" s="1"/>
  <c r="OR124" i="3"/>
  <c r="OL122" i="3"/>
  <c r="OM122" i="3" s="1"/>
  <c r="OW122" i="3"/>
  <c r="OE122" i="3"/>
  <c r="OF122" i="3" s="1"/>
  <c r="OG122" i="3" s="1"/>
  <c r="OL120" i="3"/>
  <c r="OM120" i="3" s="1"/>
  <c r="KN120" i="3"/>
  <c r="KO120" i="3" s="1"/>
  <c r="OE120" i="3"/>
  <c r="OF120" i="3" s="1"/>
  <c r="OG120" i="3" s="1"/>
  <c r="OW120" i="3"/>
  <c r="OR120" i="3"/>
  <c r="OL118" i="3"/>
  <c r="OM118" i="3" s="1"/>
  <c r="OE118" i="3"/>
  <c r="OF118" i="3" s="1"/>
  <c r="OG118" i="3" s="1"/>
  <c r="OW118" i="3"/>
  <c r="OR118" i="3"/>
  <c r="FH144" i="3"/>
  <c r="FI144" i="3" s="1"/>
  <c r="FH140" i="3"/>
  <c r="FI140" i="3" s="1"/>
  <c r="FH130" i="3"/>
  <c r="FI130" i="3" s="1"/>
  <c r="FH142" i="3"/>
  <c r="FO142" i="3" s="1"/>
  <c r="GK142" i="3" s="1"/>
  <c r="FH152" i="3"/>
  <c r="FO152" i="3" s="1"/>
  <c r="GK152" i="3" s="1"/>
  <c r="CT152" i="3"/>
  <c r="GX152" i="3"/>
  <c r="NX152" i="3"/>
  <c r="NZ152" i="3"/>
  <c r="CT150" i="3"/>
  <c r="GX150" i="3"/>
  <c r="NX150" i="3"/>
  <c r="NZ150" i="3"/>
  <c r="CT148" i="3"/>
  <c r="GX148" i="3"/>
  <c r="NX148" i="3"/>
  <c r="NZ148" i="3"/>
  <c r="CT146" i="3"/>
  <c r="GX146" i="3"/>
  <c r="NX146" i="3"/>
  <c r="NZ146" i="3"/>
  <c r="CT144" i="3"/>
  <c r="GX144" i="3"/>
  <c r="NX144" i="3"/>
  <c r="NZ144" i="3"/>
  <c r="CT142" i="3"/>
  <c r="GX142" i="3"/>
  <c r="NX142" i="3"/>
  <c r="NZ142" i="3"/>
  <c r="CT140" i="3"/>
  <c r="GX140" i="3"/>
  <c r="NX140" i="3"/>
  <c r="NZ140" i="3"/>
  <c r="FH138" i="3"/>
  <c r="FI138" i="3" s="1"/>
  <c r="CT138" i="3"/>
  <c r="GX138" i="3"/>
  <c r="NX138" i="3"/>
  <c r="NZ138" i="3"/>
  <c r="CT130" i="3"/>
  <c r="GX130" i="3"/>
  <c r="NX130" i="3"/>
  <c r="NZ130" i="3"/>
  <c r="CT128" i="3"/>
  <c r="GX128" i="3"/>
  <c r="NX128" i="3"/>
  <c r="NZ128" i="3"/>
  <c r="CT126" i="3"/>
  <c r="GX126" i="3"/>
  <c r="NX126" i="3"/>
  <c r="NZ126" i="3"/>
  <c r="CT124" i="3"/>
  <c r="GX124" i="3"/>
  <c r="NX124" i="3"/>
  <c r="NZ124" i="3"/>
  <c r="CT122" i="3"/>
  <c r="GX122" i="3"/>
  <c r="NX122" i="3"/>
  <c r="NZ122" i="3"/>
  <c r="GX120" i="3"/>
  <c r="NX120" i="3"/>
  <c r="NZ120" i="3"/>
  <c r="CT118" i="3"/>
  <c r="GX118" i="3"/>
  <c r="NX118" i="3"/>
  <c r="NZ118" i="3"/>
  <c r="BU116" i="3"/>
  <c r="HV116" i="3"/>
  <c r="KO116" i="3"/>
  <c r="OE116" i="3"/>
  <c r="OF116" i="3" s="1"/>
  <c r="OW116" i="3"/>
  <c r="PB116" i="3"/>
  <c r="PH116" i="3"/>
  <c r="PM116" i="3"/>
  <c r="NE116" i="3"/>
  <c r="OR116" i="3"/>
  <c r="OZ116" i="3"/>
  <c r="PJ116" i="3"/>
  <c r="PP116" i="3"/>
  <c r="CT116" i="3"/>
  <c r="GX116" i="3"/>
  <c r="NX116" i="3"/>
  <c r="NZ116" i="3"/>
  <c r="DV36" i="1"/>
  <c r="DV40" i="1"/>
  <c r="DV42" i="1"/>
  <c r="DV44" i="1"/>
  <c r="DV56" i="1"/>
  <c r="CR58" i="1"/>
  <c r="DV60" i="1"/>
  <c r="CR62" i="1"/>
  <c r="DV64" i="1"/>
  <c r="CR66" i="1"/>
  <c r="DV68" i="1"/>
  <c r="CR70" i="1"/>
  <c r="CR36" i="1"/>
  <c r="CR38" i="1"/>
  <c r="CR40" i="1"/>
  <c r="CR42" i="1"/>
  <c r="CR44" i="1"/>
  <c r="CR56" i="1"/>
  <c r="DV58" i="1"/>
  <c r="CR60" i="1"/>
  <c r="DV62" i="1"/>
  <c r="CR64" i="1"/>
  <c r="DV66" i="1"/>
  <c r="CR68" i="1"/>
  <c r="AP54" i="4"/>
  <c r="J214" i="6"/>
  <c r="H214" i="6"/>
  <c r="J212" i="6"/>
  <c r="H212" i="6"/>
  <c r="E214" i="6"/>
  <c r="E212" i="6"/>
  <c r="E210" i="6"/>
  <c r="N25" i="1"/>
  <c r="PO70" i="3"/>
  <c r="PL70" i="3"/>
  <c r="PO68" i="3"/>
  <c r="PL68" i="3"/>
  <c r="PO66" i="3"/>
  <c r="PL66" i="3"/>
  <c r="PO64" i="3"/>
  <c r="PL64" i="3"/>
  <c r="PO62" i="3"/>
  <c r="PL62" i="3"/>
  <c r="PO60" i="3"/>
  <c r="PL60" i="3"/>
  <c r="PO58" i="3"/>
  <c r="PL58" i="3"/>
  <c r="PO56" i="3"/>
  <c r="PL56" i="3"/>
  <c r="PO48" i="3"/>
  <c r="PL48" i="3"/>
  <c r="PO46" i="3"/>
  <c r="PL46" i="3"/>
  <c r="PO44" i="3"/>
  <c r="PL44" i="3"/>
  <c r="PO42" i="3"/>
  <c r="PL42" i="3"/>
  <c r="PO40" i="3"/>
  <c r="PL40" i="3"/>
  <c r="PO38" i="3"/>
  <c r="PL38" i="3"/>
  <c r="PO36" i="3"/>
  <c r="PL36" i="3"/>
  <c r="PO34" i="3"/>
  <c r="PL34" i="3"/>
  <c r="I153" i="6"/>
  <c r="I155" i="6"/>
  <c r="L181" i="6"/>
  <c r="I181" i="6"/>
  <c r="EP18" i="11" l="1"/>
  <c r="EP102" i="11" s="1"/>
  <c r="J112" i="12" s="1"/>
  <c r="NW18" i="11"/>
  <c r="NX18" i="11" s="1"/>
  <c r="LR18" i="13"/>
  <c r="H111" i="6"/>
  <c r="S107" i="1"/>
  <c r="CT156" i="3"/>
  <c r="FO144" i="3"/>
  <c r="GK144" i="3" s="1"/>
  <c r="E99" i="6"/>
  <c r="G99" i="6" s="1"/>
  <c r="AC132" i="1"/>
  <c r="B111" i="6"/>
  <c r="AC154" i="1"/>
  <c r="K156" i="1"/>
  <c r="N113" i="6"/>
  <c r="I113" i="6"/>
  <c r="B113" i="6"/>
  <c r="I111" i="6"/>
  <c r="E111" i="6"/>
  <c r="G111" i="6" s="1"/>
  <c r="Q113" i="6"/>
  <c r="L113" i="6"/>
  <c r="E113" i="6"/>
  <c r="O122" i="6"/>
  <c r="O110" i="6"/>
  <c r="FO140" i="3"/>
  <c r="GK140" i="3" s="1"/>
  <c r="OZ156" i="3"/>
  <c r="HV156" i="3"/>
  <c r="M319" i="6" s="1"/>
  <c r="P134" i="6"/>
  <c r="FO130" i="3"/>
  <c r="GK130" i="3" s="1"/>
  <c r="M309" i="6"/>
  <c r="OR156" i="3"/>
  <c r="NE156" i="3"/>
  <c r="PH156" i="3"/>
  <c r="KO156" i="3"/>
  <c r="NX156" i="3"/>
  <c r="FI142" i="3"/>
  <c r="AU156" i="3"/>
  <c r="OW156" i="3"/>
  <c r="PP156" i="3"/>
  <c r="PE156" i="3"/>
  <c r="K162" i="1"/>
  <c r="NZ156" i="3"/>
  <c r="OM156" i="3"/>
  <c r="PM156" i="3"/>
  <c r="PB156" i="3"/>
  <c r="PJ156" i="3"/>
  <c r="FO138" i="3"/>
  <c r="GK138" i="3" s="1"/>
  <c r="OG116" i="3"/>
  <c r="OG156" i="3" s="1"/>
  <c r="OF156" i="3"/>
  <c r="FI152" i="3"/>
  <c r="H43" i="5"/>
  <c r="H172" i="1" l="1"/>
  <c r="K167" i="1"/>
  <c r="K165" i="1"/>
  <c r="P160" i="3"/>
  <c r="K168" i="1"/>
  <c r="H162" i="1"/>
  <c r="O136" i="6" s="1"/>
  <c r="G160" i="3"/>
  <c r="H160" i="3"/>
  <c r="M59" i="6"/>
  <c r="O59" i="6" s="1"/>
  <c r="P140" i="6"/>
  <c r="K184" i="1"/>
  <c r="Q184" i="1" s="1"/>
  <c r="N168" i="1"/>
  <c r="N179" i="6"/>
  <c r="Q179" i="6" s="1"/>
  <c r="N165" i="1"/>
  <c r="Q173" i="6"/>
  <c r="P138" i="6"/>
  <c r="K173" i="1"/>
  <c r="Q136" i="6"/>
  <c r="K172" i="1"/>
  <c r="K159" i="1"/>
  <c r="P169" i="6"/>
  <c r="N167" i="1"/>
  <c r="N177" i="6"/>
  <c r="Q177" i="6" s="1"/>
  <c r="K166" i="1"/>
  <c r="Q175" i="6"/>
  <c r="K157" i="1"/>
  <c r="K188" i="1" l="1"/>
  <c r="K79" i="1"/>
  <c r="BS70" i="3"/>
  <c r="BS68" i="3"/>
  <c r="BS66" i="3"/>
  <c r="BS64" i="3"/>
  <c r="BS62" i="3"/>
  <c r="BS60" i="3"/>
  <c r="BS58" i="3"/>
  <c r="BS56" i="3"/>
  <c r="BS48" i="3"/>
  <c r="BS46" i="3"/>
  <c r="BS44" i="3"/>
  <c r="BS40" i="3"/>
  <c r="BS38" i="3"/>
  <c r="BS36" i="3"/>
  <c r="K86" i="2"/>
  <c r="K85" i="2"/>
  <c r="AN44" i="2" s="1"/>
  <c r="K84" i="2"/>
  <c r="BS130" i="3" s="1"/>
  <c r="Q78" i="3"/>
  <c r="K224" i="1" l="1"/>
  <c r="N224" i="1"/>
  <c r="N216" i="1"/>
  <c r="M196" i="6" s="1"/>
  <c r="O196" i="6" s="1"/>
  <c r="K216" i="1"/>
  <c r="AN10" i="2"/>
  <c r="AN11" i="2"/>
  <c r="BS34" i="3" s="1"/>
  <c r="BT34" i="3" s="1"/>
  <c r="BS128" i="3"/>
  <c r="BT128" i="3" s="1"/>
  <c r="BU128" i="3" s="1"/>
  <c r="BS122" i="3"/>
  <c r="BS42" i="3"/>
  <c r="BT42" i="3" s="1"/>
  <c r="P144" i="6"/>
  <c r="BT130" i="3"/>
  <c r="BU130" i="3" s="1"/>
  <c r="AZ130" i="1"/>
  <c r="D110" i="3"/>
  <c r="Q188" i="1"/>
  <c r="V158" i="1"/>
  <c r="BT70" i="3"/>
  <c r="AZ70" i="1"/>
  <c r="BT68" i="3"/>
  <c r="AZ68" i="1"/>
  <c r="BT66" i="3"/>
  <c r="AZ66" i="1"/>
  <c r="BT64" i="3"/>
  <c r="AZ64" i="1"/>
  <c r="BT62" i="3"/>
  <c r="AZ62" i="1"/>
  <c r="BT60" i="3"/>
  <c r="AZ60" i="1"/>
  <c r="BT58" i="3"/>
  <c r="AZ58" i="1"/>
  <c r="BT56" i="3"/>
  <c r="AZ56" i="1"/>
  <c r="BT48" i="3"/>
  <c r="AZ48" i="1"/>
  <c r="BT46" i="3"/>
  <c r="AZ46" i="1"/>
  <c r="BT44" i="3"/>
  <c r="AZ44" i="1"/>
  <c r="BT40" i="3"/>
  <c r="AZ40" i="1"/>
  <c r="BT38" i="3"/>
  <c r="AZ38" i="1"/>
  <c r="BT36" i="3"/>
  <c r="AZ36" i="1"/>
  <c r="PD70" i="3"/>
  <c r="PD68" i="3"/>
  <c r="PD66" i="3"/>
  <c r="PD64" i="3"/>
  <c r="PD62" i="3"/>
  <c r="PD60" i="3"/>
  <c r="PD58" i="3"/>
  <c r="PD56" i="3"/>
  <c r="AR59" i="2"/>
  <c r="AR60" i="2"/>
  <c r="AR62" i="2"/>
  <c r="AR64" i="2"/>
  <c r="AR65" i="2"/>
  <c r="AR66" i="2"/>
  <c r="AR67" i="2"/>
  <c r="AR68" i="2"/>
  <c r="AR69" i="2"/>
  <c r="AR57" i="2"/>
  <c r="PD48" i="3" s="1"/>
  <c r="BI8" i="2"/>
  <c r="BI9" i="2"/>
  <c r="BI10" i="2"/>
  <c r="BI11" i="2"/>
  <c r="BI12" i="2"/>
  <c r="BI13" i="2"/>
  <c r="BI14" i="2"/>
  <c r="BI15" i="2"/>
  <c r="BI16" i="2"/>
  <c r="BI17" i="2"/>
  <c r="BI18" i="2"/>
  <c r="BI19" i="2"/>
  <c r="BI20" i="2"/>
  <c r="BI22" i="2"/>
  <c r="BI23" i="2"/>
  <c r="BI24" i="2"/>
  <c r="BI25" i="2"/>
  <c r="BI26" i="2"/>
  <c r="BI27" i="2"/>
  <c r="BI28" i="2"/>
  <c r="BI29" i="2"/>
  <c r="BI30" i="2"/>
  <c r="BI31" i="2"/>
  <c r="BI32" i="2"/>
  <c r="BI33" i="2"/>
  <c r="BI34" i="2"/>
  <c r="BI35" i="2"/>
  <c r="BI36" i="2"/>
  <c r="BI37" i="2"/>
  <c r="BI38" i="2"/>
  <c r="BI39" i="2"/>
  <c r="BI40" i="2"/>
  <c r="BI42" i="2"/>
  <c r="BI43" i="2"/>
  <c r="BI44" i="2"/>
  <c r="BI45" i="2"/>
  <c r="BI46" i="2"/>
  <c r="BI47" i="2"/>
  <c r="BI48" i="2"/>
  <c r="BI7" i="2"/>
  <c r="R114" i="2"/>
  <c r="P125" i="2"/>
  <c r="P124" i="2"/>
  <c r="P123" i="2"/>
  <c r="P122" i="2"/>
  <c r="P121" i="2"/>
  <c r="P120" i="2"/>
  <c r="P119" i="2"/>
  <c r="P118" i="2"/>
  <c r="P117" i="2"/>
  <c r="P116" i="2"/>
  <c r="P115" i="2"/>
  <c r="P114" i="2"/>
  <c r="O125" i="2"/>
  <c r="O124" i="2"/>
  <c r="O123" i="2"/>
  <c r="O122" i="2"/>
  <c r="O121" i="2"/>
  <c r="O120" i="2"/>
  <c r="O119" i="2"/>
  <c r="O118" i="2"/>
  <c r="O117" i="2"/>
  <c r="Q110" i="3" s="1"/>
  <c r="O116" i="2"/>
  <c r="O115" i="2"/>
  <c r="O114" i="2"/>
  <c r="N125" i="2"/>
  <c r="N124" i="2"/>
  <c r="N123" i="2"/>
  <c r="N122" i="2"/>
  <c r="N121" i="2"/>
  <c r="N120" i="2"/>
  <c r="N119" i="2"/>
  <c r="N118" i="2"/>
  <c r="N117" i="2"/>
  <c r="N116" i="2"/>
  <c r="N115" i="2"/>
  <c r="N114" i="2"/>
  <c r="M125" i="2"/>
  <c r="M124" i="2"/>
  <c r="M123" i="2"/>
  <c r="M122" i="2"/>
  <c r="M121" i="2"/>
  <c r="M120" i="2"/>
  <c r="M119" i="2"/>
  <c r="M118" i="2"/>
  <c r="M117" i="2"/>
  <c r="L110" i="3" s="1"/>
  <c r="M116" i="2"/>
  <c r="M115" i="2"/>
  <c r="M114" i="2"/>
  <c r="CO9" i="2"/>
  <c r="CL9" i="2"/>
  <c r="CO37" i="2"/>
  <c r="CL37" i="2"/>
  <c r="Q87" i="1"/>
  <c r="N87" i="1"/>
  <c r="K87" i="1"/>
  <c r="PA70" i="3"/>
  <c r="OY70" i="3"/>
  <c r="PA68" i="3"/>
  <c r="OY68" i="3"/>
  <c r="PA66" i="3"/>
  <c r="OY66" i="3"/>
  <c r="PA64" i="3"/>
  <c r="OY64" i="3"/>
  <c r="PA62" i="3"/>
  <c r="OY62" i="3"/>
  <c r="PA60" i="3"/>
  <c r="OY60" i="3"/>
  <c r="PA58" i="3"/>
  <c r="OY58" i="3"/>
  <c r="PA56" i="3"/>
  <c r="OY56" i="3"/>
  <c r="PA48" i="3"/>
  <c r="OY48" i="3"/>
  <c r="PA46" i="3"/>
  <c r="OY46" i="3"/>
  <c r="PA44" i="3"/>
  <c r="OY44" i="3"/>
  <c r="PA42" i="3"/>
  <c r="OY42" i="3"/>
  <c r="PA40" i="3"/>
  <c r="OY40" i="3"/>
  <c r="PA38" i="3"/>
  <c r="OY38" i="3"/>
  <c r="PA36" i="3"/>
  <c r="OY36" i="3"/>
  <c r="OY34" i="3"/>
  <c r="PA34" i="3"/>
  <c r="OD60" i="3"/>
  <c r="F78" i="3"/>
  <c r="E78" i="3"/>
  <c r="BW116" i="3" l="1"/>
  <c r="K158" i="1"/>
  <c r="L28" i="3"/>
  <c r="Q28" i="3"/>
  <c r="QG124" i="3"/>
  <c r="QK124" i="3"/>
  <c r="QI124" i="3"/>
  <c r="QG118" i="3"/>
  <c r="QK118" i="3"/>
  <c r="QK126" i="3"/>
  <c r="QI126" i="3"/>
  <c r="QJ126" i="3"/>
  <c r="QG126" i="3"/>
  <c r="G134" i="3"/>
  <c r="I134" i="3"/>
  <c r="AZ42" i="1"/>
  <c r="J202" i="1"/>
  <c r="K206" i="1"/>
  <c r="AZ34" i="1"/>
  <c r="AZ128" i="1"/>
  <c r="QK122" i="3"/>
  <c r="QI122" i="3"/>
  <c r="QG122" i="3"/>
  <c r="QK116" i="3"/>
  <c r="QI116" i="3"/>
  <c r="QI128" i="3"/>
  <c r="QG128" i="3"/>
  <c r="QE128" i="3"/>
  <c r="QK128" i="3"/>
  <c r="QH128" i="3"/>
  <c r="QF128" i="3"/>
  <c r="QG120" i="3"/>
  <c r="QK120" i="3"/>
  <c r="QI120" i="3"/>
  <c r="QF120" i="3"/>
  <c r="QI130" i="3"/>
  <c r="QE130" i="3"/>
  <c r="QJ130" i="3"/>
  <c r="QF130" i="3"/>
  <c r="BE128" i="3"/>
  <c r="BE118" i="3"/>
  <c r="BE130" i="3"/>
  <c r="BE122" i="3"/>
  <c r="BE126" i="3"/>
  <c r="BE116" i="3"/>
  <c r="BG116" i="3" s="1"/>
  <c r="BE120" i="3"/>
  <c r="BE124" i="3"/>
  <c r="BE152" i="3"/>
  <c r="BW130" i="3"/>
  <c r="KR130" i="3" s="1"/>
  <c r="BW120" i="3"/>
  <c r="BW124" i="3"/>
  <c r="BW122" i="3"/>
  <c r="KR122" i="3" s="1"/>
  <c r="BW126" i="3"/>
  <c r="BW128" i="3"/>
  <c r="BW118" i="3"/>
  <c r="BT122" i="3"/>
  <c r="BU122" i="3" s="1"/>
  <c r="BU156" i="3" s="1"/>
  <c r="M15" i="6" s="1"/>
  <c r="O15" i="6" s="1"/>
  <c r="AZ122" i="1"/>
  <c r="F110" i="3"/>
  <c r="L160" i="3" s="1"/>
  <c r="E110" i="3"/>
  <c r="PD34" i="3"/>
  <c r="PD38" i="3"/>
  <c r="PD42" i="3"/>
  <c r="PD46" i="3"/>
  <c r="PD36" i="3"/>
  <c r="PD40" i="3"/>
  <c r="PD44" i="3"/>
  <c r="G52" i="3"/>
  <c r="PI70" i="3"/>
  <c r="PG70" i="3"/>
  <c r="OV70" i="3"/>
  <c r="OU70" i="3"/>
  <c r="OT70" i="3"/>
  <c r="OQ70" i="3"/>
  <c r="OP70" i="3"/>
  <c r="OK70" i="3"/>
  <c r="OJ70" i="3"/>
  <c r="OI70" i="3"/>
  <c r="OD70" i="3"/>
  <c r="OC70" i="3"/>
  <c r="OB70" i="3"/>
  <c r="NY70" i="3"/>
  <c r="NW70" i="3"/>
  <c r="NH70" i="3"/>
  <c r="NG70" i="3"/>
  <c r="NA70" i="3"/>
  <c r="IQ70" i="3"/>
  <c r="IJ70" i="3"/>
  <c r="II70" i="3"/>
  <c r="HU70" i="3"/>
  <c r="HD70" i="3"/>
  <c r="HC70" i="3"/>
  <c r="HA70" i="3"/>
  <c r="GZ70" i="3"/>
  <c r="GV70" i="3"/>
  <c r="GW70" i="3" s="1"/>
  <c r="GS70" i="3"/>
  <c r="GT70" i="3" s="1"/>
  <c r="FN70" i="3"/>
  <c r="FM70" i="3"/>
  <c r="FG70" i="3"/>
  <c r="FE70" i="3"/>
  <c r="FC70" i="3"/>
  <c r="FA70" i="3"/>
  <c r="EP70" i="3"/>
  <c r="EE70" i="3"/>
  <c r="DR70" i="3"/>
  <c r="DL70" i="3"/>
  <c r="DI70" i="3"/>
  <c r="CS70" i="3"/>
  <c r="BN70" i="3"/>
  <c r="BK70" i="3"/>
  <c r="AT70" i="3"/>
  <c r="AC70" i="3"/>
  <c r="L95" i="6"/>
  <c r="M95" i="6" s="1"/>
  <c r="PI68" i="3"/>
  <c r="PG68" i="3"/>
  <c r="OV68" i="3"/>
  <c r="OU68" i="3"/>
  <c r="OT68" i="3"/>
  <c r="OQ68" i="3"/>
  <c r="OP68" i="3"/>
  <c r="OK68" i="3"/>
  <c r="OJ68" i="3"/>
  <c r="OI68" i="3"/>
  <c r="OD68" i="3"/>
  <c r="OC68" i="3"/>
  <c r="OB68" i="3"/>
  <c r="NY68" i="3"/>
  <c r="NW68" i="3"/>
  <c r="NH68" i="3"/>
  <c r="NG68" i="3"/>
  <c r="NA68" i="3"/>
  <c r="IQ68" i="3"/>
  <c r="IJ68" i="3"/>
  <c r="II68" i="3"/>
  <c r="HU68" i="3"/>
  <c r="HD68" i="3"/>
  <c r="HC68" i="3"/>
  <c r="HA68" i="3"/>
  <c r="GZ68" i="3"/>
  <c r="GV68" i="3"/>
  <c r="GW68" i="3" s="1"/>
  <c r="GS68" i="3"/>
  <c r="GT68" i="3" s="1"/>
  <c r="FN68" i="3"/>
  <c r="FM68" i="3"/>
  <c r="FG68" i="3"/>
  <c r="FC68" i="3"/>
  <c r="FA68" i="3"/>
  <c r="EP68" i="3"/>
  <c r="EE68" i="3"/>
  <c r="DR68" i="3"/>
  <c r="DL68" i="3"/>
  <c r="DI68" i="3"/>
  <c r="CS68" i="3"/>
  <c r="BN68" i="3"/>
  <c r="BK68" i="3"/>
  <c r="AT68" i="3"/>
  <c r="AC68" i="3"/>
  <c r="L94" i="6"/>
  <c r="M94" i="6" s="1"/>
  <c r="PI66" i="3"/>
  <c r="PG66" i="3"/>
  <c r="OV66" i="3"/>
  <c r="OU66" i="3"/>
  <c r="OT66" i="3"/>
  <c r="OQ66" i="3"/>
  <c r="OP66" i="3"/>
  <c r="OK66" i="3"/>
  <c r="OJ66" i="3"/>
  <c r="OI66" i="3"/>
  <c r="OD66" i="3"/>
  <c r="OC66" i="3"/>
  <c r="OB66" i="3"/>
  <c r="NY66" i="3"/>
  <c r="NW66" i="3"/>
  <c r="NH66" i="3"/>
  <c r="NG66" i="3"/>
  <c r="NA66" i="3"/>
  <c r="IQ66" i="3"/>
  <c r="IJ66" i="3"/>
  <c r="II66" i="3"/>
  <c r="HU66" i="3"/>
  <c r="HD66" i="3"/>
  <c r="HC66" i="3"/>
  <c r="HA66" i="3"/>
  <c r="GZ66" i="3"/>
  <c r="GV66" i="3"/>
  <c r="GW66" i="3" s="1"/>
  <c r="GS66" i="3"/>
  <c r="GT66" i="3" s="1"/>
  <c r="FN66" i="3"/>
  <c r="FM66" i="3"/>
  <c r="FG66" i="3"/>
  <c r="FA66" i="3"/>
  <c r="EP66" i="3"/>
  <c r="EE66" i="3"/>
  <c r="DR66" i="3"/>
  <c r="DL66" i="3"/>
  <c r="DI66" i="3"/>
  <c r="CS66" i="3"/>
  <c r="BN66" i="3"/>
  <c r="BK66" i="3"/>
  <c r="AT66" i="3"/>
  <c r="AC66" i="3"/>
  <c r="L93" i="6"/>
  <c r="M93" i="6" s="1"/>
  <c r="PI64" i="3"/>
  <c r="PG64" i="3"/>
  <c r="OV64" i="3"/>
  <c r="OU64" i="3"/>
  <c r="OT64" i="3"/>
  <c r="OQ64" i="3"/>
  <c r="OP64" i="3"/>
  <c r="OK64" i="3"/>
  <c r="OJ64" i="3"/>
  <c r="OI64" i="3"/>
  <c r="OD64" i="3"/>
  <c r="OC64" i="3"/>
  <c r="OB64" i="3"/>
  <c r="NY64" i="3"/>
  <c r="NW64" i="3"/>
  <c r="NA64" i="3"/>
  <c r="IQ64" i="3"/>
  <c r="IJ64" i="3"/>
  <c r="II64" i="3"/>
  <c r="HU64" i="3"/>
  <c r="HD64" i="3"/>
  <c r="HC64" i="3"/>
  <c r="HA64" i="3"/>
  <c r="GZ64" i="3"/>
  <c r="GV64" i="3"/>
  <c r="GW64" i="3" s="1"/>
  <c r="GS64" i="3"/>
  <c r="GT64" i="3" s="1"/>
  <c r="FN64" i="3"/>
  <c r="FM64" i="3"/>
  <c r="FE64" i="3"/>
  <c r="FC64" i="3"/>
  <c r="FA64" i="3"/>
  <c r="EP64" i="3"/>
  <c r="EE64" i="3"/>
  <c r="DR64" i="3"/>
  <c r="DL64" i="3"/>
  <c r="DI64" i="3"/>
  <c r="CS64" i="3"/>
  <c r="BN64" i="3"/>
  <c r="BK64" i="3"/>
  <c r="AT64" i="3"/>
  <c r="AC64" i="3"/>
  <c r="L92" i="6"/>
  <c r="M92" i="6" s="1"/>
  <c r="PI62" i="3"/>
  <c r="PG62" i="3"/>
  <c r="OV62" i="3"/>
  <c r="OU62" i="3"/>
  <c r="OT62" i="3"/>
  <c r="OQ62" i="3"/>
  <c r="OP62" i="3"/>
  <c r="OK62" i="3"/>
  <c r="OJ62" i="3"/>
  <c r="OI62" i="3"/>
  <c r="OD62" i="3"/>
  <c r="OC62" i="3"/>
  <c r="OB62" i="3"/>
  <c r="NY62" i="3"/>
  <c r="NW62" i="3"/>
  <c r="NH62" i="3"/>
  <c r="NG62" i="3"/>
  <c r="NA62" i="3"/>
  <c r="IQ62" i="3"/>
  <c r="IJ62" i="3"/>
  <c r="II62" i="3"/>
  <c r="HU62" i="3"/>
  <c r="HD62" i="3"/>
  <c r="HC62" i="3"/>
  <c r="HA62" i="3"/>
  <c r="GZ62" i="3"/>
  <c r="GV62" i="3"/>
  <c r="GW62" i="3" s="1"/>
  <c r="GS62" i="3"/>
  <c r="GT62" i="3" s="1"/>
  <c r="FN62" i="3"/>
  <c r="FM62" i="3"/>
  <c r="FG62" i="3"/>
  <c r="FE62" i="3"/>
  <c r="FC62" i="3"/>
  <c r="FA62" i="3"/>
  <c r="EP62" i="3"/>
  <c r="EE62" i="3"/>
  <c r="DR62" i="3"/>
  <c r="DL62" i="3"/>
  <c r="DI62" i="3"/>
  <c r="CS62" i="3"/>
  <c r="BN62" i="3"/>
  <c r="BK62" i="3"/>
  <c r="AT62" i="3"/>
  <c r="AC62" i="3"/>
  <c r="L91" i="6"/>
  <c r="M91" i="6" s="1"/>
  <c r="PI60" i="3"/>
  <c r="PG60" i="3"/>
  <c r="OV60" i="3"/>
  <c r="OU60" i="3"/>
  <c r="OT60" i="3"/>
  <c r="OQ60" i="3"/>
  <c r="OP60" i="3"/>
  <c r="OK60" i="3"/>
  <c r="OJ60" i="3"/>
  <c r="OI60" i="3"/>
  <c r="OC60" i="3"/>
  <c r="OB60" i="3"/>
  <c r="NY60" i="3"/>
  <c r="NW60" i="3"/>
  <c r="NH60" i="3"/>
  <c r="NG60" i="3"/>
  <c r="NA60" i="3"/>
  <c r="IQ60" i="3"/>
  <c r="IJ60" i="3"/>
  <c r="II60" i="3"/>
  <c r="HU60" i="3"/>
  <c r="HD60" i="3"/>
  <c r="HC60" i="3"/>
  <c r="HA60" i="3"/>
  <c r="GZ60" i="3"/>
  <c r="GV60" i="3"/>
  <c r="GW60" i="3" s="1"/>
  <c r="GS60" i="3"/>
  <c r="GT60" i="3" s="1"/>
  <c r="FN60" i="3"/>
  <c r="FM60" i="3"/>
  <c r="FG60" i="3"/>
  <c r="FE60" i="3"/>
  <c r="FC60" i="3"/>
  <c r="FA60" i="3"/>
  <c r="EP60" i="3"/>
  <c r="EE60" i="3"/>
  <c r="DR60" i="3"/>
  <c r="DL60" i="3"/>
  <c r="DI60" i="3"/>
  <c r="CS60" i="3"/>
  <c r="BN60" i="3"/>
  <c r="BK60" i="3"/>
  <c r="AT60" i="3"/>
  <c r="AC60" i="3"/>
  <c r="L90" i="6"/>
  <c r="M90" i="6" s="1"/>
  <c r="PI58" i="3"/>
  <c r="PG58" i="3"/>
  <c r="OV58" i="3"/>
  <c r="OU58" i="3"/>
  <c r="OT58" i="3"/>
  <c r="OQ58" i="3"/>
  <c r="OP58" i="3"/>
  <c r="OK58" i="3"/>
  <c r="OJ58" i="3"/>
  <c r="OI58" i="3"/>
  <c r="OD58" i="3"/>
  <c r="OC58" i="3"/>
  <c r="OB58" i="3"/>
  <c r="NY58" i="3"/>
  <c r="NW58" i="3"/>
  <c r="NH58" i="3"/>
  <c r="NG58" i="3"/>
  <c r="NA58" i="3"/>
  <c r="IQ58" i="3"/>
  <c r="IJ58" i="3"/>
  <c r="II58" i="3"/>
  <c r="HU58" i="3"/>
  <c r="HD58" i="3"/>
  <c r="HC58" i="3"/>
  <c r="HA58" i="3"/>
  <c r="GZ58" i="3"/>
  <c r="GV58" i="3"/>
  <c r="GW58" i="3" s="1"/>
  <c r="GS58" i="3"/>
  <c r="GT58" i="3" s="1"/>
  <c r="FN58" i="3"/>
  <c r="FM58" i="3"/>
  <c r="FG58" i="3"/>
  <c r="FE58" i="3"/>
  <c r="FC58" i="3"/>
  <c r="FA58" i="3"/>
  <c r="EP58" i="3"/>
  <c r="EE58" i="3"/>
  <c r="DR58" i="3"/>
  <c r="DL58" i="3"/>
  <c r="DI58" i="3"/>
  <c r="CS58" i="3"/>
  <c r="BN58" i="3"/>
  <c r="BK58" i="3"/>
  <c r="AT58" i="3"/>
  <c r="AC58" i="3"/>
  <c r="L89" i="6"/>
  <c r="M89" i="6" s="1"/>
  <c r="A56" i="3"/>
  <c r="A58" i="3" s="1"/>
  <c r="A60" i="3" s="1"/>
  <c r="A62" i="3" s="1"/>
  <c r="A64" i="3" s="1"/>
  <c r="A66" i="3" s="1"/>
  <c r="A68" i="3" s="1"/>
  <c r="A70" i="3" s="1"/>
  <c r="NA56" i="3"/>
  <c r="IQ56" i="3"/>
  <c r="HU56" i="3"/>
  <c r="L52" i="3"/>
  <c r="K52" i="3"/>
  <c r="J52" i="3"/>
  <c r="I52" i="3"/>
  <c r="F52" i="3"/>
  <c r="PI56" i="3"/>
  <c r="PG56" i="3"/>
  <c r="OV56" i="3"/>
  <c r="OU56" i="3"/>
  <c r="OT56" i="3"/>
  <c r="OQ56" i="3"/>
  <c r="OP56" i="3"/>
  <c r="OK56" i="3"/>
  <c r="OJ56" i="3"/>
  <c r="OI56" i="3"/>
  <c r="OD56" i="3"/>
  <c r="OC56" i="3"/>
  <c r="OB56" i="3"/>
  <c r="NY56" i="3"/>
  <c r="NW56" i="3"/>
  <c r="NH56" i="3"/>
  <c r="NG56" i="3"/>
  <c r="IJ56" i="3"/>
  <c r="II56" i="3"/>
  <c r="HD56" i="3"/>
  <c r="HC56" i="3"/>
  <c r="HA56" i="3"/>
  <c r="GZ56" i="3"/>
  <c r="GV56" i="3"/>
  <c r="GW56" i="3" s="1"/>
  <c r="GS56" i="3"/>
  <c r="GT56" i="3" s="1"/>
  <c r="FN56" i="3"/>
  <c r="FM56" i="3"/>
  <c r="FG56" i="3"/>
  <c r="FE56" i="3"/>
  <c r="FC56" i="3"/>
  <c r="FA56" i="3"/>
  <c r="EP56" i="3"/>
  <c r="EE56" i="3"/>
  <c r="DR56" i="3"/>
  <c r="DL56" i="3"/>
  <c r="DI56" i="3"/>
  <c r="CS56" i="3"/>
  <c r="BN56" i="3"/>
  <c r="BK56" i="3"/>
  <c r="AT56" i="3"/>
  <c r="AC56" i="3"/>
  <c r="L88" i="6"/>
  <c r="M88" i="6" s="1"/>
  <c r="PI48" i="3"/>
  <c r="PG48" i="3"/>
  <c r="OV48" i="3"/>
  <c r="OU48" i="3"/>
  <c r="OT48" i="3"/>
  <c r="OQ48" i="3"/>
  <c r="OP48" i="3"/>
  <c r="OK48" i="3"/>
  <c r="OJ48" i="3"/>
  <c r="OI48" i="3"/>
  <c r="OD48" i="3"/>
  <c r="OC48" i="3"/>
  <c r="OB48" i="3"/>
  <c r="NY48" i="3"/>
  <c r="NW48" i="3"/>
  <c r="NH48" i="3"/>
  <c r="NG48" i="3"/>
  <c r="NA48" i="3"/>
  <c r="NB48" i="3" s="1"/>
  <c r="NC48" i="3" s="1"/>
  <c r="IQ48" i="3"/>
  <c r="IJ48" i="3"/>
  <c r="II48" i="3"/>
  <c r="HU48" i="3"/>
  <c r="HD48" i="3"/>
  <c r="HC48" i="3"/>
  <c r="HA48" i="3"/>
  <c r="GZ48" i="3"/>
  <c r="GV48" i="3"/>
  <c r="GW48" i="3" s="1"/>
  <c r="GS48" i="3"/>
  <c r="GT48" i="3" s="1"/>
  <c r="FN48" i="3"/>
  <c r="FM48" i="3"/>
  <c r="FG48" i="3"/>
  <c r="FE48" i="3"/>
  <c r="FC48" i="3"/>
  <c r="FA48" i="3"/>
  <c r="EP48" i="3"/>
  <c r="EE48" i="3"/>
  <c r="DR48" i="3"/>
  <c r="DL48" i="3"/>
  <c r="DI48" i="3"/>
  <c r="CS48" i="3"/>
  <c r="BN48" i="3"/>
  <c r="BK48" i="3"/>
  <c r="AT48" i="3"/>
  <c r="AC48" i="3"/>
  <c r="PI46" i="3"/>
  <c r="PG46" i="3"/>
  <c r="OV46" i="3"/>
  <c r="OU46" i="3"/>
  <c r="OT46" i="3"/>
  <c r="OQ46" i="3"/>
  <c r="OP46" i="3"/>
  <c r="OK46" i="3"/>
  <c r="OJ46" i="3"/>
  <c r="OI46" i="3"/>
  <c r="OD46" i="3"/>
  <c r="OC46" i="3"/>
  <c r="OB46" i="3"/>
  <c r="NY46" i="3"/>
  <c r="NW46" i="3"/>
  <c r="NH46" i="3"/>
  <c r="NG46" i="3"/>
  <c r="NA46" i="3"/>
  <c r="NB46" i="3" s="1"/>
  <c r="NC46" i="3" s="1"/>
  <c r="IQ46" i="3"/>
  <c r="IJ46" i="3"/>
  <c r="II46" i="3"/>
  <c r="HU46" i="3"/>
  <c r="HD46" i="3"/>
  <c r="HC46" i="3"/>
  <c r="HA46" i="3"/>
  <c r="GZ46" i="3"/>
  <c r="GV46" i="3"/>
  <c r="GW46" i="3" s="1"/>
  <c r="GS46" i="3"/>
  <c r="GT46" i="3" s="1"/>
  <c r="FN46" i="3"/>
  <c r="FM46" i="3"/>
  <c r="FG46" i="3"/>
  <c r="FC46" i="3"/>
  <c r="FA46" i="3"/>
  <c r="EP46" i="3"/>
  <c r="EE46" i="3"/>
  <c r="DR46" i="3"/>
  <c r="DL46" i="3"/>
  <c r="DI46" i="3"/>
  <c r="CS46" i="3"/>
  <c r="BN46" i="3"/>
  <c r="BK46" i="3"/>
  <c r="AT46" i="3"/>
  <c r="AC46" i="3"/>
  <c r="PI44" i="3"/>
  <c r="PG44" i="3"/>
  <c r="OV44" i="3"/>
  <c r="OU44" i="3"/>
  <c r="OT44" i="3"/>
  <c r="OQ44" i="3"/>
  <c r="OP44" i="3"/>
  <c r="OK44" i="3"/>
  <c r="OJ44" i="3"/>
  <c r="OI44" i="3"/>
  <c r="OD44" i="3"/>
  <c r="OC44" i="3"/>
  <c r="OB44" i="3"/>
  <c r="NY44" i="3"/>
  <c r="NW44" i="3"/>
  <c r="NH44" i="3"/>
  <c r="NG44" i="3"/>
  <c r="NA44" i="3"/>
  <c r="IQ44" i="3"/>
  <c r="IJ44" i="3"/>
  <c r="II44" i="3"/>
  <c r="HU44" i="3"/>
  <c r="HD44" i="3"/>
  <c r="HC44" i="3"/>
  <c r="HA44" i="3"/>
  <c r="GZ44" i="3"/>
  <c r="GV44" i="3"/>
  <c r="GW44" i="3" s="1"/>
  <c r="GS44" i="3"/>
  <c r="GT44" i="3" s="1"/>
  <c r="FN44" i="3"/>
  <c r="FM44" i="3"/>
  <c r="FG44" i="3"/>
  <c r="FC44" i="3"/>
  <c r="FA44" i="3"/>
  <c r="EP44" i="3"/>
  <c r="EE44" i="3"/>
  <c r="DR44" i="3"/>
  <c r="DL44" i="3"/>
  <c r="DI44" i="3"/>
  <c r="CS44" i="3"/>
  <c r="BN44" i="3"/>
  <c r="BK44" i="3"/>
  <c r="AT44" i="3"/>
  <c r="AC44" i="3"/>
  <c r="PI42" i="3"/>
  <c r="PG42" i="3"/>
  <c r="OV42" i="3"/>
  <c r="OU42" i="3"/>
  <c r="OT42" i="3"/>
  <c r="OQ42" i="3"/>
  <c r="OP42" i="3"/>
  <c r="OK42" i="3"/>
  <c r="OJ42" i="3"/>
  <c r="OI42" i="3"/>
  <c r="OD42" i="3"/>
  <c r="OC42" i="3"/>
  <c r="OB42" i="3"/>
  <c r="NY42" i="3"/>
  <c r="NW42" i="3"/>
  <c r="NA42" i="3"/>
  <c r="IQ42" i="3"/>
  <c r="IJ42" i="3"/>
  <c r="II42" i="3"/>
  <c r="HU42" i="3"/>
  <c r="HD42" i="3"/>
  <c r="HC42" i="3"/>
  <c r="HA42" i="3"/>
  <c r="GZ42" i="3"/>
  <c r="GV42" i="3"/>
  <c r="GW42" i="3" s="1"/>
  <c r="GS42" i="3"/>
  <c r="GT42" i="3" s="1"/>
  <c r="FN42" i="3"/>
  <c r="FM42" i="3"/>
  <c r="FE42" i="3"/>
  <c r="FC42" i="3"/>
  <c r="FA42" i="3"/>
  <c r="EP42" i="3"/>
  <c r="EE42" i="3"/>
  <c r="DR42" i="3"/>
  <c r="DL42" i="3"/>
  <c r="DI42" i="3"/>
  <c r="CS42" i="3"/>
  <c r="BN42" i="3"/>
  <c r="BK42" i="3"/>
  <c r="AT42" i="3"/>
  <c r="AC42" i="3"/>
  <c r="PI40" i="3"/>
  <c r="PG40" i="3"/>
  <c r="OV40" i="3"/>
  <c r="OU40" i="3"/>
  <c r="OT40" i="3"/>
  <c r="OQ40" i="3"/>
  <c r="OP40" i="3"/>
  <c r="OK40" i="3"/>
  <c r="OJ40" i="3"/>
  <c r="OI40" i="3"/>
  <c r="OD40" i="3"/>
  <c r="OC40" i="3"/>
  <c r="OB40" i="3"/>
  <c r="NY40" i="3"/>
  <c r="NW40" i="3"/>
  <c r="NH40" i="3"/>
  <c r="NG40" i="3"/>
  <c r="NA40" i="3"/>
  <c r="IQ40" i="3"/>
  <c r="IJ40" i="3"/>
  <c r="II40" i="3"/>
  <c r="HU40" i="3"/>
  <c r="HD40" i="3"/>
  <c r="HC40" i="3"/>
  <c r="HA40" i="3"/>
  <c r="GZ40" i="3"/>
  <c r="GV40" i="3"/>
  <c r="GW40" i="3" s="1"/>
  <c r="GS40" i="3"/>
  <c r="GT40" i="3" s="1"/>
  <c r="FN40" i="3"/>
  <c r="FM40" i="3"/>
  <c r="FG40" i="3"/>
  <c r="FC40" i="3"/>
  <c r="FA40" i="3"/>
  <c r="EP40" i="3"/>
  <c r="EE40" i="3"/>
  <c r="DR40" i="3"/>
  <c r="DL40" i="3"/>
  <c r="DI40" i="3"/>
  <c r="CS40" i="3"/>
  <c r="BN40" i="3"/>
  <c r="BK40" i="3"/>
  <c r="AT40" i="3"/>
  <c r="AC40" i="3"/>
  <c r="PI38" i="3"/>
  <c r="PG38" i="3"/>
  <c r="OV38" i="3"/>
  <c r="OU38" i="3"/>
  <c r="OT38" i="3"/>
  <c r="OQ38" i="3"/>
  <c r="OP38" i="3"/>
  <c r="OK38" i="3"/>
  <c r="OJ38" i="3"/>
  <c r="OI38" i="3"/>
  <c r="OD38" i="3"/>
  <c r="OC38" i="3"/>
  <c r="OB38" i="3"/>
  <c r="NY38" i="3"/>
  <c r="NW38" i="3"/>
  <c r="NH38" i="3"/>
  <c r="NG38" i="3"/>
  <c r="NA38" i="3"/>
  <c r="IQ38" i="3"/>
  <c r="IJ38" i="3"/>
  <c r="II38" i="3"/>
  <c r="HU38" i="3"/>
  <c r="HD38" i="3"/>
  <c r="HC38" i="3"/>
  <c r="HA38" i="3"/>
  <c r="GZ38" i="3"/>
  <c r="GV38" i="3"/>
  <c r="GW38" i="3" s="1"/>
  <c r="GS38" i="3"/>
  <c r="GT38" i="3" s="1"/>
  <c r="FN38" i="3"/>
  <c r="FM38" i="3"/>
  <c r="FG38" i="3"/>
  <c r="FE38" i="3"/>
  <c r="FC38" i="3"/>
  <c r="FA38" i="3"/>
  <c r="EP38" i="3"/>
  <c r="EE38" i="3"/>
  <c r="DR38" i="3"/>
  <c r="DL38" i="3"/>
  <c r="DI38" i="3"/>
  <c r="CS38" i="3"/>
  <c r="BN38" i="3"/>
  <c r="BK38" i="3"/>
  <c r="AT38" i="3"/>
  <c r="AC38" i="3"/>
  <c r="PI36" i="3"/>
  <c r="PG36" i="3"/>
  <c r="OV36" i="3"/>
  <c r="OU36" i="3"/>
  <c r="OT36" i="3"/>
  <c r="OQ36" i="3"/>
  <c r="OP36" i="3"/>
  <c r="OK36" i="3"/>
  <c r="OJ36" i="3"/>
  <c r="OI36" i="3"/>
  <c r="OD36" i="3"/>
  <c r="OC36" i="3"/>
  <c r="OB36" i="3"/>
  <c r="NY36" i="3"/>
  <c r="NW36" i="3"/>
  <c r="NH36" i="3"/>
  <c r="NG36" i="3"/>
  <c r="NA36" i="3"/>
  <c r="IQ36" i="3"/>
  <c r="IJ36" i="3"/>
  <c r="II36" i="3"/>
  <c r="HU36" i="3"/>
  <c r="HD36" i="3"/>
  <c r="HC36" i="3"/>
  <c r="HA36" i="3"/>
  <c r="GZ36" i="3"/>
  <c r="GV36" i="3"/>
  <c r="GW36" i="3" s="1"/>
  <c r="GS36" i="3"/>
  <c r="GT36" i="3" s="1"/>
  <c r="FN36" i="3"/>
  <c r="FM36" i="3"/>
  <c r="FG36" i="3"/>
  <c r="FE36" i="3"/>
  <c r="FC36" i="3"/>
  <c r="FA36" i="3"/>
  <c r="EP36" i="3"/>
  <c r="EE36" i="3"/>
  <c r="DR36" i="3"/>
  <c r="DL36" i="3"/>
  <c r="DI36" i="3"/>
  <c r="CS36" i="3"/>
  <c r="BN36" i="3"/>
  <c r="BK36" i="3"/>
  <c r="AT36" i="3"/>
  <c r="AC36" i="3"/>
  <c r="NA34" i="3"/>
  <c r="IY34" i="1" s="1"/>
  <c r="IQ34" i="3"/>
  <c r="FN34" i="3"/>
  <c r="L12" i="3"/>
  <c r="J12" i="3"/>
  <c r="H12" i="3"/>
  <c r="FA34" i="3"/>
  <c r="EP34" i="3"/>
  <c r="EE34" i="3"/>
  <c r="DR34" i="3"/>
  <c r="DI34" i="3"/>
  <c r="CE34" i="3"/>
  <c r="BO34" i="1" s="1"/>
  <c r="AN46" i="4"/>
  <c r="P79" i="6" l="1"/>
  <c r="P81" i="6"/>
  <c r="P88" i="6"/>
  <c r="BW70" i="3"/>
  <c r="P90" i="6"/>
  <c r="P91" i="6"/>
  <c r="P94" i="6"/>
  <c r="P95" i="6"/>
  <c r="Z110" i="3"/>
  <c r="BW152" i="3"/>
  <c r="BE36" i="3"/>
  <c r="AL18" i="11"/>
  <c r="CH18" i="13" s="1"/>
  <c r="P76" i="6"/>
  <c r="P77" i="6"/>
  <c r="P78" i="6"/>
  <c r="P80" i="6"/>
  <c r="P82" i="6"/>
  <c r="BD70" i="3"/>
  <c r="BF64" i="3"/>
  <c r="P89" i="6"/>
  <c r="P92" i="6"/>
  <c r="P93" i="6"/>
  <c r="BE150" i="3"/>
  <c r="LE18" i="11"/>
  <c r="BW146" i="3"/>
  <c r="KR146" i="3" s="1"/>
  <c r="BW138" i="3"/>
  <c r="BE144" i="3"/>
  <c r="BG144" i="3" s="1"/>
  <c r="BW142" i="3"/>
  <c r="BW150" i="3"/>
  <c r="KR150" i="3" s="1"/>
  <c r="BE140" i="3"/>
  <c r="BG140" i="3" s="1"/>
  <c r="BE148" i="3"/>
  <c r="BG148" i="3" s="1"/>
  <c r="BE138" i="3"/>
  <c r="BG138" i="3" s="1"/>
  <c r="BE142" i="3"/>
  <c r="AF142" i="3" s="1"/>
  <c r="BE146" i="3"/>
  <c r="BG146" i="3" s="1"/>
  <c r="BE34" i="3"/>
  <c r="BW140" i="3"/>
  <c r="BW144" i="3"/>
  <c r="BW148" i="3"/>
  <c r="KR148" i="3" s="1"/>
  <c r="JL56" i="3"/>
  <c r="JL68" i="3"/>
  <c r="JL64" i="3"/>
  <c r="JL60" i="3"/>
  <c r="JM66" i="3"/>
  <c r="JL66" i="3"/>
  <c r="JL62" i="3"/>
  <c r="JL58" i="3"/>
  <c r="JM68" i="3"/>
  <c r="JM60" i="3"/>
  <c r="JT56" i="3"/>
  <c r="JR66" i="3"/>
  <c r="JR68" i="3"/>
  <c r="Q142" i="6"/>
  <c r="QN58" i="3"/>
  <c r="AF150" i="3"/>
  <c r="BG150" i="3"/>
  <c r="AF124" i="3"/>
  <c r="BG124" i="3"/>
  <c r="AF122" i="3"/>
  <c r="BG122" i="3"/>
  <c r="AF118" i="3"/>
  <c r="BG118" i="3"/>
  <c r="AF140" i="3"/>
  <c r="AF152" i="3"/>
  <c r="BG152" i="3"/>
  <c r="AF120" i="3"/>
  <c r="BG120" i="3"/>
  <c r="AF126" i="3"/>
  <c r="BG126" i="3"/>
  <c r="AF130" i="3"/>
  <c r="BG130" i="3"/>
  <c r="AF128" i="3"/>
  <c r="BG128" i="3"/>
  <c r="KR144" i="3"/>
  <c r="KR142" i="3"/>
  <c r="KR140" i="3"/>
  <c r="KR152" i="3"/>
  <c r="KR138" i="3"/>
  <c r="NB38" i="3"/>
  <c r="NC38" i="3" s="1"/>
  <c r="ND38" i="3" s="1"/>
  <c r="IY38" i="1"/>
  <c r="KR126" i="3"/>
  <c r="KR124" i="3"/>
  <c r="QN48" i="3"/>
  <c r="QN56" i="3"/>
  <c r="QN42" i="3"/>
  <c r="JY122" i="3"/>
  <c r="JY138" i="3"/>
  <c r="JY146" i="3"/>
  <c r="FH146" i="1" s="1"/>
  <c r="JY126" i="3"/>
  <c r="FH126" i="1" s="1"/>
  <c r="JY140" i="3"/>
  <c r="FH140" i="1" s="1"/>
  <c r="JY148" i="3"/>
  <c r="JY124" i="3"/>
  <c r="FH124" i="1" s="1"/>
  <c r="JY142" i="3"/>
  <c r="FH142" i="1" s="1"/>
  <c r="JY150" i="3"/>
  <c r="JY130" i="3"/>
  <c r="JY144" i="3"/>
  <c r="FH144" i="1" s="1"/>
  <c r="JY152" i="3"/>
  <c r="JY120" i="3"/>
  <c r="JY128" i="3"/>
  <c r="JY118" i="3"/>
  <c r="JY116" i="3"/>
  <c r="FH116" i="1" s="1"/>
  <c r="QN46" i="3"/>
  <c r="QN44" i="3"/>
  <c r="QN60" i="3"/>
  <c r="QN62" i="3"/>
  <c r="QN64" i="3"/>
  <c r="QN66" i="3"/>
  <c r="QN68" i="3"/>
  <c r="QN70" i="3"/>
  <c r="QN36" i="3"/>
  <c r="QN38" i="3"/>
  <c r="QN40" i="3"/>
  <c r="KR128" i="3"/>
  <c r="KR118" i="3"/>
  <c r="KR116" i="3"/>
  <c r="KR120" i="3"/>
  <c r="BE42" i="3"/>
  <c r="BL38" i="3"/>
  <c r="BL42" i="3"/>
  <c r="BL46" i="3"/>
  <c r="BL56" i="3"/>
  <c r="BL60" i="3"/>
  <c r="BL62" i="3"/>
  <c r="BL66" i="3"/>
  <c r="BL70" i="3"/>
  <c r="BL36" i="3"/>
  <c r="BL40" i="3"/>
  <c r="BL44" i="3"/>
  <c r="BL48" i="3"/>
  <c r="BL58" i="3"/>
  <c r="BL64" i="3"/>
  <c r="BL68" i="3"/>
  <c r="D160" i="3"/>
  <c r="R160" i="3"/>
  <c r="BE46" i="3"/>
  <c r="BE38" i="3"/>
  <c r="LH152" i="3"/>
  <c r="LI152" i="3" s="1"/>
  <c r="IB152" i="3"/>
  <c r="LH150" i="3"/>
  <c r="LI150" i="3" s="1"/>
  <c r="IB150" i="3"/>
  <c r="LH148" i="3"/>
  <c r="IB148" i="3"/>
  <c r="LH142" i="3"/>
  <c r="IB142" i="3"/>
  <c r="LH140" i="3"/>
  <c r="IB140" i="3"/>
  <c r="LH138" i="3"/>
  <c r="LI138" i="3" s="1"/>
  <c r="LH130" i="3"/>
  <c r="LI130" i="3" s="1"/>
  <c r="LH128" i="3"/>
  <c r="LI128" i="3" s="1"/>
  <c r="IB128" i="3"/>
  <c r="LH126" i="3"/>
  <c r="IB126" i="3"/>
  <c r="LH124" i="3"/>
  <c r="IB124" i="3"/>
  <c r="LH122" i="3"/>
  <c r="IB122" i="3"/>
  <c r="LH120" i="3"/>
  <c r="IB120" i="3"/>
  <c r="LH146" i="3"/>
  <c r="IB146" i="3"/>
  <c r="LH144" i="3"/>
  <c r="IB144" i="3"/>
  <c r="IB138" i="3"/>
  <c r="IB130" i="3"/>
  <c r="LH118" i="3"/>
  <c r="IB118" i="3"/>
  <c r="NM152" i="3"/>
  <c r="NN152" i="3" s="1"/>
  <c r="NO152" i="3" s="1"/>
  <c r="QR152" i="3" s="1"/>
  <c r="MW152" i="3"/>
  <c r="MX152" i="3" s="1"/>
  <c r="MY152" i="3" s="1"/>
  <c r="MO152" i="3"/>
  <c r="MP152" i="3" s="1"/>
  <c r="MQ152" i="3" s="1"/>
  <c r="QQ152" i="3" s="1"/>
  <c r="KG152" i="3"/>
  <c r="NM150" i="3"/>
  <c r="NN150" i="3" s="1"/>
  <c r="NO150" i="3" s="1"/>
  <c r="QR150" i="3" s="1"/>
  <c r="MW150" i="3"/>
  <c r="MX150" i="3" s="1"/>
  <c r="MY150" i="3" s="1"/>
  <c r="MO150" i="3"/>
  <c r="MP150" i="3" s="1"/>
  <c r="MQ150" i="3" s="1"/>
  <c r="QQ150" i="3" s="1"/>
  <c r="KG150" i="3"/>
  <c r="NM148" i="3"/>
  <c r="MW148" i="3"/>
  <c r="MO148" i="3"/>
  <c r="KG148" i="3"/>
  <c r="MS146" i="3"/>
  <c r="KC146" i="3"/>
  <c r="MS144" i="3"/>
  <c r="KC144" i="3"/>
  <c r="NM142" i="3"/>
  <c r="MW142" i="3"/>
  <c r="MO142" i="3"/>
  <c r="KG142" i="3"/>
  <c r="NM140" i="3"/>
  <c r="MW140" i="3"/>
  <c r="MO140" i="3"/>
  <c r="KG140" i="3"/>
  <c r="MS138" i="3"/>
  <c r="MT138" i="3" s="1"/>
  <c r="MU138" i="3" s="1"/>
  <c r="NM138" i="3"/>
  <c r="NN138" i="3" s="1"/>
  <c r="NO138" i="3" s="1"/>
  <c r="QR138" i="3" s="1"/>
  <c r="MW138" i="3"/>
  <c r="MX138" i="3" s="1"/>
  <c r="MY138" i="3" s="1"/>
  <c r="MW130" i="3"/>
  <c r="MX130" i="3" s="1"/>
  <c r="MY130" i="3" s="1"/>
  <c r="MO130" i="3"/>
  <c r="MP130" i="3" s="1"/>
  <c r="MQ130" i="3" s="1"/>
  <c r="QQ130" i="3" s="1"/>
  <c r="KC130" i="3"/>
  <c r="MW128" i="3"/>
  <c r="MX128" i="3" s="1"/>
  <c r="MY128" i="3" s="1"/>
  <c r="MO128" i="3"/>
  <c r="MP128" i="3" s="1"/>
  <c r="MQ128" i="3" s="1"/>
  <c r="QQ128" i="3" s="1"/>
  <c r="KG128" i="3"/>
  <c r="NM126" i="3"/>
  <c r="MW126" i="3"/>
  <c r="MO126" i="3"/>
  <c r="KG126" i="3"/>
  <c r="NM124" i="3"/>
  <c r="MW124" i="3"/>
  <c r="KG124" i="3"/>
  <c r="NM122" i="3"/>
  <c r="MW122" i="3"/>
  <c r="MO122" i="3"/>
  <c r="KG122" i="3"/>
  <c r="KG120" i="3"/>
  <c r="MS118" i="3"/>
  <c r="KC118" i="3"/>
  <c r="MS152" i="3"/>
  <c r="MT152" i="3" s="1"/>
  <c r="MU152" i="3" s="1"/>
  <c r="KC152" i="3"/>
  <c r="MS150" i="3"/>
  <c r="MT150" i="3" s="1"/>
  <c r="MU150" i="3" s="1"/>
  <c r="KC150" i="3"/>
  <c r="MS148" i="3"/>
  <c r="KC148" i="3"/>
  <c r="NM146" i="3"/>
  <c r="MW146" i="3"/>
  <c r="KG146" i="3"/>
  <c r="NM144" i="3"/>
  <c r="MW144" i="3"/>
  <c r="MO144" i="3"/>
  <c r="KG144" i="3"/>
  <c r="MS142" i="3"/>
  <c r="KC142" i="3"/>
  <c r="MS140" i="3"/>
  <c r="KC140" i="3"/>
  <c r="MO138" i="3"/>
  <c r="MP138" i="3" s="1"/>
  <c r="MQ138" i="3" s="1"/>
  <c r="QQ138" i="3" s="1"/>
  <c r="KC138" i="3"/>
  <c r="KG138" i="3"/>
  <c r="NM130" i="3"/>
  <c r="NN130" i="3" s="1"/>
  <c r="NO130" i="3" s="1"/>
  <c r="QR130" i="3" s="1"/>
  <c r="MS130" i="3"/>
  <c r="MT130" i="3" s="1"/>
  <c r="MU130" i="3" s="1"/>
  <c r="KG130" i="3"/>
  <c r="NM128" i="3"/>
  <c r="NN128" i="3" s="1"/>
  <c r="NO128" i="3" s="1"/>
  <c r="QR128" i="3" s="1"/>
  <c r="MS128" i="3"/>
  <c r="MT128" i="3" s="1"/>
  <c r="MU128" i="3" s="1"/>
  <c r="KC128" i="3"/>
  <c r="MS126" i="3"/>
  <c r="KC126" i="3"/>
  <c r="MS124" i="3"/>
  <c r="KC124" i="3"/>
  <c r="MS122" i="3"/>
  <c r="KC122" i="3"/>
  <c r="NM120" i="3"/>
  <c r="MS120" i="3"/>
  <c r="KC120" i="3"/>
  <c r="NM118" i="3"/>
  <c r="MW118" i="3"/>
  <c r="KG118" i="3"/>
  <c r="JZ124" i="3"/>
  <c r="KA124" i="3" s="1"/>
  <c r="NI148" i="3"/>
  <c r="NI152" i="3"/>
  <c r="NJ152" i="3" s="1"/>
  <c r="NK152" i="3" s="1"/>
  <c r="JN142" i="3"/>
  <c r="JO142" i="3" s="1"/>
  <c r="JP142" i="3" s="1"/>
  <c r="NI142" i="3"/>
  <c r="JN130" i="3"/>
  <c r="JO130" i="3" s="1"/>
  <c r="JP130" i="3" s="1"/>
  <c r="NI118" i="3"/>
  <c r="NI126" i="3"/>
  <c r="NI130" i="3"/>
  <c r="NJ130" i="3" s="1"/>
  <c r="NK130" i="3" s="1"/>
  <c r="NI120" i="3"/>
  <c r="NI122" i="3"/>
  <c r="NI138" i="3"/>
  <c r="NJ138" i="3" s="1"/>
  <c r="NK138" i="3" s="1"/>
  <c r="JN120" i="3"/>
  <c r="JO120" i="3" s="1"/>
  <c r="JP120" i="3" s="1"/>
  <c r="JN122" i="3"/>
  <c r="JO122" i="3" s="1"/>
  <c r="JP122" i="3" s="1"/>
  <c r="JN124" i="3"/>
  <c r="JO124" i="3" s="1"/>
  <c r="JP124" i="3" s="1"/>
  <c r="JN140" i="3"/>
  <c r="JO140" i="3" s="1"/>
  <c r="JP140" i="3" s="1"/>
  <c r="NI144" i="3"/>
  <c r="JN148" i="3"/>
  <c r="JO148" i="3" s="1"/>
  <c r="JP148" i="3" s="1"/>
  <c r="JN150" i="3"/>
  <c r="JO150" i="3" s="1"/>
  <c r="JP150" i="3" s="1"/>
  <c r="JN152" i="3"/>
  <c r="JO152" i="3" s="1"/>
  <c r="JP152" i="3" s="1"/>
  <c r="JN144" i="3"/>
  <c r="JO144" i="3" s="1"/>
  <c r="JP144" i="3" s="1"/>
  <c r="JN146" i="3"/>
  <c r="JO146" i="3" s="1"/>
  <c r="JP146" i="3" s="1"/>
  <c r="NI150" i="3"/>
  <c r="NJ150" i="3" s="1"/>
  <c r="NK150" i="3" s="1"/>
  <c r="JN118" i="3"/>
  <c r="JO118" i="3" s="1"/>
  <c r="JP118" i="3" s="1"/>
  <c r="NI140" i="3"/>
  <c r="JN126" i="3"/>
  <c r="JO126" i="3" s="1"/>
  <c r="JP126" i="3" s="1"/>
  <c r="NI128" i="3"/>
  <c r="NJ128" i="3" s="1"/>
  <c r="NK128" i="3" s="1"/>
  <c r="JN128" i="3"/>
  <c r="JO128" i="3" s="1"/>
  <c r="JP128" i="3" s="1"/>
  <c r="JN138" i="3"/>
  <c r="JO138" i="3" s="1"/>
  <c r="JP138" i="3" s="1"/>
  <c r="MO68" i="3"/>
  <c r="MO60" i="3"/>
  <c r="MO56" i="3"/>
  <c r="MS68" i="3"/>
  <c r="MS64" i="3"/>
  <c r="MS60" i="3"/>
  <c r="MS56" i="3"/>
  <c r="MO70" i="3"/>
  <c r="MO66" i="3"/>
  <c r="MO62" i="3"/>
  <c r="MO58" i="3"/>
  <c r="MS70" i="3"/>
  <c r="MS66" i="3"/>
  <c r="MS62" i="3"/>
  <c r="MS58" i="3"/>
  <c r="JB152" i="3"/>
  <c r="JB150" i="3"/>
  <c r="JB148" i="3"/>
  <c r="ME146" i="3"/>
  <c r="ME144" i="3"/>
  <c r="JB142" i="3"/>
  <c r="JB140" i="3"/>
  <c r="JB138" i="3"/>
  <c r="ME130" i="3"/>
  <c r="MF130" i="3" s="1"/>
  <c r="MG130" i="3" s="1"/>
  <c r="QP130" i="3" s="1"/>
  <c r="ME128" i="3"/>
  <c r="MF128" i="3" s="1"/>
  <c r="MG128" i="3" s="1"/>
  <c r="QP128" i="3" s="1"/>
  <c r="JB128" i="3"/>
  <c r="JB126" i="3"/>
  <c r="JB124" i="3"/>
  <c r="JB122" i="3"/>
  <c r="ME120" i="3"/>
  <c r="JB120" i="3"/>
  <c r="ME118" i="3"/>
  <c r="ME152" i="3"/>
  <c r="MF152" i="3" s="1"/>
  <c r="MG152" i="3" s="1"/>
  <c r="QP152" i="3" s="1"/>
  <c r="ME150" i="3"/>
  <c r="MF150" i="3" s="1"/>
  <c r="MG150" i="3" s="1"/>
  <c r="QP150" i="3" s="1"/>
  <c r="ME148" i="3"/>
  <c r="JB146" i="3"/>
  <c r="JB144" i="3"/>
  <c r="ME142" i="3"/>
  <c r="ME140" i="3"/>
  <c r="ME138" i="3"/>
  <c r="MF138" i="3" s="1"/>
  <c r="MG138" i="3" s="1"/>
  <c r="QP138" i="3" s="1"/>
  <c r="JB130" i="3"/>
  <c r="ME126" i="3"/>
  <c r="ME124" i="3"/>
  <c r="ME122" i="3"/>
  <c r="JB118" i="3"/>
  <c r="BE70" i="3"/>
  <c r="BE66" i="3"/>
  <c r="BE62" i="3"/>
  <c r="BE58" i="3"/>
  <c r="BE68" i="3"/>
  <c r="BE64" i="3"/>
  <c r="BE60" i="3"/>
  <c r="BE56" i="3"/>
  <c r="KC116" i="3"/>
  <c r="MS116" i="3"/>
  <c r="ME34" i="3"/>
  <c r="HU34" i="1" s="1"/>
  <c r="ME116" i="3"/>
  <c r="HU116" i="1" s="1"/>
  <c r="JB116" i="3"/>
  <c r="EP116" i="1" s="1"/>
  <c r="LH48" i="3"/>
  <c r="LI48" i="3" s="1"/>
  <c r="LH116" i="3"/>
  <c r="HI116" i="1" s="1"/>
  <c r="IB116" i="3"/>
  <c r="NM48" i="3"/>
  <c r="NN48" i="3" s="1"/>
  <c r="MW116" i="3"/>
  <c r="IS116" i="1" s="1"/>
  <c r="NM116" i="3"/>
  <c r="JQ116" i="1" s="1"/>
  <c r="KG116" i="3"/>
  <c r="FT116" i="1" s="1"/>
  <c r="NI116" i="3"/>
  <c r="JK116" i="1" s="1"/>
  <c r="JN116" i="3"/>
  <c r="NB42" i="3"/>
  <c r="NC42" i="3" s="1"/>
  <c r="JE42" i="1" s="1"/>
  <c r="IY42" i="1"/>
  <c r="NB36" i="3"/>
  <c r="NC36" i="3" s="1"/>
  <c r="JE36" i="1" s="1"/>
  <c r="IY36" i="1"/>
  <c r="NB40" i="3"/>
  <c r="NC40" i="3" s="1"/>
  <c r="JE40" i="1" s="1"/>
  <c r="IY40" i="1"/>
  <c r="NB44" i="3"/>
  <c r="NC44" i="3" s="1"/>
  <c r="JE44" i="1" s="1"/>
  <c r="IY44" i="1"/>
  <c r="NB70" i="3"/>
  <c r="NC70" i="3" s="1"/>
  <c r="IY70" i="1"/>
  <c r="AI70" i="1"/>
  <c r="AL70" i="1"/>
  <c r="BO70" i="1"/>
  <c r="BO70" i="3"/>
  <c r="AT70" i="1"/>
  <c r="NB68" i="3"/>
  <c r="NC68" i="3" s="1"/>
  <c r="IY68" i="1"/>
  <c r="BO68" i="3"/>
  <c r="AT68" i="1"/>
  <c r="AI68" i="1"/>
  <c r="AL68" i="1"/>
  <c r="BO68" i="1"/>
  <c r="NB66" i="3"/>
  <c r="NC66" i="3" s="1"/>
  <c r="IY66" i="1"/>
  <c r="AI66" i="1"/>
  <c r="AL66" i="1"/>
  <c r="BO66" i="1"/>
  <c r="BO66" i="3"/>
  <c r="AT66" i="1"/>
  <c r="NB64" i="3"/>
  <c r="NC64" i="3" s="1"/>
  <c r="IY64" i="1"/>
  <c r="BO64" i="3"/>
  <c r="AT64" i="1"/>
  <c r="AI64" i="1"/>
  <c r="AL64" i="1"/>
  <c r="BO64" i="1"/>
  <c r="NB62" i="3"/>
  <c r="NC62" i="3" s="1"/>
  <c r="IY62" i="1"/>
  <c r="AI62" i="1"/>
  <c r="AL62" i="1"/>
  <c r="BO62" i="1"/>
  <c r="BO62" i="3"/>
  <c r="AT62" i="1"/>
  <c r="NB60" i="3"/>
  <c r="NC60" i="3" s="1"/>
  <c r="IY60" i="1"/>
  <c r="AI60" i="1"/>
  <c r="AL60" i="1"/>
  <c r="BO60" i="1"/>
  <c r="BO60" i="3"/>
  <c r="AT60" i="1"/>
  <c r="NB58" i="3"/>
  <c r="NC58" i="3" s="1"/>
  <c r="IY58" i="1"/>
  <c r="BO58" i="3"/>
  <c r="AT58" i="1"/>
  <c r="AL58" i="1"/>
  <c r="AI58" i="1"/>
  <c r="BO58" i="1"/>
  <c r="NB56" i="3"/>
  <c r="NC56" i="3" s="1"/>
  <c r="JE56" i="1" s="1"/>
  <c r="IY56" i="1"/>
  <c r="BO56" i="1"/>
  <c r="AI56" i="1"/>
  <c r="AL56" i="1"/>
  <c r="BO56" i="3"/>
  <c r="AT56" i="1"/>
  <c r="BO48" i="3"/>
  <c r="AT48" i="1"/>
  <c r="AL48" i="1"/>
  <c r="AI48" i="1"/>
  <c r="BO48" i="1"/>
  <c r="BO46" i="3"/>
  <c r="AT46" i="1"/>
  <c r="AI46" i="1"/>
  <c r="AL46" i="1"/>
  <c r="BO46" i="1"/>
  <c r="BO44" i="3"/>
  <c r="AT44" i="1"/>
  <c r="AL44" i="1"/>
  <c r="AI44" i="1"/>
  <c r="BO44" i="1"/>
  <c r="BO42" i="3"/>
  <c r="AT42" i="1"/>
  <c r="AI42" i="1"/>
  <c r="AL42" i="1"/>
  <c r="BO42" i="1"/>
  <c r="BO40" i="3"/>
  <c r="AT40" i="1"/>
  <c r="AL40" i="1"/>
  <c r="AI40" i="1"/>
  <c r="BO40" i="1"/>
  <c r="BO38" i="3"/>
  <c r="AT38" i="1"/>
  <c r="AI38" i="1"/>
  <c r="AL38" i="1"/>
  <c r="BO38" i="1"/>
  <c r="BO36" i="3"/>
  <c r="AT36" i="1"/>
  <c r="AL36" i="1"/>
  <c r="AI36" i="1"/>
  <c r="BO36" i="1"/>
  <c r="ND48" i="3"/>
  <c r="JE48" i="1"/>
  <c r="ND46" i="3"/>
  <c r="JE46" i="1"/>
  <c r="JE38" i="1"/>
  <c r="BE48" i="3"/>
  <c r="BE44" i="3"/>
  <c r="BE40" i="3"/>
  <c r="AL52" i="4"/>
  <c r="AM52" i="4" s="1"/>
  <c r="AN52" i="4" s="1"/>
  <c r="AP52" i="4" s="1"/>
  <c r="AL58" i="4"/>
  <c r="AM58" i="4" s="1"/>
  <c r="AN58" i="4" s="1"/>
  <c r="PM58" i="3"/>
  <c r="PP58" i="3"/>
  <c r="PM64" i="3"/>
  <c r="PP64" i="3"/>
  <c r="PM68" i="3"/>
  <c r="PP68" i="3"/>
  <c r="PM56" i="3"/>
  <c r="PP56" i="3"/>
  <c r="PM60" i="3"/>
  <c r="PP60" i="3"/>
  <c r="PP62" i="3"/>
  <c r="PM62" i="3"/>
  <c r="PM66" i="3"/>
  <c r="PP66" i="3"/>
  <c r="PM70" i="3"/>
  <c r="PP70" i="3"/>
  <c r="OZ56" i="3"/>
  <c r="BU56" i="3"/>
  <c r="OZ60" i="3"/>
  <c r="BU60" i="3"/>
  <c r="OZ62" i="3"/>
  <c r="BU62" i="3"/>
  <c r="OZ66" i="3"/>
  <c r="BU66" i="3"/>
  <c r="OZ70" i="3"/>
  <c r="BU70" i="3"/>
  <c r="OZ58" i="3"/>
  <c r="BU58" i="3"/>
  <c r="OZ64" i="3"/>
  <c r="BU64" i="3"/>
  <c r="OZ68" i="3"/>
  <c r="BU68" i="3"/>
  <c r="PE68" i="3"/>
  <c r="PE60" i="3"/>
  <c r="PE66" i="3"/>
  <c r="PE58" i="3"/>
  <c r="PE64" i="3"/>
  <c r="PE56" i="3"/>
  <c r="PE70" i="3"/>
  <c r="PE62" i="3"/>
  <c r="JV58" i="3"/>
  <c r="JV60" i="3"/>
  <c r="JV56" i="3"/>
  <c r="JV62" i="3"/>
  <c r="JV64" i="3"/>
  <c r="JV66" i="3"/>
  <c r="JV68" i="3"/>
  <c r="JV70" i="3"/>
  <c r="PB68" i="3"/>
  <c r="PB64" i="3"/>
  <c r="PB60" i="3"/>
  <c r="PB56" i="3"/>
  <c r="PB70" i="3"/>
  <c r="PB66" i="3"/>
  <c r="PB62" i="3"/>
  <c r="PB58" i="3"/>
  <c r="OL60" i="3"/>
  <c r="OM60" i="3" s="1"/>
  <c r="OL64" i="3"/>
  <c r="OM64" i="3" s="1"/>
  <c r="OL68" i="3"/>
  <c r="OM68" i="3" s="1"/>
  <c r="OL40" i="3"/>
  <c r="OL44" i="3"/>
  <c r="OL62" i="3"/>
  <c r="OM62" i="3" s="1"/>
  <c r="OL66" i="3"/>
  <c r="OM66" i="3" s="1"/>
  <c r="OE36" i="3"/>
  <c r="OE56" i="3"/>
  <c r="OF56" i="3" s="1"/>
  <c r="OG56" i="3" s="1"/>
  <c r="OL58" i="3"/>
  <c r="OM58" i="3" s="1"/>
  <c r="OE38" i="3"/>
  <c r="OL38" i="3"/>
  <c r="OE42" i="3"/>
  <c r="OE46" i="3"/>
  <c r="OE48" i="3"/>
  <c r="NZ56" i="3"/>
  <c r="NZ58" i="3"/>
  <c r="NZ60" i="3"/>
  <c r="NZ62" i="3"/>
  <c r="NZ64" i="3"/>
  <c r="NZ66" i="3"/>
  <c r="NZ68" i="3"/>
  <c r="NZ70" i="3"/>
  <c r="BF56" i="3"/>
  <c r="BF58" i="3"/>
  <c r="BF60" i="3"/>
  <c r="JS60" i="3"/>
  <c r="OE60" i="3"/>
  <c r="OF60" i="3" s="1"/>
  <c r="OG60" i="3" s="1"/>
  <c r="BD62" i="3"/>
  <c r="BW62" i="3"/>
  <c r="JS62" i="3"/>
  <c r="OE62" i="3"/>
  <c r="OF62" i="3" s="1"/>
  <c r="OG62" i="3" s="1"/>
  <c r="BD64" i="3"/>
  <c r="BW64" i="3"/>
  <c r="BF66" i="3"/>
  <c r="BF68" i="3"/>
  <c r="JS68" i="3"/>
  <c r="OE68" i="3"/>
  <c r="OF68" i="3" s="1"/>
  <c r="OG68" i="3" s="1"/>
  <c r="BF70" i="3"/>
  <c r="JS70" i="3"/>
  <c r="OE70" i="3"/>
  <c r="OF70" i="3" s="1"/>
  <c r="OG70" i="3" s="1"/>
  <c r="OL36" i="3"/>
  <c r="OE40" i="3"/>
  <c r="OL42" i="3"/>
  <c r="OE44" i="3"/>
  <c r="OL46" i="3"/>
  <c r="OL48" i="3"/>
  <c r="OL56" i="3"/>
  <c r="OM56" i="3" s="1"/>
  <c r="BD56" i="3"/>
  <c r="BW56" i="3"/>
  <c r="JS56" i="3"/>
  <c r="BD58" i="3"/>
  <c r="BW58" i="3"/>
  <c r="JS58" i="3"/>
  <c r="OE58" i="3"/>
  <c r="OF58" i="3" s="1"/>
  <c r="OG58" i="3" s="1"/>
  <c r="BD60" i="3"/>
  <c r="BW60" i="3"/>
  <c r="BF62" i="3"/>
  <c r="JS64" i="3"/>
  <c r="OE64" i="3"/>
  <c r="OF64" i="3" s="1"/>
  <c r="OG64" i="3" s="1"/>
  <c r="BD66" i="3"/>
  <c r="BW66" i="3"/>
  <c r="JS66" i="3"/>
  <c r="OE66" i="3"/>
  <c r="OF66" i="3" s="1"/>
  <c r="OG66" i="3" s="1"/>
  <c r="BD68" i="3"/>
  <c r="BW68" i="3"/>
  <c r="OL70" i="3"/>
  <c r="OM70" i="3" s="1"/>
  <c r="IB56" i="3"/>
  <c r="JB56" i="3"/>
  <c r="MW56" i="3"/>
  <c r="NM56" i="3"/>
  <c r="OW56" i="3"/>
  <c r="PJ56" i="3"/>
  <c r="HV58" i="3"/>
  <c r="IB58" i="3"/>
  <c r="ME58" i="3"/>
  <c r="OW58" i="3"/>
  <c r="PJ58" i="3"/>
  <c r="JB60" i="3"/>
  <c r="LH60" i="3"/>
  <c r="NX60" i="3"/>
  <c r="OR60" i="3"/>
  <c r="PH60" i="3"/>
  <c r="JB62" i="3"/>
  <c r="LH62" i="3"/>
  <c r="MW62" i="3"/>
  <c r="NI62" i="3"/>
  <c r="NM62" i="3"/>
  <c r="OW62" i="3"/>
  <c r="PJ62" i="3"/>
  <c r="JB64" i="3"/>
  <c r="LH64" i="3"/>
  <c r="MW64" i="3"/>
  <c r="NX64" i="3"/>
  <c r="OR64" i="3"/>
  <c r="PH64" i="3"/>
  <c r="JB66" i="3"/>
  <c r="LH66" i="3"/>
  <c r="MW66" i="3"/>
  <c r="NI66" i="3"/>
  <c r="NM66" i="3"/>
  <c r="NX66" i="3"/>
  <c r="OR66" i="3"/>
  <c r="PH66" i="3"/>
  <c r="HV68" i="3"/>
  <c r="IB68" i="3"/>
  <c r="ME68" i="3"/>
  <c r="NX68" i="3"/>
  <c r="OR68" i="3"/>
  <c r="PH68" i="3"/>
  <c r="JB70" i="3"/>
  <c r="LH70" i="3"/>
  <c r="MW70" i="3"/>
  <c r="NI70" i="3"/>
  <c r="NM70" i="3"/>
  <c r="NX70" i="3"/>
  <c r="OR70" i="3"/>
  <c r="PH70" i="3"/>
  <c r="HV56" i="3"/>
  <c r="LH56" i="3"/>
  <c r="ME56" i="3"/>
  <c r="NX56" i="3"/>
  <c r="OR56" i="3"/>
  <c r="PH56" i="3"/>
  <c r="JB58" i="3"/>
  <c r="LH58" i="3"/>
  <c r="MW58" i="3"/>
  <c r="NI58" i="3"/>
  <c r="NM58" i="3"/>
  <c r="NX58" i="3"/>
  <c r="OR58" i="3"/>
  <c r="PH58" i="3"/>
  <c r="HV60" i="3"/>
  <c r="IB60" i="3"/>
  <c r="ME60" i="3"/>
  <c r="MW60" i="3"/>
  <c r="NI60" i="3"/>
  <c r="NM60" i="3"/>
  <c r="OW60" i="3"/>
  <c r="PJ60" i="3"/>
  <c r="HV62" i="3"/>
  <c r="IB62" i="3"/>
  <c r="ME62" i="3"/>
  <c r="NX62" i="3"/>
  <c r="OR62" i="3"/>
  <c r="PH62" i="3"/>
  <c r="HV64" i="3"/>
  <c r="IB64" i="3"/>
  <c r="ME64" i="3"/>
  <c r="NM64" i="3"/>
  <c r="OW64" i="3"/>
  <c r="PJ64" i="3"/>
  <c r="HV66" i="3"/>
  <c r="IB66" i="3"/>
  <c r="ME66" i="3"/>
  <c r="OW66" i="3"/>
  <c r="PJ66" i="3"/>
  <c r="JB68" i="3"/>
  <c r="LH68" i="3"/>
  <c r="MW68" i="3"/>
  <c r="NI68" i="3"/>
  <c r="NM68" i="3"/>
  <c r="OW68" i="3"/>
  <c r="PJ68" i="3"/>
  <c r="HV70" i="3"/>
  <c r="IB70" i="3"/>
  <c r="ME70" i="3"/>
  <c r="OW70" i="3"/>
  <c r="PJ70" i="3"/>
  <c r="M72" i="3"/>
  <c r="AU70" i="3"/>
  <c r="CT70" i="3"/>
  <c r="GX70" i="3"/>
  <c r="AU68" i="3"/>
  <c r="CT68" i="3"/>
  <c r="GX68" i="3"/>
  <c r="AU66" i="3"/>
  <c r="CT66" i="3"/>
  <c r="GX66" i="3"/>
  <c r="AU64" i="3"/>
  <c r="CT64" i="3"/>
  <c r="GX64" i="3"/>
  <c r="AU62" i="3"/>
  <c r="CT62" i="3"/>
  <c r="GX62" i="3"/>
  <c r="AU60" i="3"/>
  <c r="CT60" i="3"/>
  <c r="GX60" i="3"/>
  <c r="AU58" i="3"/>
  <c r="CT58" i="3"/>
  <c r="GX58" i="3"/>
  <c r="NI56" i="3"/>
  <c r="AU56" i="3"/>
  <c r="CT56" i="3"/>
  <c r="GX56" i="3"/>
  <c r="IB36" i="3"/>
  <c r="JB36" i="3"/>
  <c r="LH36" i="3"/>
  <c r="NM36" i="3"/>
  <c r="ME38" i="3"/>
  <c r="JB40" i="3"/>
  <c r="LH40" i="3"/>
  <c r="NI40" i="3"/>
  <c r="NM40" i="3"/>
  <c r="ME42" i="3"/>
  <c r="IB44" i="3"/>
  <c r="JB44" i="3"/>
  <c r="LH44" i="3"/>
  <c r="NM44" i="3"/>
  <c r="ME46" i="3"/>
  <c r="MF46" i="3" s="1"/>
  <c r="ME48" i="3"/>
  <c r="MF48" i="3" s="1"/>
  <c r="ME36" i="3"/>
  <c r="IB38" i="3"/>
  <c r="JB38" i="3"/>
  <c r="LH38" i="3"/>
  <c r="NM38" i="3"/>
  <c r="IB40" i="3"/>
  <c r="ME40" i="3"/>
  <c r="IB42" i="3"/>
  <c r="JB42" i="3"/>
  <c r="LH42" i="3"/>
  <c r="NM42" i="3"/>
  <c r="ME44" i="3"/>
  <c r="IB46" i="3"/>
  <c r="JB46" i="3"/>
  <c r="LH46" i="3"/>
  <c r="LI46" i="3" s="1"/>
  <c r="NI46" i="3"/>
  <c r="NM46" i="3"/>
  <c r="NN46" i="3" s="1"/>
  <c r="IB48" i="3"/>
  <c r="JB48" i="3"/>
  <c r="NI48" i="3"/>
  <c r="NI36" i="3"/>
  <c r="NI38" i="3"/>
  <c r="NI44" i="3"/>
  <c r="GX48" i="3"/>
  <c r="GX46" i="3"/>
  <c r="GX44" i="3"/>
  <c r="GX42" i="3"/>
  <c r="GX40" i="3"/>
  <c r="GX38" i="3"/>
  <c r="GX36" i="3"/>
  <c r="LH34" i="3"/>
  <c r="HI34" i="1" s="1"/>
  <c r="IB34" i="3"/>
  <c r="NM34" i="3"/>
  <c r="JQ34" i="1" s="1"/>
  <c r="JB34" i="3"/>
  <c r="EP34" i="1" s="1"/>
  <c r="AL50" i="4"/>
  <c r="AM50" i="4" s="1"/>
  <c r="AN50" i="4" s="1"/>
  <c r="AK18" i="11" l="1"/>
  <c r="ED34" i="1"/>
  <c r="ED116" i="1"/>
  <c r="AF144" i="3"/>
  <c r="BG142" i="3"/>
  <c r="AF148" i="3"/>
  <c r="AF146" i="3"/>
  <c r="AF138" i="3"/>
  <c r="F52" i="4"/>
  <c r="M222" i="6" s="1"/>
  <c r="ND56" i="3"/>
  <c r="NE56" i="3" s="1"/>
  <c r="BG60" i="3"/>
  <c r="JZ142" i="3"/>
  <c r="KA142" i="3" s="1"/>
  <c r="JZ126" i="3"/>
  <c r="KA126" i="3" s="1"/>
  <c r="BG66" i="3"/>
  <c r="BG64" i="3"/>
  <c r="JZ146" i="3"/>
  <c r="KA146" i="3" s="1"/>
  <c r="I160" i="3"/>
  <c r="MF148" i="3"/>
  <c r="MG148" i="3" s="1"/>
  <c r="QP148" i="3" s="1"/>
  <c r="HU148" i="1"/>
  <c r="NJ148" i="3"/>
  <c r="NK148" i="3" s="1"/>
  <c r="JK148" i="1"/>
  <c r="MT148" i="3"/>
  <c r="MU148" i="3" s="1"/>
  <c r="IM148" i="1"/>
  <c r="MX148" i="3"/>
  <c r="MY148" i="3" s="1"/>
  <c r="IS148" i="1"/>
  <c r="NN144" i="3"/>
  <c r="NO144" i="3" s="1"/>
  <c r="QR144" i="3" s="1"/>
  <c r="JQ144" i="1"/>
  <c r="MP148" i="3"/>
  <c r="MQ148" i="3" s="1"/>
  <c r="QQ148" i="3" s="1"/>
  <c r="IG148" i="1"/>
  <c r="NN148" i="3"/>
  <c r="NO148" i="3" s="1"/>
  <c r="QR148" i="3" s="1"/>
  <c r="JQ148" i="1"/>
  <c r="LI148" i="3"/>
  <c r="LJ148" i="3" s="1"/>
  <c r="QO148" i="3" s="1"/>
  <c r="HI148" i="1"/>
  <c r="MT126" i="3"/>
  <c r="MU126" i="3" s="1"/>
  <c r="IM126" i="1"/>
  <c r="MP126" i="3"/>
  <c r="MQ126" i="3" s="1"/>
  <c r="QQ126" i="3" s="1"/>
  <c r="IG126" i="1"/>
  <c r="NN126" i="3"/>
  <c r="NO126" i="3" s="1"/>
  <c r="QR126" i="3" s="1"/>
  <c r="JQ126" i="1"/>
  <c r="MF126" i="3"/>
  <c r="MG126" i="3" s="1"/>
  <c r="QP126" i="3" s="1"/>
  <c r="HU126" i="1"/>
  <c r="NJ126" i="3"/>
  <c r="NK126" i="3" s="1"/>
  <c r="JK126" i="1"/>
  <c r="NN122" i="3"/>
  <c r="NO122" i="3" s="1"/>
  <c r="QR122" i="3" s="1"/>
  <c r="JQ122" i="1"/>
  <c r="MX126" i="3"/>
  <c r="MY126" i="3" s="1"/>
  <c r="IS126" i="1"/>
  <c r="LI126" i="3"/>
  <c r="LJ126" i="3" s="1"/>
  <c r="QO126" i="3" s="1"/>
  <c r="HI126" i="1"/>
  <c r="MT116" i="3"/>
  <c r="IM116" i="1"/>
  <c r="AC72" i="1"/>
  <c r="O96" i="6"/>
  <c r="H85" i="6"/>
  <c r="E87" i="6"/>
  <c r="MF140" i="3"/>
  <c r="MG140" i="3" s="1"/>
  <c r="QP140" i="3" s="1"/>
  <c r="HU140" i="1"/>
  <c r="MF146" i="3"/>
  <c r="MG146" i="3" s="1"/>
  <c r="QP146" i="3" s="1"/>
  <c r="HU146" i="1"/>
  <c r="JC150" i="3"/>
  <c r="JD150" i="3" s="1"/>
  <c r="EP150" i="1"/>
  <c r="MT140" i="3"/>
  <c r="MU140" i="3" s="1"/>
  <c r="IM140" i="1"/>
  <c r="NN146" i="3"/>
  <c r="NO146" i="3" s="1"/>
  <c r="QR146" i="3" s="1"/>
  <c r="JQ146" i="1"/>
  <c r="MX140" i="3"/>
  <c r="MY140" i="3" s="1"/>
  <c r="IS140" i="1"/>
  <c r="KH150" i="3"/>
  <c r="KI150" i="3" s="1"/>
  <c r="FT150" i="1"/>
  <c r="IC150" i="3"/>
  <c r="ED150" i="1"/>
  <c r="JZ150" i="3"/>
  <c r="KA150" i="3" s="1"/>
  <c r="FH150" i="1"/>
  <c r="NJ140" i="3"/>
  <c r="NK140" i="3" s="1"/>
  <c r="JK140" i="1"/>
  <c r="MX146" i="3"/>
  <c r="MY146" i="3" s="1"/>
  <c r="IS146" i="1"/>
  <c r="KD150" i="3"/>
  <c r="KE150" i="3" s="1"/>
  <c r="FN150" i="1"/>
  <c r="MP140" i="3"/>
  <c r="MQ140" i="3" s="1"/>
  <c r="QQ140" i="3" s="1"/>
  <c r="IG140" i="1"/>
  <c r="NN140" i="3"/>
  <c r="NO140" i="3" s="1"/>
  <c r="QR140" i="3" s="1"/>
  <c r="JQ140" i="1"/>
  <c r="MT146" i="3"/>
  <c r="MU146" i="3" s="1"/>
  <c r="IM146" i="1"/>
  <c r="LI146" i="3"/>
  <c r="HI146" i="1"/>
  <c r="LI140" i="3"/>
  <c r="LJ140" i="3" s="1"/>
  <c r="QO140" i="3" s="1"/>
  <c r="HI140" i="1"/>
  <c r="NN118" i="3"/>
  <c r="NO118" i="3" s="1"/>
  <c r="QR118" i="3" s="1"/>
  <c r="JQ118" i="1"/>
  <c r="BG68" i="3"/>
  <c r="NJ142" i="3"/>
  <c r="NK142" i="3" s="1"/>
  <c r="JK142" i="1"/>
  <c r="MT142" i="3"/>
  <c r="MU142" i="3" s="1"/>
  <c r="IM142" i="1"/>
  <c r="MX142" i="3"/>
  <c r="MY142" i="3" s="1"/>
  <c r="IS142" i="1"/>
  <c r="KD146" i="3"/>
  <c r="KE146" i="3" s="1"/>
  <c r="FN146" i="1"/>
  <c r="IC146" i="3"/>
  <c r="ID146" i="3" s="1"/>
  <c r="ED146" i="1"/>
  <c r="MF142" i="3"/>
  <c r="MG142" i="3" s="1"/>
  <c r="QP142" i="3" s="1"/>
  <c r="HU142" i="1"/>
  <c r="JC146" i="3"/>
  <c r="JD146" i="3" s="1"/>
  <c r="EP146" i="1"/>
  <c r="KH146" i="3"/>
  <c r="KI146" i="3" s="1"/>
  <c r="FT146" i="1"/>
  <c r="MP142" i="3"/>
  <c r="MQ142" i="3" s="1"/>
  <c r="QQ142" i="3" s="1"/>
  <c r="IG142" i="1"/>
  <c r="NN142" i="3"/>
  <c r="NO142" i="3" s="1"/>
  <c r="QR142" i="3" s="1"/>
  <c r="JQ142" i="1"/>
  <c r="LI142" i="3"/>
  <c r="HI142" i="1"/>
  <c r="BG58" i="3"/>
  <c r="BG56" i="3"/>
  <c r="BG70" i="3"/>
  <c r="BG62" i="3"/>
  <c r="JZ140" i="3"/>
  <c r="KA140" i="3" s="1"/>
  <c r="JZ144" i="3"/>
  <c r="KA144" i="3" s="1"/>
  <c r="B85" i="6"/>
  <c r="N87" i="6"/>
  <c r="I87" i="6"/>
  <c r="B87" i="6"/>
  <c r="I85" i="6"/>
  <c r="E85" i="6"/>
  <c r="G85" i="6" s="1"/>
  <c r="Q87" i="6"/>
  <c r="L87" i="6"/>
  <c r="JC148" i="3"/>
  <c r="JD148" i="3" s="1"/>
  <c r="EP148" i="1"/>
  <c r="KH148" i="3"/>
  <c r="KI148" i="3" s="1"/>
  <c r="FT148" i="1"/>
  <c r="IC148" i="3"/>
  <c r="ID148" i="3" s="1"/>
  <c r="ED148" i="1"/>
  <c r="KD148" i="3"/>
  <c r="KE148" i="3" s="1"/>
  <c r="FN148" i="1"/>
  <c r="JZ148" i="3"/>
  <c r="KA148" i="3" s="1"/>
  <c r="FH148" i="1"/>
  <c r="MF144" i="3"/>
  <c r="MG144" i="3" s="1"/>
  <c r="QP144" i="3" s="1"/>
  <c r="HU144" i="1"/>
  <c r="MP144" i="3"/>
  <c r="MQ144" i="3" s="1"/>
  <c r="QQ144" i="3" s="1"/>
  <c r="IG144" i="1"/>
  <c r="NJ144" i="3"/>
  <c r="NK144" i="3" s="1"/>
  <c r="JK144" i="1"/>
  <c r="MX144" i="3"/>
  <c r="MY144" i="3" s="1"/>
  <c r="IS144" i="1"/>
  <c r="MT144" i="3"/>
  <c r="MU144" i="3" s="1"/>
  <c r="IM144" i="1"/>
  <c r="LI144" i="3"/>
  <c r="HI144" i="1"/>
  <c r="KD144" i="3"/>
  <c r="KE144" i="3" s="1"/>
  <c r="FN144" i="1"/>
  <c r="IC144" i="3"/>
  <c r="ID144" i="3" s="1"/>
  <c r="ED144" i="1"/>
  <c r="JC144" i="3"/>
  <c r="JD144" i="3" s="1"/>
  <c r="EP144" i="1"/>
  <c r="KH144" i="3"/>
  <c r="KI144" i="3" s="1"/>
  <c r="FT144" i="1"/>
  <c r="KD142" i="3"/>
  <c r="KE142" i="3" s="1"/>
  <c r="FN142" i="1"/>
  <c r="JC142" i="3"/>
  <c r="JD142" i="3" s="1"/>
  <c r="EP142" i="1"/>
  <c r="KH142" i="3"/>
  <c r="KI142" i="3" s="1"/>
  <c r="FT142" i="1"/>
  <c r="IC142" i="3"/>
  <c r="ED142" i="1"/>
  <c r="JC140" i="3"/>
  <c r="JD140" i="3" s="1"/>
  <c r="EP140" i="1"/>
  <c r="KH140" i="3"/>
  <c r="KI140" i="3" s="1"/>
  <c r="FT140" i="1"/>
  <c r="IC140" i="3"/>
  <c r="ID140" i="3" s="1"/>
  <c r="ED140" i="1"/>
  <c r="KD140" i="3"/>
  <c r="KE140" i="3" s="1"/>
  <c r="FN140" i="1"/>
  <c r="JC152" i="3"/>
  <c r="JD152" i="3" s="1"/>
  <c r="EP152" i="1"/>
  <c r="KD152" i="3"/>
  <c r="KE152" i="3" s="1"/>
  <c r="FN152" i="1"/>
  <c r="JZ152" i="3"/>
  <c r="KA152" i="3" s="1"/>
  <c r="FH152" i="1"/>
  <c r="KH152" i="3"/>
  <c r="KI152" i="3" s="1"/>
  <c r="FT152" i="1"/>
  <c r="IC152" i="3"/>
  <c r="ID152" i="3" s="1"/>
  <c r="ED152" i="1"/>
  <c r="KH138" i="3"/>
  <c r="KI138" i="3" s="1"/>
  <c r="FT138" i="1"/>
  <c r="JC138" i="3"/>
  <c r="JD138" i="3" s="1"/>
  <c r="EP138" i="1"/>
  <c r="KD138" i="3"/>
  <c r="KE138" i="3" s="1"/>
  <c r="FN138" i="1"/>
  <c r="IC138" i="3"/>
  <c r="ID138" i="3" s="1"/>
  <c r="ED138" i="1"/>
  <c r="JZ138" i="3"/>
  <c r="KA138" i="3" s="1"/>
  <c r="FH138" i="1"/>
  <c r="LJ144" i="3"/>
  <c r="QO144" i="3" s="1"/>
  <c r="LJ146" i="3"/>
  <c r="QO146" i="3" s="1"/>
  <c r="LJ128" i="3"/>
  <c r="QO128" i="3" s="1"/>
  <c r="LJ138" i="3"/>
  <c r="QO138" i="3" s="1"/>
  <c r="LJ142" i="3"/>
  <c r="QO142" i="3" s="1"/>
  <c r="LJ150" i="3"/>
  <c r="QO150" i="3" s="1"/>
  <c r="LJ152" i="3"/>
  <c r="QO152" i="3" s="1"/>
  <c r="LJ130" i="3"/>
  <c r="QO130" i="3" s="1"/>
  <c r="ID142" i="3"/>
  <c r="ID150" i="3"/>
  <c r="NN38" i="3"/>
  <c r="JQ38" i="1"/>
  <c r="LI38" i="3"/>
  <c r="HI38" i="1"/>
  <c r="MF38" i="3"/>
  <c r="HU38" i="1"/>
  <c r="NJ118" i="3"/>
  <c r="NK118" i="3" s="1"/>
  <c r="JK118" i="1"/>
  <c r="MX118" i="3"/>
  <c r="MY118" i="3" s="1"/>
  <c r="IS118" i="1"/>
  <c r="LI118" i="3"/>
  <c r="HI118" i="1"/>
  <c r="MF118" i="3"/>
  <c r="MG118" i="3" s="1"/>
  <c r="QP118" i="3" s="1"/>
  <c r="HU118" i="1"/>
  <c r="MT118" i="3"/>
  <c r="MU118" i="3" s="1"/>
  <c r="IM118" i="1"/>
  <c r="NN124" i="3"/>
  <c r="NO124" i="3" s="1"/>
  <c r="QR124" i="3" s="1"/>
  <c r="JQ124" i="1"/>
  <c r="MX124" i="3"/>
  <c r="MY124" i="3" s="1"/>
  <c r="IS124" i="1"/>
  <c r="LI124" i="3"/>
  <c r="HI124" i="1"/>
  <c r="MF124" i="3"/>
  <c r="MG124" i="3" s="1"/>
  <c r="QP124" i="3" s="1"/>
  <c r="HU124" i="1"/>
  <c r="MT124" i="3"/>
  <c r="MU124" i="3" s="1"/>
  <c r="IM124" i="1"/>
  <c r="JC126" i="3"/>
  <c r="JD126" i="3" s="1"/>
  <c r="EP126" i="1"/>
  <c r="KD126" i="3"/>
  <c r="KE126" i="3" s="1"/>
  <c r="FN126" i="1"/>
  <c r="KH126" i="3"/>
  <c r="KI126" i="3" s="1"/>
  <c r="FT126" i="1"/>
  <c r="IC126" i="3"/>
  <c r="ED126" i="1"/>
  <c r="IC124" i="3"/>
  <c r="ED124" i="1"/>
  <c r="JC124" i="3"/>
  <c r="JD124" i="3" s="1"/>
  <c r="EP124" i="1"/>
  <c r="KD124" i="3"/>
  <c r="KE124" i="3" s="1"/>
  <c r="FN124" i="1"/>
  <c r="KH124" i="3"/>
  <c r="KI124" i="3" s="1"/>
  <c r="FT124" i="1"/>
  <c r="ND44" i="3"/>
  <c r="AF70" i="3"/>
  <c r="ND40" i="3"/>
  <c r="ND36" i="3"/>
  <c r="ND42" i="3"/>
  <c r="AF64" i="3"/>
  <c r="AF60" i="3"/>
  <c r="S160" i="3"/>
  <c r="M228" i="6"/>
  <c r="K58" i="4"/>
  <c r="Q228" i="6" s="1"/>
  <c r="NN120" i="3"/>
  <c r="NO120" i="3" s="1"/>
  <c r="QR120" i="3" s="1"/>
  <c r="JQ120" i="1"/>
  <c r="MF120" i="3"/>
  <c r="MG120" i="3" s="1"/>
  <c r="QP120" i="3" s="1"/>
  <c r="HU120" i="1"/>
  <c r="NJ120" i="3"/>
  <c r="NK120" i="3" s="1"/>
  <c r="JK120" i="1"/>
  <c r="MT120" i="3"/>
  <c r="MU120" i="3" s="1"/>
  <c r="IM120" i="1"/>
  <c r="LI120" i="3"/>
  <c r="HI120" i="1"/>
  <c r="JC128" i="3"/>
  <c r="JD128" i="3" s="1"/>
  <c r="EP128" i="1"/>
  <c r="JZ128" i="3"/>
  <c r="KA128" i="3" s="1"/>
  <c r="FH128" i="1"/>
  <c r="IC128" i="3"/>
  <c r="ED128" i="1"/>
  <c r="KD128" i="3"/>
  <c r="KE128" i="3" s="1"/>
  <c r="FN128" i="1"/>
  <c r="KH128" i="3"/>
  <c r="KI128" i="3" s="1"/>
  <c r="FT128" i="1"/>
  <c r="MF122" i="3"/>
  <c r="MG122" i="3" s="1"/>
  <c r="QP122" i="3" s="1"/>
  <c r="HU122" i="1"/>
  <c r="MT122" i="3"/>
  <c r="MU122" i="3" s="1"/>
  <c r="IM122" i="1"/>
  <c r="MP122" i="3"/>
  <c r="MQ122" i="3" s="1"/>
  <c r="QQ122" i="3" s="1"/>
  <c r="IG122" i="1"/>
  <c r="NJ122" i="3"/>
  <c r="NK122" i="3" s="1"/>
  <c r="JK122" i="1"/>
  <c r="MX122" i="3"/>
  <c r="MY122" i="3" s="1"/>
  <c r="IS122" i="1"/>
  <c r="LI122" i="3"/>
  <c r="HI122" i="1"/>
  <c r="KH130" i="3"/>
  <c r="KI130" i="3" s="1"/>
  <c r="FT130" i="1"/>
  <c r="KD130" i="3"/>
  <c r="KE130" i="3" s="1"/>
  <c r="FN130" i="1"/>
  <c r="IC130" i="3"/>
  <c r="ED130" i="1"/>
  <c r="JC130" i="3"/>
  <c r="JD130" i="3" s="1"/>
  <c r="EP130" i="1"/>
  <c r="JZ130" i="3"/>
  <c r="KA130" i="3" s="1"/>
  <c r="FH130" i="1"/>
  <c r="JZ122" i="3"/>
  <c r="KA122" i="3" s="1"/>
  <c r="FH122" i="1"/>
  <c r="IC122" i="3"/>
  <c r="ED122" i="1"/>
  <c r="JC122" i="3"/>
  <c r="JD122" i="3" s="1"/>
  <c r="EP122" i="1"/>
  <c r="KD122" i="3"/>
  <c r="KE122" i="3" s="1"/>
  <c r="FN122" i="1"/>
  <c r="KH122" i="3"/>
  <c r="KI122" i="3" s="1"/>
  <c r="FT122" i="1"/>
  <c r="KD120" i="3"/>
  <c r="KE120" i="3" s="1"/>
  <c r="FN120" i="1"/>
  <c r="KH120" i="3"/>
  <c r="KI120" i="3" s="1"/>
  <c r="FT120" i="1"/>
  <c r="IC120" i="3"/>
  <c r="ED120" i="1"/>
  <c r="JC120" i="3"/>
  <c r="JD120" i="3" s="1"/>
  <c r="EP120" i="1"/>
  <c r="JZ120" i="3"/>
  <c r="KA120" i="3" s="1"/>
  <c r="FH120" i="1"/>
  <c r="KD116" i="3"/>
  <c r="KE116" i="3" s="1"/>
  <c r="FN116" i="1"/>
  <c r="JC118" i="3"/>
  <c r="JD118" i="3" s="1"/>
  <c r="EP118" i="1"/>
  <c r="JZ118" i="3"/>
  <c r="KA118" i="3" s="1"/>
  <c r="FH118" i="1"/>
  <c r="KH118" i="3"/>
  <c r="KI118" i="3" s="1"/>
  <c r="FT118" i="1"/>
  <c r="KD118" i="3"/>
  <c r="KE118" i="3" s="1"/>
  <c r="FN118" i="1"/>
  <c r="IC118" i="3"/>
  <c r="ED118" i="1"/>
  <c r="NJ116" i="3"/>
  <c r="NK116" i="3" s="1"/>
  <c r="NN116" i="3"/>
  <c r="NO116" i="3" s="1"/>
  <c r="MX116" i="3"/>
  <c r="MY116" i="3" s="1"/>
  <c r="IC116" i="3"/>
  <c r="MF116" i="3"/>
  <c r="MG116" i="3" s="1"/>
  <c r="QP116" i="3" s="1"/>
  <c r="JO116" i="3"/>
  <c r="JP116" i="3" s="1"/>
  <c r="JP156" i="3" s="1"/>
  <c r="M55" i="6" s="1"/>
  <c r="O55" i="6" s="1"/>
  <c r="JZ116" i="3"/>
  <c r="KA116" i="3" s="1"/>
  <c r="KH116" i="3"/>
  <c r="KI116" i="3" s="1"/>
  <c r="LI116" i="3"/>
  <c r="JC116" i="3"/>
  <c r="JD116" i="3" s="1"/>
  <c r="AF58" i="3"/>
  <c r="NN42" i="3"/>
  <c r="JQ42" i="1"/>
  <c r="MF40" i="3"/>
  <c r="HU40" i="1"/>
  <c r="MF36" i="3"/>
  <c r="HU36" i="1"/>
  <c r="LI44" i="3"/>
  <c r="HI44" i="1"/>
  <c r="NN40" i="3"/>
  <c r="JQ40" i="1"/>
  <c r="LI40" i="3"/>
  <c r="HI40" i="1"/>
  <c r="LI36" i="3"/>
  <c r="HI36" i="1"/>
  <c r="NN68" i="3"/>
  <c r="NO68" i="3" s="1"/>
  <c r="QR68" i="3" s="1"/>
  <c r="JQ68" i="1"/>
  <c r="NN64" i="3"/>
  <c r="NO64" i="3" s="1"/>
  <c r="QR64" i="3" s="1"/>
  <c r="JQ64" i="1"/>
  <c r="NN58" i="3"/>
  <c r="NO58" i="3" s="1"/>
  <c r="QR58" i="3" s="1"/>
  <c r="JQ58" i="1"/>
  <c r="NN70" i="3"/>
  <c r="NO70" i="3" s="1"/>
  <c r="QR70" i="3" s="1"/>
  <c r="JQ70" i="1"/>
  <c r="NN66" i="3"/>
  <c r="NO66" i="3" s="1"/>
  <c r="QR66" i="3" s="1"/>
  <c r="JQ66" i="1"/>
  <c r="NN62" i="3"/>
  <c r="NO62" i="3" s="1"/>
  <c r="QR62" i="3" s="1"/>
  <c r="JQ62" i="1"/>
  <c r="MF44" i="3"/>
  <c r="HU44" i="1"/>
  <c r="LI42" i="3"/>
  <c r="HI42" i="1"/>
  <c r="NN44" i="3"/>
  <c r="JQ44" i="1"/>
  <c r="MF42" i="3"/>
  <c r="HU42" i="1"/>
  <c r="NN36" i="3"/>
  <c r="JQ36" i="1"/>
  <c r="NN60" i="3"/>
  <c r="NO60" i="3" s="1"/>
  <c r="QR60" i="3" s="1"/>
  <c r="JQ60" i="1"/>
  <c r="NN56" i="3"/>
  <c r="NO56" i="3" s="1"/>
  <c r="QR56" i="3" s="1"/>
  <c r="JQ56" i="1"/>
  <c r="MX70" i="3"/>
  <c r="MY70" i="3" s="1"/>
  <c r="IS70" i="1"/>
  <c r="ND70" i="3"/>
  <c r="NE70" i="3" s="1"/>
  <c r="JE70" i="1"/>
  <c r="MF70" i="3"/>
  <c r="MG70" i="3" s="1"/>
  <c r="QP70" i="3" s="1"/>
  <c r="HU70" i="1"/>
  <c r="NJ70" i="3"/>
  <c r="NK70" i="3" s="1"/>
  <c r="JK70" i="1"/>
  <c r="LI70" i="3"/>
  <c r="HI70" i="1"/>
  <c r="IC70" i="3"/>
  <c r="ED70" i="1"/>
  <c r="JC70" i="3"/>
  <c r="JD70" i="3" s="1"/>
  <c r="EP70" i="1"/>
  <c r="NJ68" i="3"/>
  <c r="NK68" i="3" s="1"/>
  <c r="JK68" i="1"/>
  <c r="LI68" i="3"/>
  <c r="HI68" i="1"/>
  <c r="MF68" i="3"/>
  <c r="MG68" i="3" s="1"/>
  <c r="QP68" i="3" s="1"/>
  <c r="HU68" i="1"/>
  <c r="ND68" i="3"/>
  <c r="NE68" i="3" s="1"/>
  <c r="JE68" i="1"/>
  <c r="MX68" i="3"/>
  <c r="MY68" i="3" s="1"/>
  <c r="IS68" i="1"/>
  <c r="JC68" i="3"/>
  <c r="JD68" i="3" s="1"/>
  <c r="EP68" i="1"/>
  <c r="IC68" i="3"/>
  <c r="ED68" i="1"/>
  <c r="MF66" i="3"/>
  <c r="MG66" i="3" s="1"/>
  <c r="QP66" i="3" s="1"/>
  <c r="HU66" i="1"/>
  <c r="MX66" i="3"/>
  <c r="MY66" i="3" s="1"/>
  <c r="IS66" i="1"/>
  <c r="ND66" i="3"/>
  <c r="NE66" i="3" s="1"/>
  <c r="JE66" i="1"/>
  <c r="NJ66" i="3"/>
  <c r="NK66" i="3" s="1"/>
  <c r="JK66" i="1"/>
  <c r="LI66" i="3"/>
  <c r="HI66" i="1"/>
  <c r="JC66" i="3"/>
  <c r="JD66" i="3" s="1"/>
  <c r="EP66" i="1"/>
  <c r="IC66" i="3"/>
  <c r="ED66" i="1"/>
  <c r="MF64" i="3"/>
  <c r="MG64" i="3" s="1"/>
  <c r="QP64" i="3" s="1"/>
  <c r="HU64" i="1"/>
  <c r="MX64" i="3"/>
  <c r="MY64" i="3" s="1"/>
  <c r="IS64" i="1"/>
  <c r="ND64" i="3"/>
  <c r="NE64" i="3" s="1"/>
  <c r="JE64" i="1"/>
  <c r="LI64" i="3"/>
  <c r="HI64" i="1"/>
  <c r="JC64" i="3"/>
  <c r="JD64" i="3" s="1"/>
  <c r="EP64" i="1"/>
  <c r="IC64" i="3"/>
  <c r="ED64" i="1"/>
  <c r="MF62" i="3"/>
  <c r="MG62" i="3" s="1"/>
  <c r="QP62" i="3" s="1"/>
  <c r="HU62" i="1"/>
  <c r="MX62" i="3"/>
  <c r="MY62" i="3" s="1"/>
  <c r="IS62" i="1"/>
  <c r="ND62" i="3"/>
  <c r="NE62" i="3" s="1"/>
  <c r="JE62" i="1"/>
  <c r="NJ62" i="3"/>
  <c r="NK62" i="3" s="1"/>
  <c r="JK62" i="1"/>
  <c r="LI62" i="3"/>
  <c r="HI62" i="1"/>
  <c r="JC62" i="3"/>
  <c r="JD62" i="3" s="1"/>
  <c r="EP62" i="1"/>
  <c r="IC62" i="3"/>
  <c r="ED62" i="1"/>
  <c r="MX60" i="3"/>
  <c r="MY60" i="3" s="1"/>
  <c r="IS60" i="1"/>
  <c r="LI60" i="3"/>
  <c r="HI60" i="1"/>
  <c r="ND60" i="3"/>
  <c r="NE60" i="3" s="1"/>
  <c r="JE60" i="1"/>
  <c r="NJ60" i="3"/>
  <c r="NK60" i="3" s="1"/>
  <c r="JK60" i="1"/>
  <c r="MF60" i="3"/>
  <c r="MG60" i="3" s="1"/>
  <c r="QP60" i="3" s="1"/>
  <c r="HU60" i="1"/>
  <c r="IC60" i="3"/>
  <c r="ED60" i="1"/>
  <c r="JC60" i="3"/>
  <c r="JD60" i="3" s="1"/>
  <c r="EP60" i="1"/>
  <c r="MX58" i="3"/>
  <c r="MY58" i="3" s="1"/>
  <c r="IS58" i="1"/>
  <c r="MF58" i="3"/>
  <c r="MG58" i="3" s="1"/>
  <c r="QP58" i="3" s="1"/>
  <c r="HU58" i="1"/>
  <c r="ND58" i="3"/>
  <c r="NE58" i="3" s="1"/>
  <c r="JE58" i="1"/>
  <c r="NJ58" i="3"/>
  <c r="NK58" i="3" s="1"/>
  <c r="JK58" i="1"/>
  <c r="LI58" i="3"/>
  <c r="HI58" i="1"/>
  <c r="JC58" i="3"/>
  <c r="JD58" i="3" s="1"/>
  <c r="EP58" i="1"/>
  <c r="IC58" i="3"/>
  <c r="ED58" i="1"/>
  <c r="NJ56" i="3"/>
  <c r="NK56" i="3" s="1"/>
  <c r="JK56" i="1"/>
  <c r="MF56" i="3"/>
  <c r="MG56" i="3" s="1"/>
  <c r="QP56" i="3" s="1"/>
  <c r="HU56" i="1"/>
  <c r="MX56" i="3"/>
  <c r="MY56" i="3" s="1"/>
  <c r="IS56" i="1"/>
  <c r="LI56" i="3"/>
  <c r="HI56" i="1"/>
  <c r="IC56" i="3"/>
  <c r="ED56" i="1"/>
  <c r="JC56" i="3"/>
  <c r="JD56" i="3" s="1"/>
  <c r="EP56" i="1"/>
  <c r="IC48" i="3"/>
  <c r="ED48" i="1"/>
  <c r="JC48" i="3"/>
  <c r="EP48" i="1"/>
  <c r="JC46" i="3"/>
  <c r="EP46" i="1"/>
  <c r="IC46" i="3"/>
  <c r="ED46" i="1"/>
  <c r="JC44" i="3"/>
  <c r="EP44" i="1"/>
  <c r="IC44" i="3"/>
  <c r="ED44" i="1"/>
  <c r="IC42" i="3"/>
  <c r="ED42" i="1"/>
  <c r="JC42" i="3"/>
  <c r="EP42" i="1"/>
  <c r="IC40" i="3"/>
  <c r="ED40" i="1"/>
  <c r="JC40" i="3"/>
  <c r="EP40" i="1"/>
  <c r="IC38" i="3"/>
  <c r="ED38" i="1"/>
  <c r="JC38" i="3"/>
  <c r="EP38" i="1"/>
  <c r="JC36" i="3"/>
  <c r="EP36" i="1"/>
  <c r="IC36" i="3"/>
  <c r="ED36" i="1"/>
  <c r="NJ48" i="3"/>
  <c r="JK48" i="1"/>
  <c r="NJ46" i="3"/>
  <c r="JK46" i="1"/>
  <c r="NJ44" i="3"/>
  <c r="JK44" i="1"/>
  <c r="NJ40" i="3"/>
  <c r="JK40" i="1"/>
  <c r="NJ38" i="3"/>
  <c r="JK38" i="1"/>
  <c r="NJ36" i="3"/>
  <c r="JK36" i="1"/>
  <c r="F58" i="4"/>
  <c r="AF68" i="3"/>
  <c r="AF66" i="3"/>
  <c r="AF56" i="3"/>
  <c r="AF62" i="3"/>
  <c r="F50" i="4"/>
  <c r="J160" i="3" l="1"/>
  <c r="IQ18" i="11"/>
  <c r="F56" i="4"/>
  <c r="M226" i="6" s="1"/>
  <c r="K160" i="1"/>
  <c r="H160" i="1"/>
  <c r="N171" i="6"/>
  <c r="QP156" i="3"/>
  <c r="LJ56" i="3"/>
  <c r="QO56" i="3" s="1"/>
  <c r="LJ58" i="3"/>
  <c r="QO58" i="3" s="1"/>
  <c r="LJ60" i="3"/>
  <c r="QO60" i="3" s="1"/>
  <c r="LJ62" i="3"/>
  <c r="QO62" i="3" s="1"/>
  <c r="LJ64" i="3"/>
  <c r="QO64" i="3" s="1"/>
  <c r="LJ66" i="3"/>
  <c r="QO66" i="3" s="1"/>
  <c r="LJ68" i="3"/>
  <c r="QO68" i="3" s="1"/>
  <c r="LJ70" i="3"/>
  <c r="QO70" i="3" s="1"/>
  <c r="LJ116" i="3"/>
  <c r="QO116" i="3" s="1"/>
  <c r="LJ122" i="3"/>
  <c r="QO122" i="3" s="1"/>
  <c r="LJ120" i="3"/>
  <c r="QO120" i="3" s="1"/>
  <c r="LJ124" i="3"/>
  <c r="QO124" i="3" s="1"/>
  <c r="LJ118" i="3"/>
  <c r="QO118" i="3" s="1"/>
  <c r="ID116" i="3"/>
  <c r="ID124" i="3"/>
  <c r="ID126" i="3"/>
  <c r="ID56" i="3"/>
  <c r="ID58" i="3"/>
  <c r="ID60" i="3"/>
  <c r="ID62" i="3"/>
  <c r="ID64" i="3"/>
  <c r="ID66" i="3"/>
  <c r="ID68" i="3"/>
  <c r="ID70" i="3"/>
  <c r="ID118" i="3"/>
  <c r="ID120" i="3"/>
  <c r="ID122" i="3"/>
  <c r="ID130" i="3"/>
  <c r="ID128" i="3"/>
  <c r="NO156" i="3"/>
  <c r="M63" i="6" s="1"/>
  <c r="O63" i="6" s="1"/>
  <c r="QR116" i="3"/>
  <c r="QR156" i="3" s="1"/>
  <c r="MG156" i="3"/>
  <c r="KA156" i="3"/>
  <c r="KE156" i="3"/>
  <c r="JD156" i="3"/>
  <c r="KI156" i="3"/>
  <c r="AP50" i="4"/>
  <c r="AP56" i="4" s="1"/>
  <c r="AN56" i="4"/>
  <c r="M220" i="6"/>
  <c r="AJ23" i="4"/>
  <c r="AK23" i="4" s="1"/>
  <c r="M214" i="6" s="1"/>
  <c r="AF23" i="4"/>
  <c r="AL23" i="4" s="1"/>
  <c r="AJ21" i="4"/>
  <c r="AK21" i="4" s="1"/>
  <c r="M212" i="6" s="1"/>
  <c r="AF21" i="4"/>
  <c r="AL21" i="4" s="1"/>
  <c r="AJ19" i="4"/>
  <c r="AK19" i="4" s="1"/>
  <c r="AF19" i="4"/>
  <c r="AL19" i="4" s="1"/>
  <c r="PI34" i="3"/>
  <c r="PG34" i="3"/>
  <c r="OV34" i="3"/>
  <c r="OU34" i="3"/>
  <c r="OT34" i="3"/>
  <c r="OQ34" i="3"/>
  <c r="OP34" i="3"/>
  <c r="OB34" i="3"/>
  <c r="NW34" i="3"/>
  <c r="OK34" i="3"/>
  <c r="OJ34" i="3"/>
  <c r="OI34" i="3"/>
  <c r="OD34" i="3"/>
  <c r="OC34" i="3"/>
  <c r="NY34" i="3"/>
  <c r="DL34" i="3"/>
  <c r="P171" i="6" l="1"/>
  <c r="M47" i="6"/>
  <c r="O47" i="6" s="1"/>
  <c r="M45" i="6"/>
  <c r="O45" i="6" s="1"/>
  <c r="LJ156" i="3"/>
  <c r="ID156" i="3"/>
  <c r="QO156" i="3"/>
  <c r="QN34" i="3"/>
  <c r="M20" i="6"/>
  <c r="O20" i="6" s="1"/>
  <c r="AQ56" i="4"/>
  <c r="AS56" i="4" s="1"/>
  <c r="AM19" i="4"/>
  <c r="AP19" i="4" s="1"/>
  <c r="M210" i="6"/>
  <c r="AR19" i="4"/>
  <c r="AQ19" i="4"/>
  <c r="AM21" i="4"/>
  <c r="AM23" i="4"/>
  <c r="OL34" i="3"/>
  <c r="OE34" i="3"/>
  <c r="AN19" i="4" l="1"/>
  <c r="AO19" i="4"/>
  <c r="AS19" i="4"/>
  <c r="M44" i="6"/>
  <c r="O44" i="6" s="1"/>
  <c r="M18" i="6"/>
  <c r="O18" i="6" s="1"/>
  <c r="AS21" i="4"/>
  <c r="AQ21" i="4"/>
  <c r="AO21" i="4"/>
  <c r="AR21" i="4"/>
  <c r="AP21" i="4"/>
  <c r="AN21" i="4"/>
  <c r="AR23" i="4"/>
  <c r="AP23" i="4"/>
  <c r="AN23" i="4"/>
  <c r="AS23" i="4"/>
  <c r="AS26" i="4" s="1"/>
  <c r="AQ23" i="4"/>
  <c r="AO23" i="4"/>
  <c r="AO26" i="4" s="1"/>
  <c r="AP26" i="4" l="1"/>
  <c r="D37" i="4" s="1"/>
  <c r="AR26" i="4"/>
  <c r="G33" i="4" s="1"/>
  <c r="G35" i="4"/>
  <c r="D35" i="4"/>
  <c r="G29" i="4"/>
  <c r="D29" i="4"/>
  <c r="AQ26" i="4"/>
  <c r="AN26" i="4"/>
  <c r="D33" i="4" l="1"/>
  <c r="G37" i="4"/>
  <c r="G27" i="4"/>
  <c r="D27" i="4"/>
  <c r="G31" i="4"/>
  <c r="D31" i="4"/>
  <c r="HU34" i="3"/>
  <c r="HD34" i="3"/>
  <c r="HC34" i="3"/>
  <c r="HA34" i="3"/>
  <c r="GZ34" i="3"/>
  <c r="GV34" i="3"/>
  <c r="GW34" i="3" s="1"/>
  <c r="D39" i="4" l="1"/>
  <c r="G39" i="4"/>
  <c r="Q216" i="6" s="1"/>
  <c r="C6" i="6"/>
  <c r="GX34" i="3"/>
  <c r="M216" i="6" l="1"/>
  <c r="GS34" i="3"/>
  <c r="GT34" i="3" s="1"/>
  <c r="GU34" i="3" s="1"/>
  <c r="FM34" i="3"/>
  <c r="FG34" i="3"/>
  <c r="MF34" i="3"/>
  <c r="CS34" i="3"/>
  <c r="K190" i="2"/>
  <c r="K189" i="2"/>
  <c r="K188" i="2"/>
  <c r="K187" i="2"/>
  <c r="IJ34" i="3"/>
  <c r="II34" i="3"/>
  <c r="AT34" i="3"/>
  <c r="M168" i="2"/>
  <c r="N168" i="2"/>
  <c r="O168" i="2"/>
  <c r="M169" i="2"/>
  <c r="N169" i="2"/>
  <c r="O169" i="2"/>
  <c r="M170" i="2"/>
  <c r="N170" i="2"/>
  <c r="O170" i="2"/>
  <c r="M171" i="2"/>
  <c r="N171" i="2"/>
  <c r="O171" i="2"/>
  <c r="M172" i="2"/>
  <c r="N172" i="2"/>
  <c r="O172" i="2"/>
  <c r="M173" i="2"/>
  <c r="N173" i="2"/>
  <c r="O173" i="2"/>
  <c r="M174" i="2"/>
  <c r="N174" i="2"/>
  <c r="O174" i="2"/>
  <c r="M175" i="2"/>
  <c r="N175" i="2"/>
  <c r="O175" i="2"/>
  <c r="M176" i="2"/>
  <c r="N176" i="2"/>
  <c r="O176" i="2"/>
  <c r="O167" i="2"/>
  <c r="N167" i="2"/>
  <c r="M167" i="2"/>
  <c r="O166" i="2"/>
  <c r="N166" i="2"/>
  <c r="M166" i="2"/>
  <c r="O165" i="2"/>
  <c r="N165" i="2"/>
  <c r="M165" i="2"/>
  <c r="O164" i="2"/>
  <c r="N164" i="2"/>
  <c r="M164" i="2"/>
  <c r="O163" i="2"/>
  <c r="N163" i="2"/>
  <c r="M163" i="2"/>
  <c r="O162" i="2"/>
  <c r="N162" i="2"/>
  <c r="M162" i="2"/>
  <c r="O161" i="2"/>
  <c r="N161" i="2"/>
  <c r="M161" i="2"/>
  <c r="O160" i="2"/>
  <c r="N160" i="2"/>
  <c r="M160" i="2"/>
  <c r="O159" i="2"/>
  <c r="N159" i="2"/>
  <c r="M159" i="2"/>
  <c r="O158" i="2"/>
  <c r="N158" i="2"/>
  <c r="M158" i="2"/>
  <c r="O157" i="2"/>
  <c r="N157" i="2"/>
  <c r="M157" i="2"/>
  <c r="O156" i="2"/>
  <c r="N156" i="2"/>
  <c r="M156" i="2"/>
  <c r="O155" i="2"/>
  <c r="N155" i="2"/>
  <c r="M155" i="2"/>
  <c r="O154" i="2"/>
  <c r="N154" i="2"/>
  <c r="M154" i="2"/>
  <c r="O153" i="2"/>
  <c r="N153" i="2"/>
  <c r="M153" i="2"/>
  <c r="O152" i="2"/>
  <c r="N152" i="2"/>
  <c r="M152" i="2"/>
  <c r="O151" i="2"/>
  <c r="N151" i="2"/>
  <c r="M151" i="2"/>
  <c r="O150" i="2"/>
  <c r="N150" i="2"/>
  <c r="M150" i="2"/>
  <c r="O149" i="2"/>
  <c r="N149" i="2"/>
  <c r="M149" i="2"/>
  <c r="O148" i="2"/>
  <c r="N148" i="2"/>
  <c r="M148" i="2"/>
  <c r="O147" i="2"/>
  <c r="N147" i="2"/>
  <c r="M147" i="2"/>
  <c r="O146" i="2"/>
  <c r="N146" i="2"/>
  <c r="M146" i="2"/>
  <c r="O145" i="2"/>
  <c r="N145" i="2"/>
  <c r="M145" i="2"/>
  <c r="O144" i="2"/>
  <c r="N144" i="2"/>
  <c r="M144" i="2"/>
  <c r="O143" i="2"/>
  <c r="N143" i="2"/>
  <c r="M143" i="2"/>
  <c r="O142" i="2"/>
  <c r="N142" i="2"/>
  <c r="M142" i="2"/>
  <c r="O141" i="2"/>
  <c r="N141" i="2"/>
  <c r="M141" i="2"/>
  <c r="O140" i="2"/>
  <c r="N140" i="2"/>
  <c r="M140" i="2"/>
  <c r="R125" i="2"/>
  <c r="R124" i="2"/>
  <c r="R123" i="2"/>
  <c r="R122" i="2"/>
  <c r="R121" i="2"/>
  <c r="R120" i="2"/>
  <c r="R119" i="2"/>
  <c r="R118" i="2"/>
  <c r="R117" i="2"/>
  <c r="R116" i="2"/>
  <c r="R115" i="2"/>
  <c r="Q125" i="2"/>
  <c r="Q124" i="2"/>
  <c r="Q123" i="2"/>
  <c r="Q122" i="2"/>
  <c r="Q121" i="2"/>
  <c r="Q120" i="2"/>
  <c r="Q119" i="2"/>
  <c r="Q118" i="2"/>
  <c r="Q117" i="2"/>
  <c r="Q116" i="2"/>
  <c r="Q115" i="2"/>
  <c r="Q114" i="2"/>
  <c r="AC34" i="3"/>
  <c r="DB7" i="2"/>
  <c r="AZ69" i="2"/>
  <c r="AZ68" i="2"/>
  <c r="AZ67" i="2"/>
  <c r="AZ66" i="2"/>
  <c r="AZ65" i="2"/>
  <c r="AZ64" i="2"/>
  <c r="CM23" i="2"/>
  <c r="BB67" i="2"/>
  <c r="BB64" i="2"/>
  <c r="AY67" i="2"/>
  <c r="AY64" i="2"/>
  <c r="NN34" i="3"/>
  <c r="AU60" i="2"/>
  <c r="AU57" i="2"/>
  <c r="LI34" i="3"/>
  <c r="CT48" i="2"/>
  <c r="CT47" i="2"/>
  <c r="CT46" i="2"/>
  <c r="CT45" i="2"/>
  <c r="CT43" i="2"/>
  <c r="CT42" i="2"/>
  <c r="CT39" i="2"/>
  <c r="CT40" i="2"/>
  <c r="CT38" i="2"/>
  <c r="CT35" i="2"/>
  <c r="CT22" i="2"/>
  <c r="CT30" i="2"/>
  <c r="CT17" i="2"/>
  <c r="CT13" i="2"/>
  <c r="CT12" i="2"/>
  <c r="CT8" i="2"/>
  <c r="CT7" i="2"/>
  <c r="CR48" i="2"/>
  <c r="CR47" i="2"/>
  <c r="CR46" i="2"/>
  <c r="CR45" i="2"/>
  <c r="CR43" i="2"/>
  <c r="CR42" i="2"/>
  <c r="CR40" i="2"/>
  <c r="CR39" i="2"/>
  <c r="CR38" i="2"/>
  <c r="CR35" i="2"/>
  <c r="CR30" i="2"/>
  <c r="CR22" i="2"/>
  <c r="CR17" i="2"/>
  <c r="CR13" i="2"/>
  <c r="CR12" i="2"/>
  <c r="CR8" i="2"/>
  <c r="CR7" i="2"/>
  <c r="CQ48" i="2"/>
  <c r="CQ42" i="2"/>
  <c r="CQ47" i="2"/>
  <c r="CQ46" i="2"/>
  <c r="CQ45" i="2"/>
  <c r="CQ43" i="2"/>
  <c r="CQ40" i="2"/>
  <c r="CQ39" i="2"/>
  <c r="CQ38" i="2"/>
  <c r="CQ35" i="2"/>
  <c r="CQ30" i="2"/>
  <c r="CQ22" i="2"/>
  <c r="CQ17" i="2"/>
  <c r="CQ13" i="2"/>
  <c r="CQ12" i="2"/>
  <c r="CQ8" i="2"/>
  <c r="CQ7" i="2"/>
  <c r="CL27" i="2"/>
  <c r="CL16" i="2"/>
  <c r="CO16" i="2"/>
  <c r="CL24" i="2"/>
  <c r="CO24" i="2"/>
  <c r="CO23" i="2"/>
  <c r="CL23" i="2"/>
  <c r="CO14" i="2"/>
  <c r="CO15" i="2"/>
  <c r="CO36" i="2"/>
  <c r="CO26" i="2"/>
  <c r="CO48" i="2"/>
  <c r="CO42" i="2"/>
  <c r="CO35" i="2"/>
  <c r="CO13" i="2"/>
  <c r="CO12" i="2"/>
  <c r="CO8" i="2"/>
  <c r="CO7" i="2"/>
  <c r="CO47" i="2"/>
  <c r="CO46" i="2"/>
  <c r="CO45" i="2"/>
  <c r="CO43" i="2"/>
  <c r="CO39" i="2"/>
  <c r="CO40" i="2"/>
  <c r="CO38" i="2"/>
  <c r="CO30" i="2"/>
  <c r="CO22" i="2"/>
  <c r="CO17" i="2"/>
  <c r="CL29" i="2"/>
  <c r="CL28" i="2"/>
  <c r="CL15" i="2"/>
  <c r="CL14" i="2"/>
  <c r="CL26" i="2"/>
  <c r="CL36" i="2"/>
  <c r="CL48" i="2"/>
  <c r="CL47" i="2"/>
  <c r="CL46" i="2"/>
  <c r="CL45" i="2"/>
  <c r="CL43" i="2"/>
  <c r="CL42" i="2"/>
  <c r="CL40" i="2"/>
  <c r="CL39" i="2"/>
  <c r="CL38" i="2"/>
  <c r="CL35" i="2"/>
  <c r="CL30" i="2"/>
  <c r="CL22" i="2"/>
  <c r="CL17" i="2"/>
  <c r="CL13" i="2"/>
  <c r="CL12" i="2"/>
  <c r="CL8" i="2"/>
  <c r="CL7" i="2"/>
  <c r="CM26" i="2"/>
  <c r="CM30" i="2"/>
  <c r="S28" i="3"/>
  <c r="T28" i="3"/>
  <c r="JC34" i="3"/>
  <c r="CF34" i="3"/>
  <c r="BN34" i="3"/>
  <c r="BK34" i="3"/>
  <c r="V125" i="2"/>
  <c r="V124" i="2"/>
  <c r="V123" i="2"/>
  <c r="V122" i="2"/>
  <c r="V121" i="2"/>
  <c r="V120" i="2"/>
  <c r="V119" i="2"/>
  <c r="V118" i="2"/>
  <c r="V117" i="2"/>
  <c r="V116" i="2"/>
  <c r="V115" i="2"/>
  <c r="V114" i="2"/>
  <c r="U125" i="2"/>
  <c r="U124" i="2"/>
  <c r="U123" i="2"/>
  <c r="U122" i="2"/>
  <c r="U121" i="2"/>
  <c r="U120" i="2"/>
  <c r="U119" i="2"/>
  <c r="U118" i="2"/>
  <c r="U117" i="2"/>
  <c r="U116" i="2"/>
  <c r="U115" i="2"/>
  <c r="U114" i="2"/>
  <c r="P75" i="6" l="1"/>
  <c r="KT18" i="13"/>
  <c r="KN18" i="13"/>
  <c r="V28" i="3"/>
  <c r="P28" i="3"/>
  <c r="AF116" i="3"/>
  <c r="V110" i="3"/>
  <c r="JR46" i="3"/>
  <c r="JR44" i="3"/>
  <c r="MO124" i="3"/>
  <c r="MP124" i="3" s="1"/>
  <c r="MQ124" i="3" s="1"/>
  <c r="QQ124" i="3" s="1"/>
  <c r="MO146" i="3"/>
  <c r="MO64" i="3"/>
  <c r="JT42" i="3"/>
  <c r="JT44" i="3"/>
  <c r="JR48" i="3"/>
  <c r="JR36" i="3"/>
  <c r="JT46" i="3"/>
  <c r="JR38" i="3"/>
  <c r="MO118" i="3"/>
  <c r="MO116" i="3"/>
  <c r="JR42" i="3"/>
  <c r="JR40" i="3"/>
  <c r="HL150" i="3"/>
  <c r="HL148" i="3"/>
  <c r="HL146" i="3"/>
  <c r="HL144" i="3"/>
  <c r="HL142" i="3"/>
  <c r="HL140" i="3"/>
  <c r="HL138" i="3"/>
  <c r="HL124" i="3"/>
  <c r="HL120" i="3"/>
  <c r="HL118" i="3"/>
  <c r="HL116" i="3"/>
  <c r="HL152" i="3"/>
  <c r="HL130" i="3"/>
  <c r="HL128" i="3"/>
  <c r="HL126" i="3"/>
  <c r="HL122" i="3"/>
  <c r="Q134" i="3"/>
  <c r="HN152" i="3"/>
  <c r="HN130" i="3"/>
  <c r="HN128" i="3"/>
  <c r="HN126" i="3"/>
  <c r="HN122" i="3"/>
  <c r="HN150" i="3"/>
  <c r="HN148" i="3"/>
  <c r="HN146" i="3"/>
  <c r="HN144" i="3"/>
  <c r="HN142" i="3"/>
  <c r="HN140" i="3"/>
  <c r="HN138" i="3"/>
  <c r="HN124" i="3"/>
  <c r="HN120" i="3"/>
  <c r="HN118" i="3"/>
  <c r="HN116" i="3"/>
  <c r="IG124" i="1"/>
  <c r="JR34" i="3"/>
  <c r="JT34" i="3"/>
  <c r="MO120" i="3"/>
  <c r="MP120" i="3" s="1"/>
  <c r="MQ120" i="3" s="1"/>
  <c r="QQ120" i="3" s="1"/>
  <c r="MW120" i="3"/>
  <c r="CJ150" i="3"/>
  <c r="CK150" i="3" s="1"/>
  <c r="IG120" i="1"/>
  <c r="P110" i="3"/>
  <c r="H134" i="3"/>
  <c r="BL34" i="3"/>
  <c r="AI34" i="1"/>
  <c r="GU116" i="3"/>
  <c r="GU144" i="3"/>
  <c r="GU152" i="3"/>
  <c r="GU150" i="3"/>
  <c r="GU148" i="3"/>
  <c r="GU138" i="3"/>
  <c r="GU130" i="3"/>
  <c r="GU128" i="3"/>
  <c r="GU126" i="3"/>
  <c r="GU124" i="3"/>
  <c r="GU122" i="3"/>
  <c r="GU118" i="3"/>
  <c r="GU120" i="3"/>
  <c r="GU146" i="3"/>
  <c r="GU142" i="3"/>
  <c r="GU140" i="3"/>
  <c r="MU116" i="3"/>
  <c r="MU156" i="3" s="1"/>
  <c r="M57" i="6" s="1"/>
  <c r="O57" i="6" s="1"/>
  <c r="AD34" i="3"/>
  <c r="QE70" i="3"/>
  <c r="QE68" i="3"/>
  <c r="QE66" i="3"/>
  <c r="QE58" i="3"/>
  <c r="QE48" i="3"/>
  <c r="QE46" i="3"/>
  <c r="QF70" i="3"/>
  <c r="QF68" i="3"/>
  <c r="QF66" i="3"/>
  <c r="QF48" i="3"/>
  <c r="QF46" i="3"/>
  <c r="QK70" i="3"/>
  <c r="QI68" i="3"/>
  <c r="QG68" i="3"/>
  <c r="QK66" i="3"/>
  <c r="QK62" i="3"/>
  <c r="QI60" i="3"/>
  <c r="QG60" i="3"/>
  <c r="QI58" i="3"/>
  <c r="QG58" i="3"/>
  <c r="QK56" i="3"/>
  <c r="QI48" i="3"/>
  <c r="QK46" i="3"/>
  <c r="QI44" i="3"/>
  <c r="QG44" i="3"/>
  <c r="QK42" i="3"/>
  <c r="QG40" i="3"/>
  <c r="QK38" i="3"/>
  <c r="QI36" i="3"/>
  <c r="QI70" i="3"/>
  <c r="QG70" i="3"/>
  <c r="QK68" i="3"/>
  <c r="QI66" i="3"/>
  <c r="QG66" i="3"/>
  <c r="QK64" i="3"/>
  <c r="QG62" i="3"/>
  <c r="QK60" i="3"/>
  <c r="QK58" i="3"/>
  <c r="QI56" i="3"/>
  <c r="QG56" i="3"/>
  <c r="QI46" i="3"/>
  <c r="QG46" i="3"/>
  <c r="QK44" i="3"/>
  <c r="QG42" i="3"/>
  <c r="QK40" i="3"/>
  <c r="QI38" i="3"/>
  <c r="QG38" i="3"/>
  <c r="QK36" i="3"/>
  <c r="HL70" i="3"/>
  <c r="HL68" i="3"/>
  <c r="HL66" i="3"/>
  <c r="HL64" i="3"/>
  <c r="HL62" i="3"/>
  <c r="HL56" i="3"/>
  <c r="HL48" i="3"/>
  <c r="HL44" i="3"/>
  <c r="HL40" i="3"/>
  <c r="HL36" i="3"/>
  <c r="HL60" i="3"/>
  <c r="HL58" i="3"/>
  <c r="HL46" i="3"/>
  <c r="HL42" i="3"/>
  <c r="HL38" i="3"/>
  <c r="HL34" i="3"/>
  <c r="HN60" i="3"/>
  <c r="HN58" i="3"/>
  <c r="HN46" i="3"/>
  <c r="HN42" i="3"/>
  <c r="HN38" i="3"/>
  <c r="HN70" i="3"/>
  <c r="HN68" i="3"/>
  <c r="HN66" i="3"/>
  <c r="HN64" i="3"/>
  <c r="HN62" i="3"/>
  <c r="HN56" i="3"/>
  <c r="HN48" i="3"/>
  <c r="HN44" i="3"/>
  <c r="HN40" i="3"/>
  <c r="HN36" i="3"/>
  <c r="HN34" i="3"/>
  <c r="AB60" i="3"/>
  <c r="AB58" i="3"/>
  <c r="AB56" i="3"/>
  <c r="AB48" i="3"/>
  <c r="AB46" i="3"/>
  <c r="AB44" i="3"/>
  <c r="AB42" i="3"/>
  <c r="AB40" i="3"/>
  <c r="AB38" i="3"/>
  <c r="AB36" i="3"/>
  <c r="AB70" i="3"/>
  <c r="AB68" i="3"/>
  <c r="AB66" i="3"/>
  <c r="AB64" i="3"/>
  <c r="AB62" i="3"/>
  <c r="KG60" i="3"/>
  <c r="KG62" i="3"/>
  <c r="KG70" i="3"/>
  <c r="KG40" i="3"/>
  <c r="KG42" i="3"/>
  <c r="KG46" i="3"/>
  <c r="KG48" i="3"/>
  <c r="KG56" i="3"/>
  <c r="KG64" i="3"/>
  <c r="KG66" i="3"/>
  <c r="KG58" i="3"/>
  <c r="KG68" i="3"/>
  <c r="KG36" i="3"/>
  <c r="KG44" i="3"/>
  <c r="KG38" i="3"/>
  <c r="KG34" i="3"/>
  <c r="FT34" i="1" s="1"/>
  <c r="KK70" i="3"/>
  <c r="KK66" i="3"/>
  <c r="KK62" i="3"/>
  <c r="KK60" i="3"/>
  <c r="KK48" i="3"/>
  <c r="KK44" i="3"/>
  <c r="KK40" i="3"/>
  <c r="KK36" i="3"/>
  <c r="KK68" i="3"/>
  <c r="KK64" i="3"/>
  <c r="KK58" i="3"/>
  <c r="KK56" i="3"/>
  <c r="KK46" i="3"/>
  <c r="KK42" i="3"/>
  <c r="KK38" i="3"/>
  <c r="KK34" i="3"/>
  <c r="FZ34" i="1" s="1"/>
  <c r="KR70" i="3"/>
  <c r="KR58" i="3"/>
  <c r="KR66" i="3"/>
  <c r="KR62" i="3"/>
  <c r="KR56" i="3"/>
  <c r="KR60" i="3"/>
  <c r="KR68" i="3"/>
  <c r="KR64" i="3"/>
  <c r="MW38" i="3"/>
  <c r="MW42" i="3"/>
  <c r="MW34" i="3"/>
  <c r="IS34" i="1" s="1"/>
  <c r="MW36" i="3"/>
  <c r="MW40" i="3"/>
  <c r="MW44" i="3"/>
  <c r="MW46" i="3"/>
  <c r="MX46" i="3" s="1"/>
  <c r="MW48" i="3"/>
  <c r="MX48" i="3" s="1"/>
  <c r="JV48" i="3"/>
  <c r="JV46" i="3"/>
  <c r="JV44" i="3"/>
  <c r="JV42" i="3"/>
  <c r="JV40" i="3"/>
  <c r="JV38" i="3"/>
  <c r="JV36" i="3"/>
  <c r="JV34" i="3"/>
  <c r="JX60" i="3"/>
  <c r="JX58" i="3"/>
  <c r="JX34" i="3"/>
  <c r="JX70" i="3"/>
  <c r="JX68" i="3"/>
  <c r="JX66" i="3"/>
  <c r="JX64" i="3"/>
  <c r="JX62" i="3"/>
  <c r="JX56" i="3"/>
  <c r="JX48" i="3"/>
  <c r="JX46" i="3"/>
  <c r="JX44" i="3"/>
  <c r="JX42" i="3"/>
  <c r="JX40" i="3"/>
  <c r="JX38" i="3"/>
  <c r="JX36" i="3"/>
  <c r="KC58" i="3"/>
  <c r="KC60" i="3"/>
  <c r="KC62" i="3"/>
  <c r="KC64" i="3"/>
  <c r="KC66" i="3"/>
  <c r="KC70" i="3"/>
  <c r="KC56" i="3"/>
  <c r="KC68" i="3"/>
  <c r="JU60" i="3"/>
  <c r="JY60" i="3" s="1"/>
  <c r="JU58" i="3"/>
  <c r="JY58" i="3" s="1"/>
  <c r="JU34" i="3"/>
  <c r="JU70" i="3"/>
  <c r="JY70" i="3" s="1"/>
  <c r="JU68" i="3"/>
  <c r="JY68" i="3" s="1"/>
  <c r="JU66" i="3"/>
  <c r="JY66" i="3" s="1"/>
  <c r="JU64" i="3"/>
  <c r="JY64" i="3" s="1"/>
  <c r="JU62" i="3"/>
  <c r="JY62" i="3" s="1"/>
  <c r="JU56" i="3"/>
  <c r="JY56" i="3" s="1"/>
  <c r="JU48" i="3"/>
  <c r="JU46" i="3"/>
  <c r="JU44" i="3"/>
  <c r="JU42" i="3"/>
  <c r="JU40" i="3"/>
  <c r="JU38" i="3"/>
  <c r="JU36" i="3"/>
  <c r="JM48" i="3"/>
  <c r="JM44" i="3"/>
  <c r="JM40" i="3"/>
  <c r="JM36" i="3"/>
  <c r="JM34" i="3"/>
  <c r="JM46" i="3"/>
  <c r="JM42" i="3"/>
  <c r="JM38" i="3"/>
  <c r="Q52" i="3"/>
  <c r="AD70" i="3"/>
  <c r="AD66" i="3"/>
  <c r="AD62" i="3"/>
  <c r="AD60" i="3"/>
  <c r="AD48" i="3"/>
  <c r="AD44" i="3"/>
  <c r="AD40" i="3"/>
  <c r="AD36" i="3"/>
  <c r="AD68" i="3"/>
  <c r="AD64" i="3"/>
  <c r="AD58" i="3"/>
  <c r="AD56" i="3"/>
  <c r="AD46" i="3"/>
  <c r="AD42" i="3"/>
  <c r="AD38" i="3"/>
  <c r="H52" i="3"/>
  <c r="GU40" i="3"/>
  <c r="GU60" i="3"/>
  <c r="GU68" i="3"/>
  <c r="GU70" i="3"/>
  <c r="GU42" i="3"/>
  <c r="GU58" i="3"/>
  <c r="GU64" i="3"/>
  <c r="GU66" i="3"/>
  <c r="GU56" i="3"/>
  <c r="GU38" i="3"/>
  <c r="GU44" i="3"/>
  <c r="GU62" i="3"/>
  <c r="GU36" i="3"/>
  <c r="GU46" i="3"/>
  <c r="GU48" i="3"/>
  <c r="BD48" i="3"/>
  <c r="BD44" i="3"/>
  <c r="BD40" i="3"/>
  <c r="BD36" i="3"/>
  <c r="BD46" i="3"/>
  <c r="BD42" i="3"/>
  <c r="BD38" i="3"/>
  <c r="BD34" i="3"/>
  <c r="BF48" i="3"/>
  <c r="BF44" i="3"/>
  <c r="BF40" i="3"/>
  <c r="BF36" i="3"/>
  <c r="BF46" i="3"/>
  <c r="BF42" i="3"/>
  <c r="BF38" i="3"/>
  <c r="BF34" i="3"/>
  <c r="BW48" i="3"/>
  <c r="BW44" i="3"/>
  <c r="BW40" i="3"/>
  <c r="BW36" i="3"/>
  <c r="BW46" i="3"/>
  <c r="BW42" i="3"/>
  <c r="BW38" i="3"/>
  <c r="BW34" i="3"/>
  <c r="JL34" i="3"/>
  <c r="JL46" i="3"/>
  <c r="FB46" i="1" s="1"/>
  <c r="JL40" i="3"/>
  <c r="FB40" i="1" s="1"/>
  <c r="JL36" i="3"/>
  <c r="FB36" i="1" s="1"/>
  <c r="JL48" i="3"/>
  <c r="FB48" i="1" s="1"/>
  <c r="JL44" i="3"/>
  <c r="FB44" i="1" s="1"/>
  <c r="JL42" i="3"/>
  <c r="FB42" i="1" s="1"/>
  <c r="JL38" i="3"/>
  <c r="FB38" i="1" s="1"/>
  <c r="MO48" i="3"/>
  <c r="MP48" i="3" s="1"/>
  <c r="JS48" i="3"/>
  <c r="MS46" i="3"/>
  <c r="MT46" i="3" s="1"/>
  <c r="KC46" i="3"/>
  <c r="MO44" i="3"/>
  <c r="JS44" i="3"/>
  <c r="MO42" i="3"/>
  <c r="JS42" i="3"/>
  <c r="MS40" i="3"/>
  <c r="KC40" i="3"/>
  <c r="MO38" i="3"/>
  <c r="JS38" i="3"/>
  <c r="MS36" i="3"/>
  <c r="KC36" i="3"/>
  <c r="MS48" i="3"/>
  <c r="MT48" i="3" s="1"/>
  <c r="KC48" i="3"/>
  <c r="MO46" i="3"/>
  <c r="MP46" i="3" s="1"/>
  <c r="JS46" i="3"/>
  <c r="MS44" i="3"/>
  <c r="KC44" i="3"/>
  <c r="MS42" i="3"/>
  <c r="KC42" i="3"/>
  <c r="MO40" i="3"/>
  <c r="JS40" i="3"/>
  <c r="MS38" i="3"/>
  <c r="KC38" i="3"/>
  <c r="MO36" i="3"/>
  <c r="JS36" i="3"/>
  <c r="CR34" i="1"/>
  <c r="DV34" i="1"/>
  <c r="MO34" i="3"/>
  <c r="IG34" i="1" s="1"/>
  <c r="KC34" i="3"/>
  <c r="FN34" i="1" s="1"/>
  <c r="MS34" i="3"/>
  <c r="IM34" i="1" s="1"/>
  <c r="DA34" i="1"/>
  <c r="DD34" i="1"/>
  <c r="BO34" i="3"/>
  <c r="AT34" i="1"/>
  <c r="JS34" i="3"/>
  <c r="AB34" i="3"/>
  <c r="IC34" i="3"/>
  <c r="NB34" i="3"/>
  <c r="AL34" i="1"/>
  <c r="NG18" i="11" l="1"/>
  <c r="NH18" i="11" s="1"/>
  <c r="NC18" i="11"/>
  <c r="ND18" i="11" s="1"/>
  <c r="CJ152" i="3"/>
  <c r="CK152" i="3" s="1"/>
  <c r="CJ120" i="3"/>
  <c r="CK120" i="3" s="1"/>
  <c r="P48" i="3"/>
  <c r="CJ140" i="3"/>
  <c r="CK140" i="3" s="1"/>
  <c r="CJ144" i="3"/>
  <c r="CK144" i="3" s="1"/>
  <c r="MX34" i="3"/>
  <c r="AN58" i="3"/>
  <c r="AN68" i="3"/>
  <c r="AN40" i="3"/>
  <c r="CJ122" i="3"/>
  <c r="CK122" i="3" s="1"/>
  <c r="CJ130" i="3"/>
  <c r="CK130" i="3" s="1"/>
  <c r="AN42" i="3"/>
  <c r="AN56" i="3"/>
  <c r="AN60" i="3"/>
  <c r="AN66" i="3"/>
  <c r="CJ126" i="3"/>
  <c r="CK126" i="3" s="1"/>
  <c r="CJ118" i="3"/>
  <c r="CK118" i="3" s="1"/>
  <c r="CJ124" i="3"/>
  <c r="CK124" i="3" s="1"/>
  <c r="CJ128" i="3"/>
  <c r="CK128" i="3" s="1"/>
  <c r="CJ116" i="3"/>
  <c r="CK116" i="3" s="1"/>
  <c r="CJ138" i="3"/>
  <c r="CK138" i="3" s="1"/>
  <c r="CJ142" i="3"/>
  <c r="CK142" i="3" s="1"/>
  <c r="CJ146" i="3"/>
  <c r="CK146" i="3" s="1"/>
  <c r="AN48" i="3"/>
  <c r="MP146" i="3"/>
  <c r="MQ146" i="3" s="1"/>
  <c r="QQ146" i="3" s="1"/>
  <c r="IG146" i="1"/>
  <c r="MP118" i="3"/>
  <c r="MQ118" i="3" s="1"/>
  <c r="QQ118" i="3" s="1"/>
  <c r="IG118" i="1"/>
  <c r="IG116" i="1"/>
  <c r="MP116" i="3"/>
  <c r="MQ116" i="3" s="1"/>
  <c r="QQ116" i="3" s="1"/>
  <c r="AN64" i="3"/>
  <c r="CJ148" i="3"/>
  <c r="CK148" i="3" s="1"/>
  <c r="AN36" i="3"/>
  <c r="AN44" i="3"/>
  <c r="AN34" i="3"/>
  <c r="BG34" i="3"/>
  <c r="BG42" i="3"/>
  <c r="BG36" i="3"/>
  <c r="BG44" i="3"/>
  <c r="BG38" i="3"/>
  <c r="BG46" i="3"/>
  <c r="BG40" i="3"/>
  <c r="BG48" i="3"/>
  <c r="AN38" i="3"/>
  <c r="AN46" i="3"/>
  <c r="AN62" i="3"/>
  <c r="AN70" i="3"/>
  <c r="MX38" i="3"/>
  <c r="IS38" i="1"/>
  <c r="MT38" i="3"/>
  <c r="IM38" i="1"/>
  <c r="MP38" i="3"/>
  <c r="IG38" i="1"/>
  <c r="JY34" i="3"/>
  <c r="JY36" i="3"/>
  <c r="JY40" i="3"/>
  <c r="JY46" i="3"/>
  <c r="JY38" i="3"/>
  <c r="JY42" i="3"/>
  <c r="JY44" i="3"/>
  <c r="JY48" i="3"/>
  <c r="IS120" i="1"/>
  <c r="MX120" i="3"/>
  <c r="MY120" i="3" s="1"/>
  <c r="MY156" i="3" s="1"/>
  <c r="M58" i="6" s="1"/>
  <c r="O58" i="6" s="1"/>
  <c r="KH34" i="3"/>
  <c r="P138" i="3"/>
  <c r="P152" i="3"/>
  <c r="P150" i="3"/>
  <c r="P148" i="3"/>
  <c r="P146" i="3"/>
  <c r="P144" i="3"/>
  <c r="P142" i="3"/>
  <c r="P140" i="3"/>
  <c r="P130" i="3"/>
  <c r="P128" i="3"/>
  <c r="P124" i="3"/>
  <c r="P122" i="3"/>
  <c r="P116" i="3"/>
  <c r="P126" i="3"/>
  <c r="P120" i="3"/>
  <c r="P118" i="3"/>
  <c r="DC138" i="3"/>
  <c r="DD138" i="3" s="1"/>
  <c r="DG138" i="3" s="1"/>
  <c r="DC152" i="3"/>
  <c r="DD152" i="3" s="1"/>
  <c r="DG152" i="3" s="1"/>
  <c r="DC150" i="3"/>
  <c r="DD150" i="3" s="1"/>
  <c r="DG150" i="3" s="1"/>
  <c r="DC148" i="3"/>
  <c r="DC146" i="3"/>
  <c r="DC144" i="3"/>
  <c r="DC142" i="3"/>
  <c r="DC140" i="3"/>
  <c r="DC130" i="3"/>
  <c r="DD130" i="3" s="1"/>
  <c r="DG130" i="3" s="1"/>
  <c r="DC120" i="3"/>
  <c r="DC124" i="3"/>
  <c r="DC122" i="3"/>
  <c r="DC126" i="3"/>
  <c r="DC128" i="3"/>
  <c r="DD128" i="3" s="1"/>
  <c r="DG128" i="3" s="1"/>
  <c r="DC118" i="3"/>
  <c r="DC116" i="3"/>
  <c r="KL34" i="3"/>
  <c r="KM34" i="3" s="1"/>
  <c r="GF34" i="1" s="1"/>
  <c r="G110" i="3"/>
  <c r="I110" i="3" s="1"/>
  <c r="P44" i="3"/>
  <c r="CJ46" i="3"/>
  <c r="MP36" i="3"/>
  <c r="IG36" i="1"/>
  <c r="MT42" i="3"/>
  <c r="IM42" i="1"/>
  <c r="MT40" i="3"/>
  <c r="IM40" i="1"/>
  <c r="MP42" i="3"/>
  <c r="IG42" i="1"/>
  <c r="MP44" i="3"/>
  <c r="IG44" i="1"/>
  <c r="MX40" i="3"/>
  <c r="IS40" i="1"/>
  <c r="MP40" i="3"/>
  <c r="IG40" i="1"/>
  <c r="MT44" i="3"/>
  <c r="IM44" i="1"/>
  <c r="MT36" i="3"/>
  <c r="IM36" i="1"/>
  <c r="MX44" i="3"/>
  <c r="IS44" i="1"/>
  <c r="MX36" i="3"/>
  <c r="IS36" i="1"/>
  <c r="MX42" i="3"/>
  <c r="IS42" i="1"/>
  <c r="MP70" i="3"/>
  <c r="MQ70" i="3" s="1"/>
  <c r="QQ70" i="3" s="1"/>
  <c r="IG70" i="1"/>
  <c r="MT70" i="3"/>
  <c r="MU70" i="3" s="1"/>
  <c r="IM70" i="1"/>
  <c r="JN70" i="3"/>
  <c r="JO70" i="3" s="1"/>
  <c r="JP70" i="3" s="1"/>
  <c r="FB70" i="1"/>
  <c r="JZ70" i="3"/>
  <c r="KA70" i="3" s="1"/>
  <c r="FH70" i="1"/>
  <c r="KD70" i="3"/>
  <c r="KE70" i="3" s="1"/>
  <c r="FN70" i="1"/>
  <c r="KL70" i="3"/>
  <c r="KM70" i="3" s="1"/>
  <c r="GF70" i="1" s="1"/>
  <c r="FZ70" i="1"/>
  <c r="KH70" i="3"/>
  <c r="KI70" i="3" s="1"/>
  <c r="FT70" i="1"/>
  <c r="MP68" i="3"/>
  <c r="MQ68" i="3" s="1"/>
  <c r="QQ68" i="3" s="1"/>
  <c r="IG68" i="1"/>
  <c r="MT68" i="3"/>
  <c r="MU68" i="3" s="1"/>
  <c r="IM68" i="1"/>
  <c r="JN68" i="3"/>
  <c r="JO68" i="3" s="1"/>
  <c r="JP68" i="3" s="1"/>
  <c r="FB68" i="1"/>
  <c r="JZ68" i="3"/>
  <c r="KA68" i="3" s="1"/>
  <c r="FH68" i="1"/>
  <c r="KL68" i="3"/>
  <c r="KM68" i="3" s="1"/>
  <c r="GF68" i="1" s="1"/>
  <c r="FZ68" i="1"/>
  <c r="KD68" i="3"/>
  <c r="KE68" i="3" s="1"/>
  <c r="FN68" i="1"/>
  <c r="KH68" i="3"/>
  <c r="KI68" i="3" s="1"/>
  <c r="FT68" i="1"/>
  <c r="MP66" i="3"/>
  <c r="MQ66" i="3" s="1"/>
  <c r="QQ66" i="3" s="1"/>
  <c r="IG66" i="1"/>
  <c r="MT66" i="3"/>
  <c r="MU66" i="3" s="1"/>
  <c r="IM66" i="1"/>
  <c r="JZ66" i="3"/>
  <c r="KA66" i="3" s="1"/>
  <c r="FH66" i="1"/>
  <c r="KL66" i="3"/>
  <c r="KM66" i="3" s="1"/>
  <c r="GF66" i="1" s="1"/>
  <c r="FZ66" i="1"/>
  <c r="KH66" i="3"/>
  <c r="KI66" i="3" s="1"/>
  <c r="FT66" i="1"/>
  <c r="JN66" i="3"/>
  <c r="JO66" i="3" s="1"/>
  <c r="JP66" i="3" s="1"/>
  <c r="FB66" i="1"/>
  <c r="KD66" i="3"/>
  <c r="KE66" i="3" s="1"/>
  <c r="FN66" i="1"/>
  <c r="MP64" i="3"/>
  <c r="MQ64" i="3" s="1"/>
  <c r="QQ64" i="3" s="1"/>
  <c r="IG64" i="1"/>
  <c r="MT64" i="3"/>
  <c r="MU64" i="3" s="1"/>
  <c r="IM64" i="1"/>
  <c r="JN64" i="3"/>
  <c r="JO64" i="3" s="1"/>
  <c r="JP64" i="3" s="1"/>
  <c r="FB64" i="1"/>
  <c r="KD64" i="3"/>
  <c r="KE64" i="3" s="1"/>
  <c r="FN64" i="1"/>
  <c r="KL64" i="3"/>
  <c r="KM64" i="3" s="1"/>
  <c r="GF64" i="1" s="1"/>
  <c r="FZ64" i="1"/>
  <c r="JZ64" i="3"/>
  <c r="KA64" i="3" s="1"/>
  <c r="FH64" i="1"/>
  <c r="KH64" i="3"/>
  <c r="KI64" i="3" s="1"/>
  <c r="FT64" i="1"/>
  <c r="MP62" i="3"/>
  <c r="MQ62" i="3" s="1"/>
  <c r="QQ62" i="3" s="1"/>
  <c r="IG62" i="1"/>
  <c r="MT62" i="3"/>
  <c r="MU62" i="3" s="1"/>
  <c r="IM62" i="1"/>
  <c r="JN62" i="3"/>
  <c r="JO62" i="3" s="1"/>
  <c r="JP62" i="3" s="1"/>
  <c r="FB62" i="1"/>
  <c r="JZ62" i="3"/>
  <c r="KA62" i="3" s="1"/>
  <c r="FH62" i="1"/>
  <c r="KH62" i="3"/>
  <c r="KI62" i="3" s="1"/>
  <c r="FT62" i="1"/>
  <c r="KD62" i="3"/>
  <c r="KE62" i="3" s="1"/>
  <c r="FN62" i="1"/>
  <c r="KL62" i="3"/>
  <c r="KM62" i="3" s="1"/>
  <c r="GF62" i="1" s="1"/>
  <c r="FZ62" i="1"/>
  <c r="MT60" i="3"/>
  <c r="MU60" i="3" s="1"/>
  <c r="IM60" i="1"/>
  <c r="MP60" i="3"/>
  <c r="MQ60" i="3" s="1"/>
  <c r="QQ60" i="3" s="1"/>
  <c r="IG60" i="1"/>
  <c r="JN60" i="3"/>
  <c r="JO60" i="3" s="1"/>
  <c r="JP60" i="3" s="1"/>
  <c r="FB60" i="1"/>
  <c r="JZ60" i="3"/>
  <c r="KA60" i="3" s="1"/>
  <c r="FH60" i="1"/>
  <c r="KH60" i="3"/>
  <c r="KI60" i="3" s="1"/>
  <c r="FT60" i="1"/>
  <c r="KD60" i="3"/>
  <c r="KE60" i="3" s="1"/>
  <c r="FN60" i="1"/>
  <c r="KL60" i="3"/>
  <c r="KM60" i="3" s="1"/>
  <c r="GF60" i="1" s="1"/>
  <c r="FZ60" i="1"/>
  <c r="MP58" i="3"/>
  <c r="MQ58" i="3" s="1"/>
  <c r="QQ58" i="3" s="1"/>
  <c r="IG58" i="1"/>
  <c r="MT58" i="3"/>
  <c r="MU58" i="3" s="1"/>
  <c r="IM58" i="1"/>
  <c r="JZ58" i="3"/>
  <c r="KA58" i="3" s="1"/>
  <c r="FH58" i="1"/>
  <c r="JN58" i="3"/>
  <c r="JO58" i="3" s="1"/>
  <c r="JP58" i="3" s="1"/>
  <c r="FB58" i="1"/>
  <c r="KD58" i="3"/>
  <c r="KE58" i="3" s="1"/>
  <c r="FN58" i="1"/>
  <c r="KL58" i="3"/>
  <c r="KM58" i="3" s="1"/>
  <c r="GF58" i="1" s="1"/>
  <c r="FZ58" i="1"/>
  <c r="KH58" i="3"/>
  <c r="KI58" i="3" s="1"/>
  <c r="FT58" i="1"/>
  <c r="KN70" i="3"/>
  <c r="KO70" i="3" s="1"/>
  <c r="MP56" i="3"/>
  <c r="MQ56" i="3" s="1"/>
  <c r="QQ56" i="3" s="1"/>
  <c r="IG56" i="1"/>
  <c r="MT56" i="3"/>
  <c r="MU56" i="3" s="1"/>
  <c r="IM56" i="1"/>
  <c r="JZ56" i="3"/>
  <c r="KA56" i="3" s="1"/>
  <c r="FH56" i="1"/>
  <c r="KD56" i="3"/>
  <c r="KE56" i="3" s="1"/>
  <c r="FN56" i="1"/>
  <c r="JN56" i="3"/>
  <c r="JO56" i="3" s="1"/>
  <c r="JP56" i="3" s="1"/>
  <c r="FB56" i="1"/>
  <c r="KL56" i="3"/>
  <c r="KM56" i="3" s="1"/>
  <c r="GF56" i="1" s="1"/>
  <c r="FZ56" i="1"/>
  <c r="KH56" i="3"/>
  <c r="KI56" i="3" s="1"/>
  <c r="FT56" i="1"/>
  <c r="KD48" i="3"/>
  <c r="FN48" i="1"/>
  <c r="KL48" i="3"/>
  <c r="KM48" i="3" s="1"/>
  <c r="KN48" i="3" s="1"/>
  <c r="FZ48" i="1"/>
  <c r="KH48" i="3"/>
  <c r="FT48" i="1"/>
  <c r="KD46" i="3"/>
  <c r="FN46" i="1"/>
  <c r="KL46" i="3"/>
  <c r="KM46" i="3" s="1"/>
  <c r="KN46" i="3" s="1"/>
  <c r="FZ46" i="1"/>
  <c r="KH46" i="3"/>
  <c r="FT46" i="1"/>
  <c r="KL44" i="3"/>
  <c r="KM44" i="3" s="1"/>
  <c r="GF44" i="1" s="1"/>
  <c r="FZ44" i="1"/>
  <c r="KH44" i="3"/>
  <c r="FT44" i="1"/>
  <c r="KD44" i="3"/>
  <c r="FN44" i="1"/>
  <c r="KD42" i="3"/>
  <c r="FN42" i="1"/>
  <c r="KH42" i="3"/>
  <c r="FT42" i="1"/>
  <c r="KL42" i="3"/>
  <c r="KM42" i="3" s="1"/>
  <c r="KN42" i="3" s="1"/>
  <c r="FZ42" i="1"/>
  <c r="KD40" i="3"/>
  <c r="FN40" i="1"/>
  <c r="KH40" i="3"/>
  <c r="FT40" i="1"/>
  <c r="KL40" i="3"/>
  <c r="KM40" i="3" s="1"/>
  <c r="KN40" i="3" s="1"/>
  <c r="FZ40" i="1"/>
  <c r="KL38" i="3"/>
  <c r="KM38" i="3" s="1"/>
  <c r="KN38" i="3" s="1"/>
  <c r="FZ38" i="1"/>
  <c r="KH38" i="3"/>
  <c r="FT38" i="1"/>
  <c r="KD38" i="3"/>
  <c r="FN38" i="1"/>
  <c r="KL36" i="3"/>
  <c r="KM36" i="3" s="1"/>
  <c r="KN36" i="3" s="1"/>
  <c r="FZ36" i="1"/>
  <c r="KD36" i="3"/>
  <c r="FN36" i="1"/>
  <c r="KH36" i="3"/>
  <c r="FT36" i="1"/>
  <c r="GF46" i="1"/>
  <c r="CJ34" i="3"/>
  <c r="CJ44" i="3"/>
  <c r="P46" i="3"/>
  <c r="CJ38" i="3"/>
  <c r="CJ40" i="3"/>
  <c r="P38" i="3"/>
  <c r="P40" i="3"/>
  <c r="CJ36" i="3"/>
  <c r="CJ42" i="3"/>
  <c r="CJ48" i="3"/>
  <c r="P34" i="3"/>
  <c r="P42" i="3"/>
  <c r="P36" i="3"/>
  <c r="AF38" i="3"/>
  <c r="AF46" i="3"/>
  <c r="AF40" i="3"/>
  <c r="AF48" i="3"/>
  <c r="AF34" i="3"/>
  <c r="AF42" i="3"/>
  <c r="AF36" i="3"/>
  <c r="AF44" i="3"/>
  <c r="KR34" i="3"/>
  <c r="JN42" i="3"/>
  <c r="JO42" i="3" s="1"/>
  <c r="JN48" i="3"/>
  <c r="JO48" i="3" s="1"/>
  <c r="JN40" i="3"/>
  <c r="JO40" i="3" s="1"/>
  <c r="JN34" i="3"/>
  <c r="JO34" i="3" s="1"/>
  <c r="JN38" i="3"/>
  <c r="JO38" i="3" s="1"/>
  <c r="JN44" i="3"/>
  <c r="JO44" i="3" s="1"/>
  <c r="JN36" i="3"/>
  <c r="JO36" i="3" s="1"/>
  <c r="JN46" i="3"/>
  <c r="JO46" i="3" s="1"/>
  <c r="FB34" i="1"/>
  <c r="DC48" i="3"/>
  <c r="DD48" i="3" s="1"/>
  <c r="DC34" i="3"/>
  <c r="CZ34" i="1" s="1"/>
  <c r="DC38" i="3"/>
  <c r="DC46" i="3"/>
  <c r="DD46" i="3" s="1"/>
  <c r="DC40" i="3"/>
  <c r="DC42" i="3"/>
  <c r="DC36" i="3"/>
  <c r="DC44" i="3"/>
  <c r="DC70" i="3"/>
  <c r="DC58" i="3"/>
  <c r="DC66" i="3"/>
  <c r="DC60" i="3"/>
  <c r="DC64" i="3"/>
  <c r="DC56" i="3"/>
  <c r="DC62" i="3"/>
  <c r="DC68" i="3"/>
  <c r="P68" i="3"/>
  <c r="P62" i="3"/>
  <c r="P64" i="3"/>
  <c r="P70" i="3"/>
  <c r="P66" i="3"/>
  <c r="P56" i="3"/>
  <c r="P58" i="3"/>
  <c r="P60" i="3"/>
  <c r="CJ66" i="3"/>
  <c r="CK66" i="3" s="1"/>
  <c r="CJ70" i="3"/>
  <c r="CK70" i="3" s="1"/>
  <c r="CJ58" i="3"/>
  <c r="CK58" i="3" s="1"/>
  <c r="CJ56" i="3"/>
  <c r="CK56" i="3" s="1"/>
  <c r="CJ60" i="3"/>
  <c r="CK60" i="3" s="1"/>
  <c r="CJ62" i="3"/>
  <c r="CK62" i="3" s="1"/>
  <c r="CJ68" i="3"/>
  <c r="CK68" i="3" s="1"/>
  <c r="CJ64" i="3"/>
  <c r="CK64" i="3" s="1"/>
  <c r="KD34" i="3"/>
  <c r="MT34" i="3"/>
  <c r="KR38" i="3"/>
  <c r="KR42" i="3"/>
  <c r="KR46" i="3"/>
  <c r="KR36" i="3"/>
  <c r="KR40" i="3"/>
  <c r="KR44" i="3"/>
  <c r="KR48" i="3"/>
  <c r="NC34" i="3"/>
  <c r="JE34" i="1" s="1"/>
  <c r="MP34" i="3"/>
  <c r="RD18" i="11" l="1"/>
  <c r="BO18" i="11"/>
  <c r="N97" i="1"/>
  <c r="P153" i="6" s="1"/>
  <c r="KN56" i="3"/>
  <c r="KO56" i="3" s="1"/>
  <c r="CK156" i="3"/>
  <c r="DD148" i="3"/>
  <c r="DG148" i="3" s="1"/>
  <c r="CZ148" i="1"/>
  <c r="DD126" i="3"/>
  <c r="DG126" i="3" s="1"/>
  <c r="CZ126" i="1"/>
  <c r="QQ156" i="3"/>
  <c r="M46" i="6" s="1"/>
  <c r="MQ156" i="3"/>
  <c r="M56" i="6" s="1"/>
  <c r="O56" i="6" s="1"/>
  <c r="GF48" i="1"/>
  <c r="DD116" i="3"/>
  <c r="DE116" i="3" s="1"/>
  <c r="DH116" i="3" s="1"/>
  <c r="CZ116" i="1"/>
  <c r="DD140" i="3"/>
  <c r="DG140" i="3" s="1"/>
  <c r="CZ140" i="1"/>
  <c r="DD146" i="3"/>
  <c r="DJ146" i="3" s="1"/>
  <c r="CZ146" i="1"/>
  <c r="DD142" i="3"/>
  <c r="DG142" i="3" s="1"/>
  <c r="CZ142" i="1"/>
  <c r="DD122" i="3"/>
  <c r="DG122" i="3" s="1"/>
  <c r="CZ122" i="1"/>
  <c r="DD144" i="3"/>
  <c r="DG144" i="3" s="1"/>
  <c r="CZ144" i="1"/>
  <c r="MI48" i="3"/>
  <c r="MJ48" i="3" s="1"/>
  <c r="DG48" i="3"/>
  <c r="MI46" i="3"/>
  <c r="MJ46" i="3" s="1"/>
  <c r="DG46" i="3"/>
  <c r="DD38" i="3"/>
  <c r="MI38" i="3" s="1"/>
  <c r="CZ38" i="1"/>
  <c r="DD118" i="3"/>
  <c r="DG118" i="3" s="1"/>
  <c r="CZ118" i="1"/>
  <c r="DD124" i="3"/>
  <c r="MI124" i="3" s="1"/>
  <c r="CZ124" i="1"/>
  <c r="MI128" i="3"/>
  <c r="MJ128" i="3" s="1"/>
  <c r="MK128" i="3" s="1"/>
  <c r="DJ128" i="3"/>
  <c r="DE128" i="3"/>
  <c r="DH128" i="3" s="1"/>
  <c r="DD120" i="3"/>
  <c r="DG120" i="3" s="1"/>
  <c r="CZ120" i="1"/>
  <c r="DJ152" i="3"/>
  <c r="DE152" i="3"/>
  <c r="DH152" i="3" s="1"/>
  <c r="MI152" i="3"/>
  <c r="MJ152" i="3" s="1"/>
  <c r="MK152" i="3" s="1"/>
  <c r="DJ130" i="3"/>
  <c r="DE130" i="3"/>
  <c r="DH130" i="3" s="1"/>
  <c r="MI130" i="3"/>
  <c r="MJ130" i="3" s="1"/>
  <c r="MK130" i="3" s="1"/>
  <c r="MI150" i="3"/>
  <c r="MJ150" i="3" s="1"/>
  <c r="MK150" i="3" s="1"/>
  <c r="DJ150" i="3"/>
  <c r="DE150" i="3"/>
  <c r="DH150" i="3" s="1"/>
  <c r="MI138" i="3"/>
  <c r="MJ138" i="3" s="1"/>
  <c r="MK138" i="3" s="1"/>
  <c r="DJ138" i="3"/>
  <c r="DE138" i="3"/>
  <c r="DH138" i="3" s="1"/>
  <c r="J110" i="3"/>
  <c r="GF38" i="1"/>
  <c r="KN66" i="3"/>
  <c r="KO66" i="3" s="1"/>
  <c r="KN68" i="3"/>
  <c r="KO68" i="3" s="1"/>
  <c r="GF42" i="1"/>
  <c r="KN64" i="3"/>
  <c r="KO64" i="3" s="1"/>
  <c r="DJ46" i="3"/>
  <c r="EQ46" i="3" s="1"/>
  <c r="GF36" i="1"/>
  <c r="GF40" i="1"/>
  <c r="KN44" i="3"/>
  <c r="KN62" i="3"/>
  <c r="KO62" i="3" s="1"/>
  <c r="DD44" i="3"/>
  <c r="MI44" i="3" s="1"/>
  <c r="CZ44" i="1"/>
  <c r="DD42" i="3"/>
  <c r="CZ42" i="1"/>
  <c r="DD36" i="3"/>
  <c r="DJ36" i="3" s="1"/>
  <c r="EW36" i="3" s="1"/>
  <c r="CZ36" i="1"/>
  <c r="DD40" i="3"/>
  <c r="DJ40" i="3" s="1"/>
  <c r="CZ40" i="1"/>
  <c r="DJ44" i="3"/>
  <c r="EW44" i="3" s="1"/>
  <c r="KN58" i="3"/>
  <c r="KO58" i="3" s="1"/>
  <c r="KN60" i="3"/>
  <c r="KO60" i="3" s="1"/>
  <c r="DD70" i="3"/>
  <c r="DG70" i="3" s="1"/>
  <c r="CZ70" i="1"/>
  <c r="DD68" i="3"/>
  <c r="DG68" i="3" s="1"/>
  <c r="CZ68" i="1"/>
  <c r="DD66" i="3"/>
  <c r="DG66" i="3" s="1"/>
  <c r="CZ66" i="1"/>
  <c r="DD64" i="3"/>
  <c r="MI64" i="3" s="1"/>
  <c r="CZ64" i="1"/>
  <c r="DD62" i="3"/>
  <c r="DG62" i="3" s="1"/>
  <c r="CZ62" i="1"/>
  <c r="DD60" i="3"/>
  <c r="DG60" i="3" s="1"/>
  <c r="CZ60" i="1"/>
  <c r="DD58" i="3"/>
  <c r="DG58" i="3" s="1"/>
  <c r="CZ58" i="1"/>
  <c r="DD56" i="3"/>
  <c r="DG56" i="3" s="1"/>
  <c r="CZ56" i="1"/>
  <c r="JZ48" i="3"/>
  <c r="FH48" i="1"/>
  <c r="JZ46" i="3"/>
  <c r="FH46" i="1"/>
  <c r="JZ44" i="3"/>
  <c r="FH44" i="1"/>
  <c r="JZ42" i="3"/>
  <c r="FH42" i="1"/>
  <c r="JZ40" i="3"/>
  <c r="FH40" i="1"/>
  <c r="JZ38" i="3"/>
  <c r="FH38" i="1"/>
  <c r="JZ36" i="3"/>
  <c r="FH36" i="1"/>
  <c r="IA48" i="1"/>
  <c r="IA46" i="1"/>
  <c r="DD34" i="3"/>
  <c r="MI34" i="3" s="1"/>
  <c r="DJ48" i="3"/>
  <c r="EW48" i="3" s="1"/>
  <c r="MI68" i="3"/>
  <c r="JZ34" i="3"/>
  <c r="FH34" i="1"/>
  <c r="ND34" i="3"/>
  <c r="KN34" i="3"/>
  <c r="NG34" i="3"/>
  <c r="N99" i="1" l="1"/>
  <c r="P155" i="6" s="1"/>
  <c r="DE142" i="3"/>
  <c r="DH142" i="3" s="1"/>
  <c r="EW46" i="3"/>
  <c r="LU46" i="3" s="1"/>
  <c r="MI140" i="3"/>
  <c r="MJ140" i="3" s="1"/>
  <c r="MK140" i="3" s="1"/>
  <c r="DE64" i="3"/>
  <c r="DH64" i="3" s="1"/>
  <c r="DE126" i="3"/>
  <c r="DH126" i="3" s="1"/>
  <c r="DJ148" i="3"/>
  <c r="EW148" i="3" s="1"/>
  <c r="DE66" i="3"/>
  <c r="DH66" i="3" s="1"/>
  <c r="DE60" i="3"/>
  <c r="DH60" i="3" s="1"/>
  <c r="DE146" i="3"/>
  <c r="DH146" i="3" s="1"/>
  <c r="MI142" i="3"/>
  <c r="MJ142" i="3" s="1"/>
  <c r="MK142" i="3" s="1"/>
  <c r="DJ124" i="3"/>
  <c r="EW124" i="3" s="1"/>
  <c r="DJ118" i="3"/>
  <c r="ET118" i="3" s="1"/>
  <c r="DJ140" i="3"/>
  <c r="EQ140" i="3" s="1"/>
  <c r="ER140" i="3" s="1"/>
  <c r="ET46" i="3"/>
  <c r="LO46" i="3" s="1"/>
  <c r="DE70" i="3"/>
  <c r="DH70" i="3" s="1"/>
  <c r="MI66" i="3"/>
  <c r="MJ66" i="3" s="1"/>
  <c r="MK66" i="3" s="1"/>
  <c r="DE62" i="3"/>
  <c r="DH62" i="3" s="1"/>
  <c r="DJ68" i="3"/>
  <c r="ET68" i="3" s="1"/>
  <c r="MI148" i="3"/>
  <c r="MJ148" i="3" s="1"/>
  <c r="MK148" i="3" s="1"/>
  <c r="MI126" i="3"/>
  <c r="MJ126" i="3" s="1"/>
  <c r="MK126" i="3" s="1"/>
  <c r="DJ126" i="3"/>
  <c r="EQ126" i="3" s="1"/>
  <c r="ER126" i="3" s="1"/>
  <c r="DE148" i="3"/>
  <c r="DH148" i="3" s="1"/>
  <c r="DE144" i="3"/>
  <c r="DH144" i="3" s="1"/>
  <c r="MI62" i="3"/>
  <c r="MJ62" i="3" s="1"/>
  <c r="MK62" i="3" s="1"/>
  <c r="DJ70" i="3"/>
  <c r="EW70" i="3" s="1"/>
  <c r="MI70" i="3"/>
  <c r="MJ70" i="3" s="1"/>
  <c r="MK70" i="3" s="1"/>
  <c r="DJ66" i="3"/>
  <c r="ET66" i="3" s="1"/>
  <c r="DJ64" i="3"/>
  <c r="EQ64" i="3" s="1"/>
  <c r="ER64" i="3" s="1"/>
  <c r="DJ62" i="3"/>
  <c r="ET62" i="3" s="1"/>
  <c r="DE58" i="3"/>
  <c r="DH58" i="3" s="1"/>
  <c r="MI60" i="3"/>
  <c r="MJ60" i="3" s="1"/>
  <c r="MK60" i="3" s="1"/>
  <c r="DE68" i="3"/>
  <c r="DH68" i="3" s="1"/>
  <c r="MI146" i="3"/>
  <c r="MJ146" i="3" s="1"/>
  <c r="MK146" i="3" s="1"/>
  <c r="DJ142" i="3"/>
  <c r="ET142" i="3" s="1"/>
  <c r="DE140" i="3"/>
  <c r="DH140" i="3" s="1"/>
  <c r="IA148" i="1"/>
  <c r="IA126" i="1"/>
  <c r="O46" i="6"/>
  <c r="M48" i="6"/>
  <c r="O48" i="6" s="1"/>
  <c r="DE124" i="3"/>
  <c r="DH124" i="3" s="1"/>
  <c r="DE118" i="3"/>
  <c r="DH118" i="3" s="1"/>
  <c r="MI118" i="3"/>
  <c r="MJ118" i="3" s="1"/>
  <c r="MK118" i="3" s="1"/>
  <c r="DJ144" i="3"/>
  <c r="ET144" i="3" s="1"/>
  <c r="MI122" i="3"/>
  <c r="MJ122" i="3" s="1"/>
  <c r="MK122" i="3" s="1"/>
  <c r="DJ116" i="3"/>
  <c r="DG116" i="3"/>
  <c r="MI116" i="3"/>
  <c r="DG146" i="3"/>
  <c r="NH146" i="3"/>
  <c r="NG146" i="3"/>
  <c r="IA146" i="1"/>
  <c r="IA140" i="1"/>
  <c r="DG124" i="3"/>
  <c r="NG124" i="3"/>
  <c r="NH124" i="3"/>
  <c r="DG64" i="3"/>
  <c r="NG64" i="3"/>
  <c r="NH64" i="3"/>
  <c r="DJ58" i="3"/>
  <c r="EW58" i="3" s="1"/>
  <c r="MI58" i="3"/>
  <c r="MJ58" i="3" s="1"/>
  <c r="MK58" i="3" s="1"/>
  <c r="DJ60" i="3"/>
  <c r="EW60" i="3" s="1"/>
  <c r="DJ56" i="3"/>
  <c r="EW56" i="3" s="1"/>
  <c r="DE122" i="3"/>
  <c r="DH122" i="3" s="1"/>
  <c r="DJ122" i="3"/>
  <c r="EQ122" i="3" s="1"/>
  <c r="ER122" i="3" s="1"/>
  <c r="DG42" i="3"/>
  <c r="NG42" i="3"/>
  <c r="NH42" i="3"/>
  <c r="DJ34" i="3"/>
  <c r="ET34" i="3" s="1"/>
  <c r="EQ44" i="3"/>
  <c r="MI144" i="3"/>
  <c r="MJ144" i="3" s="1"/>
  <c r="MK144" i="3" s="1"/>
  <c r="DE56" i="3"/>
  <c r="DH56" i="3" s="1"/>
  <c r="MI56" i="3"/>
  <c r="MJ56" i="3" s="1"/>
  <c r="MK56" i="3" s="1"/>
  <c r="IA142" i="1"/>
  <c r="EQ40" i="3"/>
  <c r="ET40" i="3"/>
  <c r="LO40" i="3" s="1"/>
  <c r="ET36" i="3"/>
  <c r="LO36" i="3" s="1"/>
  <c r="EQ48" i="3"/>
  <c r="ET44" i="3"/>
  <c r="LO44" i="3" s="1"/>
  <c r="IA144" i="1"/>
  <c r="DJ38" i="3"/>
  <c r="DG38" i="3"/>
  <c r="NH34" i="3"/>
  <c r="NI34" i="3" s="1"/>
  <c r="JK34" i="1" s="1"/>
  <c r="DG34" i="3"/>
  <c r="MI40" i="3"/>
  <c r="DG40" i="3"/>
  <c r="MI36" i="3"/>
  <c r="DG36" i="3"/>
  <c r="DG44" i="3"/>
  <c r="MJ124" i="3"/>
  <c r="MK124" i="3" s="1"/>
  <c r="IA124" i="1"/>
  <c r="EW138" i="3"/>
  <c r="EQ138" i="3"/>
  <c r="ER138" i="3" s="1"/>
  <c r="ET138" i="3"/>
  <c r="ET148" i="3"/>
  <c r="MI120" i="3"/>
  <c r="DJ120" i="3"/>
  <c r="DE120" i="3"/>
  <c r="EW150" i="3"/>
  <c r="EQ150" i="3"/>
  <c r="ER150" i="3" s="1"/>
  <c r="ET150" i="3"/>
  <c r="ET146" i="3"/>
  <c r="EW146" i="3"/>
  <c r="EQ146" i="3"/>
  <c r="ER146" i="3" s="1"/>
  <c r="EQ130" i="3"/>
  <c r="ER130" i="3" s="1"/>
  <c r="ET130" i="3"/>
  <c r="EW130" i="3"/>
  <c r="ET126" i="3"/>
  <c r="EW152" i="3"/>
  <c r="ET152" i="3"/>
  <c r="EQ152" i="3"/>
  <c r="ER152" i="3" s="1"/>
  <c r="EW128" i="3"/>
  <c r="EQ128" i="3"/>
  <c r="ER128" i="3" s="1"/>
  <c r="ET128" i="3"/>
  <c r="DJ42" i="3"/>
  <c r="MI42" i="3"/>
  <c r="IA70" i="1"/>
  <c r="MJ68" i="3"/>
  <c r="MK68" i="3" s="1"/>
  <c r="IA68" i="1"/>
  <c r="IA66" i="1"/>
  <c r="MJ64" i="3"/>
  <c r="MK64" i="3" s="1"/>
  <c r="IA64" i="1"/>
  <c r="IA62" i="1"/>
  <c r="IA60" i="1"/>
  <c r="IA58" i="1"/>
  <c r="IA56" i="1"/>
  <c r="MJ44" i="3"/>
  <c r="IA44" i="1"/>
  <c r="MJ38" i="3"/>
  <c r="IA38" i="1"/>
  <c r="EQ36" i="3"/>
  <c r="EW40" i="3"/>
  <c r="LU40" i="3" s="1"/>
  <c r="ET48" i="3"/>
  <c r="LO48" i="3" s="1"/>
  <c r="LU36" i="3"/>
  <c r="LU44" i="3"/>
  <c r="LU48" i="3"/>
  <c r="MJ34" i="3"/>
  <c r="IA34" i="1"/>
  <c r="IA122" i="1" l="1"/>
  <c r="ET70" i="3"/>
  <c r="LO70" i="3" s="1"/>
  <c r="EQ56" i="3"/>
  <c r="ER56" i="3" s="1"/>
  <c r="EQ60" i="3"/>
  <c r="ER60" i="3" s="1"/>
  <c r="EW68" i="3"/>
  <c r="LU68" i="3" s="1"/>
  <c r="EW118" i="3"/>
  <c r="LU118" i="3" s="1"/>
  <c r="EW144" i="3"/>
  <c r="EX144" i="3" s="1"/>
  <c r="EW66" i="3"/>
  <c r="EX66" i="3" s="1"/>
  <c r="EW62" i="3"/>
  <c r="LU62" i="3" s="1"/>
  <c r="EQ70" i="3"/>
  <c r="ER70" i="3" s="1"/>
  <c r="EW126" i="3"/>
  <c r="EX126" i="3" s="1"/>
  <c r="IA118" i="1"/>
  <c r="EQ68" i="3"/>
  <c r="ER68" i="3" s="1"/>
  <c r="EQ118" i="3"/>
  <c r="ER118" i="3" s="1"/>
  <c r="ET58" i="3"/>
  <c r="LO58" i="3" s="1"/>
  <c r="EQ148" i="3"/>
  <c r="ER148" i="3" s="1"/>
  <c r="EQ58" i="3"/>
  <c r="ER58" i="3" s="1"/>
  <c r="EQ124" i="3"/>
  <c r="ER124" i="3" s="1"/>
  <c r="EQ34" i="3"/>
  <c r="ET64" i="3"/>
  <c r="EU64" i="3" s="1"/>
  <c r="ET140" i="3"/>
  <c r="EU140" i="3" s="1"/>
  <c r="EW34" i="3"/>
  <c r="LU34" i="3" s="1"/>
  <c r="EW64" i="3"/>
  <c r="EX64" i="3" s="1"/>
  <c r="ET122" i="3"/>
  <c r="LO122" i="3" s="1"/>
  <c r="ET124" i="3"/>
  <c r="EU124" i="3" s="1"/>
  <c r="EW142" i="3"/>
  <c r="LU142" i="3" s="1"/>
  <c r="EW140" i="3"/>
  <c r="LU140" i="3" s="1"/>
  <c r="ET56" i="3"/>
  <c r="LO56" i="3" s="1"/>
  <c r="EW122" i="3"/>
  <c r="EX122" i="3" s="1"/>
  <c r="EQ142" i="3"/>
  <c r="ER142" i="3" s="1"/>
  <c r="ET60" i="3"/>
  <c r="EU60" i="3" s="1"/>
  <c r="EQ62" i="3"/>
  <c r="ER62" i="3" s="1"/>
  <c r="EQ66" i="3"/>
  <c r="ER66" i="3" s="1"/>
  <c r="EQ144" i="3"/>
  <c r="ER144" i="3" s="1"/>
  <c r="MJ40" i="3"/>
  <c r="IA40" i="1"/>
  <c r="EW116" i="3"/>
  <c r="ET116" i="3"/>
  <c r="EQ116" i="3"/>
  <c r="ER116" i="3" s="1"/>
  <c r="IA116" i="1"/>
  <c r="MJ116" i="3"/>
  <c r="MK116" i="3" s="1"/>
  <c r="NI146" i="3"/>
  <c r="NI124" i="3"/>
  <c r="NI64" i="3"/>
  <c r="NJ64" i="3" s="1"/>
  <c r="NK64" i="3" s="1"/>
  <c r="NI42" i="3"/>
  <c r="NJ42" i="3" s="1"/>
  <c r="MJ36" i="3"/>
  <c r="IA36" i="1"/>
  <c r="ET38" i="3"/>
  <c r="EQ38" i="3"/>
  <c r="EW38" i="3"/>
  <c r="LU122" i="3"/>
  <c r="LO152" i="3"/>
  <c r="EU152" i="3"/>
  <c r="LO126" i="3"/>
  <c r="EU126" i="3"/>
  <c r="LU124" i="3"/>
  <c r="EX124" i="3"/>
  <c r="LO130" i="3"/>
  <c r="EU130" i="3"/>
  <c r="LO142" i="3"/>
  <c r="EU142" i="3"/>
  <c r="LU146" i="3"/>
  <c r="EX146" i="3"/>
  <c r="LO150" i="3"/>
  <c r="EU150" i="3"/>
  <c r="LU150" i="3"/>
  <c r="EX150" i="3"/>
  <c r="DH120" i="3"/>
  <c r="DH156" i="3" s="1"/>
  <c r="M14" i="6" s="1"/>
  <c r="O14" i="6" s="1"/>
  <c r="DE156" i="3"/>
  <c r="MJ120" i="3"/>
  <c r="MK120" i="3" s="1"/>
  <c r="IA120" i="1"/>
  <c r="LO144" i="3"/>
  <c r="EU144" i="3"/>
  <c r="LO148" i="3"/>
  <c r="EU148" i="3"/>
  <c r="LO138" i="3"/>
  <c r="EU138" i="3"/>
  <c r="LU138" i="3"/>
  <c r="EX138" i="3"/>
  <c r="LO128" i="3"/>
  <c r="EU128" i="3"/>
  <c r="LU128" i="3"/>
  <c r="EX128" i="3"/>
  <c r="LU152" i="3"/>
  <c r="EX152" i="3"/>
  <c r="LO118" i="3"/>
  <c r="EU118" i="3"/>
  <c r="LU130" i="3"/>
  <c r="EX130" i="3"/>
  <c r="LO146" i="3"/>
  <c r="EU146" i="3"/>
  <c r="EW120" i="3"/>
  <c r="EQ120" i="3"/>
  <c r="ER120" i="3" s="1"/>
  <c r="ET120" i="3"/>
  <c r="LU148" i="3"/>
  <c r="EX148" i="3"/>
  <c r="EW42" i="3"/>
  <c r="ET42" i="3"/>
  <c r="EQ42" i="3"/>
  <c r="MJ42" i="3"/>
  <c r="IA42" i="1"/>
  <c r="LU66" i="3"/>
  <c r="EU68" i="3"/>
  <c r="LO68" i="3"/>
  <c r="LU56" i="3"/>
  <c r="EX56" i="3"/>
  <c r="LU60" i="3"/>
  <c r="EX60" i="3"/>
  <c r="LU58" i="3"/>
  <c r="EX58" i="3"/>
  <c r="LO62" i="3"/>
  <c r="EU62" i="3"/>
  <c r="EU66" i="3"/>
  <c r="LO66" i="3"/>
  <c r="LU70" i="3"/>
  <c r="EX70" i="3"/>
  <c r="LO34" i="3"/>
  <c r="NJ34" i="3"/>
  <c r="EU70" i="3" l="1"/>
  <c r="LU144" i="3"/>
  <c r="LU126" i="3"/>
  <c r="EX68" i="3"/>
  <c r="EX62" i="3"/>
  <c r="LO140" i="3"/>
  <c r="MK156" i="3"/>
  <c r="LU64" i="3"/>
  <c r="EX118" i="3"/>
  <c r="EX140" i="3"/>
  <c r="LO124" i="3"/>
  <c r="EU58" i="3"/>
  <c r="LO64" i="3"/>
  <c r="LO60" i="3"/>
  <c r="EX142" i="3"/>
  <c r="EU122" i="3"/>
  <c r="EU56" i="3"/>
  <c r="ER156" i="3"/>
  <c r="JK64" i="1"/>
  <c r="LU116" i="3"/>
  <c r="EX116" i="3"/>
  <c r="LO116" i="3"/>
  <c r="EU116" i="3"/>
  <c r="JK42" i="1"/>
  <c r="NJ146" i="3"/>
  <c r="NK146" i="3" s="1"/>
  <c r="JK146" i="1"/>
  <c r="JK124" i="1"/>
  <c r="NJ124" i="3"/>
  <c r="NK124" i="3" s="1"/>
  <c r="LU38" i="3"/>
  <c r="LO38" i="3"/>
  <c r="LO120" i="3"/>
  <c r="EU120" i="3"/>
  <c r="LU120" i="3"/>
  <c r="EX120" i="3"/>
  <c r="LU42" i="3"/>
  <c r="LO42" i="3"/>
  <c r="DJ48" i="1"/>
  <c r="DJ46" i="1"/>
  <c r="EX156" i="3" l="1"/>
  <c r="EU156" i="3"/>
  <c r="NK156" i="3"/>
  <c r="M62" i="6" s="1"/>
  <c r="O62" i="6" s="1"/>
  <c r="QJ42" i="3"/>
  <c r="HO48" i="1" l="1"/>
  <c r="HO46" i="1"/>
  <c r="QJ62" i="3"/>
  <c r="QJ70" i="3"/>
  <c r="QJ48" i="3"/>
  <c r="QJ64" i="3"/>
  <c r="QJ56" i="3"/>
  <c r="QJ60" i="3"/>
  <c r="QJ58" i="3"/>
  <c r="QJ40" i="3"/>
  <c r="QJ46" i="3"/>
  <c r="EZ46" i="3"/>
  <c r="QJ66" i="3"/>
  <c r="QJ68" i="3"/>
  <c r="DJ70" i="1" l="1"/>
  <c r="DJ68" i="1"/>
  <c r="DJ56" i="1"/>
  <c r="EZ68" i="3"/>
  <c r="EZ48" i="3"/>
  <c r="FH48" i="3" s="1"/>
  <c r="FO48" i="3" s="1"/>
  <c r="GK48" i="3" s="1"/>
  <c r="EZ70" i="3"/>
  <c r="FH70" i="3" s="1"/>
  <c r="FI70" i="3" s="1"/>
  <c r="EZ36" i="3"/>
  <c r="FH36" i="3" s="1"/>
  <c r="FO36" i="3" s="1"/>
  <c r="GK36" i="3" s="1"/>
  <c r="EZ44" i="3"/>
  <c r="EZ62" i="3"/>
  <c r="FH62" i="3" s="1"/>
  <c r="FO62" i="3" s="1"/>
  <c r="GK62" i="3" s="1"/>
  <c r="EZ66" i="3"/>
  <c r="EZ58" i="3"/>
  <c r="FH58" i="3" s="1"/>
  <c r="EZ64" i="3"/>
  <c r="EZ60" i="3"/>
  <c r="FH60" i="3" s="1"/>
  <c r="FO70" i="3" l="1"/>
  <c r="GK70" i="3" s="1"/>
  <c r="FI62" i="3"/>
  <c r="EZ56" i="3"/>
  <c r="FH56" i="3" s="1"/>
  <c r="DP48" i="1"/>
  <c r="DP46" i="1"/>
  <c r="FO60" i="3"/>
  <c r="GK60" i="3" s="1"/>
  <c r="FI60" i="3"/>
  <c r="FO58" i="3"/>
  <c r="GK58" i="3" s="1"/>
  <c r="FI58" i="3"/>
  <c r="QH150" i="3" l="1"/>
  <c r="QH148" i="3"/>
  <c r="QH46" i="3"/>
  <c r="FI56" i="3"/>
  <c r="FO56" i="3"/>
  <c r="GK56" i="3" s="1"/>
  <c r="FC66" i="3" l="1"/>
  <c r="HO68" i="1"/>
  <c r="HO56" i="1"/>
  <c r="HO70" i="1"/>
  <c r="QF152" i="3" l="1"/>
  <c r="QG48" i="3"/>
  <c r="DP56" i="1"/>
  <c r="DP68" i="1"/>
  <c r="DP70" i="1"/>
  <c r="QH68" i="3"/>
  <c r="QF126" i="3" l="1"/>
  <c r="QG130" i="3"/>
  <c r="FC34" i="3"/>
  <c r="QJ128" i="3"/>
  <c r="DY46" i="1"/>
  <c r="DY48" i="1"/>
  <c r="QJ44" i="3" l="1"/>
  <c r="QI118" i="3"/>
  <c r="QI156" i="3" s="1"/>
  <c r="QG116" i="3"/>
  <c r="QG156" i="3" s="1"/>
  <c r="QG36" i="3"/>
  <c r="QG34" i="3"/>
  <c r="QK34" i="3"/>
  <c r="QI34" i="3"/>
  <c r="QJ34" i="3"/>
  <c r="DY56" i="1"/>
  <c r="DY70" i="1"/>
  <c r="DY68" i="1"/>
  <c r="FB68" i="3" l="1"/>
  <c r="FB34" i="3"/>
  <c r="N204" i="1" l="1"/>
  <c r="I194" i="6" s="1"/>
  <c r="N206" i="1" l="1"/>
  <c r="M194" i="6" s="1"/>
  <c r="K194" i="6"/>
  <c r="Q194" i="6" l="1"/>
  <c r="S194" i="6" s="1"/>
  <c r="M198" i="6"/>
  <c r="M290" i="6" s="1"/>
  <c r="O290" i="6" s="1"/>
  <c r="O194" i="6"/>
  <c r="O198" i="6" l="1"/>
  <c r="QG64" i="3"/>
  <c r="QG74" i="3" s="1"/>
  <c r="QJ118" i="3"/>
  <c r="QF44" i="3"/>
  <c r="QE60" i="3"/>
  <c r="Q167" i="1"/>
  <c r="Q168" i="1"/>
  <c r="Q165" i="1"/>
  <c r="N50" i="3"/>
  <c r="M42" i="3" l="1"/>
  <c r="M34" i="3"/>
  <c r="M40" i="3"/>
  <c r="M48" i="3"/>
  <c r="M38" i="3"/>
  <c r="M46" i="3"/>
  <c r="M36" i="3"/>
  <c r="M44" i="3"/>
  <c r="Z50" i="1"/>
  <c r="PP36" i="3" l="1"/>
  <c r="CK38" i="3"/>
  <c r="CK40" i="3"/>
  <c r="CK46" i="3"/>
  <c r="CK42" i="3"/>
  <c r="PE44" i="3"/>
  <c r="CK44" i="3"/>
  <c r="PE48" i="3"/>
  <c r="CK48" i="3"/>
  <c r="AC34" i="1"/>
  <c r="CK34" i="3"/>
  <c r="PB36" i="3"/>
  <c r="CK36" i="3"/>
  <c r="EU36" i="3"/>
  <c r="JP36" i="3"/>
  <c r="L76" i="6"/>
  <c r="M76" i="6" s="1"/>
  <c r="PH36" i="3"/>
  <c r="OZ36" i="3"/>
  <c r="OF36" i="3"/>
  <c r="PE36" i="3"/>
  <c r="PM36" i="3"/>
  <c r="KO36" i="3"/>
  <c r="HV36" i="3"/>
  <c r="ID36" i="3"/>
  <c r="KA36" i="3"/>
  <c r="AU36" i="3"/>
  <c r="NZ36" i="3"/>
  <c r="ER36" i="3"/>
  <c r="KI36" i="3"/>
  <c r="MG36" i="3"/>
  <c r="QP36" i="3" s="1"/>
  <c r="NX36" i="3"/>
  <c r="PJ36" i="3"/>
  <c r="CT36" i="3"/>
  <c r="MK36" i="3"/>
  <c r="NK36" i="3"/>
  <c r="DE36" i="3"/>
  <c r="DH36" i="3" s="1"/>
  <c r="FI36" i="3"/>
  <c r="NE36" i="3"/>
  <c r="OR36" i="3"/>
  <c r="LJ36" i="3"/>
  <c r="KE36" i="3"/>
  <c r="MU36" i="3"/>
  <c r="MQ36" i="3"/>
  <c r="QQ36" i="3" s="1"/>
  <c r="BU36" i="3"/>
  <c r="M74" i="3"/>
  <c r="M50" i="3"/>
  <c r="AC48" i="1"/>
  <c r="L82" i="6"/>
  <c r="M82" i="6" s="1"/>
  <c r="PP48" i="3"/>
  <c r="OZ48" i="3"/>
  <c r="NZ48" i="3"/>
  <c r="LJ48" i="3"/>
  <c r="QO48" i="3" s="1"/>
  <c r="OR48" i="3"/>
  <c r="HV48" i="3"/>
  <c r="OW48" i="3"/>
  <c r="AU48" i="3"/>
  <c r="PM48" i="3"/>
  <c r="BU48" i="3"/>
  <c r="PB48" i="3"/>
  <c r="NX48" i="3"/>
  <c r="PH48" i="3"/>
  <c r="NO48" i="3"/>
  <c r="QR48" i="3" s="1"/>
  <c r="PJ48" i="3"/>
  <c r="CT48" i="3"/>
  <c r="OM48" i="3"/>
  <c r="MG48" i="3"/>
  <c r="QP48" i="3" s="1"/>
  <c r="NE48" i="3"/>
  <c r="OF48" i="3"/>
  <c r="OG48" i="3" s="1"/>
  <c r="NK48" i="3"/>
  <c r="ID48" i="3"/>
  <c r="JD48" i="3"/>
  <c r="MU48" i="3"/>
  <c r="MQ48" i="3"/>
  <c r="QQ48" i="3" s="1"/>
  <c r="MY48" i="3"/>
  <c r="KO48" i="3"/>
  <c r="DE48" i="3"/>
  <c r="DH48" i="3" s="1"/>
  <c r="KI48" i="3"/>
  <c r="KE48" i="3"/>
  <c r="JP48" i="3"/>
  <c r="EX48" i="3"/>
  <c r="MK48" i="3"/>
  <c r="KA48" i="3"/>
  <c r="EU48" i="3"/>
  <c r="ER48" i="3"/>
  <c r="FI48" i="3"/>
  <c r="AC40" i="1"/>
  <c r="L78" i="6"/>
  <c r="M78" i="6" s="1"/>
  <c r="PP40" i="3"/>
  <c r="OZ40" i="3"/>
  <c r="OM40" i="3"/>
  <c r="OW40" i="3"/>
  <c r="NX40" i="3"/>
  <c r="PH40" i="3"/>
  <c r="AU40" i="3"/>
  <c r="PM40" i="3"/>
  <c r="BU40" i="3"/>
  <c r="PE40" i="3"/>
  <c r="PB40" i="3"/>
  <c r="NZ40" i="3"/>
  <c r="HV40" i="3"/>
  <c r="PJ40" i="3"/>
  <c r="OR40" i="3"/>
  <c r="CT40" i="3"/>
  <c r="OF40" i="3"/>
  <c r="OG40" i="3" s="1"/>
  <c r="MG40" i="3"/>
  <c r="QP40" i="3" s="1"/>
  <c r="LJ40" i="3"/>
  <c r="QO40" i="3" s="1"/>
  <c r="ID40" i="3"/>
  <c r="NK40" i="3"/>
  <c r="JD40" i="3"/>
  <c r="NO40" i="3"/>
  <c r="QR40" i="3" s="1"/>
  <c r="NE40" i="3"/>
  <c r="KO40" i="3"/>
  <c r="KE40" i="3"/>
  <c r="MY40" i="3"/>
  <c r="JP40" i="3"/>
  <c r="KI40" i="3"/>
  <c r="MQ40" i="3"/>
  <c r="QQ40" i="3" s="1"/>
  <c r="MU40" i="3"/>
  <c r="DE40" i="3"/>
  <c r="DH40" i="3" s="1"/>
  <c r="EU40" i="3"/>
  <c r="KA40" i="3"/>
  <c r="EX40" i="3"/>
  <c r="MK40" i="3"/>
  <c r="ER40" i="3"/>
  <c r="AC42" i="1"/>
  <c r="L79" i="6"/>
  <c r="M79" i="6" s="1"/>
  <c r="PM42" i="3"/>
  <c r="OZ42" i="3"/>
  <c r="OR42" i="3"/>
  <c r="HV42" i="3"/>
  <c r="PJ42" i="3"/>
  <c r="CT42" i="3"/>
  <c r="PP42" i="3"/>
  <c r="BU42" i="3"/>
  <c r="PE42" i="3"/>
  <c r="PB42" i="3"/>
  <c r="NZ42" i="3"/>
  <c r="NX42" i="3"/>
  <c r="PH42" i="3"/>
  <c r="OW42" i="3"/>
  <c r="AU42" i="3"/>
  <c r="OF42" i="3"/>
  <c r="OG42" i="3" s="1"/>
  <c r="OM42" i="3"/>
  <c r="JD42" i="3"/>
  <c r="MG42" i="3"/>
  <c r="QP42" i="3" s="1"/>
  <c r="NK42" i="3"/>
  <c r="NE42" i="3"/>
  <c r="NO42" i="3"/>
  <c r="QR42" i="3" s="1"/>
  <c r="LJ42" i="3"/>
  <c r="QO42" i="3" s="1"/>
  <c r="ID42" i="3"/>
  <c r="JP42" i="3"/>
  <c r="KI42" i="3"/>
  <c r="MY42" i="3"/>
  <c r="MQ42" i="3"/>
  <c r="QQ42" i="3" s="1"/>
  <c r="MU42" i="3"/>
  <c r="KO42" i="3"/>
  <c r="KE42" i="3"/>
  <c r="DE42" i="3"/>
  <c r="DH42" i="3" s="1"/>
  <c r="KA42" i="3"/>
  <c r="ER42" i="3"/>
  <c r="EX42" i="3"/>
  <c r="EU42" i="3"/>
  <c r="MK42" i="3"/>
  <c r="MY36" i="3"/>
  <c r="NO36" i="3"/>
  <c r="QR36" i="3" s="1"/>
  <c r="JD36" i="3"/>
  <c r="OW36" i="3"/>
  <c r="OM36" i="3"/>
  <c r="AC44" i="1"/>
  <c r="L80" i="6"/>
  <c r="M80" i="6" s="1"/>
  <c r="PM44" i="3"/>
  <c r="OZ44" i="3"/>
  <c r="PB44" i="3"/>
  <c r="NZ44" i="3"/>
  <c r="OR44" i="3"/>
  <c r="HV44" i="3"/>
  <c r="PJ44" i="3"/>
  <c r="AU44" i="3"/>
  <c r="PP44" i="3"/>
  <c r="BU44" i="3"/>
  <c r="NX44" i="3"/>
  <c r="PH44" i="3"/>
  <c r="OW44" i="3"/>
  <c r="CT44" i="3"/>
  <c r="OM44" i="3"/>
  <c r="OF44" i="3"/>
  <c r="OG44" i="3" s="1"/>
  <c r="MG44" i="3"/>
  <c r="QP44" i="3" s="1"/>
  <c r="NE44" i="3"/>
  <c r="JD44" i="3"/>
  <c r="ID44" i="3"/>
  <c r="NO44" i="3"/>
  <c r="QR44" i="3" s="1"/>
  <c r="NK44" i="3"/>
  <c r="LJ44" i="3"/>
  <c r="QO44" i="3" s="1"/>
  <c r="KE44" i="3"/>
  <c r="MU44" i="3"/>
  <c r="JP44" i="3"/>
  <c r="KI44" i="3"/>
  <c r="MY44" i="3"/>
  <c r="MQ44" i="3"/>
  <c r="QQ44" i="3" s="1"/>
  <c r="ER44" i="3"/>
  <c r="EU44" i="3"/>
  <c r="EX44" i="3"/>
  <c r="KA44" i="3"/>
  <c r="KO44" i="3"/>
  <c r="DE44" i="3"/>
  <c r="DH44" i="3" s="1"/>
  <c r="MK44" i="3"/>
  <c r="AC38" i="1"/>
  <c r="L77" i="6"/>
  <c r="M77" i="6" s="1"/>
  <c r="PM38" i="3"/>
  <c r="OZ38" i="3"/>
  <c r="PB38" i="3"/>
  <c r="NX38" i="3"/>
  <c r="PH38" i="3"/>
  <c r="OW38" i="3"/>
  <c r="CT38" i="3"/>
  <c r="PP38" i="3"/>
  <c r="BU38" i="3"/>
  <c r="PE38" i="3"/>
  <c r="HV38" i="3"/>
  <c r="OR38" i="3"/>
  <c r="NZ38" i="3"/>
  <c r="PJ38" i="3"/>
  <c r="AU38" i="3"/>
  <c r="NE38" i="3"/>
  <c r="OM38" i="3"/>
  <c r="OF38" i="3"/>
  <c r="OG38" i="3" s="1"/>
  <c r="NO38" i="3"/>
  <c r="QR38" i="3" s="1"/>
  <c r="MG38" i="3"/>
  <c r="QP38" i="3" s="1"/>
  <c r="NK38" i="3"/>
  <c r="JD38" i="3"/>
  <c r="LJ38" i="3"/>
  <c r="QO38" i="3" s="1"/>
  <c r="ID38" i="3"/>
  <c r="JP38" i="3"/>
  <c r="KI38" i="3"/>
  <c r="MU38" i="3"/>
  <c r="KE38" i="3"/>
  <c r="KO38" i="3"/>
  <c r="MQ38" i="3"/>
  <c r="QQ38" i="3" s="1"/>
  <c r="MY38" i="3"/>
  <c r="DE38" i="3"/>
  <c r="DH38" i="3" s="1"/>
  <c r="KA38" i="3"/>
  <c r="MK38" i="3"/>
  <c r="EX38" i="3"/>
  <c r="ER38" i="3"/>
  <c r="EU38" i="3"/>
  <c r="AC46" i="1"/>
  <c r="L81" i="6"/>
  <c r="M81" i="6" s="1"/>
  <c r="PM46" i="3"/>
  <c r="OZ46" i="3"/>
  <c r="PE46" i="3"/>
  <c r="PB46" i="3"/>
  <c r="HV46" i="3"/>
  <c r="OW46" i="3"/>
  <c r="NX46" i="3"/>
  <c r="PH46" i="3"/>
  <c r="CT46" i="3"/>
  <c r="PP46" i="3"/>
  <c r="BU46" i="3"/>
  <c r="NZ46" i="3"/>
  <c r="NE46" i="3"/>
  <c r="PJ46" i="3"/>
  <c r="OR46" i="3"/>
  <c r="AU46" i="3"/>
  <c r="OM46" i="3"/>
  <c r="OF46" i="3"/>
  <c r="OG46" i="3" s="1"/>
  <c r="NO46" i="3"/>
  <c r="QR46" i="3" s="1"/>
  <c r="LJ46" i="3"/>
  <c r="QO46" i="3" s="1"/>
  <c r="MG46" i="3"/>
  <c r="QP46" i="3" s="1"/>
  <c r="NK46" i="3"/>
  <c r="JD46" i="3"/>
  <c r="ID46" i="3"/>
  <c r="MY46" i="3"/>
  <c r="MQ46" i="3"/>
  <c r="QQ46" i="3" s="1"/>
  <c r="MU46" i="3"/>
  <c r="KI46" i="3"/>
  <c r="KE46" i="3"/>
  <c r="JP46" i="3"/>
  <c r="KO46" i="3"/>
  <c r="DE46" i="3"/>
  <c r="DH46" i="3" s="1"/>
  <c r="MK46" i="3"/>
  <c r="KA46" i="3"/>
  <c r="EU46" i="3"/>
  <c r="EX46" i="3"/>
  <c r="ER46" i="3"/>
  <c r="EX36" i="3"/>
  <c r="AC36" i="1"/>
  <c r="L75" i="6"/>
  <c r="M75" i="6" s="1"/>
  <c r="LJ34" i="3"/>
  <c r="QO34" i="3" s="1"/>
  <c r="PM34" i="3"/>
  <c r="BU34" i="3"/>
  <c r="PB34" i="3"/>
  <c r="HV34" i="3"/>
  <c r="PJ34" i="3"/>
  <c r="OW34" i="3"/>
  <c r="NX34" i="3"/>
  <c r="OF34" i="3"/>
  <c r="OG34" i="3" s="1"/>
  <c r="AU34" i="3"/>
  <c r="PP34" i="3"/>
  <c r="JD34" i="3"/>
  <c r="NO34" i="3"/>
  <c r="QR34" i="3" s="1"/>
  <c r="PE34" i="3"/>
  <c r="OZ34" i="3"/>
  <c r="OM34" i="3"/>
  <c r="MG34" i="3"/>
  <c r="QP34" i="3" s="1"/>
  <c r="PH34" i="3"/>
  <c r="OR34" i="3"/>
  <c r="NZ34" i="3"/>
  <c r="CT34" i="3"/>
  <c r="MY34" i="3"/>
  <c r="ID34" i="3"/>
  <c r="MU34" i="3"/>
  <c r="KE34" i="3"/>
  <c r="MQ34" i="3"/>
  <c r="QQ34" i="3" s="1"/>
  <c r="KI34" i="3"/>
  <c r="JP34" i="3"/>
  <c r="DE34" i="3"/>
  <c r="DH34" i="3" s="1"/>
  <c r="KA34" i="3"/>
  <c r="KO34" i="3"/>
  <c r="NE34" i="3"/>
  <c r="ER34" i="3"/>
  <c r="EU34" i="3"/>
  <c r="MK34" i="3"/>
  <c r="EX34" i="3"/>
  <c r="NK34" i="3"/>
  <c r="S25" i="1"/>
  <c r="QO36" i="3"/>
  <c r="OG36" i="3"/>
  <c r="AC50" i="1" l="1"/>
  <c r="K134" i="6"/>
  <c r="CK74" i="3"/>
  <c r="E72" i="6"/>
  <c r="G72" i="6" s="1"/>
  <c r="CT74" i="3"/>
  <c r="NE74" i="3"/>
  <c r="PE74" i="3"/>
  <c r="AU74" i="3"/>
  <c r="QO74" i="3"/>
  <c r="I44" i="6" s="1"/>
  <c r="K44" i="6" s="1"/>
  <c r="EX74" i="3"/>
  <c r="EU74" i="3"/>
  <c r="KA74" i="3"/>
  <c r="MU74" i="3"/>
  <c r="MY74" i="3"/>
  <c r="PB74" i="3"/>
  <c r="MQ74" i="3"/>
  <c r="MG74" i="3"/>
  <c r="I309" i="6"/>
  <c r="LJ74" i="3"/>
  <c r="K74" i="1"/>
  <c r="OZ74" i="3"/>
  <c r="QQ74" i="3"/>
  <c r="I46" i="6" s="1"/>
  <c r="K46" i="6" s="1"/>
  <c r="QR74" i="3"/>
  <c r="I47" i="6" s="1"/>
  <c r="K47" i="6" s="1"/>
  <c r="KO74" i="3"/>
  <c r="I59" i="6" s="1"/>
  <c r="K59" i="6" s="1"/>
  <c r="KE74" i="3"/>
  <c r="ID74" i="3"/>
  <c r="OR74" i="3"/>
  <c r="PP74" i="3"/>
  <c r="OW74" i="3"/>
  <c r="HV74" i="3"/>
  <c r="I319" i="6" s="1"/>
  <c r="DE74" i="3"/>
  <c r="QP74" i="3"/>
  <c r="NO74" i="3"/>
  <c r="I63" i="6" s="1"/>
  <c r="K63" i="6" s="1"/>
  <c r="JP74" i="3"/>
  <c r="I55" i="6" s="1"/>
  <c r="K55" i="6" s="1"/>
  <c r="BU74" i="3"/>
  <c r="I15" i="6" s="1"/>
  <c r="K15" i="6" s="1"/>
  <c r="DH74" i="3"/>
  <c r="I14" i="6" s="1"/>
  <c r="K14" i="6" s="1"/>
  <c r="NK74" i="3"/>
  <c r="I62" i="6" s="1"/>
  <c r="K62" i="6" s="1"/>
  <c r="MK74" i="3"/>
  <c r="ER74" i="3"/>
  <c r="OF74" i="3"/>
  <c r="NZ74" i="3"/>
  <c r="OG74" i="3"/>
  <c r="KI74" i="3"/>
  <c r="PH74" i="3"/>
  <c r="OM74" i="3"/>
  <c r="JD74" i="3"/>
  <c r="NX74" i="3"/>
  <c r="PJ74" i="3"/>
  <c r="PM74" i="3"/>
  <c r="K91" i="1"/>
  <c r="K80" i="1"/>
  <c r="H80" i="1"/>
  <c r="L173" i="6" l="1"/>
  <c r="N85" i="1"/>
  <c r="Q85" i="1" s="1"/>
  <c r="K85" i="1"/>
  <c r="K86" i="1"/>
  <c r="N86" i="1"/>
  <c r="Q86" i="1" s="1"/>
  <c r="P78" i="3"/>
  <c r="K140" i="6"/>
  <c r="K84" i="1"/>
  <c r="K83" i="1"/>
  <c r="K138" i="6"/>
  <c r="I57" i="6"/>
  <c r="K57" i="6" s="1"/>
  <c r="K77" i="1"/>
  <c r="G78" i="3"/>
  <c r="H78" i="3"/>
  <c r="I18" i="6"/>
  <c r="K18" i="6" s="1"/>
  <c r="I20" i="6"/>
  <c r="K20" i="6" s="1"/>
  <c r="I179" i="6"/>
  <c r="L179" i="6" s="1"/>
  <c r="I56" i="6"/>
  <c r="K56" i="6" s="1"/>
  <c r="I58" i="6"/>
  <c r="K58" i="6" s="1"/>
  <c r="K75" i="1"/>
  <c r="I177" i="6"/>
  <c r="L177" i="6" s="1"/>
  <c r="I45" i="6"/>
  <c r="K45" i="6" s="1"/>
  <c r="K182" i="1"/>
  <c r="Q182" i="1" s="1"/>
  <c r="K186" i="1" s="1"/>
  <c r="K169" i="6"/>
  <c r="K90" i="1"/>
  <c r="H90" i="1"/>
  <c r="J136" i="6" s="1"/>
  <c r="L175" i="6"/>
  <c r="L136" i="6"/>
  <c r="N83" i="1"/>
  <c r="Q83" i="1" s="1"/>
  <c r="V76" i="1" l="1"/>
  <c r="S6" i="11"/>
  <c r="T6" i="11" s="1"/>
  <c r="I48" i="6"/>
  <c r="K48" i="6" s="1"/>
  <c r="K214" i="1"/>
  <c r="K222" i="1"/>
  <c r="N222" i="1"/>
  <c r="Q186" i="1"/>
  <c r="K144" i="6"/>
  <c r="N214" i="1"/>
  <c r="I196" i="6" s="1"/>
  <c r="I198" i="6" s="1"/>
  <c r="I290" i="6" s="1"/>
  <c r="K290" i="6" s="1"/>
  <c r="D28" i="3"/>
  <c r="K204" i="1" l="1"/>
  <c r="U6" i="11"/>
  <c r="V6" i="11" s="1"/>
  <c r="Q48" i="6"/>
  <c r="S48" i="6" s="1"/>
  <c r="J200" i="1"/>
  <c r="Q196" i="6"/>
  <c r="S196" i="6" s="1"/>
  <c r="K196" i="6"/>
  <c r="E28" i="3"/>
  <c r="F28" i="3"/>
  <c r="K76" i="1"/>
  <c r="K198" i="6"/>
  <c r="Q198" i="6"/>
  <c r="S198" i="6" s="1"/>
  <c r="AD100" i="11" l="1"/>
  <c r="AE100" i="11" s="1"/>
  <c r="AD98" i="11"/>
  <c r="AE98" i="11" s="1"/>
  <c r="AD94" i="11"/>
  <c r="AE94" i="11" s="1"/>
  <c r="AD92" i="11"/>
  <c r="AE92" i="11" s="1"/>
  <c r="AD90" i="11"/>
  <c r="AE90" i="11" s="1"/>
  <c r="AD88" i="11"/>
  <c r="AE88" i="11" s="1"/>
  <c r="AD96" i="11"/>
  <c r="AE96" i="11" s="1"/>
  <c r="AD86" i="11"/>
  <c r="AE86" i="11" s="1"/>
  <c r="AD84" i="11"/>
  <c r="AE84" i="11" s="1"/>
  <c r="AD82" i="11"/>
  <c r="AE82" i="11" s="1"/>
  <c r="AD70" i="11"/>
  <c r="AE70" i="11" s="1"/>
  <c r="AN70" i="13" s="1"/>
  <c r="AD64" i="11"/>
  <c r="AE64" i="11" s="1"/>
  <c r="AN64" i="13" s="1"/>
  <c r="AD56" i="11"/>
  <c r="AE56" i="11" s="1"/>
  <c r="AN56" i="13" s="1"/>
  <c r="AD80" i="11"/>
  <c r="AE80" i="11" s="1"/>
  <c r="AD78" i="11"/>
  <c r="AE78" i="11" s="1"/>
  <c r="AD76" i="11"/>
  <c r="AE76" i="11" s="1"/>
  <c r="AD74" i="11"/>
  <c r="AE74" i="11" s="1"/>
  <c r="AD72" i="11"/>
  <c r="AE72" i="11" s="1"/>
  <c r="AN72" i="13" s="1"/>
  <c r="AD68" i="11"/>
  <c r="AE68" i="11" s="1"/>
  <c r="AN68" i="13" s="1"/>
  <c r="AD66" i="11"/>
  <c r="AE66" i="11" s="1"/>
  <c r="AN66" i="13" s="1"/>
  <c r="AD62" i="11"/>
  <c r="AE62" i="11" s="1"/>
  <c r="AN62" i="13" s="1"/>
  <c r="AD60" i="11"/>
  <c r="AE60" i="11" s="1"/>
  <c r="AN60" i="13" s="1"/>
  <c r="AD58" i="11"/>
  <c r="AE58" i="11" s="1"/>
  <c r="AN58" i="13" s="1"/>
  <c r="AD54" i="11"/>
  <c r="AE54" i="11" s="1"/>
  <c r="AN54" i="13" s="1"/>
  <c r="AD48" i="11"/>
  <c r="AE48" i="11" s="1"/>
  <c r="AN48" i="13" s="1"/>
  <c r="AD46" i="11"/>
  <c r="AE46" i="11" s="1"/>
  <c r="AN46" i="13" s="1"/>
  <c r="AD44" i="11"/>
  <c r="AE44" i="11" s="1"/>
  <c r="AN44" i="13" s="1"/>
  <c r="AD42" i="11"/>
  <c r="AE42" i="11" s="1"/>
  <c r="AN42" i="13" s="1"/>
  <c r="AD40" i="11"/>
  <c r="AE40" i="11" s="1"/>
  <c r="AN40" i="13" s="1"/>
  <c r="AD52" i="11"/>
  <c r="AE52" i="11" s="1"/>
  <c r="AN52" i="13" s="1"/>
  <c r="AD50" i="11"/>
  <c r="AE50" i="11" s="1"/>
  <c r="AN50" i="13" s="1"/>
  <c r="AD38" i="11"/>
  <c r="AE38" i="11" s="1"/>
  <c r="AD30" i="11"/>
  <c r="AE30" i="11" s="1"/>
  <c r="AN30" i="13" s="1"/>
  <c r="AD28" i="11"/>
  <c r="AE28" i="11" s="1"/>
  <c r="AN28" i="13" s="1"/>
  <c r="AD26" i="11"/>
  <c r="AE26" i="11" s="1"/>
  <c r="AN26" i="13" s="1"/>
  <c r="AD24" i="11"/>
  <c r="AE24" i="11" s="1"/>
  <c r="AN24" i="13" s="1"/>
  <c r="AD20" i="11"/>
  <c r="AE20" i="11" s="1"/>
  <c r="AN20" i="13" s="1"/>
  <c r="AD36" i="11"/>
  <c r="AE36" i="11" s="1"/>
  <c r="AN36" i="13" s="1"/>
  <c r="AD34" i="11"/>
  <c r="AE34" i="11" s="1"/>
  <c r="AN34" i="13" s="1"/>
  <c r="AD32" i="11"/>
  <c r="AE32" i="11" s="1"/>
  <c r="AN32" i="13" s="1"/>
  <c r="AD22" i="11"/>
  <c r="AE22" i="11" s="1"/>
  <c r="AN22" i="13" s="1"/>
  <c r="Z28" i="3"/>
  <c r="Y6" i="11"/>
  <c r="X6" i="11"/>
  <c r="AD18" i="11"/>
  <c r="AE18" i="11" s="1"/>
  <c r="Q290" i="6"/>
  <c r="S290" i="6" s="1"/>
  <c r="L142" i="6"/>
  <c r="D78" i="3"/>
  <c r="I78" i="3" s="1"/>
  <c r="G28" i="3"/>
  <c r="L78" i="3"/>
  <c r="R78" i="3" s="1"/>
  <c r="AF38" i="11" l="1"/>
  <c r="DJ38" i="11"/>
  <c r="DK38" i="11" s="1"/>
  <c r="DL38" i="11" s="1"/>
  <c r="AF52" i="11"/>
  <c r="DJ52" i="11"/>
  <c r="DK52" i="11" s="1"/>
  <c r="AF42" i="11"/>
  <c r="DJ42" i="11"/>
  <c r="DK42" i="11" s="1"/>
  <c r="AF46" i="11"/>
  <c r="DJ46" i="11"/>
  <c r="DK46" i="11" s="1"/>
  <c r="AF54" i="11"/>
  <c r="DJ54" i="11"/>
  <c r="DK54" i="11" s="1"/>
  <c r="AF60" i="11"/>
  <c r="DJ60" i="11"/>
  <c r="DK60" i="11" s="1"/>
  <c r="AF66" i="11"/>
  <c r="DJ66" i="11"/>
  <c r="DK66" i="11" s="1"/>
  <c r="AF72" i="11"/>
  <c r="DJ72" i="11"/>
  <c r="DK72" i="11" s="1"/>
  <c r="DJ76" i="11"/>
  <c r="DK76" i="11" s="1"/>
  <c r="DL76" i="11" s="1"/>
  <c r="AF76" i="11"/>
  <c r="AF80" i="11"/>
  <c r="DJ80" i="11"/>
  <c r="DK80" i="11" s="1"/>
  <c r="DL80" i="11" s="1"/>
  <c r="AF64" i="11"/>
  <c r="DJ64" i="11"/>
  <c r="DK64" i="11" s="1"/>
  <c r="AF82" i="11"/>
  <c r="DJ82" i="11"/>
  <c r="DK82" i="11" s="1"/>
  <c r="DL82" i="11" s="1"/>
  <c r="DJ86" i="11"/>
  <c r="DK86" i="11" s="1"/>
  <c r="DL86" i="11" s="1"/>
  <c r="AF86" i="11"/>
  <c r="AF88" i="11"/>
  <c r="DJ88" i="11"/>
  <c r="DK88" i="11" s="1"/>
  <c r="DL88" i="11" s="1"/>
  <c r="AF92" i="11"/>
  <c r="DJ92" i="11"/>
  <c r="DK92" i="11" s="1"/>
  <c r="DL92" i="11" s="1"/>
  <c r="AF98" i="11"/>
  <c r="DJ98" i="11"/>
  <c r="DK98" i="11" s="1"/>
  <c r="DL98" i="11" s="1"/>
  <c r="AF50" i="11"/>
  <c r="DJ50" i="11"/>
  <c r="DK50" i="11" s="1"/>
  <c r="AF40" i="11"/>
  <c r="DJ40" i="11"/>
  <c r="DK40" i="11" s="1"/>
  <c r="AF44" i="11"/>
  <c r="DJ44" i="11"/>
  <c r="DK44" i="11" s="1"/>
  <c r="AF48" i="11"/>
  <c r="DJ48" i="11"/>
  <c r="DK48" i="11" s="1"/>
  <c r="AF58" i="11"/>
  <c r="DJ58" i="11"/>
  <c r="DK58" i="11" s="1"/>
  <c r="AF62" i="11"/>
  <c r="DJ62" i="11"/>
  <c r="DK62" i="11" s="1"/>
  <c r="AF68" i="11"/>
  <c r="DJ68" i="11"/>
  <c r="DK68" i="11" s="1"/>
  <c r="AF74" i="11"/>
  <c r="DJ74" i="11"/>
  <c r="DK74" i="11" s="1"/>
  <c r="DL74" i="11" s="1"/>
  <c r="AF78" i="11"/>
  <c r="DJ78" i="11"/>
  <c r="DK78" i="11" s="1"/>
  <c r="DL78" i="11" s="1"/>
  <c r="DJ56" i="11"/>
  <c r="DK56" i="11" s="1"/>
  <c r="AF56" i="11"/>
  <c r="AF70" i="11"/>
  <c r="DJ70" i="11"/>
  <c r="DK70" i="11" s="1"/>
  <c r="AF84" i="11"/>
  <c r="DJ84" i="11"/>
  <c r="DK84" i="11" s="1"/>
  <c r="DL84" i="11" s="1"/>
  <c r="AF96" i="11"/>
  <c r="DJ96" i="11"/>
  <c r="DK96" i="11" s="1"/>
  <c r="DL96" i="11" s="1"/>
  <c r="DJ90" i="11"/>
  <c r="DK90" i="11" s="1"/>
  <c r="DL90" i="11" s="1"/>
  <c r="AF90" i="11"/>
  <c r="AF94" i="11"/>
  <c r="DJ94" i="11"/>
  <c r="DK94" i="11" s="1"/>
  <c r="DL94" i="11" s="1"/>
  <c r="AF100" i="11"/>
  <c r="AN100" i="13"/>
  <c r="DJ100" i="11"/>
  <c r="DK100" i="11" s="1"/>
  <c r="AF32" i="11"/>
  <c r="DJ32" i="11"/>
  <c r="DK32" i="11" s="1"/>
  <c r="AF36" i="11"/>
  <c r="DJ36" i="11"/>
  <c r="DK36" i="11" s="1"/>
  <c r="AF24" i="11"/>
  <c r="DJ24" i="11"/>
  <c r="DK24" i="11" s="1"/>
  <c r="AF28" i="11"/>
  <c r="DJ28" i="11"/>
  <c r="DK28" i="11" s="1"/>
  <c r="DJ22" i="11"/>
  <c r="DK22" i="11" s="1"/>
  <c r="AF22" i="11"/>
  <c r="AF34" i="11"/>
  <c r="DJ34" i="11"/>
  <c r="DK34" i="11" s="1"/>
  <c r="AF20" i="11"/>
  <c r="DJ20" i="11"/>
  <c r="DK20" i="11" s="1"/>
  <c r="AF26" i="11"/>
  <c r="DJ26" i="11"/>
  <c r="DK26" i="11" s="1"/>
  <c r="AF30" i="11"/>
  <c r="DJ30" i="11"/>
  <c r="DK30" i="11" s="1"/>
  <c r="AN18" i="13"/>
  <c r="DJ18" i="11"/>
  <c r="S78" i="3"/>
  <c r="AF18" i="11"/>
  <c r="R38" i="3"/>
  <c r="S38" i="3" s="1"/>
  <c r="R58" i="3"/>
  <c r="S58" i="3" s="1"/>
  <c r="CC58" i="1" s="1"/>
  <c r="R44" i="3"/>
  <c r="S44" i="3" s="1"/>
  <c r="R120" i="3"/>
  <c r="S120" i="3" s="1"/>
  <c r="CC120" i="1" s="1"/>
  <c r="R62" i="3"/>
  <c r="S62" i="3" s="1"/>
  <c r="CC62" i="1" s="1"/>
  <c r="R60" i="3"/>
  <c r="S60" i="3" s="1"/>
  <c r="CC60" i="1" s="1"/>
  <c r="R70" i="3"/>
  <c r="S70" i="3" s="1"/>
  <c r="CC70" i="1" s="1"/>
  <c r="R34" i="3"/>
  <c r="S34" i="3" s="1"/>
  <c r="I28" i="3"/>
  <c r="R118" i="3"/>
  <c r="S118" i="3" s="1"/>
  <c r="CC118" i="1" s="1"/>
  <c r="R40" i="3"/>
  <c r="S40" i="3" s="1"/>
  <c r="R122" i="3"/>
  <c r="S122" i="3" s="1"/>
  <c r="CC122" i="1" s="1"/>
  <c r="R126" i="3"/>
  <c r="S126" i="3" s="1"/>
  <c r="CC126" i="1" s="1"/>
  <c r="R150" i="3"/>
  <c r="S150" i="3" s="1"/>
  <c r="CC150" i="1" s="1"/>
  <c r="R144" i="3"/>
  <c r="S144" i="3" s="1"/>
  <c r="CC144" i="1" s="1"/>
  <c r="R142" i="3"/>
  <c r="S142" i="3" s="1"/>
  <c r="CC142" i="1" s="1"/>
  <c r="R138" i="3"/>
  <c r="S138" i="3" s="1"/>
  <c r="R148" i="3"/>
  <c r="S148" i="3" s="1"/>
  <c r="CC148" i="1" s="1"/>
  <c r="J28" i="3"/>
  <c r="R128" i="3"/>
  <c r="S128" i="3" s="1"/>
  <c r="CC128" i="1" s="1"/>
  <c r="R42" i="3"/>
  <c r="S42" i="3" s="1"/>
  <c r="R130" i="3"/>
  <c r="S130" i="3" s="1"/>
  <c r="CC130" i="1" s="1"/>
  <c r="R48" i="3"/>
  <c r="S48" i="3" s="1"/>
  <c r="CC48" i="1" s="1"/>
  <c r="R66" i="3"/>
  <c r="S66" i="3" s="1"/>
  <c r="CC66" i="1" s="1"/>
  <c r="R146" i="3"/>
  <c r="S146" i="3" s="1"/>
  <c r="CC146" i="1" s="1"/>
  <c r="R116" i="3"/>
  <c r="S116" i="3" s="1"/>
  <c r="CC116" i="1" s="1"/>
  <c r="R56" i="3"/>
  <c r="S56" i="3" s="1"/>
  <c r="R64" i="3"/>
  <c r="S64" i="3" s="1"/>
  <c r="CC64" i="1" s="1"/>
  <c r="R36" i="3"/>
  <c r="S36" i="3" s="1"/>
  <c r="R68" i="3"/>
  <c r="S68" i="3" s="1"/>
  <c r="CC68" i="1" s="1"/>
  <c r="R46" i="3"/>
  <c r="S46" i="3" s="1"/>
  <c r="CC46" i="1" s="1"/>
  <c r="R124" i="3"/>
  <c r="S124" i="3" s="1"/>
  <c r="CC124" i="1" s="1"/>
  <c r="R152" i="3"/>
  <c r="S152" i="3" s="1"/>
  <c r="CC152" i="1" s="1"/>
  <c r="R140" i="3"/>
  <c r="S140" i="3" s="1"/>
  <c r="CC140" i="1" s="1"/>
  <c r="J78" i="3"/>
  <c r="H78" i="1"/>
  <c r="I171" i="6"/>
  <c r="DL72" i="11" l="1"/>
  <c r="CN72" i="13"/>
  <c r="DL70" i="11"/>
  <c r="DY70" i="11" s="1"/>
  <c r="EA70" i="11" s="1"/>
  <c r="EB70" i="11" s="1"/>
  <c r="EC70" i="11" s="1"/>
  <c r="CN70" i="13"/>
  <c r="DL68" i="11"/>
  <c r="DY68" i="11" s="1"/>
  <c r="EA68" i="11" s="1"/>
  <c r="EB68" i="11" s="1"/>
  <c r="EC68" i="11" s="1"/>
  <c r="CN68" i="13"/>
  <c r="DL66" i="11"/>
  <c r="DY66" i="11" s="1"/>
  <c r="EA66" i="11" s="1"/>
  <c r="EB66" i="11" s="1"/>
  <c r="EC66" i="11" s="1"/>
  <c r="CN66" i="13"/>
  <c r="DL64" i="11"/>
  <c r="DN64" i="11" s="1"/>
  <c r="CN64" i="13"/>
  <c r="DL62" i="11"/>
  <c r="DY62" i="11" s="1"/>
  <c r="EA62" i="11" s="1"/>
  <c r="EB62" i="11" s="1"/>
  <c r="EC62" i="11" s="1"/>
  <c r="CN62" i="13"/>
  <c r="DL58" i="11"/>
  <c r="CN58" i="13"/>
  <c r="DL56" i="11"/>
  <c r="DN56" i="11" s="1"/>
  <c r="CN56" i="13"/>
  <c r="DL54" i="11"/>
  <c r="DY54" i="11" s="1"/>
  <c r="EA54" i="11" s="1"/>
  <c r="EB54" i="11" s="1"/>
  <c r="EC54" i="11" s="1"/>
  <c r="CN54" i="13"/>
  <c r="DL52" i="11"/>
  <c r="DN52" i="11" s="1"/>
  <c r="CN52" i="13"/>
  <c r="DL50" i="11"/>
  <c r="CN50" i="13"/>
  <c r="DL48" i="11"/>
  <c r="DN48" i="11" s="1"/>
  <c r="CN48" i="13"/>
  <c r="DL46" i="11"/>
  <c r="CN46" i="13"/>
  <c r="DL44" i="11"/>
  <c r="DN44" i="11" s="1"/>
  <c r="CN44" i="13"/>
  <c r="DL42" i="11"/>
  <c r="CN42" i="13"/>
  <c r="DL40" i="11"/>
  <c r="CN40" i="13"/>
  <c r="DL36" i="11"/>
  <c r="CN36" i="13"/>
  <c r="DL34" i="11"/>
  <c r="DY34" i="11" s="1"/>
  <c r="EA34" i="11" s="1"/>
  <c r="EB34" i="11" s="1"/>
  <c r="EC34" i="11" s="1"/>
  <c r="CN34" i="13"/>
  <c r="DL32" i="11"/>
  <c r="CN32" i="13"/>
  <c r="DL60" i="11"/>
  <c r="DY60" i="11" s="1"/>
  <c r="EA60" i="11" s="1"/>
  <c r="EB60" i="11" s="1"/>
  <c r="EC60" i="11" s="1"/>
  <c r="CN60" i="13"/>
  <c r="DY94" i="11"/>
  <c r="EA94" i="11" s="1"/>
  <c r="EB94" i="11" s="1"/>
  <c r="EC94" i="11" s="1"/>
  <c r="DN94" i="11"/>
  <c r="DN84" i="11"/>
  <c r="DY84" i="11"/>
  <c r="EA84" i="11" s="1"/>
  <c r="EB84" i="11" s="1"/>
  <c r="EC84" i="11" s="1"/>
  <c r="DY78" i="11"/>
  <c r="EA78" i="11" s="1"/>
  <c r="EB78" i="11" s="1"/>
  <c r="EC78" i="11" s="1"/>
  <c r="DN78" i="11"/>
  <c r="DY58" i="11"/>
  <c r="EA58" i="11" s="1"/>
  <c r="EB58" i="11" s="1"/>
  <c r="EC58" i="11" s="1"/>
  <c r="DN58" i="11"/>
  <c r="DN40" i="11"/>
  <c r="DY40" i="11"/>
  <c r="EA40" i="11" s="1"/>
  <c r="EB40" i="11" s="1"/>
  <c r="EC40" i="11" s="1"/>
  <c r="DY50" i="11"/>
  <c r="EA50" i="11" s="1"/>
  <c r="EB50" i="11" s="1"/>
  <c r="EC50" i="11" s="1"/>
  <c r="DN50" i="11"/>
  <c r="DY98" i="11"/>
  <c r="EA98" i="11" s="1"/>
  <c r="EB98" i="11" s="1"/>
  <c r="EC98" i="11" s="1"/>
  <c r="DN98" i="11"/>
  <c r="DY92" i="11"/>
  <c r="EA92" i="11" s="1"/>
  <c r="EB92" i="11" s="1"/>
  <c r="EC92" i="11" s="1"/>
  <c r="DN92" i="11"/>
  <c r="DY88" i="11"/>
  <c r="EA88" i="11" s="1"/>
  <c r="EB88" i="11" s="1"/>
  <c r="EC88" i="11" s="1"/>
  <c r="DN88" i="11"/>
  <c r="DY82" i="11"/>
  <c r="EA82" i="11" s="1"/>
  <c r="EB82" i="11" s="1"/>
  <c r="EC82" i="11" s="1"/>
  <c r="DN82" i="11"/>
  <c r="DN80" i="11"/>
  <c r="DY80" i="11"/>
  <c r="EA80" i="11" s="1"/>
  <c r="EB80" i="11" s="1"/>
  <c r="EC80" i="11" s="1"/>
  <c r="DY72" i="11"/>
  <c r="EA72" i="11" s="1"/>
  <c r="EB72" i="11" s="1"/>
  <c r="EC72" i="11" s="1"/>
  <c r="DN72" i="11"/>
  <c r="DN60" i="11"/>
  <c r="DN54" i="11"/>
  <c r="DY46" i="11"/>
  <c r="EA46" i="11" s="1"/>
  <c r="EB46" i="11" s="1"/>
  <c r="EC46" i="11" s="1"/>
  <c r="DN46" i="11"/>
  <c r="DY42" i="11"/>
  <c r="EA42" i="11" s="1"/>
  <c r="EB42" i="11" s="1"/>
  <c r="EC42" i="11" s="1"/>
  <c r="DN42" i="11"/>
  <c r="DY38" i="11"/>
  <c r="EA38" i="11" s="1"/>
  <c r="EB38" i="11" s="1"/>
  <c r="EC38" i="11" s="1"/>
  <c r="DN38" i="11"/>
  <c r="DY96" i="11"/>
  <c r="EA96" i="11" s="1"/>
  <c r="EB96" i="11" s="1"/>
  <c r="EC96" i="11" s="1"/>
  <c r="DN96" i="11"/>
  <c r="DN70" i="11"/>
  <c r="DN74" i="11"/>
  <c r="DY74" i="11"/>
  <c r="EA74" i="11" s="1"/>
  <c r="EB74" i="11" s="1"/>
  <c r="EC74" i="11" s="1"/>
  <c r="DL100" i="11"/>
  <c r="CN100" i="13"/>
  <c r="DY90" i="11"/>
  <c r="EA90" i="11" s="1"/>
  <c r="EB90" i="11" s="1"/>
  <c r="EC90" i="11" s="1"/>
  <c r="DN90" i="11"/>
  <c r="DY86" i="11"/>
  <c r="EA86" i="11" s="1"/>
  <c r="EB86" i="11" s="1"/>
  <c r="EC86" i="11" s="1"/>
  <c r="DN86" i="11"/>
  <c r="DY76" i="11"/>
  <c r="EA76" i="11" s="1"/>
  <c r="EB76" i="11" s="1"/>
  <c r="EC76" i="11" s="1"/>
  <c r="DN76" i="11"/>
  <c r="DL30" i="11"/>
  <c r="DN30" i="11" s="1"/>
  <c r="CN30" i="13"/>
  <c r="DL28" i="11"/>
  <c r="DN28" i="11" s="1"/>
  <c r="CN28" i="13"/>
  <c r="DL26" i="11"/>
  <c r="DN26" i="11" s="1"/>
  <c r="CN26" i="13"/>
  <c r="DL24" i="11"/>
  <c r="DN24" i="11" s="1"/>
  <c r="CN24" i="13"/>
  <c r="DL22" i="11"/>
  <c r="DN22" i="11" s="1"/>
  <c r="CN22" i="13"/>
  <c r="DL20" i="11"/>
  <c r="DN20" i="11" s="1"/>
  <c r="CN20" i="13"/>
  <c r="DN34" i="11"/>
  <c r="DY36" i="11"/>
  <c r="EA36" i="11" s="1"/>
  <c r="EB36" i="11" s="1"/>
  <c r="EC36" i="11" s="1"/>
  <c r="DN36" i="11"/>
  <c r="DY32" i="11"/>
  <c r="EA32" i="11" s="1"/>
  <c r="EB32" i="11" s="1"/>
  <c r="EC32" i="11" s="1"/>
  <c r="DN32" i="11"/>
  <c r="N17" i="1"/>
  <c r="K155" i="6" s="1"/>
  <c r="N15" i="1"/>
  <c r="K153" i="6" s="1"/>
  <c r="K78" i="1"/>
  <c r="K171" i="6"/>
  <c r="Y152" i="3"/>
  <c r="T152" i="3"/>
  <c r="T46" i="3"/>
  <c r="Y46" i="3"/>
  <c r="T36" i="3"/>
  <c r="CC36" i="1"/>
  <c r="Y36" i="3"/>
  <c r="CC56" i="1"/>
  <c r="T56" i="3"/>
  <c r="Y56" i="3"/>
  <c r="Y146" i="3"/>
  <c r="T146" i="3"/>
  <c r="T48" i="3"/>
  <c r="Y48" i="3"/>
  <c r="CC42" i="1"/>
  <c r="T42" i="3"/>
  <c r="Y42" i="3"/>
  <c r="CC138" i="1"/>
  <c r="Y138" i="3"/>
  <c r="T138" i="3"/>
  <c r="Y144" i="3"/>
  <c r="T144" i="3"/>
  <c r="T126" i="3"/>
  <c r="Y126" i="3"/>
  <c r="T40" i="3"/>
  <c r="CC40" i="1"/>
  <c r="Y40" i="3"/>
  <c r="T70" i="3"/>
  <c r="Y70" i="3"/>
  <c r="Y62" i="3"/>
  <c r="T62" i="3"/>
  <c r="Y44" i="3"/>
  <c r="CC44" i="1"/>
  <c r="T44" i="3"/>
  <c r="T38" i="3"/>
  <c r="Y38" i="3"/>
  <c r="CC38" i="1"/>
  <c r="Y140" i="3"/>
  <c r="T140" i="3"/>
  <c r="T124" i="3"/>
  <c r="Y124" i="3"/>
  <c r="Y68" i="3"/>
  <c r="T68" i="3"/>
  <c r="Y64" i="3"/>
  <c r="T64" i="3"/>
  <c r="Y116" i="3"/>
  <c r="BW116" i="1" s="1"/>
  <c r="T116" i="3"/>
  <c r="T66" i="3"/>
  <c r="Y66" i="3"/>
  <c r="Y130" i="3"/>
  <c r="T130" i="3"/>
  <c r="Y128" i="3"/>
  <c r="T128" i="3"/>
  <c r="Y148" i="3"/>
  <c r="T148" i="3"/>
  <c r="Y142" i="3"/>
  <c r="T142" i="3"/>
  <c r="Y150" i="3"/>
  <c r="T150" i="3"/>
  <c r="T122" i="3"/>
  <c r="Y122" i="3"/>
  <c r="T118" i="3"/>
  <c r="Y118" i="3"/>
  <c r="Y34" i="3"/>
  <c r="CC34" i="1"/>
  <c r="T34" i="3"/>
  <c r="T60" i="3"/>
  <c r="Y60" i="3"/>
  <c r="T120" i="3"/>
  <c r="Y120" i="3"/>
  <c r="Y58" i="3"/>
  <c r="T58" i="3"/>
  <c r="DN66" i="11" l="1"/>
  <c r="DN62" i="11"/>
  <c r="DP62" i="11" s="1"/>
  <c r="DY44" i="11"/>
  <c r="EA44" i="11" s="1"/>
  <c r="EB44" i="11" s="1"/>
  <c r="EC44" i="11" s="1"/>
  <c r="DY48" i="11"/>
  <c r="EA48" i="11" s="1"/>
  <c r="EB48" i="11" s="1"/>
  <c r="EC48" i="11" s="1"/>
  <c r="DY52" i="11"/>
  <c r="EA52" i="11" s="1"/>
  <c r="EB52" i="11" s="1"/>
  <c r="EC52" i="11" s="1"/>
  <c r="DN68" i="11"/>
  <c r="DO68" i="11" s="1"/>
  <c r="DY64" i="11"/>
  <c r="EA64" i="11" s="1"/>
  <c r="EB64" i="11" s="1"/>
  <c r="EC64" i="11" s="1"/>
  <c r="DY56" i="11"/>
  <c r="EA56" i="11" s="1"/>
  <c r="EB56" i="11" s="1"/>
  <c r="EC56" i="11" s="1"/>
  <c r="DY26" i="11"/>
  <c r="EA26" i="11" s="1"/>
  <c r="EB26" i="11" s="1"/>
  <c r="EC26" i="11" s="1"/>
  <c r="DY22" i="11"/>
  <c r="EA22" i="11" s="1"/>
  <c r="EB22" i="11" s="1"/>
  <c r="EC22" i="11" s="1"/>
  <c r="DY24" i="11"/>
  <c r="EA24" i="11" s="1"/>
  <c r="EB24" i="11" s="1"/>
  <c r="EC24" i="11" s="1"/>
  <c r="DY30" i="11"/>
  <c r="EA30" i="11" s="1"/>
  <c r="EB30" i="11" s="1"/>
  <c r="EC30" i="11" s="1"/>
  <c r="DY28" i="11"/>
  <c r="EA28" i="11" s="1"/>
  <c r="EB28" i="11" s="1"/>
  <c r="EC28" i="11" s="1"/>
  <c r="DY20" i="11"/>
  <c r="EA20" i="11" s="1"/>
  <c r="EB20" i="11" s="1"/>
  <c r="EC20" i="11" s="1"/>
  <c r="DP76" i="11"/>
  <c r="DO76" i="11"/>
  <c r="DP86" i="11"/>
  <c r="DO86" i="11"/>
  <c r="DP90" i="11"/>
  <c r="DO90" i="11"/>
  <c r="DO62" i="11"/>
  <c r="DP70" i="11"/>
  <c r="DO70" i="11"/>
  <c r="DO96" i="11"/>
  <c r="DP96" i="11"/>
  <c r="DO38" i="11"/>
  <c r="DP38" i="11"/>
  <c r="DP42" i="11"/>
  <c r="DO42" i="11"/>
  <c r="DO46" i="11"/>
  <c r="DP46" i="11"/>
  <c r="DP54" i="11"/>
  <c r="DO54" i="11"/>
  <c r="DP66" i="11"/>
  <c r="DO66" i="11"/>
  <c r="DP72" i="11"/>
  <c r="DO72" i="11"/>
  <c r="DO82" i="11"/>
  <c r="DP82" i="11"/>
  <c r="DP88" i="11"/>
  <c r="DO88" i="11"/>
  <c r="DP92" i="11"/>
  <c r="DO92" i="11"/>
  <c r="DO98" i="11"/>
  <c r="DP98" i="11"/>
  <c r="DP50" i="11"/>
  <c r="DO50" i="11"/>
  <c r="DO58" i="11"/>
  <c r="DP58" i="11"/>
  <c r="DP78" i="11"/>
  <c r="DO78" i="11"/>
  <c r="DP94" i="11"/>
  <c r="DO94" i="11"/>
  <c r="DP56" i="11"/>
  <c r="DO56" i="11"/>
  <c r="DY100" i="11"/>
  <c r="EA100" i="11" s="1"/>
  <c r="EB100" i="11" s="1"/>
  <c r="EC100" i="11" s="1"/>
  <c r="DN100" i="11"/>
  <c r="DO74" i="11"/>
  <c r="DP74" i="11"/>
  <c r="DP52" i="11"/>
  <c r="DO52" i="11"/>
  <c r="DO60" i="11"/>
  <c r="DP60" i="11"/>
  <c r="DO80" i="11"/>
  <c r="DP80" i="11"/>
  <c r="DO64" i="11"/>
  <c r="DP64" i="11"/>
  <c r="DP40" i="11"/>
  <c r="DO40" i="11"/>
  <c r="DP44" i="11"/>
  <c r="DO44" i="11"/>
  <c r="DP48" i="11"/>
  <c r="DO48" i="11"/>
  <c r="DP84" i="11"/>
  <c r="DO84" i="11"/>
  <c r="DP22" i="11"/>
  <c r="DO22" i="11"/>
  <c r="DP30" i="11"/>
  <c r="DO30" i="11"/>
  <c r="DP32" i="11"/>
  <c r="DO32" i="11"/>
  <c r="DP36" i="11"/>
  <c r="DO36" i="11"/>
  <c r="DP24" i="11"/>
  <c r="DO24" i="11"/>
  <c r="DP28" i="11"/>
  <c r="DO28" i="11"/>
  <c r="DP34" i="11"/>
  <c r="DO34" i="11"/>
  <c r="DP20" i="11"/>
  <c r="DO20" i="11"/>
  <c r="DP26" i="11"/>
  <c r="DO26" i="11"/>
  <c r="Z152" i="3"/>
  <c r="AE152" i="3" s="1"/>
  <c r="AO152" i="3" s="1"/>
  <c r="BW152" i="1"/>
  <c r="Z70" i="3"/>
  <c r="AE70" i="3" s="1"/>
  <c r="AG70" i="3" s="1"/>
  <c r="BW70" i="1"/>
  <c r="Z48" i="3"/>
  <c r="AE48" i="3" s="1"/>
  <c r="AG48" i="3" s="1"/>
  <c r="BW48" i="1"/>
  <c r="Z130" i="3"/>
  <c r="AE130" i="3" s="1"/>
  <c r="AH130" i="3" s="1"/>
  <c r="BW130" i="1"/>
  <c r="AO70" i="3"/>
  <c r="Z150" i="3"/>
  <c r="AE150" i="3" s="1"/>
  <c r="BW150" i="1"/>
  <c r="Z128" i="3"/>
  <c r="AE128" i="3" s="1"/>
  <c r="BW128" i="1"/>
  <c r="Z68" i="3"/>
  <c r="AE68" i="3" s="1"/>
  <c r="AG68" i="3" s="1"/>
  <c r="BW68" i="1"/>
  <c r="Z46" i="3"/>
  <c r="AE46" i="3" s="1"/>
  <c r="BW46" i="1"/>
  <c r="Z58" i="3"/>
  <c r="AE58" i="3" s="1"/>
  <c r="AG58" i="3" s="1"/>
  <c r="BW58" i="1"/>
  <c r="Z66" i="3"/>
  <c r="AE66" i="3" s="1"/>
  <c r="BW66" i="1"/>
  <c r="Z60" i="3"/>
  <c r="AE60" i="3" s="1"/>
  <c r="BW60" i="1"/>
  <c r="Z64" i="3"/>
  <c r="AE64" i="3" s="1"/>
  <c r="BW64" i="1"/>
  <c r="Z62" i="3"/>
  <c r="AE62" i="3" s="1"/>
  <c r="AH62" i="3" s="1"/>
  <c r="BW62" i="1"/>
  <c r="Z56" i="3"/>
  <c r="AE56" i="3" s="1"/>
  <c r="AH56" i="3" s="1"/>
  <c r="BW56" i="1"/>
  <c r="Z144" i="3"/>
  <c r="AE144" i="3" s="1"/>
  <c r="AH144" i="3" s="1"/>
  <c r="BW144" i="1"/>
  <c r="Z138" i="3"/>
  <c r="AE138" i="3" s="1"/>
  <c r="BW138" i="1"/>
  <c r="Z146" i="3"/>
  <c r="AE146" i="3" s="1"/>
  <c r="BW146" i="1"/>
  <c r="Z142" i="3"/>
  <c r="AE142" i="3" s="1"/>
  <c r="BW142" i="1"/>
  <c r="Z148" i="3"/>
  <c r="AE148" i="3" s="1"/>
  <c r="BW148" i="1"/>
  <c r="Z140" i="3"/>
  <c r="AE140" i="3" s="1"/>
  <c r="BW140" i="1"/>
  <c r="AG150" i="3"/>
  <c r="Z120" i="3"/>
  <c r="AE120" i="3" s="1"/>
  <c r="BW120" i="1"/>
  <c r="Z118" i="3"/>
  <c r="AE118" i="3" s="1"/>
  <c r="BW118" i="1"/>
  <c r="Z122" i="3"/>
  <c r="AE122" i="3" s="1"/>
  <c r="BW122" i="1"/>
  <c r="Z124" i="3"/>
  <c r="AE124" i="3" s="1"/>
  <c r="BW124" i="1"/>
  <c r="Z126" i="3"/>
  <c r="AE126" i="3" s="1"/>
  <c r="BW126" i="1"/>
  <c r="BW40" i="1"/>
  <c r="Z40" i="3"/>
  <c r="AE40" i="3" s="1"/>
  <c r="AH40" i="3" s="1"/>
  <c r="BW42" i="1"/>
  <c r="Z42" i="3"/>
  <c r="AE42" i="3" s="1"/>
  <c r="BW36" i="1"/>
  <c r="Z36" i="3"/>
  <c r="AE36" i="3" s="1"/>
  <c r="T156" i="3"/>
  <c r="BW34" i="1"/>
  <c r="Z34" i="3"/>
  <c r="Y74" i="3"/>
  <c r="Y156" i="3"/>
  <c r="Z116" i="3"/>
  <c r="Z38" i="3"/>
  <c r="AE38" i="3" s="1"/>
  <c r="AH38" i="3" s="1"/>
  <c r="BW38" i="1"/>
  <c r="BW44" i="1"/>
  <c r="Z44" i="3"/>
  <c r="AE44" i="3" s="1"/>
  <c r="T74" i="3"/>
  <c r="DP68" i="11" l="1"/>
  <c r="DQ68" i="11" s="1"/>
  <c r="DQ84" i="11"/>
  <c r="FQ84" i="11"/>
  <c r="DQ48" i="11"/>
  <c r="FQ48" i="11"/>
  <c r="DQ44" i="11"/>
  <c r="FQ44" i="11"/>
  <c r="DQ40" i="11"/>
  <c r="FQ40" i="11"/>
  <c r="DQ52" i="11"/>
  <c r="FQ52" i="11"/>
  <c r="DQ56" i="11"/>
  <c r="FQ56" i="11"/>
  <c r="FQ94" i="11"/>
  <c r="DQ94" i="11"/>
  <c r="FQ78" i="11"/>
  <c r="DQ78" i="11"/>
  <c r="FQ50" i="11"/>
  <c r="DQ50" i="11"/>
  <c r="DQ92" i="11"/>
  <c r="FQ92" i="11"/>
  <c r="DQ88" i="11"/>
  <c r="FQ88" i="11"/>
  <c r="DQ72" i="11"/>
  <c r="FQ72" i="11"/>
  <c r="DQ66" i="11"/>
  <c r="FQ66" i="11"/>
  <c r="DQ54" i="11"/>
  <c r="FQ54" i="11"/>
  <c r="FQ42" i="11"/>
  <c r="DQ42" i="11"/>
  <c r="DQ70" i="11"/>
  <c r="FQ70" i="11"/>
  <c r="DQ62" i="11"/>
  <c r="FQ62" i="11"/>
  <c r="DQ90" i="11"/>
  <c r="FQ90" i="11"/>
  <c r="FQ86" i="11"/>
  <c r="DQ86" i="11"/>
  <c r="DQ76" i="11"/>
  <c r="FQ76" i="11"/>
  <c r="DQ64" i="11"/>
  <c r="FQ64" i="11"/>
  <c r="FQ80" i="11"/>
  <c r="DQ80" i="11"/>
  <c r="DQ60" i="11"/>
  <c r="FQ60" i="11"/>
  <c r="FQ74" i="11"/>
  <c r="DQ74" i="11"/>
  <c r="DO100" i="11"/>
  <c r="DP100" i="11"/>
  <c r="DQ58" i="11"/>
  <c r="FQ58" i="11"/>
  <c r="FQ98" i="11"/>
  <c r="DQ98" i="11"/>
  <c r="FQ82" i="11"/>
  <c r="DQ82" i="11"/>
  <c r="DQ46" i="11"/>
  <c r="FQ46" i="11"/>
  <c r="FQ38" i="11"/>
  <c r="DQ38" i="11"/>
  <c r="FQ96" i="11"/>
  <c r="DQ96" i="11"/>
  <c r="DQ26" i="11"/>
  <c r="FQ26" i="11"/>
  <c r="DQ20" i="11"/>
  <c r="FQ20" i="11"/>
  <c r="DQ34" i="11"/>
  <c r="FQ34" i="11"/>
  <c r="DQ28" i="11"/>
  <c r="FQ28" i="11"/>
  <c r="DQ24" i="11"/>
  <c r="FQ24" i="11"/>
  <c r="DQ36" i="11"/>
  <c r="FQ36" i="11"/>
  <c r="DQ32" i="11"/>
  <c r="FQ32" i="11"/>
  <c r="DQ30" i="11"/>
  <c r="FQ30" i="11"/>
  <c r="DQ22" i="11"/>
  <c r="FQ22" i="11"/>
  <c r="K1143" i="2"/>
  <c r="Q1143" i="2" s="1"/>
  <c r="AO130" i="3"/>
  <c r="AG152" i="3"/>
  <c r="AH152" i="3"/>
  <c r="AO48" i="3"/>
  <c r="AH70" i="3"/>
  <c r="AJ70" i="3" s="1"/>
  <c r="AG130" i="3"/>
  <c r="AJ130" i="3" s="1"/>
  <c r="AH48" i="3"/>
  <c r="AJ48" i="3" s="1"/>
  <c r="AO140" i="3"/>
  <c r="AH140" i="3"/>
  <c r="AO148" i="3"/>
  <c r="AH148" i="3"/>
  <c r="AO142" i="3"/>
  <c r="AH142" i="3"/>
  <c r="AO146" i="3"/>
  <c r="AH146" i="3"/>
  <c r="AG138" i="3"/>
  <c r="AH138" i="3"/>
  <c r="AG64" i="3"/>
  <c r="AH64" i="3"/>
  <c r="AO60" i="3"/>
  <c r="AH60" i="3"/>
  <c r="AO66" i="3"/>
  <c r="AH66" i="3"/>
  <c r="AO58" i="3"/>
  <c r="AH58" i="3"/>
  <c r="AJ58" i="3" s="1"/>
  <c r="AO46" i="3"/>
  <c r="AH46" i="3"/>
  <c r="AO68" i="3"/>
  <c r="AH68" i="3"/>
  <c r="AJ68" i="3" s="1"/>
  <c r="AO128" i="3"/>
  <c r="AH128" i="3"/>
  <c r="AO150" i="3"/>
  <c r="AH150" i="3"/>
  <c r="AJ150" i="3" s="1"/>
  <c r="AO44" i="3"/>
  <c r="AH44" i="3"/>
  <c r="AO36" i="3"/>
  <c r="AH36" i="3"/>
  <c r="AO42" i="3"/>
  <c r="AH42" i="3"/>
  <c r="AO126" i="3"/>
  <c r="AH126" i="3"/>
  <c r="AO124" i="3"/>
  <c r="AH124" i="3"/>
  <c r="AO122" i="3"/>
  <c r="AH122" i="3"/>
  <c r="AO118" i="3"/>
  <c r="AH118" i="3"/>
  <c r="AO120" i="3"/>
  <c r="AH120" i="3"/>
  <c r="AG46" i="3"/>
  <c r="AO64" i="3"/>
  <c r="AG128" i="3"/>
  <c r="AG120" i="3"/>
  <c r="AG126" i="3"/>
  <c r="AO138" i="3"/>
  <c r="AG66" i="3"/>
  <c r="AG142" i="3"/>
  <c r="AG60" i="3"/>
  <c r="AG122" i="3"/>
  <c r="AJ122" i="3" s="1"/>
  <c r="AG118" i="3"/>
  <c r="AO56" i="3"/>
  <c r="AG56" i="3"/>
  <c r="AJ56" i="3" s="1"/>
  <c r="AO62" i="3"/>
  <c r="AG62" i="3"/>
  <c r="AJ62" i="3" s="1"/>
  <c r="AG124" i="3"/>
  <c r="AJ124" i="3" s="1"/>
  <c r="AG146" i="3"/>
  <c r="AG140" i="3"/>
  <c r="AJ140" i="3" s="1"/>
  <c r="AO144" i="3"/>
  <c r="AG144" i="3"/>
  <c r="AG148" i="3"/>
  <c r="AG44" i="3"/>
  <c r="AJ44" i="3" s="1"/>
  <c r="AE116" i="3"/>
  <c r="AH116" i="3" s="1"/>
  <c r="Z156" i="3"/>
  <c r="AO40" i="3"/>
  <c r="AG40" i="3"/>
  <c r="AJ40" i="3" s="1"/>
  <c r="K151" i="6"/>
  <c r="K157" i="6" s="1"/>
  <c r="H19" i="1"/>
  <c r="AO38" i="3"/>
  <c r="AG38" i="3"/>
  <c r="AJ38" i="3" s="1"/>
  <c r="AE34" i="3"/>
  <c r="AH34" i="3" s="1"/>
  <c r="Z74" i="3"/>
  <c r="P151" i="6"/>
  <c r="P157" i="6" s="1"/>
  <c r="H101" i="1"/>
  <c r="AG42" i="3"/>
  <c r="AG36" i="3"/>
  <c r="AJ36" i="3" s="1"/>
  <c r="FQ68" i="11" l="1"/>
  <c r="FT68" i="11" s="1"/>
  <c r="HA58" i="11"/>
  <c r="HI58" i="11" s="1"/>
  <c r="FR58" i="11"/>
  <c r="FT58" i="11"/>
  <c r="HA96" i="11"/>
  <c r="HI96" i="11" s="1"/>
  <c r="FR96" i="11"/>
  <c r="FU96" i="11" s="1"/>
  <c r="FT96" i="11"/>
  <c r="FT38" i="11"/>
  <c r="HA38" i="11"/>
  <c r="HI38" i="11" s="1"/>
  <c r="FR38" i="11"/>
  <c r="HA82" i="11"/>
  <c r="HI82" i="11" s="1"/>
  <c r="FR82" i="11"/>
  <c r="FU82" i="11" s="1"/>
  <c r="FT82" i="11"/>
  <c r="FT98" i="11"/>
  <c r="HA98" i="11"/>
  <c r="HI98" i="11" s="1"/>
  <c r="FR98" i="11"/>
  <c r="FU98" i="11" s="1"/>
  <c r="FR74" i="11"/>
  <c r="FU74" i="11" s="1"/>
  <c r="HA74" i="11"/>
  <c r="HI74" i="11" s="1"/>
  <c r="FT74" i="11"/>
  <c r="FT80" i="11"/>
  <c r="HA80" i="11"/>
  <c r="HI80" i="11" s="1"/>
  <c r="FR80" i="11"/>
  <c r="FU80" i="11" s="1"/>
  <c r="FT86" i="11"/>
  <c r="HA86" i="11"/>
  <c r="HI86" i="11" s="1"/>
  <c r="FR86" i="11"/>
  <c r="FU86" i="11" s="1"/>
  <c r="HA42" i="11"/>
  <c r="HI42" i="11" s="1"/>
  <c r="FR42" i="11"/>
  <c r="FT42" i="11"/>
  <c r="FT50" i="11"/>
  <c r="HA50" i="11"/>
  <c r="HI50" i="11" s="1"/>
  <c r="FR50" i="11"/>
  <c r="FT78" i="11"/>
  <c r="HA78" i="11"/>
  <c r="HI78" i="11" s="1"/>
  <c r="FR78" i="11"/>
  <c r="FU78" i="11" s="1"/>
  <c r="HA94" i="11"/>
  <c r="HI94" i="11" s="1"/>
  <c r="FR94" i="11"/>
  <c r="FU94" i="11" s="1"/>
  <c r="FT94" i="11"/>
  <c r="FT52" i="11"/>
  <c r="HA52" i="11"/>
  <c r="HI52" i="11" s="1"/>
  <c r="FR52" i="11"/>
  <c r="FT40" i="11"/>
  <c r="HA40" i="11"/>
  <c r="HI40" i="11" s="1"/>
  <c r="FR40" i="11"/>
  <c r="HA44" i="11"/>
  <c r="HI44" i="11" s="1"/>
  <c r="FR44" i="11"/>
  <c r="FT44" i="11"/>
  <c r="FT48" i="11"/>
  <c r="HA48" i="11"/>
  <c r="HI48" i="11" s="1"/>
  <c r="FR48" i="11"/>
  <c r="HA84" i="11"/>
  <c r="HI84" i="11" s="1"/>
  <c r="FR84" i="11"/>
  <c r="FU84" i="11" s="1"/>
  <c r="FT84" i="11"/>
  <c r="HA46" i="11"/>
  <c r="HI46" i="11" s="1"/>
  <c r="FR46" i="11"/>
  <c r="FT46" i="11"/>
  <c r="FQ100" i="11"/>
  <c r="DQ100" i="11"/>
  <c r="FT60" i="11"/>
  <c r="HA60" i="11"/>
  <c r="HI60" i="11" s="1"/>
  <c r="FR60" i="11"/>
  <c r="HA64" i="11"/>
  <c r="HI64" i="11" s="1"/>
  <c r="FR64" i="11"/>
  <c r="FT64" i="11"/>
  <c r="HA76" i="11"/>
  <c r="HI76" i="11" s="1"/>
  <c r="FR76" i="11"/>
  <c r="FU76" i="11" s="1"/>
  <c r="FT76" i="11"/>
  <c r="FT90" i="11"/>
  <c r="HA90" i="11"/>
  <c r="HI90" i="11" s="1"/>
  <c r="FR90" i="11"/>
  <c r="FU90" i="11" s="1"/>
  <c r="HA62" i="11"/>
  <c r="HI62" i="11" s="1"/>
  <c r="FR62" i="11"/>
  <c r="FT62" i="11"/>
  <c r="HA70" i="11"/>
  <c r="HI70" i="11" s="1"/>
  <c r="FR70" i="11"/>
  <c r="FT70" i="11"/>
  <c r="FT54" i="11"/>
  <c r="HA54" i="11"/>
  <c r="HI54" i="11" s="1"/>
  <c r="FR54" i="11"/>
  <c r="FT66" i="11"/>
  <c r="HA66" i="11"/>
  <c r="HI66" i="11" s="1"/>
  <c r="FR66" i="11"/>
  <c r="FR72" i="11"/>
  <c r="FT72" i="11"/>
  <c r="HA72" i="11"/>
  <c r="HI72" i="11" s="1"/>
  <c r="HA88" i="11"/>
  <c r="HI88" i="11" s="1"/>
  <c r="FR88" i="11"/>
  <c r="FU88" i="11" s="1"/>
  <c r="FT88" i="11"/>
  <c r="FT92" i="11"/>
  <c r="HA92" i="11"/>
  <c r="HI92" i="11" s="1"/>
  <c r="FR92" i="11"/>
  <c r="FU92" i="11" s="1"/>
  <c r="FR68" i="11"/>
  <c r="HA56" i="11"/>
  <c r="HI56" i="11" s="1"/>
  <c r="FR56" i="11"/>
  <c r="FT56" i="11"/>
  <c r="FT22" i="11"/>
  <c r="HA22" i="11"/>
  <c r="FR22" i="11"/>
  <c r="FT30" i="11"/>
  <c r="HA30" i="11"/>
  <c r="FR30" i="11"/>
  <c r="HA32" i="11"/>
  <c r="FR32" i="11"/>
  <c r="FT32" i="11"/>
  <c r="HA36" i="11"/>
  <c r="FR36" i="11"/>
  <c r="FT36" i="11"/>
  <c r="HA24" i="11"/>
  <c r="FR24" i="11"/>
  <c r="FT24" i="11"/>
  <c r="HA28" i="11"/>
  <c r="FR28" i="11"/>
  <c r="FT28" i="11"/>
  <c r="FT34" i="11"/>
  <c r="HA34" i="11"/>
  <c r="FR34" i="11"/>
  <c r="HA20" i="11"/>
  <c r="FR20" i="11"/>
  <c r="FT20" i="11"/>
  <c r="FT26" i="11"/>
  <c r="HA26" i="11"/>
  <c r="FR26" i="11"/>
  <c r="X110" i="3"/>
  <c r="U140" i="3" s="1"/>
  <c r="X28" i="3"/>
  <c r="AJ142" i="3"/>
  <c r="AJ152" i="3"/>
  <c r="AJ120" i="3"/>
  <c r="AJ42" i="3"/>
  <c r="AJ60" i="3"/>
  <c r="AJ66" i="3"/>
  <c r="AJ128" i="3"/>
  <c r="AJ46" i="3"/>
  <c r="AJ118" i="3"/>
  <c r="AJ144" i="3"/>
  <c r="AJ148" i="3"/>
  <c r="AJ146" i="3"/>
  <c r="AJ126" i="3"/>
  <c r="AJ64" i="3"/>
  <c r="AJ138" i="3"/>
  <c r="CF138" i="1"/>
  <c r="H6" i="8"/>
  <c r="AG34" i="3"/>
  <c r="AJ34" i="3" s="1"/>
  <c r="AO34" i="3"/>
  <c r="U34" i="3" s="1"/>
  <c r="E6" i="8"/>
  <c r="AO116" i="3"/>
  <c r="AG116" i="3"/>
  <c r="AJ116" i="3" s="1"/>
  <c r="U148" i="3"/>
  <c r="U128" i="3"/>
  <c r="U120" i="3"/>
  <c r="U152" i="3"/>
  <c r="CL120" i="3"/>
  <c r="CL146" i="3"/>
  <c r="CL126" i="3"/>
  <c r="CL116" i="3"/>
  <c r="U116" i="3"/>
  <c r="U142" i="3"/>
  <c r="U124" i="3"/>
  <c r="U150" i="3"/>
  <c r="CL138" i="3"/>
  <c r="CM138" i="3" s="1"/>
  <c r="CN138" i="3" s="1"/>
  <c r="CP138" i="3" s="1"/>
  <c r="CL128" i="3"/>
  <c r="CM128" i="3" s="1"/>
  <c r="CN128" i="3" s="1"/>
  <c r="CP128" i="3" s="1"/>
  <c r="CL148" i="3"/>
  <c r="CL140" i="3"/>
  <c r="U62" i="3"/>
  <c r="U46" i="3"/>
  <c r="U36" i="3"/>
  <c r="U48" i="3"/>
  <c r="U58" i="3"/>
  <c r="U64" i="3"/>
  <c r="U56" i="3"/>
  <c r="CL36" i="3"/>
  <c r="CL34" i="3"/>
  <c r="CL66" i="3"/>
  <c r="CL56" i="3"/>
  <c r="CM56" i="3" s="1"/>
  <c r="CN56" i="3" s="1"/>
  <c r="CP56" i="3" s="1"/>
  <c r="CL38" i="3"/>
  <c r="CL46" i="3"/>
  <c r="CM46" i="3" s="1"/>
  <c r="CN46" i="3" s="1"/>
  <c r="CP46" i="3" s="1"/>
  <c r="CL40" i="3"/>
  <c r="CL58" i="3"/>
  <c r="U44" i="3"/>
  <c r="U40" i="3"/>
  <c r="U68" i="3"/>
  <c r="U70" i="3"/>
  <c r="U38" i="3"/>
  <c r="U42" i="3"/>
  <c r="U60" i="3"/>
  <c r="U66" i="3"/>
  <c r="CL62" i="3"/>
  <c r="CL68" i="3"/>
  <c r="CM68" i="3" s="1"/>
  <c r="CN68" i="3" s="1"/>
  <c r="CP68" i="3" s="1"/>
  <c r="CL42" i="3"/>
  <c r="CL64" i="3"/>
  <c r="CL44" i="3"/>
  <c r="CL60" i="3"/>
  <c r="CL48" i="3"/>
  <c r="CM48" i="3" s="1"/>
  <c r="CN48" i="3" s="1"/>
  <c r="CP48" i="3" s="1"/>
  <c r="CL70" i="3"/>
  <c r="CM70" i="3" s="1"/>
  <c r="CN70" i="3" s="1"/>
  <c r="CP70" i="3" s="1"/>
  <c r="FU72" i="11" l="1"/>
  <c r="U66" i="12"/>
  <c r="V66" i="12" s="1"/>
  <c r="FU70" i="11"/>
  <c r="U64" i="12"/>
  <c r="V64" i="12" s="1"/>
  <c r="HA68" i="11"/>
  <c r="HI68" i="11" s="1"/>
  <c r="HP68" i="11" s="1"/>
  <c r="FU68" i="11"/>
  <c r="U62" i="12"/>
  <c r="V62" i="12" s="1"/>
  <c r="FU66" i="11"/>
  <c r="U60" i="12"/>
  <c r="V60" i="12" s="1"/>
  <c r="FU64" i="11"/>
  <c r="U58" i="12"/>
  <c r="V58" i="12" s="1"/>
  <c r="FU62" i="11"/>
  <c r="U56" i="12"/>
  <c r="V56" i="12" s="1"/>
  <c r="FU58" i="11"/>
  <c r="U52" i="12"/>
  <c r="V52" i="12" s="1"/>
  <c r="FU56" i="11"/>
  <c r="U50" i="12"/>
  <c r="V50" i="12" s="1"/>
  <c r="FU54" i="11"/>
  <c r="U48" i="12"/>
  <c r="V48" i="12" s="1"/>
  <c r="FU52" i="11"/>
  <c r="U46" i="12"/>
  <c r="V46" i="12" s="1"/>
  <c r="FU50" i="11"/>
  <c r="U44" i="12"/>
  <c r="V44" i="12" s="1"/>
  <c r="FU48" i="11"/>
  <c r="U42" i="12"/>
  <c r="V42" i="12" s="1"/>
  <c r="FU46" i="11"/>
  <c r="U40" i="12"/>
  <c r="V40" i="12" s="1"/>
  <c r="FU44" i="11"/>
  <c r="U38" i="12"/>
  <c r="V38" i="12" s="1"/>
  <c r="FU42" i="11"/>
  <c r="U36" i="12"/>
  <c r="V36" i="12" s="1"/>
  <c r="FU40" i="11"/>
  <c r="U34" i="12"/>
  <c r="V34" i="12" s="1"/>
  <c r="FU38" i="11"/>
  <c r="U32" i="12"/>
  <c r="V32" i="12" s="1"/>
  <c r="FU60" i="11"/>
  <c r="U54" i="12"/>
  <c r="V54" i="12" s="1"/>
  <c r="HO92" i="11"/>
  <c r="HP92" i="11"/>
  <c r="HO88" i="11"/>
  <c r="HP88" i="11"/>
  <c r="HO54" i="11"/>
  <c r="HP54" i="11"/>
  <c r="HP70" i="11"/>
  <c r="HO70" i="11"/>
  <c r="HO64" i="11"/>
  <c r="HP64" i="11"/>
  <c r="HO60" i="11"/>
  <c r="HP60" i="11"/>
  <c r="HO46" i="11"/>
  <c r="HP46" i="11"/>
  <c r="HP52" i="11"/>
  <c r="HO52" i="11"/>
  <c r="HP94" i="11"/>
  <c r="HO94" i="11"/>
  <c r="HO78" i="11"/>
  <c r="HP78" i="11"/>
  <c r="HP80" i="11"/>
  <c r="HO80" i="11"/>
  <c r="HP98" i="11"/>
  <c r="HO98" i="11"/>
  <c r="HP82" i="11"/>
  <c r="HO82" i="11"/>
  <c r="HP38" i="11"/>
  <c r="HO38" i="11"/>
  <c r="HO96" i="11"/>
  <c r="HP96" i="11"/>
  <c r="HP56" i="11"/>
  <c r="HO56" i="11"/>
  <c r="HP72" i="11"/>
  <c r="HO72" i="11"/>
  <c r="HP66" i="11"/>
  <c r="HO66" i="11"/>
  <c r="HP62" i="11"/>
  <c r="HO62" i="11"/>
  <c r="HP90" i="11"/>
  <c r="HO90" i="11"/>
  <c r="HO76" i="11"/>
  <c r="HP76" i="11"/>
  <c r="HA100" i="11"/>
  <c r="HI100" i="11" s="1"/>
  <c r="FR100" i="11"/>
  <c r="FT100" i="11"/>
  <c r="HP84" i="11"/>
  <c r="HO84" i="11"/>
  <c r="HP48" i="11"/>
  <c r="HO48" i="11"/>
  <c r="HP44" i="11"/>
  <c r="HO44" i="11"/>
  <c r="HP40" i="11"/>
  <c r="HO40" i="11"/>
  <c r="HP50" i="11"/>
  <c r="HO50" i="11"/>
  <c r="HO42" i="11"/>
  <c r="HP42" i="11"/>
  <c r="HP86" i="11"/>
  <c r="HO86" i="11"/>
  <c r="HO74" i="11"/>
  <c r="HP74" i="11"/>
  <c r="HO58" i="11"/>
  <c r="HP58" i="11"/>
  <c r="FU26" i="11"/>
  <c r="U20" i="12"/>
  <c r="V20" i="12" s="1"/>
  <c r="FU34" i="11"/>
  <c r="U28" i="12"/>
  <c r="V28" i="12" s="1"/>
  <c r="FU24" i="11"/>
  <c r="U18" i="12"/>
  <c r="V18" i="12" s="1"/>
  <c r="FU32" i="11"/>
  <c r="U26" i="12"/>
  <c r="V26" i="12" s="1"/>
  <c r="FU30" i="11"/>
  <c r="U24" i="12"/>
  <c r="V24" i="12" s="1"/>
  <c r="FU20" i="11"/>
  <c r="U14" i="12"/>
  <c r="V14" i="12" s="1"/>
  <c r="FU28" i="11"/>
  <c r="U22" i="12"/>
  <c r="V22" i="12" s="1"/>
  <c r="FU36" i="11"/>
  <c r="U30" i="12"/>
  <c r="V30" i="12" s="1"/>
  <c r="FU22" i="11"/>
  <c r="U16" i="12"/>
  <c r="V16" i="12" s="1"/>
  <c r="CL118" i="3"/>
  <c r="CM118" i="3" s="1"/>
  <c r="CN118" i="3" s="1"/>
  <c r="CP118" i="3" s="1"/>
  <c r="CL150" i="3"/>
  <c r="CM150" i="3" s="1"/>
  <c r="CN150" i="3" s="1"/>
  <c r="CP150" i="3" s="1"/>
  <c r="CL130" i="3"/>
  <c r="CM130" i="3" s="1"/>
  <c r="CN130" i="3" s="1"/>
  <c r="CP130" i="3" s="1"/>
  <c r="CL122" i="3"/>
  <c r="U122" i="3"/>
  <c r="U144" i="3"/>
  <c r="U118" i="3"/>
  <c r="CL142" i="3"/>
  <c r="CL152" i="3"/>
  <c r="CM152" i="3" s="1"/>
  <c r="CN152" i="3" s="1"/>
  <c r="CP152" i="3" s="1"/>
  <c r="CL124" i="3"/>
  <c r="CL144" i="3"/>
  <c r="CM144" i="3" s="1"/>
  <c r="CN144" i="3" s="1"/>
  <c r="CP144" i="3" s="1"/>
  <c r="U130" i="3"/>
  <c r="U146" i="3"/>
  <c r="V146" i="3" s="1"/>
  <c r="U126" i="3"/>
  <c r="U138" i="3"/>
  <c r="V138" i="3" s="1"/>
  <c r="CM148" i="3"/>
  <c r="CN148" i="3" s="1"/>
  <c r="CP148" i="3" s="1"/>
  <c r="DJ148" i="1"/>
  <c r="V152" i="3"/>
  <c r="DO152" i="3" s="1"/>
  <c r="DP152" i="3" s="1"/>
  <c r="CF152" i="1"/>
  <c r="DJ144" i="1"/>
  <c r="CM126" i="3"/>
  <c r="CN126" i="3" s="1"/>
  <c r="CP126" i="3" s="1"/>
  <c r="DJ126" i="1"/>
  <c r="CM122" i="3"/>
  <c r="CN122" i="3" s="1"/>
  <c r="CP122" i="3" s="1"/>
  <c r="DJ122" i="1"/>
  <c r="CM62" i="3"/>
  <c r="CN62" i="3" s="1"/>
  <c r="CP62" i="3" s="1"/>
  <c r="DJ62" i="1"/>
  <c r="CM66" i="3"/>
  <c r="CN66" i="3" s="1"/>
  <c r="CP66" i="3" s="1"/>
  <c r="DJ66" i="1"/>
  <c r="CM40" i="3"/>
  <c r="CN40" i="3" s="1"/>
  <c r="CP40" i="3" s="1"/>
  <c r="DJ40" i="1"/>
  <c r="V70" i="3"/>
  <c r="FK70" i="3" s="1"/>
  <c r="CF70" i="1"/>
  <c r="CM44" i="3"/>
  <c r="CN44" i="3" s="1"/>
  <c r="CP44" i="3" s="1"/>
  <c r="DJ44" i="1"/>
  <c r="V48" i="3"/>
  <c r="DO48" i="3" s="1"/>
  <c r="DP48" i="3" s="1"/>
  <c r="CF48" i="1"/>
  <c r="V130" i="3"/>
  <c r="CF130" i="1"/>
  <c r="CM116" i="3"/>
  <c r="CN116" i="3" s="1"/>
  <c r="CP116" i="3" s="1"/>
  <c r="DJ116" i="1"/>
  <c r="CM140" i="3"/>
  <c r="CN140" i="3" s="1"/>
  <c r="CP140" i="3" s="1"/>
  <c r="DJ140" i="1"/>
  <c r="V150" i="3"/>
  <c r="AI150" i="3" s="1"/>
  <c r="CF150" i="1"/>
  <c r="CM146" i="3"/>
  <c r="CN146" i="3" s="1"/>
  <c r="CP146" i="3" s="1"/>
  <c r="DJ146" i="1"/>
  <c r="V128" i="3"/>
  <c r="CF128" i="1"/>
  <c r="CM124" i="3"/>
  <c r="CN124" i="3" s="1"/>
  <c r="CP124" i="3" s="1"/>
  <c r="DJ124" i="1"/>
  <c r="V68" i="3"/>
  <c r="DO68" i="3" s="1"/>
  <c r="DP68" i="3" s="1"/>
  <c r="CF68" i="1"/>
  <c r="CM64" i="3"/>
  <c r="CN64" i="3" s="1"/>
  <c r="CP64" i="3" s="1"/>
  <c r="DJ64" i="1"/>
  <c r="CM58" i="3"/>
  <c r="CN58" i="3" s="1"/>
  <c r="CP58" i="3" s="1"/>
  <c r="DJ58" i="1"/>
  <c r="CM42" i="3"/>
  <c r="CN42" i="3" s="1"/>
  <c r="CP42" i="3" s="1"/>
  <c r="DJ42" i="1"/>
  <c r="V46" i="3"/>
  <c r="W46" i="3" s="1"/>
  <c r="AQ46" i="3" s="1"/>
  <c r="CF46" i="1"/>
  <c r="DJ118" i="1"/>
  <c r="CM36" i="3"/>
  <c r="CN36" i="3" s="1"/>
  <c r="CP36" i="3" s="1"/>
  <c r="DJ36" i="1"/>
  <c r="CM34" i="3"/>
  <c r="CN34" i="3" s="1"/>
  <c r="CP34" i="3" s="1"/>
  <c r="DJ34" i="1"/>
  <c r="V60" i="3"/>
  <c r="CF60" i="1"/>
  <c r="V64" i="3"/>
  <c r="CF64" i="1"/>
  <c r="CM60" i="3"/>
  <c r="CN60" i="3" s="1"/>
  <c r="CP60" i="3" s="1"/>
  <c r="DJ60" i="1"/>
  <c r="V66" i="3"/>
  <c r="CF66" i="1"/>
  <c r="V56" i="3"/>
  <c r="CF56" i="1"/>
  <c r="V58" i="3"/>
  <c r="CF58" i="1"/>
  <c r="V62" i="3"/>
  <c r="CF62" i="1"/>
  <c r="V142" i="3"/>
  <c r="CF142" i="1"/>
  <c r="V148" i="3"/>
  <c r="CF148" i="1"/>
  <c r="BF138" i="1"/>
  <c r="V144" i="3"/>
  <c r="CF144" i="1"/>
  <c r="CM142" i="3"/>
  <c r="CN142" i="3" s="1"/>
  <c r="CP142" i="3" s="1"/>
  <c r="DJ142" i="1"/>
  <c r="CF146" i="1"/>
  <c r="V140" i="3"/>
  <c r="CF140" i="1"/>
  <c r="AN138" i="1"/>
  <c r="V122" i="3"/>
  <c r="CF122" i="1"/>
  <c r="V118" i="3"/>
  <c r="CF118" i="1"/>
  <c r="V126" i="3"/>
  <c r="CF126" i="1"/>
  <c r="V124" i="3"/>
  <c r="CF124" i="1"/>
  <c r="V116" i="3"/>
  <c r="CF116" i="1"/>
  <c r="CM120" i="3"/>
  <c r="CN120" i="3" s="1"/>
  <c r="CP120" i="3" s="1"/>
  <c r="DJ120" i="1"/>
  <c r="V120" i="3"/>
  <c r="CF120" i="1"/>
  <c r="V38" i="3"/>
  <c r="CF38" i="1"/>
  <c r="CF44" i="1"/>
  <c r="V44" i="3"/>
  <c r="CM38" i="3"/>
  <c r="CN38" i="3" s="1"/>
  <c r="CP38" i="3" s="1"/>
  <c r="DJ38" i="1"/>
  <c r="FK138" i="3"/>
  <c r="V42" i="3"/>
  <c r="CF42" i="1"/>
  <c r="V40" i="3"/>
  <c r="CF40" i="1"/>
  <c r="CF36" i="1"/>
  <c r="V36" i="3"/>
  <c r="V34" i="3"/>
  <c r="CF34" i="1"/>
  <c r="AH138" i="1"/>
  <c r="HA138" i="1"/>
  <c r="EV138" i="1"/>
  <c r="KS138" i="3"/>
  <c r="KQ138" i="3"/>
  <c r="N114" i="6"/>
  <c r="HO68" i="11" l="1"/>
  <c r="IC68" i="11" s="1"/>
  <c r="X62" i="12" s="1"/>
  <c r="Y62" i="12" s="1"/>
  <c r="FU100" i="11"/>
  <c r="U94" i="12"/>
  <c r="V94" i="12" s="1"/>
  <c r="IC60" i="11"/>
  <c r="X54" i="12" s="1"/>
  <c r="Y54" i="12" s="1"/>
  <c r="IC64" i="11"/>
  <c r="IJ64" i="11" s="1"/>
  <c r="IC54" i="11"/>
  <c r="X48" i="12" s="1"/>
  <c r="Y48" i="12" s="1"/>
  <c r="IC88" i="11"/>
  <c r="ID88" i="11" s="1"/>
  <c r="IC92" i="11"/>
  <c r="X86" i="12" s="1"/>
  <c r="Y86" i="12" s="1"/>
  <c r="IC58" i="11"/>
  <c r="ID58" i="11" s="1"/>
  <c r="IC74" i="11"/>
  <c r="IJ74" i="11" s="1"/>
  <c r="IC42" i="11"/>
  <c r="IJ42" i="11" s="1"/>
  <c r="IC90" i="11"/>
  <c r="ID90" i="11" s="1"/>
  <c r="IC62" i="11"/>
  <c r="ID62" i="11" s="1"/>
  <c r="IC66" i="11"/>
  <c r="IF66" i="11" s="1"/>
  <c r="IC72" i="11"/>
  <c r="ID72" i="11" s="1"/>
  <c r="IC56" i="11"/>
  <c r="IJ56" i="11" s="1"/>
  <c r="IC38" i="11"/>
  <c r="ID38" i="11" s="1"/>
  <c r="IC82" i="11"/>
  <c r="ID82" i="11" s="1"/>
  <c r="IC98" i="11"/>
  <c r="IJ98" i="11" s="1"/>
  <c r="IC80" i="11"/>
  <c r="IJ80" i="11" s="1"/>
  <c r="IC94" i="11"/>
  <c r="IF94" i="11" s="1"/>
  <c r="IC52" i="11"/>
  <c r="IF52" i="11" s="1"/>
  <c r="IC86" i="11"/>
  <c r="X80" i="12" s="1"/>
  <c r="Y80" i="12" s="1"/>
  <c r="IC50" i="11"/>
  <c r="X44" i="12" s="1"/>
  <c r="Y44" i="12" s="1"/>
  <c r="IC40" i="11"/>
  <c r="X34" i="12" s="1"/>
  <c r="Y34" i="12" s="1"/>
  <c r="IC44" i="11"/>
  <c r="X38" i="12" s="1"/>
  <c r="Y38" i="12" s="1"/>
  <c r="IC48" i="11"/>
  <c r="X42" i="12" s="1"/>
  <c r="Y42" i="12" s="1"/>
  <c r="IC84" i="11"/>
  <c r="X78" i="12" s="1"/>
  <c r="Y78" i="12" s="1"/>
  <c r="HP100" i="11"/>
  <c r="HO100" i="11"/>
  <c r="IC76" i="11"/>
  <c r="X70" i="12" s="1"/>
  <c r="Y70" i="12" s="1"/>
  <c r="IC96" i="11"/>
  <c r="X90" i="12" s="1"/>
  <c r="Y90" i="12" s="1"/>
  <c r="IC78" i="11"/>
  <c r="X72" i="12" s="1"/>
  <c r="Y72" i="12" s="1"/>
  <c r="IC46" i="11"/>
  <c r="X40" i="12" s="1"/>
  <c r="Y40" i="12" s="1"/>
  <c r="IC70" i="11"/>
  <c r="X64" i="12" s="1"/>
  <c r="Y64" i="12" s="1"/>
  <c r="FK130" i="3"/>
  <c r="DO138" i="3"/>
  <c r="DP138" i="3" s="1"/>
  <c r="DQ138" i="3" s="1"/>
  <c r="ED138" i="3" s="1"/>
  <c r="AI138" i="3"/>
  <c r="W138" i="3"/>
  <c r="AQ138" i="3" s="1"/>
  <c r="DK18" i="11"/>
  <c r="CN18" i="13" s="1"/>
  <c r="AI152" i="3"/>
  <c r="DO148" i="3"/>
  <c r="DP148" i="3" s="1"/>
  <c r="DQ148" i="3" s="1"/>
  <c r="ED148" i="3" s="1"/>
  <c r="W142" i="3"/>
  <c r="AQ142" i="3" s="1"/>
  <c r="AI46" i="3"/>
  <c r="AK46" i="3" s="1"/>
  <c r="AI68" i="3"/>
  <c r="AK68" i="3" s="1"/>
  <c r="W128" i="3"/>
  <c r="AQ128" i="3" s="1"/>
  <c r="FK150" i="3"/>
  <c r="DO140" i="3"/>
  <c r="DP140" i="3" s="1"/>
  <c r="DQ140" i="3" s="1"/>
  <c r="ED140" i="3" s="1"/>
  <c r="DO146" i="3"/>
  <c r="DP146" i="3" s="1"/>
  <c r="DQ146" i="3" s="1"/>
  <c r="ED146" i="3" s="1"/>
  <c r="DO144" i="3"/>
  <c r="DP144" i="3" s="1"/>
  <c r="DQ144" i="3" s="1"/>
  <c r="ED144" i="3" s="1"/>
  <c r="W62" i="3"/>
  <c r="AQ62" i="3" s="1"/>
  <c r="DO58" i="3"/>
  <c r="DP58" i="3" s="1"/>
  <c r="DQ58" i="3" s="1"/>
  <c r="ED58" i="3" s="1"/>
  <c r="FK56" i="3"/>
  <c r="W66" i="3"/>
  <c r="AQ66" i="3" s="1"/>
  <c r="DO64" i="3"/>
  <c r="DP64" i="3" s="1"/>
  <c r="DQ64" i="3" s="1"/>
  <c r="ED64" i="3" s="1"/>
  <c r="W60" i="3"/>
  <c r="AQ60" i="3" s="1"/>
  <c r="DO130" i="3"/>
  <c r="DP130" i="3" s="1"/>
  <c r="DQ130" i="3" s="1"/>
  <c r="ED130" i="3" s="1"/>
  <c r="W48" i="3"/>
  <c r="AQ48" i="3" s="1"/>
  <c r="DO70" i="3"/>
  <c r="DP70" i="3" s="1"/>
  <c r="DQ70" i="3" s="1"/>
  <c r="ED70" i="3" s="1"/>
  <c r="W152" i="3"/>
  <c r="AQ152" i="3" s="1"/>
  <c r="DO150" i="3"/>
  <c r="DP150" i="3" s="1"/>
  <c r="DQ150" i="3" s="1"/>
  <c r="ED150" i="3" s="1"/>
  <c r="W68" i="3"/>
  <c r="AQ68" i="3" s="1"/>
  <c r="FK128" i="3"/>
  <c r="AI34" i="3"/>
  <c r="AK34" i="3" s="1"/>
  <c r="W146" i="3"/>
  <c r="AQ146" i="3" s="1"/>
  <c r="W150" i="3"/>
  <c r="AQ150" i="3" s="1"/>
  <c r="FK68" i="3"/>
  <c r="FK46" i="3"/>
  <c r="CP74" i="3"/>
  <c r="CP156" i="3"/>
  <c r="AI130" i="3"/>
  <c r="FK152" i="3"/>
  <c r="QE138" i="3"/>
  <c r="QF138" i="3"/>
  <c r="DQ152" i="3"/>
  <c r="ED152" i="3" s="1"/>
  <c r="AN152" i="1"/>
  <c r="W130" i="3"/>
  <c r="AQ130" i="3" s="1"/>
  <c r="W70" i="3"/>
  <c r="AQ70" i="3" s="1"/>
  <c r="AI48" i="3"/>
  <c r="AK48" i="3" s="1"/>
  <c r="AI140" i="3"/>
  <c r="AK140" i="3" s="1"/>
  <c r="AI144" i="3"/>
  <c r="AK144" i="3" s="1"/>
  <c r="W148" i="3"/>
  <c r="AQ148" i="3" s="1"/>
  <c r="DO62" i="3"/>
  <c r="DP62" i="3" s="1"/>
  <c r="DQ62" i="3" s="1"/>
  <c r="ED62" i="3" s="1"/>
  <c r="AI70" i="3"/>
  <c r="FK48" i="3"/>
  <c r="AI60" i="3"/>
  <c r="AK60" i="3" s="1"/>
  <c r="AN70" i="1"/>
  <c r="DQ48" i="3"/>
  <c r="ED48" i="3" s="1"/>
  <c r="AN48" i="1"/>
  <c r="AN130" i="1"/>
  <c r="AI66" i="3"/>
  <c r="AK66" i="3" s="1"/>
  <c r="BH66" i="3" s="1"/>
  <c r="BH140" i="3"/>
  <c r="BH144" i="3"/>
  <c r="BI144" i="3" s="1"/>
  <c r="JF144" i="3" s="1"/>
  <c r="AK70" i="3"/>
  <c r="BH70" i="3" s="1"/>
  <c r="BH150" i="3"/>
  <c r="BI150" i="3" s="1"/>
  <c r="AK150" i="3"/>
  <c r="BH48" i="3"/>
  <c r="BH68" i="3"/>
  <c r="AH68" i="1" s="1"/>
  <c r="BH46" i="3"/>
  <c r="AK130" i="3"/>
  <c r="BH130" i="3" s="1"/>
  <c r="BI130" i="3" s="1"/>
  <c r="BH152" i="3"/>
  <c r="BI152" i="3" s="1"/>
  <c r="AK152" i="3"/>
  <c r="BH60" i="3"/>
  <c r="BI60" i="3" s="1"/>
  <c r="AN150" i="1"/>
  <c r="AI128" i="3"/>
  <c r="DO128" i="3"/>
  <c r="DP128" i="3" s="1"/>
  <c r="DQ68" i="3"/>
  <c r="ED68" i="3" s="1"/>
  <c r="AN68" i="1"/>
  <c r="W58" i="3"/>
  <c r="AQ58" i="3" s="1"/>
  <c r="W64" i="3"/>
  <c r="AQ64" i="3" s="1"/>
  <c r="CN74" i="3"/>
  <c r="DO46" i="3"/>
  <c r="DP46" i="3" s="1"/>
  <c r="AI62" i="3"/>
  <c r="FK58" i="3"/>
  <c r="DO66" i="3"/>
  <c r="DP66" i="3" s="1"/>
  <c r="DQ66" i="3" s="1"/>
  <c r="ED66" i="3" s="1"/>
  <c r="FK64" i="3"/>
  <c r="DO60" i="3"/>
  <c r="DP60" i="3" s="1"/>
  <c r="AN60" i="1" s="1"/>
  <c r="FK62" i="3"/>
  <c r="AI58" i="3"/>
  <c r="FK66" i="3"/>
  <c r="AI64" i="3"/>
  <c r="FK60" i="3"/>
  <c r="W140" i="3"/>
  <c r="AQ140" i="3" s="1"/>
  <c r="FK146" i="3"/>
  <c r="W144" i="3"/>
  <c r="AQ144" i="3" s="1"/>
  <c r="AI142" i="3"/>
  <c r="AN58" i="1"/>
  <c r="W56" i="3"/>
  <c r="AQ56" i="3" s="1"/>
  <c r="DO56" i="3"/>
  <c r="DP56" i="3" s="1"/>
  <c r="AI56" i="3"/>
  <c r="AK56" i="3" s="1"/>
  <c r="BH56" i="3" s="1"/>
  <c r="AN62" i="1"/>
  <c r="AN64" i="1"/>
  <c r="FK148" i="3"/>
  <c r="DO142" i="3"/>
  <c r="DP142" i="3" s="1"/>
  <c r="DQ142" i="3" s="1"/>
  <c r="ED142" i="3" s="1"/>
  <c r="FK140" i="3"/>
  <c r="AI146" i="3"/>
  <c r="FK144" i="3"/>
  <c r="AI148" i="3"/>
  <c r="FK142" i="3"/>
  <c r="CN156" i="3"/>
  <c r="AH144" i="1"/>
  <c r="AN142" i="1"/>
  <c r="KX138" i="3"/>
  <c r="KY138" i="3"/>
  <c r="QH138" i="3"/>
  <c r="AN140" i="1"/>
  <c r="AN146" i="1"/>
  <c r="AN144" i="1"/>
  <c r="AN148" i="1"/>
  <c r="DO126" i="3"/>
  <c r="DP126" i="3" s="1"/>
  <c r="FK126" i="3"/>
  <c r="AI126" i="3"/>
  <c r="W126" i="3"/>
  <c r="AQ126" i="3" s="1"/>
  <c r="DO118" i="3"/>
  <c r="DP118" i="3" s="1"/>
  <c r="FK118" i="3"/>
  <c r="AI118" i="3"/>
  <c r="W118" i="3"/>
  <c r="AQ118" i="3" s="1"/>
  <c r="AI122" i="3"/>
  <c r="FK122" i="3"/>
  <c r="W122" i="3"/>
  <c r="AQ122" i="3" s="1"/>
  <c r="DO122" i="3"/>
  <c r="DP122" i="3" s="1"/>
  <c r="AI120" i="3"/>
  <c r="W120" i="3"/>
  <c r="AQ120" i="3" s="1"/>
  <c r="DO120" i="3"/>
  <c r="DP120" i="3" s="1"/>
  <c r="FK120" i="3"/>
  <c r="AI116" i="3"/>
  <c r="FK116" i="3"/>
  <c r="DO116" i="3"/>
  <c r="DP116" i="3" s="1"/>
  <c r="W116" i="3"/>
  <c r="AI124" i="3"/>
  <c r="FK124" i="3"/>
  <c r="W124" i="3"/>
  <c r="AQ124" i="3" s="1"/>
  <c r="DO124" i="3"/>
  <c r="DP124" i="3" s="1"/>
  <c r="DO36" i="3"/>
  <c r="DP36" i="3" s="1"/>
  <c r="FK36" i="3"/>
  <c r="AI36" i="3"/>
  <c r="W36" i="3"/>
  <c r="AQ36" i="3" s="1"/>
  <c r="DO38" i="3"/>
  <c r="DP38" i="3" s="1"/>
  <c r="W38" i="3"/>
  <c r="AQ38" i="3" s="1"/>
  <c r="AI38" i="3"/>
  <c r="FK38" i="3"/>
  <c r="DO34" i="3"/>
  <c r="DP34" i="3" s="1"/>
  <c r="BH34" i="3"/>
  <c r="W34" i="3"/>
  <c r="FK34" i="3"/>
  <c r="DO40" i="3"/>
  <c r="DP40" i="3" s="1"/>
  <c r="FK40" i="3"/>
  <c r="AI40" i="3"/>
  <c r="W40" i="3"/>
  <c r="AQ40" i="3" s="1"/>
  <c r="DO42" i="3"/>
  <c r="DP42" i="3" s="1"/>
  <c r="W42" i="3"/>
  <c r="AQ42" i="3" s="1"/>
  <c r="AI42" i="3"/>
  <c r="FK42" i="3"/>
  <c r="DO44" i="3"/>
  <c r="DP44" i="3" s="1"/>
  <c r="FK44" i="3"/>
  <c r="AI44" i="3"/>
  <c r="W44" i="3"/>
  <c r="AQ44" i="3" s="1"/>
  <c r="KT138" i="3"/>
  <c r="KU138" i="3" s="1"/>
  <c r="KV138" i="3" s="1"/>
  <c r="IF42" i="11" l="1"/>
  <c r="IG42" i="11" s="1"/>
  <c r="IJ60" i="11"/>
  <c r="IF80" i="11"/>
  <c r="IG80" i="11" s="1"/>
  <c r="IF38" i="11"/>
  <c r="IG38" i="11" s="1"/>
  <c r="IJ92" i="11"/>
  <c r="ID54" i="11"/>
  <c r="IJ52" i="11"/>
  <c r="IF82" i="11"/>
  <c r="IG82" i="11" s="1"/>
  <c r="IJ90" i="11"/>
  <c r="ID98" i="11"/>
  <c r="IJ72" i="11"/>
  <c r="ID92" i="11"/>
  <c r="IF92" i="11"/>
  <c r="IG92" i="11" s="1"/>
  <c r="IF54" i="11"/>
  <c r="IG54" i="11" s="1"/>
  <c r="IJ54" i="11"/>
  <c r="ID60" i="11"/>
  <c r="IF60" i="11"/>
  <c r="IG60" i="11" s="1"/>
  <c r="AD86" i="12"/>
  <c r="AE86" i="12" s="1"/>
  <c r="IG52" i="11"/>
  <c r="AD46" i="12"/>
  <c r="AE46" i="12" s="1"/>
  <c r="AD36" i="12"/>
  <c r="AE36" i="12" s="1"/>
  <c r="IJ94" i="11"/>
  <c r="X88" i="12"/>
  <c r="Y88" i="12" s="1"/>
  <c r="IF98" i="11"/>
  <c r="X92" i="12"/>
  <c r="Y92" i="12" s="1"/>
  <c r="IJ38" i="11"/>
  <c r="X32" i="12"/>
  <c r="Y32" i="12" s="1"/>
  <c r="IF72" i="11"/>
  <c r="X66" i="12"/>
  <c r="Y66" i="12" s="1"/>
  <c r="IF62" i="11"/>
  <c r="X56" i="12"/>
  <c r="Y56" i="12" s="1"/>
  <c r="ID42" i="11"/>
  <c r="X36" i="12"/>
  <c r="Y36" i="12" s="1"/>
  <c r="IJ58" i="11"/>
  <c r="X52" i="12"/>
  <c r="Y52" i="12" s="1"/>
  <c r="IJ88" i="11"/>
  <c r="X82" i="12"/>
  <c r="Y82" i="12" s="1"/>
  <c r="IF64" i="11"/>
  <c r="X58" i="12"/>
  <c r="Y58" i="12" s="1"/>
  <c r="IG94" i="11"/>
  <c r="AD88" i="12"/>
  <c r="AE88" i="12" s="1"/>
  <c r="AD74" i="12"/>
  <c r="AE74" i="12" s="1"/>
  <c r="AD76" i="12"/>
  <c r="AE76" i="12" s="1"/>
  <c r="IG66" i="11"/>
  <c r="AD60" i="12"/>
  <c r="AE60" i="12" s="1"/>
  <c r="ID52" i="11"/>
  <c r="X46" i="12"/>
  <c r="Y46" i="12" s="1"/>
  <c r="ID80" i="11"/>
  <c r="X74" i="12"/>
  <c r="Y74" i="12" s="1"/>
  <c r="IJ82" i="11"/>
  <c r="X76" i="12"/>
  <c r="Y76" i="12" s="1"/>
  <c r="IF56" i="11"/>
  <c r="X50" i="12"/>
  <c r="Y50" i="12" s="1"/>
  <c r="IJ66" i="11"/>
  <c r="X60" i="12"/>
  <c r="Y60" i="12" s="1"/>
  <c r="IF90" i="11"/>
  <c r="X84" i="12"/>
  <c r="Y84" i="12" s="1"/>
  <c r="IF74" i="11"/>
  <c r="X68" i="12"/>
  <c r="Y68" i="12" s="1"/>
  <c r="IF88" i="11"/>
  <c r="ID64" i="11"/>
  <c r="ID94" i="11"/>
  <c r="IJ62" i="11"/>
  <c r="IF58" i="11"/>
  <c r="ID56" i="11"/>
  <c r="ID66" i="11"/>
  <c r="ID74" i="11"/>
  <c r="IJ70" i="11"/>
  <c r="ID70" i="11"/>
  <c r="IF70" i="11"/>
  <c r="IF78" i="11"/>
  <c r="IJ78" i="11"/>
  <c r="ID78" i="11"/>
  <c r="IJ68" i="11"/>
  <c r="ID68" i="11"/>
  <c r="IF68" i="11"/>
  <c r="IC100" i="11"/>
  <c r="X94" i="12" s="1"/>
  <c r="Y94" i="12" s="1"/>
  <c r="IF84" i="11"/>
  <c r="ID84" i="11"/>
  <c r="IJ84" i="11"/>
  <c r="IJ44" i="11"/>
  <c r="IF44" i="11"/>
  <c r="ID44" i="11"/>
  <c r="IF50" i="11"/>
  <c r="IJ50" i="11"/>
  <c r="ID50" i="11"/>
  <c r="IF46" i="11"/>
  <c r="IJ46" i="11"/>
  <c r="ID46" i="11"/>
  <c r="IF96" i="11"/>
  <c r="IJ96" i="11"/>
  <c r="ID96" i="11"/>
  <c r="IJ76" i="11"/>
  <c r="ID76" i="11"/>
  <c r="IF76" i="11"/>
  <c r="IJ48" i="11"/>
  <c r="IF48" i="11"/>
  <c r="ID48" i="11"/>
  <c r="IF40" i="11"/>
  <c r="ID40" i="11"/>
  <c r="IJ40" i="11"/>
  <c r="IF86" i="11"/>
  <c r="ID86" i="11"/>
  <c r="IJ86" i="11"/>
  <c r="AM18" i="11"/>
  <c r="BB18" i="11" s="1"/>
  <c r="DL18" i="11"/>
  <c r="DY18" i="11" s="1"/>
  <c r="BH138" i="3"/>
  <c r="BI138" i="3" s="1"/>
  <c r="AK138" i="3"/>
  <c r="AN66" i="1"/>
  <c r="BP144" i="3"/>
  <c r="PU144" i="3"/>
  <c r="PV144" i="3" s="1"/>
  <c r="DM144" i="3"/>
  <c r="DN144" i="3" s="1"/>
  <c r="BX144" i="3"/>
  <c r="BY144" i="3" s="1"/>
  <c r="EM144" i="3" s="1"/>
  <c r="EN144" i="3" s="1"/>
  <c r="PY144" i="3"/>
  <c r="PZ144" i="3" s="1"/>
  <c r="BJ144" i="3"/>
  <c r="BQ144" i="3" s="1"/>
  <c r="W154" i="3"/>
  <c r="AH140" i="1"/>
  <c r="BI140" i="3"/>
  <c r="AH152" i="1"/>
  <c r="EA144" i="3"/>
  <c r="EB144" i="3" s="1"/>
  <c r="DX144" i="3"/>
  <c r="DY144" i="3" s="1"/>
  <c r="PW144" i="3"/>
  <c r="PX144" i="3" s="1"/>
  <c r="LD144" i="3"/>
  <c r="LE144" i="3" s="1"/>
  <c r="LF144" i="3" s="1"/>
  <c r="PR144" i="3"/>
  <c r="PS144" i="3" s="1"/>
  <c r="QA144" i="3"/>
  <c r="QB144" i="3" s="1"/>
  <c r="EA140" i="3"/>
  <c r="EB140" i="3" s="1"/>
  <c r="AH150" i="1"/>
  <c r="QF144" i="3"/>
  <c r="QH144" i="3"/>
  <c r="BI68" i="3"/>
  <c r="AH60" i="1"/>
  <c r="EA60" i="3"/>
  <c r="EB60" i="3" s="1"/>
  <c r="PR60" i="3"/>
  <c r="PS60" i="3" s="1"/>
  <c r="BI66" i="3"/>
  <c r="EA66" i="3" s="1"/>
  <c r="EB66" i="3" s="1"/>
  <c r="AH66" i="1"/>
  <c r="BI70" i="3"/>
  <c r="AH70" i="1"/>
  <c r="BP150" i="3"/>
  <c r="PU150" i="3"/>
  <c r="PV150" i="3" s="1"/>
  <c r="PR150" i="3"/>
  <c r="PS150" i="3" s="1"/>
  <c r="JF150" i="3"/>
  <c r="JG150" i="3" s="1"/>
  <c r="JH150" i="3" s="1"/>
  <c r="PW150" i="3"/>
  <c r="PX150" i="3" s="1"/>
  <c r="DM150" i="3"/>
  <c r="DN150" i="3" s="1"/>
  <c r="DX150" i="3"/>
  <c r="DY150" i="3" s="1"/>
  <c r="BX150" i="3"/>
  <c r="BY150" i="3" s="1"/>
  <c r="DS150" i="3"/>
  <c r="DT150" i="3" s="1"/>
  <c r="PY150" i="3"/>
  <c r="PZ150" i="3" s="1"/>
  <c r="LD150" i="3"/>
  <c r="LE150" i="3" s="1"/>
  <c r="LF150" i="3" s="1"/>
  <c r="EA150" i="3"/>
  <c r="EB150" i="3" s="1"/>
  <c r="QA150" i="3"/>
  <c r="QB150" i="3" s="1"/>
  <c r="BJ150" i="3"/>
  <c r="BQ150" i="3" s="1"/>
  <c r="BI48" i="3"/>
  <c r="AH48" i="1"/>
  <c r="AH130" i="1"/>
  <c r="BI46" i="3"/>
  <c r="AH46" i="1"/>
  <c r="BH44" i="3"/>
  <c r="BI44" i="3" s="1"/>
  <c r="AK44" i="3"/>
  <c r="BH42" i="3"/>
  <c r="BI42" i="3" s="1"/>
  <c r="AK42" i="3"/>
  <c r="BH40" i="3"/>
  <c r="BI40" i="3" s="1"/>
  <c r="AK40" i="3"/>
  <c r="AK38" i="3"/>
  <c r="BH38" i="3" s="1"/>
  <c r="AK36" i="3"/>
  <c r="BH36" i="3" s="1"/>
  <c r="BI36" i="3" s="1"/>
  <c r="AK124" i="3"/>
  <c r="BH124" i="3" s="1"/>
  <c r="BI124" i="3" s="1"/>
  <c r="AK116" i="3"/>
  <c r="BH116" i="3" s="1"/>
  <c r="BI116" i="3" s="1"/>
  <c r="AK120" i="3"/>
  <c r="BH120" i="3" s="1"/>
  <c r="BI120" i="3" s="1"/>
  <c r="AK122" i="3"/>
  <c r="BH122" i="3" s="1"/>
  <c r="BI122" i="3" s="1"/>
  <c r="AK118" i="3"/>
  <c r="BH118" i="3" s="1"/>
  <c r="BI118" i="3" s="1"/>
  <c r="AK126" i="3"/>
  <c r="BH126" i="3" s="1"/>
  <c r="BI126" i="3" s="1"/>
  <c r="AK128" i="3"/>
  <c r="BH128" i="3" s="1"/>
  <c r="BI128" i="3" s="1"/>
  <c r="BH148" i="3"/>
  <c r="BI148" i="3" s="1"/>
  <c r="AK148" i="3"/>
  <c r="BH146" i="3"/>
  <c r="BI146" i="3" s="1"/>
  <c r="AK146" i="3"/>
  <c r="BH142" i="3"/>
  <c r="BI142" i="3" s="1"/>
  <c r="AK142" i="3"/>
  <c r="BH64" i="3"/>
  <c r="AK64" i="3"/>
  <c r="BH58" i="3"/>
  <c r="BI58" i="3" s="1"/>
  <c r="AK58" i="3"/>
  <c r="BH62" i="3"/>
  <c r="AK62" i="3"/>
  <c r="EV150" i="1"/>
  <c r="N120" i="6"/>
  <c r="KQ150" i="3"/>
  <c r="KS150" i="3"/>
  <c r="HA150" i="1"/>
  <c r="BF150" i="1"/>
  <c r="DQ128" i="3"/>
  <c r="ED128" i="3" s="1"/>
  <c r="AN128" i="1"/>
  <c r="DQ60" i="3"/>
  <c r="ED60" i="3" s="1"/>
  <c r="KS68" i="3"/>
  <c r="KQ68" i="3"/>
  <c r="N94" i="6"/>
  <c r="AH58" i="1"/>
  <c r="DQ46" i="3"/>
  <c r="AN46" i="1"/>
  <c r="PY60" i="3"/>
  <c r="PZ60" i="3" s="1"/>
  <c r="BX60" i="3"/>
  <c r="BY60" i="3" s="1"/>
  <c r="W72" i="3"/>
  <c r="PW60" i="3"/>
  <c r="PX60" i="3" s="1"/>
  <c r="DX60" i="3"/>
  <c r="DY60" i="3" s="1"/>
  <c r="BJ60" i="3"/>
  <c r="DS144" i="3"/>
  <c r="DT144" i="3" s="1"/>
  <c r="LD60" i="3"/>
  <c r="LE60" i="3" s="1"/>
  <c r="LF60" i="3" s="1"/>
  <c r="PU60" i="3"/>
  <c r="PV60" i="3" s="1"/>
  <c r="JF60" i="3"/>
  <c r="JG60" i="3" s="1"/>
  <c r="JH60" i="3" s="1"/>
  <c r="BP60" i="3"/>
  <c r="QA60" i="3"/>
  <c r="QB60" i="3" s="1"/>
  <c r="DM60" i="3"/>
  <c r="DN60" i="3" s="1"/>
  <c r="KS66" i="3"/>
  <c r="KQ66" i="3"/>
  <c r="N93" i="6"/>
  <c r="AH56" i="1"/>
  <c r="BI56" i="3"/>
  <c r="KS60" i="3"/>
  <c r="N90" i="6"/>
  <c r="KQ60" i="3"/>
  <c r="N89" i="6"/>
  <c r="KS58" i="3"/>
  <c r="KQ58" i="3"/>
  <c r="QH60" i="3"/>
  <c r="BF60" i="1"/>
  <c r="DQ56" i="3"/>
  <c r="ED56" i="3" s="1"/>
  <c r="AN56" i="1"/>
  <c r="KZ138" i="3"/>
  <c r="LA138" i="3" s="1"/>
  <c r="LB138" i="3" s="1"/>
  <c r="HA144" i="1"/>
  <c r="HA140" i="1"/>
  <c r="KS144" i="3"/>
  <c r="N117" i="6"/>
  <c r="KQ144" i="3"/>
  <c r="KT144" i="3" s="1"/>
  <c r="N115" i="6"/>
  <c r="KS140" i="3"/>
  <c r="KQ140" i="3"/>
  <c r="JG144" i="3"/>
  <c r="JH144" i="3" s="1"/>
  <c r="EV144" i="1"/>
  <c r="QE144" i="3"/>
  <c r="BF144" i="1"/>
  <c r="EV140" i="1"/>
  <c r="QH140" i="3"/>
  <c r="BF140" i="1"/>
  <c r="GL138" i="1"/>
  <c r="AN116" i="1"/>
  <c r="DQ116" i="3"/>
  <c r="ED116" i="3" s="1"/>
  <c r="AN120" i="1"/>
  <c r="DQ120" i="3"/>
  <c r="ED120" i="3" s="1"/>
  <c r="DQ118" i="3"/>
  <c r="ED118" i="3" s="1"/>
  <c r="AN118" i="1"/>
  <c r="AN126" i="1"/>
  <c r="DQ126" i="3"/>
  <c r="ED126" i="3" s="1"/>
  <c r="AN124" i="1"/>
  <c r="DQ124" i="3"/>
  <c r="ED124" i="3" s="1"/>
  <c r="AQ116" i="3"/>
  <c r="W156" i="3"/>
  <c r="W132" i="3"/>
  <c r="DQ122" i="3"/>
  <c r="ED122" i="3" s="1"/>
  <c r="AN122" i="1"/>
  <c r="AH44" i="1"/>
  <c r="AN44" i="1"/>
  <c r="DQ44" i="3"/>
  <c r="ED44" i="3" s="1"/>
  <c r="AN42" i="1"/>
  <c r="DQ42" i="3"/>
  <c r="ED42" i="3" s="1"/>
  <c r="AN40" i="1"/>
  <c r="DQ40" i="3"/>
  <c r="ED40" i="3" s="1"/>
  <c r="W50" i="3"/>
  <c r="AQ34" i="3"/>
  <c r="W74" i="3"/>
  <c r="DQ34" i="3"/>
  <c r="ED34" i="3" s="1"/>
  <c r="AN34" i="1"/>
  <c r="AN38" i="1"/>
  <c r="DQ38" i="3"/>
  <c r="ED38" i="3" s="1"/>
  <c r="AN36" i="1"/>
  <c r="DQ36" i="3"/>
  <c r="ED36" i="3" s="1"/>
  <c r="BI34" i="3"/>
  <c r="AH34" i="1"/>
  <c r="AD48" i="12" l="1"/>
  <c r="AE48" i="12" s="1"/>
  <c r="AD32" i="12"/>
  <c r="AE32" i="12" s="1"/>
  <c r="AD54" i="12"/>
  <c r="AE54" i="12" s="1"/>
  <c r="AT18" i="11"/>
  <c r="IG76" i="11"/>
  <c r="AD70" i="12"/>
  <c r="AE70" i="12" s="1"/>
  <c r="IG78" i="11"/>
  <c r="AD72" i="12"/>
  <c r="AE72" i="12" s="1"/>
  <c r="IG40" i="11"/>
  <c r="AD34" i="12"/>
  <c r="AE34" i="12" s="1"/>
  <c r="IG48" i="11"/>
  <c r="AD42" i="12"/>
  <c r="AE42" i="12" s="1"/>
  <c r="IG46" i="11"/>
  <c r="AD40" i="12"/>
  <c r="AE40" i="12" s="1"/>
  <c r="IG86" i="11"/>
  <c r="AD80" i="12"/>
  <c r="AE80" i="12" s="1"/>
  <c r="IG96" i="11"/>
  <c r="AD90" i="12"/>
  <c r="AE90" i="12" s="1"/>
  <c r="IG50" i="11"/>
  <c r="AD44" i="12"/>
  <c r="AE44" i="12" s="1"/>
  <c r="IG44" i="11"/>
  <c r="AD38" i="12"/>
  <c r="AE38" i="12" s="1"/>
  <c r="IG84" i="11"/>
  <c r="AD78" i="12"/>
  <c r="AE78" i="12" s="1"/>
  <c r="IG68" i="11"/>
  <c r="AD62" i="12"/>
  <c r="AE62" i="12" s="1"/>
  <c r="IG70" i="11"/>
  <c r="AD64" i="12"/>
  <c r="AE64" i="12" s="1"/>
  <c r="IG58" i="11"/>
  <c r="AD52" i="12"/>
  <c r="AE52" i="12" s="1"/>
  <c r="IG88" i="11"/>
  <c r="AD82" i="12"/>
  <c r="AE82" i="12" s="1"/>
  <c r="IG74" i="11"/>
  <c r="AD68" i="12"/>
  <c r="AE68" i="12" s="1"/>
  <c r="IG90" i="11"/>
  <c r="AD84" i="12"/>
  <c r="AE84" i="12" s="1"/>
  <c r="IG56" i="11"/>
  <c r="AD50" i="12"/>
  <c r="AE50" i="12" s="1"/>
  <c r="IG64" i="11"/>
  <c r="AD58" i="12"/>
  <c r="AE58" i="12" s="1"/>
  <c r="IG62" i="11"/>
  <c r="AD56" i="12"/>
  <c r="AE56" i="12" s="1"/>
  <c r="IG72" i="11"/>
  <c r="AD66" i="12"/>
  <c r="AE66" i="12" s="1"/>
  <c r="IG98" i="11"/>
  <c r="AD92" i="12"/>
  <c r="AE92" i="12" s="1"/>
  <c r="IF100" i="11"/>
  <c r="ID100" i="11"/>
  <c r="IJ100" i="11"/>
  <c r="DV18" i="11"/>
  <c r="DW18" i="11" s="1"/>
  <c r="DW102" i="11" s="1"/>
  <c r="L110" i="12" s="1"/>
  <c r="LF18" i="11"/>
  <c r="LD18" i="11"/>
  <c r="O12" i="12"/>
  <c r="P12" i="12" s="1"/>
  <c r="QJ18" i="11"/>
  <c r="QK18" i="11" s="1"/>
  <c r="AN18" i="11"/>
  <c r="QR18" i="11" s="1"/>
  <c r="QH18" i="11"/>
  <c r="QI18" i="11" s="1"/>
  <c r="DH18" i="11"/>
  <c r="DI18" i="11" s="1"/>
  <c r="QE18" i="11"/>
  <c r="QF18" i="11" s="1"/>
  <c r="QN18" i="11"/>
  <c r="QO18" i="11" s="1"/>
  <c r="DS18" i="11"/>
  <c r="DT18" i="11" s="1"/>
  <c r="DT102" i="11" s="1"/>
  <c r="J110" i="12" s="1"/>
  <c r="JS18" i="11"/>
  <c r="HC18" i="13" s="1"/>
  <c r="LQ18" i="11"/>
  <c r="JH18" i="13" s="1"/>
  <c r="QL18" i="11"/>
  <c r="QM18" i="11" s="1"/>
  <c r="DN18" i="11"/>
  <c r="DP18" i="11" s="1"/>
  <c r="BC18" i="11"/>
  <c r="BG18" i="11" s="1"/>
  <c r="BK18" i="11" s="1"/>
  <c r="DF18" i="13"/>
  <c r="LD138" i="3"/>
  <c r="LE138" i="3" s="1"/>
  <c r="LF138" i="3" s="1"/>
  <c r="QA138" i="3"/>
  <c r="QB138" i="3" s="1"/>
  <c r="DM138" i="3"/>
  <c r="DN138" i="3" s="1"/>
  <c r="PU138" i="3"/>
  <c r="PV138" i="3" s="1"/>
  <c r="EA138" i="3"/>
  <c r="BP138" i="3"/>
  <c r="DX138" i="3"/>
  <c r="BX138" i="3"/>
  <c r="BY138" i="3" s="1"/>
  <c r="BJ138" i="3"/>
  <c r="BQ138" i="3" s="1"/>
  <c r="DS138" i="3"/>
  <c r="PY138" i="3"/>
  <c r="PZ138" i="3" s="1"/>
  <c r="PR138" i="3"/>
  <c r="PS138" i="3" s="1"/>
  <c r="JF138" i="3"/>
  <c r="JG138" i="3" s="1"/>
  <c r="JH138" i="3" s="1"/>
  <c r="PW138" i="3"/>
  <c r="PX138" i="3" s="1"/>
  <c r="BQ60" i="3"/>
  <c r="QF60" i="3"/>
  <c r="AH40" i="1"/>
  <c r="AH42" i="1"/>
  <c r="DX66" i="3"/>
  <c r="DY66" i="3" s="1"/>
  <c r="KT60" i="3"/>
  <c r="KU60" i="3" s="1"/>
  <c r="KV60" i="3" s="1"/>
  <c r="JF58" i="3"/>
  <c r="JG58" i="3" s="1"/>
  <c r="JH58" i="3" s="1"/>
  <c r="PR140" i="3"/>
  <c r="PS140" i="3" s="1"/>
  <c r="PY66" i="3"/>
  <c r="PZ66" i="3" s="1"/>
  <c r="LD66" i="3"/>
  <c r="DS66" i="3"/>
  <c r="DT66" i="3" s="1"/>
  <c r="DU150" i="3"/>
  <c r="DV150" i="3" s="1"/>
  <c r="PR66" i="3"/>
  <c r="PS66" i="3" s="1"/>
  <c r="EA58" i="3"/>
  <c r="EB58" i="3" s="1"/>
  <c r="DX58" i="3"/>
  <c r="DY58" i="3" s="1"/>
  <c r="DM140" i="3"/>
  <c r="DN140" i="3" s="1"/>
  <c r="AH36" i="1"/>
  <c r="DS140" i="3"/>
  <c r="DT140" i="3" s="1"/>
  <c r="PY140" i="3"/>
  <c r="PZ140" i="3" s="1"/>
  <c r="LD140" i="3"/>
  <c r="LE140" i="3" s="1"/>
  <c r="LF140" i="3" s="1"/>
  <c r="LD58" i="3"/>
  <c r="DS58" i="3"/>
  <c r="DT58" i="3" s="1"/>
  <c r="AQ74" i="3"/>
  <c r="AQ156" i="3"/>
  <c r="AH38" i="1"/>
  <c r="BI38" i="3"/>
  <c r="KS38" i="3" s="1"/>
  <c r="PW140" i="3"/>
  <c r="PX140" i="3" s="1"/>
  <c r="BJ140" i="3"/>
  <c r="BP140" i="3"/>
  <c r="PU140" i="3"/>
  <c r="PV140" i="3" s="1"/>
  <c r="JF140" i="3"/>
  <c r="JG140" i="3" s="1"/>
  <c r="JH140" i="3" s="1"/>
  <c r="BX140" i="3"/>
  <c r="BY140" i="3" s="1"/>
  <c r="EM140" i="3" s="1"/>
  <c r="EN140" i="3" s="1"/>
  <c r="QA140" i="3"/>
  <c r="QB140" i="3" s="1"/>
  <c r="DX140" i="3"/>
  <c r="DY140" i="3" s="1"/>
  <c r="PW58" i="3"/>
  <c r="PX58" i="3" s="1"/>
  <c r="PU58" i="3"/>
  <c r="PV58" i="3" s="1"/>
  <c r="PR58" i="3"/>
  <c r="PS58" i="3" s="1"/>
  <c r="KS152" i="3"/>
  <c r="KQ152" i="3"/>
  <c r="N121" i="6"/>
  <c r="BX152" i="3"/>
  <c r="QA152" i="3"/>
  <c r="QB152" i="3" s="1"/>
  <c r="DM152" i="3"/>
  <c r="DN152" i="3" s="1"/>
  <c r="DS152" i="3"/>
  <c r="BJ152" i="3"/>
  <c r="PU152" i="3"/>
  <c r="PV152" i="3" s="1"/>
  <c r="JF152" i="3"/>
  <c r="DX152" i="3"/>
  <c r="DY152" i="3" s="1"/>
  <c r="BP152" i="3"/>
  <c r="PW152" i="3"/>
  <c r="PX152" i="3" s="1"/>
  <c r="PR152" i="3"/>
  <c r="PS152" i="3" s="1"/>
  <c r="LD152" i="3"/>
  <c r="PY152" i="3"/>
  <c r="PZ152" i="3" s="1"/>
  <c r="EA152" i="3"/>
  <c r="EB152" i="3" s="1"/>
  <c r="CL152" i="1"/>
  <c r="KX150" i="3"/>
  <c r="KY150" i="3"/>
  <c r="GR138" i="1"/>
  <c r="EV60" i="1"/>
  <c r="DM66" i="3"/>
  <c r="DN66" i="3" s="1"/>
  <c r="JF66" i="3"/>
  <c r="BX66" i="3"/>
  <c r="AH142" i="1"/>
  <c r="AH146" i="1"/>
  <c r="AH148" i="1"/>
  <c r="EF150" i="3"/>
  <c r="EG150" i="3" s="1"/>
  <c r="EH150" i="3" s="1"/>
  <c r="CC150" i="3"/>
  <c r="CG150" i="3" s="1"/>
  <c r="HY150" i="3" s="1"/>
  <c r="NQ150" i="3" s="1"/>
  <c r="EJ150" i="3"/>
  <c r="EK150" i="3" s="1"/>
  <c r="BZ150" i="3"/>
  <c r="CD150" i="3" s="1"/>
  <c r="CH150" i="3" s="1"/>
  <c r="EM150" i="3"/>
  <c r="EN150" i="3" s="1"/>
  <c r="QA66" i="3"/>
  <c r="QB66" i="3" s="1"/>
  <c r="PW66" i="3"/>
  <c r="PX66" i="3" s="1"/>
  <c r="BP66" i="3"/>
  <c r="PU66" i="3"/>
  <c r="PV66" i="3" s="1"/>
  <c r="BJ66" i="3"/>
  <c r="BP68" i="3"/>
  <c r="JF68" i="3"/>
  <c r="PR68" i="3"/>
  <c r="PS68" i="3" s="1"/>
  <c r="PU68" i="3"/>
  <c r="PV68" i="3" s="1"/>
  <c r="DS68" i="3"/>
  <c r="DM68" i="3"/>
  <c r="DN68" i="3" s="1"/>
  <c r="QA68" i="3"/>
  <c r="QB68" i="3" s="1"/>
  <c r="BX68" i="3"/>
  <c r="DX68" i="3"/>
  <c r="DY68" i="3" s="1"/>
  <c r="PW68" i="3"/>
  <c r="PX68" i="3" s="1"/>
  <c r="PY68" i="3"/>
  <c r="PZ68" i="3" s="1"/>
  <c r="EA68" i="3"/>
  <c r="EB68" i="3" s="1"/>
  <c r="LD68" i="3"/>
  <c r="BJ68" i="3"/>
  <c r="BQ68" i="3" s="1"/>
  <c r="EF60" i="3"/>
  <c r="EG60" i="3" s="1"/>
  <c r="EH60" i="3" s="1"/>
  <c r="CC60" i="3"/>
  <c r="CG60" i="3" s="1"/>
  <c r="HY60" i="3" s="1"/>
  <c r="NQ60" i="3" s="1"/>
  <c r="EJ60" i="3"/>
  <c r="EK60" i="3" s="1"/>
  <c r="PY58" i="3"/>
  <c r="PZ58" i="3" s="1"/>
  <c r="BJ58" i="3"/>
  <c r="QH58" i="3" s="1"/>
  <c r="QA58" i="3"/>
  <c r="QB58" i="3" s="1"/>
  <c r="BX58" i="3"/>
  <c r="BY58" i="3" s="1"/>
  <c r="EM58" i="3" s="1"/>
  <c r="EN58" i="3" s="1"/>
  <c r="DM58" i="3"/>
  <c r="DN58" i="3" s="1"/>
  <c r="BP58" i="3"/>
  <c r="DS60" i="3"/>
  <c r="DT60" i="3" s="1"/>
  <c r="KQ70" i="3"/>
  <c r="N95" i="6"/>
  <c r="KS70" i="3"/>
  <c r="BX70" i="3"/>
  <c r="LD70" i="3"/>
  <c r="PU70" i="3"/>
  <c r="PV70" i="3" s="1"/>
  <c r="DX70" i="3"/>
  <c r="DY70" i="3" s="1"/>
  <c r="PW70" i="3"/>
  <c r="PX70" i="3" s="1"/>
  <c r="DS70" i="3"/>
  <c r="QA70" i="3"/>
  <c r="QB70" i="3" s="1"/>
  <c r="BP70" i="3"/>
  <c r="PY70" i="3"/>
  <c r="PZ70" i="3" s="1"/>
  <c r="PR70" i="3"/>
  <c r="PS70" i="3" s="1"/>
  <c r="JF70" i="3"/>
  <c r="DM70" i="3"/>
  <c r="DN70" i="3" s="1"/>
  <c r="EA70" i="3"/>
  <c r="EB70" i="3" s="1"/>
  <c r="BJ70" i="3"/>
  <c r="BI62" i="3"/>
  <c r="AH62" i="1"/>
  <c r="BI64" i="3"/>
  <c r="AH64" i="1"/>
  <c r="AH128" i="1"/>
  <c r="KQ48" i="3"/>
  <c r="KS48" i="3"/>
  <c r="N82" i="6"/>
  <c r="BX48" i="3"/>
  <c r="DS48" i="3"/>
  <c r="QA48" i="3"/>
  <c r="QB48" i="3" s="1"/>
  <c r="DM48" i="3"/>
  <c r="DN48" i="3" s="1"/>
  <c r="EA48" i="3"/>
  <c r="EB48" i="3" s="1"/>
  <c r="PU48" i="3"/>
  <c r="PV48" i="3" s="1"/>
  <c r="PW48" i="3"/>
  <c r="PX48" i="3" s="1"/>
  <c r="BP48" i="3"/>
  <c r="PY48" i="3"/>
  <c r="PZ48" i="3" s="1"/>
  <c r="LD48" i="3"/>
  <c r="JF48" i="3"/>
  <c r="PR48" i="3"/>
  <c r="PS48" i="3" s="1"/>
  <c r="BJ48" i="3"/>
  <c r="QH48" i="3" s="1"/>
  <c r="DX48" i="3"/>
  <c r="DY48" i="3" s="1"/>
  <c r="AH118" i="1"/>
  <c r="AH120" i="1"/>
  <c r="AH126" i="1"/>
  <c r="AH122" i="1"/>
  <c r="N109" i="6"/>
  <c r="KQ130" i="3"/>
  <c r="KS130" i="3"/>
  <c r="BX130" i="3"/>
  <c r="BJ130" i="3"/>
  <c r="QH130" i="3" s="1"/>
  <c r="DS130" i="3"/>
  <c r="DX130" i="3"/>
  <c r="DY130" i="3" s="1"/>
  <c r="EA130" i="3"/>
  <c r="EB130" i="3" s="1"/>
  <c r="PW130" i="3"/>
  <c r="PX130" i="3" s="1"/>
  <c r="JF130" i="3"/>
  <c r="BP130" i="3"/>
  <c r="PR130" i="3"/>
  <c r="PS130" i="3" s="1"/>
  <c r="QA130" i="3"/>
  <c r="QB130" i="3" s="1"/>
  <c r="LD130" i="3"/>
  <c r="PU130" i="3"/>
  <c r="PV130" i="3" s="1"/>
  <c r="PY130" i="3"/>
  <c r="PZ130" i="3" s="1"/>
  <c r="DM130" i="3"/>
  <c r="DN130" i="3" s="1"/>
  <c r="AH116" i="1"/>
  <c r="AH124" i="1"/>
  <c r="BX46" i="3"/>
  <c r="DM46" i="3"/>
  <c r="DN46" i="3" s="1"/>
  <c r="N81" i="6"/>
  <c r="KQ46" i="3"/>
  <c r="PY46" i="3"/>
  <c r="PZ46" i="3" s="1"/>
  <c r="PW46" i="3"/>
  <c r="PX46" i="3" s="1"/>
  <c r="BJ46" i="3"/>
  <c r="BQ46" i="3" s="1"/>
  <c r="DX46" i="3"/>
  <c r="DY46" i="3" s="1"/>
  <c r="PR46" i="3"/>
  <c r="PS46" i="3" s="1"/>
  <c r="BP46" i="3"/>
  <c r="KS46" i="3"/>
  <c r="PU46" i="3"/>
  <c r="PV46" i="3" s="1"/>
  <c r="QA46" i="3"/>
  <c r="QB46" i="3" s="1"/>
  <c r="LD46" i="3"/>
  <c r="EA46" i="3"/>
  <c r="EB46" i="3" s="1"/>
  <c r="JF46" i="3"/>
  <c r="KT150" i="3"/>
  <c r="QE146" i="3"/>
  <c r="BX128" i="3"/>
  <c r="KS128" i="3"/>
  <c r="PY128" i="3"/>
  <c r="PZ128" i="3" s="1"/>
  <c r="PU128" i="3"/>
  <c r="PV128" i="3" s="1"/>
  <c r="PW128" i="3"/>
  <c r="PX128" i="3" s="1"/>
  <c r="DM128" i="3"/>
  <c r="DN128" i="3" s="1"/>
  <c r="N108" i="6"/>
  <c r="EA128" i="3"/>
  <c r="DS128" i="3"/>
  <c r="QA128" i="3"/>
  <c r="QB128" i="3" s="1"/>
  <c r="PR128" i="3"/>
  <c r="PS128" i="3" s="1"/>
  <c r="KQ128" i="3"/>
  <c r="KT128" i="3" s="1"/>
  <c r="KU128" i="3" s="1"/>
  <c r="KV128" i="3" s="1"/>
  <c r="BJ128" i="3"/>
  <c r="BQ128" i="3" s="1"/>
  <c r="BP128" i="3"/>
  <c r="DX128" i="3"/>
  <c r="JF128" i="3"/>
  <c r="LD128" i="3"/>
  <c r="BF58" i="1"/>
  <c r="BZ60" i="3"/>
  <c r="CD60" i="3" s="1"/>
  <c r="CH60" i="3" s="1"/>
  <c r="EV58" i="1"/>
  <c r="HA60" i="1"/>
  <c r="KT68" i="3"/>
  <c r="ED46" i="3"/>
  <c r="DS46" i="3"/>
  <c r="BZ144" i="3"/>
  <c r="CD144" i="3" s="1"/>
  <c r="CH144" i="3" s="1"/>
  <c r="M170" i="1"/>
  <c r="N183" i="6" s="1"/>
  <c r="Q170" i="1"/>
  <c r="Q183" i="6" s="1"/>
  <c r="Q185" i="6" s="1"/>
  <c r="P187" i="6" s="1"/>
  <c r="Q88" i="1"/>
  <c r="L183" i="6" s="1"/>
  <c r="L185" i="6" s="1"/>
  <c r="K187" i="6" s="1"/>
  <c r="M88" i="1"/>
  <c r="I183" i="6" s="1"/>
  <c r="EM60" i="3"/>
  <c r="EN60" i="3" s="1"/>
  <c r="DU144" i="3"/>
  <c r="DV144" i="3" s="1"/>
  <c r="EF144" i="3"/>
  <c r="EG144" i="3" s="1"/>
  <c r="EH144" i="3" s="1"/>
  <c r="BX56" i="3"/>
  <c r="BP56" i="3"/>
  <c r="PR56" i="3"/>
  <c r="PS56" i="3" s="1"/>
  <c r="PY56" i="3"/>
  <c r="PZ56" i="3" s="1"/>
  <c r="JF56" i="3"/>
  <c r="PU56" i="3"/>
  <c r="PV56" i="3" s="1"/>
  <c r="DS56" i="3"/>
  <c r="DT56" i="3" s="1"/>
  <c r="BJ56" i="3"/>
  <c r="N88" i="6"/>
  <c r="KQ56" i="3"/>
  <c r="PW56" i="3"/>
  <c r="PX56" i="3" s="1"/>
  <c r="DX56" i="3"/>
  <c r="LD56" i="3"/>
  <c r="DM56" i="3"/>
  <c r="DN56" i="3" s="1"/>
  <c r="QA56" i="3"/>
  <c r="QB56" i="3" s="1"/>
  <c r="EA56" i="3"/>
  <c r="KS56" i="3"/>
  <c r="KT58" i="3"/>
  <c r="KT66" i="3"/>
  <c r="KY58" i="3"/>
  <c r="KX58" i="3"/>
  <c r="KY60" i="3"/>
  <c r="KX60" i="3"/>
  <c r="GL60" i="1"/>
  <c r="CC144" i="3"/>
  <c r="CG144" i="3" s="1"/>
  <c r="HY144" i="3" s="1"/>
  <c r="NQ144" i="3" s="1"/>
  <c r="EJ144" i="3"/>
  <c r="EK144" i="3" s="1"/>
  <c r="IR144" i="3"/>
  <c r="GC144" i="3" s="1"/>
  <c r="KT140" i="3"/>
  <c r="CL148" i="1"/>
  <c r="DP142" i="1"/>
  <c r="KY140" i="3"/>
  <c r="KX140" i="3"/>
  <c r="KY144" i="3"/>
  <c r="KX144" i="3"/>
  <c r="KU144" i="3"/>
  <c r="KV144" i="3" s="1"/>
  <c r="GL144" i="1"/>
  <c r="BX118" i="3"/>
  <c r="DM118" i="3"/>
  <c r="DN118" i="3" s="1"/>
  <c r="KS118" i="3"/>
  <c r="KQ118" i="3"/>
  <c r="DX118" i="3"/>
  <c r="LD118" i="3"/>
  <c r="BJ118" i="3"/>
  <c r="PU118" i="3"/>
  <c r="PV118" i="3" s="1"/>
  <c r="QA118" i="3"/>
  <c r="QB118" i="3" s="1"/>
  <c r="N103" i="6"/>
  <c r="BP118" i="3"/>
  <c r="JF118" i="3"/>
  <c r="EA118" i="3"/>
  <c r="DS118" i="3"/>
  <c r="DT118" i="3" s="1"/>
  <c r="PW118" i="3"/>
  <c r="PX118" i="3" s="1"/>
  <c r="PR118" i="3"/>
  <c r="PS118" i="3" s="1"/>
  <c r="PY118" i="3"/>
  <c r="PZ118" i="3" s="1"/>
  <c r="BX124" i="3"/>
  <c r="N106" i="6"/>
  <c r="KS124" i="3"/>
  <c r="DX124" i="3"/>
  <c r="LD124" i="3"/>
  <c r="EA124" i="3"/>
  <c r="DM124" i="3"/>
  <c r="DN124" i="3" s="1"/>
  <c r="PU124" i="3"/>
  <c r="PV124" i="3" s="1"/>
  <c r="PW124" i="3"/>
  <c r="PX124" i="3" s="1"/>
  <c r="BP124" i="3"/>
  <c r="KQ124" i="3"/>
  <c r="KT124" i="3" s="1"/>
  <c r="DS124" i="3"/>
  <c r="DT124" i="3" s="1"/>
  <c r="BJ124" i="3"/>
  <c r="QJ124" i="3" s="1"/>
  <c r="JF124" i="3"/>
  <c r="PR124" i="3"/>
  <c r="PS124" i="3" s="1"/>
  <c r="QA124" i="3"/>
  <c r="QB124" i="3" s="1"/>
  <c r="PY124" i="3"/>
  <c r="PZ124" i="3" s="1"/>
  <c r="P159" i="6"/>
  <c r="H7" i="8" s="1"/>
  <c r="BX126" i="3"/>
  <c r="N107" i="6"/>
  <c r="BP126" i="3"/>
  <c r="BJ126" i="3"/>
  <c r="QE126" i="3" s="1"/>
  <c r="EA126" i="3"/>
  <c r="DM126" i="3"/>
  <c r="DN126" i="3" s="1"/>
  <c r="PR126" i="3"/>
  <c r="PS126" i="3" s="1"/>
  <c r="DS126" i="3"/>
  <c r="DT126" i="3" s="1"/>
  <c r="LD126" i="3"/>
  <c r="KS126" i="3"/>
  <c r="DX126" i="3"/>
  <c r="KQ126" i="3"/>
  <c r="KT126" i="3" s="1"/>
  <c r="PW126" i="3"/>
  <c r="PX126" i="3" s="1"/>
  <c r="QA126" i="3"/>
  <c r="QB126" i="3" s="1"/>
  <c r="PU126" i="3"/>
  <c r="PV126" i="3" s="1"/>
  <c r="PY126" i="3"/>
  <c r="PZ126" i="3" s="1"/>
  <c r="JF126" i="3"/>
  <c r="BX122" i="3"/>
  <c r="KS122" i="3"/>
  <c r="BP122" i="3"/>
  <c r="KQ122" i="3"/>
  <c r="KT122" i="3" s="1"/>
  <c r="JF122" i="3"/>
  <c r="BJ122" i="3"/>
  <c r="QJ122" i="3" s="1"/>
  <c r="PW122" i="3"/>
  <c r="PX122" i="3" s="1"/>
  <c r="QA122" i="3"/>
  <c r="QB122" i="3" s="1"/>
  <c r="PR122" i="3"/>
  <c r="PS122" i="3" s="1"/>
  <c r="N105" i="6"/>
  <c r="DX122" i="3"/>
  <c r="LD122" i="3"/>
  <c r="EA122" i="3"/>
  <c r="DS122" i="3"/>
  <c r="DT122" i="3" s="1"/>
  <c r="PU122" i="3"/>
  <c r="PV122" i="3" s="1"/>
  <c r="DM122" i="3"/>
  <c r="DN122" i="3" s="1"/>
  <c r="PY122" i="3"/>
  <c r="PZ122" i="3" s="1"/>
  <c r="BX120" i="3"/>
  <c r="BP120" i="3"/>
  <c r="BJ120" i="3"/>
  <c r="KQ120" i="3"/>
  <c r="EA120" i="3"/>
  <c r="PW120" i="3"/>
  <c r="PX120" i="3" s="1"/>
  <c r="PR120" i="3"/>
  <c r="PS120" i="3" s="1"/>
  <c r="PU120" i="3"/>
  <c r="PV120" i="3" s="1"/>
  <c r="LD120" i="3"/>
  <c r="KS120" i="3"/>
  <c r="N104" i="6"/>
  <c r="DS120" i="3"/>
  <c r="DT120" i="3" s="1"/>
  <c r="DX120" i="3"/>
  <c r="QA120" i="3"/>
  <c r="QB120" i="3" s="1"/>
  <c r="JF120" i="3"/>
  <c r="DM120" i="3"/>
  <c r="DN120" i="3" s="1"/>
  <c r="PY120" i="3"/>
  <c r="PZ120" i="3" s="1"/>
  <c r="BX116" i="3"/>
  <c r="N102" i="6"/>
  <c r="BP116" i="3"/>
  <c r="PW116" i="3"/>
  <c r="PX116" i="3" s="1"/>
  <c r="JF116" i="3"/>
  <c r="PR116" i="3"/>
  <c r="PS116" i="3" s="1"/>
  <c r="DM116" i="3"/>
  <c r="DN116" i="3" s="1"/>
  <c r="DX116" i="3"/>
  <c r="PU116" i="3"/>
  <c r="PV116" i="3" s="1"/>
  <c r="KS116" i="3"/>
  <c r="EA116" i="3"/>
  <c r="KQ116" i="3"/>
  <c r="LD116" i="3"/>
  <c r="QA116" i="3"/>
  <c r="QB116" i="3" s="1"/>
  <c r="DS116" i="3"/>
  <c r="DT116" i="3" s="1"/>
  <c r="PY116" i="3"/>
  <c r="PZ116" i="3" s="1"/>
  <c r="BJ116" i="3"/>
  <c r="QJ116" i="3" s="1"/>
  <c r="BX36" i="3"/>
  <c r="KS36" i="3"/>
  <c r="DM36" i="3"/>
  <c r="DN36" i="3" s="1"/>
  <c r="JF36" i="3"/>
  <c r="DX36" i="3"/>
  <c r="DS36" i="3"/>
  <c r="DT36" i="3" s="1"/>
  <c r="BJ36" i="3"/>
  <c r="QJ36" i="3" s="1"/>
  <c r="PR36" i="3"/>
  <c r="PS36" i="3" s="1"/>
  <c r="PY36" i="3"/>
  <c r="PZ36" i="3" s="1"/>
  <c r="PU36" i="3"/>
  <c r="PV36" i="3" s="1"/>
  <c r="N76" i="6"/>
  <c r="BP36" i="3"/>
  <c r="EA36" i="3"/>
  <c r="KQ36" i="3"/>
  <c r="LD36" i="3"/>
  <c r="PW36" i="3"/>
  <c r="PX36" i="3" s="1"/>
  <c r="QA36" i="3"/>
  <c r="QB36" i="3" s="1"/>
  <c r="K159" i="6"/>
  <c r="E7" i="8" s="1"/>
  <c r="BX44" i="3"/>
  <c r="N80" i="6"/>
  <c r="KS44" i="3"/>
  <c r="EA44" i="3"/>
  <c r="KQ44" i="3"/>
  <c r="JF44" i="3"/>
  <c r="PY44" i="3"/>
  <c r="PZ44" i="3" s="1"/>
  <c r="DM44" i="3"/>
  <c r="DN44" i="3" s="1"/>
  <c r="PU44" i="3"/>
  <c r="PV44" i="3" s="1"/>
  <c r="BP44" i="3"/>
  <c r="DX44" i="3"/>
  <c r="DS44" i="3"/>
  <c r="DT44" i="3" s="1"/>
  <c r="BJ44" i="3"/>
  <c r="QH44" i="3" s="1"/>
  <c r="PW44" i="3"/>
  <c r="PX44" i="3" s="1"/>
  <c r="PR44" i="3"/>
  <c r="PS44" i="3" s="1"/>
  <c r="LD44" i="3"/>
  <c r="QA44" i="3"/>
  <c r="QB44" i="3" s="1"/>
  <c r="BX34" i="3"/>
  <c r="N75" i="6"/>
  <c r="KS34" i="3"/>
  <c r="DS34" i="3"/>
  <c r="DT34" i="3" s="1"/>
  <c r="KQ34" i="3"/>
  <c r="QA34" i="3"/>
  <c r="QB34" i="3" s="1"/>
  <c r="DX34" i="3"/>
  <c r="LD34" i="3"/>
  <c r="DM34" i="3"/>
  <c r="DN34" i="3" s="1"/>
  <c r="BP34" i="3"/>
  <c r="EA34" i="3"/>
  <c r="PW34" i="3"/>
  <c r="PX34" i="3" s="1"/>
  <c r="JF34" i="3"/>
  <c r="PY34" i="3"/>
  <c r="PZ34" i="3" s="1"/>
  <c r="PU34" i="3"/>
  <c r="PV34" i="3" s="1"/>
  <c r="PR34" i="3"/>
  <c r="PS34" i="3" s="1"/>
  <c r="BJ34" i="3"/>
  <c r="BX40" i="3"/>
  <c r="KS40" i="3"/>
  <c r="N78" i="6"/>
  <c r="DX40" i="3"/>
  <c r="DS40" i="3"/>
  <c r="DT40" i="3" s="1"/>
  <c r="QA40" i="3"/>
  <c r="QB40" i="3" s="1"/>
  <c r="PW40" i="3"/>
  <c r="PX40" i="3" s="1"/>
  <c r="PR40" i="3"/>
  <c r="PS40" i="3" s="1"/>
  <c r="BP40" i="3"/>
  <c r="KQ40" i="3"/>
  <c r="BJ40" i="3"/>
  <c r="QI40" i="3" s="1"/>
  <c r="EA40" i="3"/>
  <c r="PY40" i="3"/>
  <c r="PZ40" i="3" s="1"/>
  <c r="DM40" i="3"/>
  <c r="DN40" i="3" s="1"/>
  <c r="PU40" i="3"/>
  <c r="PV40" i="3" s="1"/>
  <c r="LD40" i="3"/>
  <c r="JF40" i="3"/>
  <c r="BX42" i="3"/>
  <c r="N79" i="6"/>
  <c r="EA42" i="3"/>
  <c r="KQ42" i="3"/>
  <c r="JF42" i="3"/>
  <c r="PU42" i="3"/>
  <c r="PV42" i="3" s="1"/>
  <c r="PW42" i="3"/>
  <c r="PX42" i="3" s="1"/>
  <c r="PR42" i="3"/>
  <c r="PS42" i="3" s="1"/>
  <c r="BJ42" i="3"/>
  <c r="QI42" i="3" s="1"/>
  <c r="KS42" i="3"/>
  <c r="BP42" i="3"/>
  <c r="DX42" i="3"/>
  <c r="DS42" i="3"/>
  <c r="DT42" i="3" s="1"/>
  <c r="LD42" i="3"/>
  <c r="QA42" i="3"/>
  <c r="QB42" i="3" s="1"/>
  <c r="PY42" i="3"/>
  <c r="PZ42" i="3" s="1"/>
  <c r="DM42" i="3"/>
  <c r="DN42" i="3" s="1"/>
  <c r="DP120" i="1"/>
  <c r="CL138" i="1"/>
  <c r="CL46" i="1"/>
  <c r="DP42" i="1"/>
  <c r="GL128" i="1"/>
  <c r="IL18" i="11" l="1"/>
  <c r="OD18" i="11" s="1"/>
  <c r="DO18" i="11"/>
  <c r="AU18" i="11"/>
  <c r="JT18" i="11"/>
  <c r="JU18" i="11" s="1"/>
  <c r="IG100" i="11"/>
  <c r="AD94" i="12"/>
  <c r="AE94" i="12" s="1"/>
  <c r="EE18" i="11"/>
  <c r="EF18" i="11" s="1"/>
  <c r="EF102" i="11" s="1"/>
  <c r="J111" i="12" s="1"/>
  <c r="R12" i="12"/>
  <c r="S12" i="12" s="1"/>
  <c r="EH18" i="11"/>
  <c r="EI18" i="11" s="1"/>
  <c r="EI102" i="11" s="1"/>
  <c r="L111" i="12" s="1"/>
  <c r="LG18" i="11"/>
  <c r="LR18" i="11"/>
  <c r="LS18" i="11" s="1"/>
  <c r="EA18" i="11"/>
  <c r="EB18" i="11" s="1"/>
  <c r="EC18" i="11" s="1"/>
  <c r="EC102" i="11" s="1"/>
  <c r="H111" i="12" s="1"/>
  <c r="BD18" i="11"/>
  <c r="BH18" i="11" s="1"/>
  <c r="BL18" i="11" s="1"/>
  <c r="LK18" i="11"/>
  <c r="LL18" i="11"/>
  <c r="AR152" i="3"/>
  <c r="AS152" i="3" s="1"/>
  <c r="AV152" i="3" s="1"/>
  <c r="JE18" i="11"/>
  <c r="DT138" i="3"/>
  <c r="DU138" i="3"/>
  <c r="EJ138" i="3"/>
  <c r="EK138" i="3" s="1"/>
  <c r="EM138" i="3"/>
  <c r="EN138" i="3" s="1"/>
  <c r="CC138" i="3"/>
  <c r="CG138" i="3" s="1"/>
  <c r="HY138" i="3" s="1"/>
  <c r="NQ138" i="3" s="1"/>
  <c r="BZ138" i="3"/>
  <c r="CD138" i="3" s="1"/>
  <c r="CH138" i="3" s="1"/>
  <c r="EF138" i="3"/>
  <c r="EG138" i="3" s="1"/>
  <c r="EH138" i="3" s="1"/>
  <c r="AR44" i="3"/>
  <c r="AS44" i="3" s="1"/>
  <c r="CL44" i="1" s="1"/>
  <c r="DQ18" i="11"/>
  <c r="DQ102" i="11" s="1"/>
  <c r="H110" i="12" s="1"/>
  <c r="DY138" i="3"/>
  <c r="IK138" i="3"/>
  <c r="FX138" i="3" s="1"/>
  <c r="EB138" i="3"/>
  <c r="IR138" i="3"/>
  <c r="GC138" i="3" s="1"/>
  <c r="BQ66" i="3"/>
  <c r="QH66" i="3"/>
  <c r="LE58" i="3"/>
  <c r="LF58" i="3" s="1"/>
  <c r="HA58" i="1"/>
  <c r="LE66" i="3"/>
  <c r="LF66" i="3" s="1"/>
  <c r="HA66" i="1"/>
  <c r="KT36" i="3"/>
  <c r="GL36" i="1" s="1"/>
  <c r="KT34" i="3"/>
  <c r="GL34" i="1" s="1"/>
  <c r="KQ38" i="3"/>
  <c r="N77" i="6"/>
  <c r="QE120" i="3"/>
  <c r="QJ120" i="3"/>
  <c r="QJ156" i="3" s="1"/>
  <c r="BQ126" i="3"/>
  <c r="QH126" i="3"/>
  <c r="KT44" i="3"/>
  <c r="KU44" i="3" s="1"/>
  <c r="KV44" i="3" s="1"/>
  <c r="DU58" i="3"/>
  <c r="DV58" i="3" s="1"/>
  <c r="CQ140" i="3"/>
  <c r="CR140" i="3" s="1"/>
  <c r="CU140" i="3" s="1"/>
  <c r="CV140" i="3" s="1"/>
  <c r="AR148" i="3"/>
  <c r="AS148" i="3" s="1"/>
  <c r="AV148" i="3" s="1"/>
  <c r="AY148" i="3" s="1"/>
  <c r="IF148" i="3" s="1"/>
  <c r="IG148" i="3" s="1"/>
  <c r="KT116" i="3"/>
  <c r="KU116" i="3" s="1"/>
  <c r="KV116" i="3" s="1"/>
  <c r="BX38" i="3"/>
  <c r="BY38" i="3" s="1"/>
  <c r="BX64" i="3"/>
  <c r="BY64" i="3" s="1"/>
  <c r="PU62" i="3"/>
  <c r="PV62" i="3" s="1"/>
  <c r="QA38" i="3"/>
  <c r="QB38" i="3" s="1"/>
  <c r="CQ150" i="3"/>
  <c r="CR150" i="3" s="1"/>
  <c r="CU150" i="3" s="1"/>
  <c r="CZ150" i="3" s="1"/>
  <c r="DA150" i="3" s="1"/>
  <c r="KT38" i="3"/>
  <c r="KU38" i="3" s="1"/>
  <c r="KV38" i="3" s="1"/>
  <c r="BJ38" i="3"/>
  <c r="QE38" i="3" s="1"/>
  <c r="PU38" i="3"/>
  <c r="PV38" i="3" s="1"/>
  <c r="DS38" i="3"/>
  <c r="DT38" i="3" s="1"/>
  <c r="CQ144" i="3"/>
  <c r="CR144" i="3" s="1"/>
  <c r="CU144" i="3" s="1"/>
  <c r="CQ142" i="3"/>
  <c r="CR142" i="3" s="1"/>
  <c r="CU142" i="3" s="1"/>
  <c r="LV142" i="3" s="1"/>
  <c r="LX142" i="3" s="1"/>
  <c r="LY142" i="3" s="1"/>
  <c r="FQ150" i="3"/>
  <c r="FT150" i="3" s="1"/>
  <c r="JF38" i="3"/>
  <c r="JG38" i="3" s="1"/>
  <c r="JH38" i="3" s="1"/>
  <c r="AR130" i="3"/>
  <c r="AS130" i="3" s="1"/>
  <c r="AV130" i="3" s="1"/>
  <c r="AR124" i="3"/>
  <c r="AS124" i="3" s="1"/>
  <c r="AR120" i="3"/>
  <c r="AS120" i="3" s="1"/>
  <c r="CL120" i="1" s="1"/>
  <c r="CC140" i="3"/>
  <c r="CG140" i="3" s="1"/>
  <c r="HY140" i="3" s="1"/>
  <c r="NQ140" i="3" s="1"/>
  <c r="CQ118" i="3"/>
  <c r="CR118" i="3" s="1"/>
  <c r="CU118" i="3" s="1"/>
  <c r="LP118" i="3" s="1"/>
  <c r="LQ118" i="3" s="1"/>
  <c r="AR46" i="3"/>
  <c r="AS46" i="3" s="1"/>
  <c r="AV46" i="3" s="1"/>
  <c r="IS46" i="3" s="1"/>
  <c r="QF118" i="3"/>
  <c r="QE118" i="3"/>
  <c r="AV120" i="3"/>
  <c r="IS120" i="3" s="1"/>
  <c r="EJ140" i="3"/>
  <c r="EK140" i="3" s="1"/>
  <c r="CQ146" i="3"/>
  <c r="CR146" i="3" s="1"/>
  <c r="CU146" i="3" s="1"/>
  <c r="CQ126" i="3"/>
  <c r="CR126" i="3" s="1"/>
  <c r="CU126" i="3" s="1"/>
  <c r="AR126" i="3"/>
  <c r="AS126" i="3" s="1"/>
  <c r="CL126" i="1" s="1"/>
  <c r="AR142" i="3"/>
  <c r="AS142" i="3" s="1"/>
  <c r="AV142" i="3" s="1"/>
  <c r="IL142" i="3" s="1"/>
  <c r="AR144" i="3"/>
  <c r="AS144" i="3" s="1"/>
  <c r="AV144" i="3" s="1"/>
  <c r="IL144" i="3" s="1"/>
  <c r="AR118" i="3"/>
  <c r="AS118" i="3" s="1"/>
  <c r="CL118" i="1" s="1"/>
  <c r="DU66" i="3"/>
  <c r="DV66" i="3" s="1"/>
  <c r="AV118" i="3"/>
  <c r="IS118" i="3" s="1"/>
  <c r="BZ58" i="3"/>
  <c r="CD58" i="3" s="1"/>
  <c r="CH58" i="3" s="1"/>
  <c r="CQ34" i="3"/>
  <c r="CR34" i="3" s="1"/>
  <c r="AV126" i="3"/>
  <c r="IS126" i="3" s="1"/>
  <c r="IR150" i="3"/>
  <c r="GC150" i="3" s="1"/>
  <c r="CC58" i="3"/>
  <c r="CG58" i="3" s="1"/>
  <c r="HY58" i="3" s="1"/>
  <c r="NQ58" i="3" s="1"/>
  <c r="AR60" i="3"/>
  <c r="AS60" i="3" s="1"/>
  <c r="AV60" i="3" s="1"/>
  <c r="IS60" i="3" s="1"/>
  <c r="EJ58" i="3"/>
  <c r="EK58" i="3" s="1"/>
  <c r="CQ56" i="3"/>
  <c r="CR56" i="3" s="1"/>
  <c r="CU56" i="3" s="1"/>
  <c r="LP56" i="3" s="1"/>
  <c r="LQ56" i="3" s="1"/>
  <c r="CQ36" i="3"/>
  <c r="CR36" i="3" s="1"/>
  <c r="CU36" i="3" s="1"/>
  <c r="LV36" i="3" s="1"/>
  <c r="LX36" i="3" s="1"/>
  <c r="LY36" i="3" s="1"/>
  <c r="CQ66" i="3"/>
  <c r="CR66" i="3" s="1"/>
  <c r="CU66" i="3" s="1"/>
  <c r="AR36" i="3"/>
  <c r="AS36" i="3" s="1"/>
  <c r="CQ46" i="3"/>
  <c r="CR46" i="3" s="1"/>
  <c r="CU46" i="3" s="1"/>
  <c r="LP46" i="3" s="1"/>
  <c r="LR46" i="3" s="1"/>
  <c r="LS46" i="3" s="1"/>
  <c r="AV44" i="3"/>
  <c r="IL44" i="3" s="1"/>
  <c r="CQ58" i="3"/>
  <c r="CR58" i="3" s="1"/>
  <c r="CU58" i="3" s="1"/>
  <c r="CQ40" i="3"/>
  <c r="CR40" i="3" s="1"/>
  <c r="CU40" i="3" s="1"/>
  <c r="AR38" i="3"/>
  <c r="AS38" i="3" s="1"/>
  <c r="AR58" i="3"/>
  <c r="AS58" i="3" s="1"/>
  <c r="AV58" i="3" s="1"/>
  <c r="IL58" i="3" s="1"/>
  <c r="CQ64" i="3"/>
  <c r="CR64" i="3" s="1"/>
  <c r="CU64" i="3" s="1"/>
  <c r="AR62" i="3"/>
  <c r="AS62" i="3" s="1"/>
  <c r="AR42" i="3"/>
  <c r="AS42" i="3" s="1"/>
  <c r="IK60" i="3"/>
  <c r="FX60" i="3" s="1"/>
  <c r="DM38" i="3"/>
  <c r="DN38" i="3" s="1"/>
  <c r="PW38" i="3"/>
  <c r="PX38" i="3" s="1"/>
  <c r="DX38" i="3"/>
  <c r="DY38" i="3" s="1"/>
  <c r="EA38" i="3"/>
  <c r="EB38" i="3" s="1"/>
  <c r="PR38" i="3"/>
  <c r="PS38" i="3" s="1"/>
  <c r="PY38" i="3"/>
  <c r="PZ38" i="3" s="1"/>
  <c r="LD38" i="3"/>
  <c r="LE38" i="3" s="1"/>
  <c r="LF38" i="3" s="1"/>
  <c r="BP38" i="3"/>
  <c r="IR140" i="3"/>
  <c r="GC140" i="3" s="1"/>
  <c r="CQ128" i="3"/>
  <c r="CR128" i="3" s="1"/>
  <c r="CU128" i="3" s="1"/>
  <c r="LV128" i="3" s="1"/>
  <c r="CQ130" i="3"/>
  <c r="CR130" i="3" s="1"/>
  <c r="CU130" i="3" s="1"/>
  <c r="LV130" i="3" s="1"/>
  <c r="AR138" i="3"/>
  <c r="AS138" i="3" s="1"/>
  <c r="AV138" i="3" s="1"/>
  <c r="AW138" i="3" s="1"/>
  <c r="CQ138" i="3"/>
  <c r="CR138" i="3" s="1"/>
  <c r="CU138" i="3" s="1"/>
  <c r="LV138" i="3" s="1"/>
  <c r="AR140" i="3"/>
  <c r="AS140" i="3" s="1"/>
  <c r="AV140" i="3" s="1"/>
  <c r="IL140" i="3" s="1"/>
  <c r="CQ152" i="3"/>
  <c r="CR152" i="3" s="1"/>
  <c r="CU152" i="3" s="1"/>
  <c r="LP152" i="3" s="1"/>
  <c r="AR128" i="3"/>
  <c r="AS128" i="3" s="1"/>
  <c r="CQ124" i="3"/>
  <c r="CR124" i="3" s="1"/>
  <c r="AR146" i="3"/>
  <c r="AS146" i="3" s="1"/>
  <c r="AV146" i="3" s="1"/>
  <c r="IL146" i="3" s="1"/>
  <c r="CQ116" i="3"/>
  <c r="CR116" i="3" s="1"/>
  <c r="CU116" i="3" s="1"/>
  <c r="CQ120" i="3"/>
  <c r="CR120" i="3" s="1"/>
  <c r="CU120" i="3" s="1"/>
  <c r="LV120" i="3" s="1"/>
  <c r="AR116" i="3"/>
  <c r="AS116" i="3" s="1"/>
  <c r="EF140" i="3"/>
  <c r="EG140" i="3" s="1"/>
  <c r="EH140" i="3" s="1"/>
  <c r="AR150" i="3"/>
  <c r="AS150" i="3" s="1"/>
  <c r="AV150" i="3" s="1"/>
  <c r="CQ148" i="3"/>
  <c r="CR148" i="3" s="1"/>
  <c r="CU148" i="3" s="1"/>
  <c r="DU140" i="3"/>
  <c r="DV140" i="3" s="1"/>
  <c r="CQ122" i="3"/>
  <c r="CR122" i="3" s="1"/>
  <c r="CU122" i="3" s="1"/>
  <c r="DU60" i="3"/>
  <c r="AR122" i="3"/>
  <c r="AS122" i="3" s="1"/>
  <c r="BZ140" i="3"/>
  <c r="CD140" i="3" s="1"/>
  <c r="CH140" i="3" s="1"/>
  <c r="IK150" i="3"/>
  <c r="FX150" i="3" s="1"/>
  <c r="EF58" i="3"/>
  <c r="EG58" i="3" s="1"/>
  <c r="AR68" i="3"/>
  <c r="AS68" i="3" s="1"/>
  <c r="AV68" i="3" s="1"/>
  <c r="CQ44" i="3"/>
  <c r="CR44" i="3" s="1"/>
  <c r="CU44" i="3" s="1"/>
  <c r="CQ48" i="3"/>
  <c r="CR48" i="3" s="1"/>
  <c r="CU48" i="3" s="1"/>
  <c r="LV48" i="3" s="1"/>
  <c r="AR48" i="3"/>
  <c r="AS48" i="3" s="1"/>
  <c r="AV48" i="3" s="1"/>
  <c r="CQ60" i="3"/>
  <c r="CR60" i="3" s="1"/>
  <c r="CQ68" i="3"/>
  <c r="CR68" i="3" s="1"/>
  <c r="CU68" i="3" s="1"/>
  <c r="CZ68" i="3" s="1"/>
  <c r="DA68" i="3" s="1"/>
  <c r="CQ42" i="3"/>
  <c r="CR42" i="3" s="1"/>
  <c r="CU42" i="3" s="1"/>
  <c r="LV42" i="3" s="1"/>
  <c r="AR40" i="3"/>
  <c r="AS40" i="3" s="1"/>
  <c r="CQ62" i="3"/>
  <c r="CR62" i="3" s="1"/>
  <c r="CU62" i="3" s="1"/>
  <c r="AR56" i="3"/>
  <c r="AS56" i="3" s="1"/>
  <c r="CQ38" i="3"/>
  <c r="CR38" i="3" s="1"/>
  <c r="AR34" i="3"/>
  <c r="AS34" i="3" s="1"/>
  <c r="AR66" i="3"/>
  <c r="AS66" i="3" s="1"/>
  <c r="AR64" i="3"/>
  <c r="AS64" i="3" s="1"/>
  <c r="AV64" i="3" s="1"/>
  <c r="IL64" i="3" s="1"/>
  <c r="CQ70" i="3"/>
  <c r="CR70" i="3" s="1"/>
  <c r="CU70" i="3" s="1"/>
  <c r="LP70" i="3" s="1"/>
  <c r="AR70" i="3"/>
  <c r="AS70" i="3" s="1"/>
  <c r="AV70" i="3" s="1"/>
  <c r="KT40" i="3"/>
  <c r="GL40" i="1" s="1"/>
  <c r="IL152" i="3"/>
  <c r="IS152" i="3"/>
  <c r="AY152" i="3"/>
  <c r="IF152" i="3" s="1"/>
  <c r="IG152" i="3" s="1"/>
  <c r="BA152" i="3"/>
  <c r="BB152" i="3" s="1"/>
  <c r="AW152" i="3"/>
  <c r="QF140" i="3"/>
  <c r="BQ140" i="3"/>
  <c r="DP148" i="1"/>
  <c r="LE152" i="3"/>
  <c r="LF152" i="3" s="1"/>
  <c r="HA152" i="1"/>
  <c r="DT152" i="3"/>
  <c r="DU152" i="3"/>
  <c r="CU152" i="1"/>
  <c r="DP144" i="1"/>
  <c r="JG152" i="3"/>
  <c r="JH152" i="3" s="1"/>
  <c r="EV152" i="1"/>
  <c r="BQ152" i="3"/>
  <c r="QH152" i="3"/>
  <c r="BY152" i="3"/>
  <c r="BF152" i="1"/>
  <c r="KZ150" i="3"/>
  <c r="KT152" i="3"/>
  <c r="QE116" i="3"/>
  <c r="QF116" i="3"/>
  <c r="DP126" i="1"/>
  <c r="DP66" i="1"/>
  <c r="BY66" i="3"/>
  <c r="BF66" i="1"/>
  <c r="QE56" i="3"/>
  <c r="QF56" i="3"/>
  <c r="DP62" i="1"/>
  <c r="JG66" i="3"/>
  <c r="JH66" i="3" s="1"/>
  <c r="EV66" i="1"/>
  <c r="DP40" i="1"/>
  <c r="QE34" i="3"/>
  <c r="QF34" i="3"/>
  <c r="CL144" i="1"/>
  <c r="IK144" i="3"/>
  <c r="FX144" i="3" s="1"/>
  <c r="CL146" i="1"/>
  <c r="CL58" i="1"/>
  <c r="CL142" i="1"/>
  <c r="BP148" i="3"/>
  <c r="LD148" i="3"/>
  <c r="PR148" i="3"/>
  <c r="PS148" i="3" s="1"/>
  <c r="DM148" i="3"/>
  <c r="DN148" i="3" s="1"/>
  <c r="DS148" i="3"/>
  <c r="PY148" i="3"/>
  <c r="PZ148" i="3" s="1"/>
  <c r="BJ148" i="3"/>
  <c r="BQ148" i="3" s="1"/>
  <c r="KQ148" i="3"/>
  <c r="PU148" i="3"/>
  <c r="PV148" i="3" s="1"/>
  <c r="JF148" i="3"/>
  <c r="EA148" i="3"/>
  <c r="EB148" i="3" s="1"/>
  <c r="BX148" i="3"/>
  <c r="QA148" i="3"/>
  <c r="QB148" i="3" s="1"/>
  <c r="DX148" i="3"/>
  <c r="DY148" i="3" s="1"/>
  <c r="PW148" i="3"/>
  <c r="PX148" i="3" s="1"/>
  <c r="KS148" i="3"/>
  <c r="N119" i="6"/>
  <c r="BP146" i="3"/>
  <c r="DM146" i="3"/>
  <c r="DN146" i="3" s="1"/>
  <c r="PY146" i="3"/>
  <c r="PZ146" i="3" s="1"/>
  <c r="PW146" i="3"/>
  <c r="PX146" i="3" s="1"/>
  <c r="QA146" i="3"/>
  <c r="QB146" i="3" s="1"/>
  <c r="DX146" i="3"/>
  <c r="JF146" i="3"/>
  <c r="N118" i="6"/>
  <c r="KQ146" i="3"/>
  <c r="LD146" i="3"/>
  <c r="PU146" i="3"/>
  <c r="PV146" i="3" s="1"/>
  <c r="BJ146" i="3"/>
  <c r="QF146" i="3" s="1"/>
  <c r="BX146" i="3"/>
  <c r="DS146" i="3"/>
  <c r="EA146" i="3"/>
  <c r="EB146" i="3" s="1"/>
  <c r="PR146" i="3"/>
  <c r="PS146" i="3" s="1"/>
  <c r="KS146" i="3"/>
  <c r="DS142" i="3"/>
  <c r="DX142" i="3"/>
  <c r="DY142" i="3" s="1"/>
  <c r="PY142" i="3"/>
  <c r="PZ142" i="3" s="1"/>
  <c r="EA142" i="3"/>
  <c r="PU142" i="3"/>
  <c r="PV142" i="3" s="1"/>
  <c r="LD142" i="3"/>
  <c r="PW142" i="3"/>
  <c r="PX142" i="3" s="1"/>
  <c r="PX156" i="3" s="1"/>
  <c r="M238" i="6" s="1"/>
  <c r="N116" i="6"/>
  <c r="DM142" i="3"/>
  <c r="DN142" i="3" s="1"/>
  <c r="BP142" i="3"/>
  <c r="PR142" i="3"/>
  <c r="PS142" i="3" s="1"/>
  <c r="PS156" i="3" s="1"/>
  <c r="M234" i="6" s="1"/>
  <c r="BX142" i="3"/>
  <c r="QA142" i="3"/>
  <c r="QB142" i="3" s="1"/>
  <c r="BJ142" i="3"/>
  <c r="JF142" i="3"/>
  <c r="KQ142" i="3"/>
  <c r="KS142" i="3"/>
  <c r="QF122" i="3"/>
  <c r="QH122" i="3"/>
  <c r="QE124" i="3"/>
  <c r="QH124" i="3"/>
  <c r="BQ58" i="3"/>
  <c r="QF58" i="3"/>
  <c r="BY68" i="3"/>
  <c r="BF68" i="1"/>
  <c r="JG68" i="3"/>
  <c r="JH68" i="3" s="1"/>
  <c r="EV68" i="1"/>
  <c r="LE68" i="3"/>
  <c r="LF68" i="3" s="1"/>
  <c r="HA68" i="1"/>
  <c r="DT68" i="3"/>
  <c r="DU68" i="3"/>
  <c r="QE36" i="3"/>
  <c r="QF36" i="3"/>
  <c r="CL60" i="1"/>
  <c r="CL70" i="1"/>
  <c r="BQ70" i="3"/>
  <c r="QH70" i="3"/>
  <c r="DT70" i="3"/>
  <c r="DU70" i="3"/>
  <c r="LE70" i="3"/>
  <c r="LF70" i="3" s="1"/>
  <c r="HA70" i="1"/>
  <c r="KT70" i="3"/>
  <c r="JG70" i="3"/>
  <c r="JH70" i="3" s="1"/>
  <c r="EV70" i="1"/>
  <c r="BY70" i="3"/>
  <c r="BF70" i="1"/>
  <c r="DS64" i="3"/>
  <c r="BP64" i="3"/>
  <c r="PW64" i="3"/>
  <c r="PX64" i="3" s="1"/>
  <c r="PR64" i="3"/>
  <c r="PS64" i="3" s="1"/>
  <c r="LD64" i="3"/>
  <c r="EA64" i="3"/>
  <c r="EB64" i="3" s="1"/>
  <c r="QA64" i="3"/>
  <c r="QB64" i="3" s="1"/>
  <c r="N92" i="6"/>
  <c r="KQ64" i="3"/>
  <c r="DM64" i="3"/>
  <c r="DN64" i="3" s="1"/>
  <c r="PU64" i="3"/>
  <c r="PV64" i="3" s="1"/>
  <c r="JF64" i="3"/>
  <c r="PY64" i="3"/>
  <c r="PZ64" i="3" s="1"/>
  <c r="BJ64" i="3"/>
  <c r="QI64" i="3" s="1"/>
  <c r="DX64" i="3"/>
  <c r="KS64" i="3"/>
  <c r="LD62" i="3"/>
  <c r="BJ62" i="3"/>
  <c r="QI62" i="3" s="1"/>
  <c r="QI74" i="3" s="1"/>
  <c r="PW62" i="3"/>
  <c r="PX62" i="3" s="1"/>
  <c r="DM62" i="3"/>
  <c r="DN62" i="3" s="1"/>
  <c r="PR62" i="3"/>
  <c r="PS62" i="3" s="1"/>
  <c r="DS62" i="3"/>
  <c r="QA62" i="3"/>
  <c r="QB62" i="3" s="1"/>
  <c r="KS62" i="3"/>
  <c r="KQ62" i="3"/>
  <c r="EA62" i="3"/>
  <c r="DX62" i="3"/>
  <c r="BX62" i="3"/>
  <c r="PY62" i="3"/>
  <c r="PZ62" i="3" s="1"/>
  <c r="BP62" i="3"/>
  <c r="JF62" i="3"/>
  <c r="N91" i="6"/>
  <c r="BF64" i="1"/>
  <c r="DP44" i="1"/>
  <c r="BQ44" i="3"/>
  <c r="QE44" i="3"/>
  <c r="QE42" i="3"/>
  <c r="QH42" i="3"/>
  <c r="BQ130" i="3"/>
  <c r="QK130" i="3"/>
  <c r="QK156" i="3" s="1"/>
  <c r="BQ48" i="3"/>
  <c r="QK48" i="3"/>
  <c r="QK74" i="3" s="1"/>
  <c r="KT130" i="3"/>
  <c r="GL130" i="1" s="1"/>
  <c r="CL48" i="1"/>
  <c r="LE48" i="3"/>
  <c r="LF48" i="3" s="1"/>
  <c r="HA48" i="1"/>
  <c r="DT48" i="3"/>
  <c r="DU48" i="3"/>
  <c r="KT48" i="3"/>
  <c r="JG48" i="3"/>
  <c r="JH48" i="3" s="1"/>
  <c r="EV48" i="1"/>
  <c r="BY48" i="3"/>
  <c r="BF48" i="1"/>
  <c r="CL130" i="1"/>
  <c r="LE130" i="3"/>
  <c r="LF130" i="3" s="1"/>
  <c r="HA130" i="1"/>
  <c r="JG130" i="3"/>
  <c r="JH130" i="3" s="1"/>
  <c r="EV130" i="1"/>
  <c r="DT130" i="3"/>
  <c r="DU130" i="3"/>
  <c r="BY130" i="3"/>
  <c r="BF130" i="1"/>
  <c r="KT46" i="3"/>
  <c r="DP116" i="1"/>
  <c r="BY46" i="3"/>
  <c r="BF46" i="1"/>
  <c r="JG46" i="3"/>
  <c r="JH46" i="3" s="1"/>
  <c r="EV46" i="1"/>
  <c r="LE46" i="3"/>
  <c r="LF46" i="3" s="1"/>
  <c r="HA46" i="1"/>
  <c r="CL140" i="1"/>
  <c r="DP146" i="1"/>
  <c r="DP140" i="1"/>
  <c r="KU150" i="3"/>
  <c r="KV150" i="3" s="1"/>
  <c r="GL150" i="1"/>
  <c r="CL150" i="1"/>
  <c r="DP118" i="1"/>
  <c r="JG128" i="3"/>
  <c r="JH128" i="3" s="1"/>
  <c r="EV128" i="1"/>
  <c r="EB128" i="3"/>
  <c r="BY128" i="3"/>
  <c r="BF128" i="1"/>
  <c r="HA128" i="1"/>
  <c r="LE128" i="3"/>
  <c r="LF128" i="3" s="1"/>
  <c r="DY128" i="3"/>
  <c r="DT128" i="3"/>
  <c r="DU128" i="3"/>
  <c r="CL68" i="1"/>
  <c r="DP64" i="1"/>
  <c r="KU68" i="3"/>
  <c r="KV68" i="3" s="1"/>
  <c r="GL68" i="1"/>
  <c r="DP58" i="1"/>
  <c r="DT46" i="3"/>
  <c r="DU46" i="3"/>
  <c r="FQ144" i="3"/>
  <c r="GQ144" i="3" s="1"/>
  <c r="IR60" i="3"/>
  <c r="GC60" i="3" s="1"/>
  <c r="IR58" i="3"/>
  <c r="GC58" i="3" s="1"/>
  <c r="QF40" i="3"/>
  <c r="QH40" i="3"/>
  <c r="KZ60" i="3"/>
  <c r="LA60" i="3" s="1"/>
  <c r="LB60" i="3" s="1"/>
  <c r="KZ58" i="3"/>
  <c r="LA58" i="3" s="1"/>
  <c r="LB58" i="3" s="1"/>
  <c r="GL66" i="1"/>
  <c r="KU66" i="3"/>
  <c r="KV66" i="3" s="1"/>
  <c r="HA56" i="1"/>
  <c r="LE56" i="3"/>
  <c r="LF56" i="3" s="1"/>
  <c r="DU56" i="3"/>
  <c r="EV56" i="1"/>
  <c r="JG56" i="3"/>
  <c r="JH56" i="3" s="1"/>
  <c r="BY56" i="3"/>
  <c r="BF56" i="1"/>
  <c r="KU58" i="3"/>
  <c r="KV58" i="3" s="1"/>
  <c r="GL58" i="1"/>
  <c r="EB56" i="3"/>
  <c r="DY56" i="3"/>
  <c r="BQ56" i="3"/>
  <c r="QH56" i="3"/>
  <c r="KT56" i="3"/>
  <c r="DU44" i="3"/>
  <c r="KZ144" i="3"/>
  <c r="LA144" i="3" s="1"/>
  <c r="LB144" i="3" s="1"/>
  <c r="KZ140" i="3"/>
  <c r="LA140" i="3" s="1"/>
  <c r="LB140" i="3" s="1"/>
  <c r="CU148" i="1"/>
  <c r="KU140" i="3"/>
  <c r="KV140" i="3" s="1"/>
  <c r="GL140" i="1"/>
  <c r="KT118" i="3"/>
  <c r="KU118" i="3" s="1"/>
  <c r="KV118" i="3" s="1"/>
  <c r="DU126" i="3"/>
  <c r="QH116" i="3"/>
  <c r="BQ116" i="3"/>
  <c r="DU116" i="3"/>
  <c r="LE116" i="3"/>
  <c r="LF116" i="3" s="1"/>
  <c r="HA116" i="1"/>
  <c r="EB116" i="3"/>
  <c r="EV116" i="1"/>
  <c r="JG116" i="3"/>
  <c r="JH116" i="3" s="1"/>
  <c r="BY116" i="3"/>
  <c r="BF116" i="1"/>
  <c r="DU120" i="3"/>
  <c r="EB122" i="3"/>
  <c r="DY122" i="3"/>
  <c r="JG122" i="3"/>
  <c r="JH122" i="3" s="1"/>
  <c r="EV122" i="1"/>
  <c r="BY122" i="3"/>
  <c r="BF122" i="1"/>
  <c r="GL126" i="1"/>
  <c r="KU126" i="3"/>
  <c r="KV126" i="3" s="1"/>
  <c r="EV124" i="1"/>
  <c r="JG124" i="3"/>
  <c r="JH124" i="3" s="1"/>
  <c r="DU124" i="3"/>
  <c r="EB124" i="3"/>
  <c r="DY124" i="3"/>
  <c r="EB118" i="3"/>
  <c r="QH118" i="3"/>
  <c r="BQ118" i="3"/>
  <c r="DY118" i="3"/>
  <c r="BY118" i="3"/>
  <c r="BF118" i="1"/>
  <c r="KT120" i="3"/>
  <c r="DY116" i="3"/>
  <c r="JG120" i="3"/>
  <c r="JH120" i="3" s="1"/>
  <c r="EV120" i="1"/>
  <c r="DY120" i="3"/>
  <c r="HA120" i="1"/>
  <c r="LE120" i="3"/>
  <c r="LF120" i="3" s="1"/>
  <c r="EB120" i="3"/>
  <c r="BQ120" i="3"/>
  <c r="QH120" i="3"/>
  <c r="BY120" i="3"/>
  <c r="BF120" i="1"/>
  <c r="DU122" i="3"/>
  <c r="HA122" i="1"/>
  <c r="LE122" i="3"/>
  <c r="LF122" i="3" s="1"/>
  <c r="QE122" i="3"/>
  <c r="BQ122" i="3"/>
  <c r="KU122" i="3"/>
  <c r="KV122" i="3" s="1"/>
  <c r="GL122" i="1"/>
  <c r="JG126" i="3"/>
  <c r="JH126" i="3" s="1"/>
  <c r="EV126" i="1"/>
  <c r="DY126" i="3"/>
  <c r="LE126" i="3"/>
  <c r="LF126" i="3" s="1"/>
  <c r="HA126" i="1"/>
  <c r="EB126" i="3"/>
  <c r="BY126" i="3"/>
  <c r="BF126" i="1"/>
  <c r="QF124" i="3"/>
  <c r="BQ124" i="3"/>
  <c r="GL124" i="1"/>
  <c r="KU124" i="3"/>
  <c r="KV124" i="3" s="1"/>
  <c r="LE124" i="3"/>
  <c r="LF124" i="3" s="1"/>
  <c r="HA124" i="1"/>
  <c r="BY124" i="3"/>
  <c r="BF124" i="1"/>
  <c r="DU118" i="3"/>
  <c r="EZ118" i="3" s="1"/>
  <c r="FH118" i="3" s="1"/>
  <c r="EV118" i="1"/>
  <c r="JG118" i="3"/>
  <c r="JH118" i="3" s="1"/>
  <c r="LE118" i="3"/>
  <c r="LF118" i="3" s="1"/>
  <c r="HA118" i="1"/>
  <c r="DU42" i="3"/>
  <c r="QF42" i="3"/>
  <c r="BQ42" i="3"/>
  <c r="JG42" i="3"/>
  <c r="JH42" i="3" s="1"/>
  <c r="EV42" i="1"/>
  <c r="EB42" i="3"/>
  <c r="BY42" i="3"/>
  <c r="BF42" i="1"/>
  <c r="HA40" i="1"/>
  <c r="LE40" i="3"/>
  <c r="LF40" i="3" s="1"/>
  <c r="EB40" i="3"/>
  <c r="DY40" i="3"/>
  <c r="QH34" i="3"/>
  <c r="BQ34" i="3"/>
  <c r="JG34" i="3"/>
  <c r="JH34" i="3" s="1"/>
  <c r="EV34" i="1"/>
  <c r="EB34" i="3"/>
  <c r="DY34" i="3"/>
  <c r="BY34" i="3"/>
  <c r="BF34" i="1"/>
  <c r="LE44" i="3"/>
  <c r="LF44" i="3" s="1"/>
  <c r="HA44" i="1"/>
  <c r="JG44" i="3"/>
  <c r="JH44" i="3" s="1"/>
  <c r="EV44" i="1"/>
  <c r="EB44" i="3"/>
  <c r="QH38" i="3"/>
  <c r="LE36" i="3"/>
  <c r="LF36" i="3" s="1"/>
  <c r="HA36" i="1"/>
  <c r="EB36" i="3"/>
  <c r="BQ36" i="3"/>
  <c r="QH36" i="3"/>
  <c r="DY36" i="3"/>
  <c r="BY36" i="3"/>
  <c r="BF36" i="1"/>
  <c r="HA42" i="1"/>
  <c r="LE42" i="3"/>
  <c r="LF42" i="3" s="1"/>
  <c r="DY42" i="3"/>
  <c r="EV40" i="1"/>
  <c r="JG40" i="3"/>
  <c r="JH40" i="3" s="1"/>
  <c r="QE40" i="3"/>
  <c r="BQ40" i="3"/>
  <c r="DU40" i="3"/>
  <c r="BY40" i="3"/>
  <c r="BF40" i="1"/>
  <c r="LE34" i="3"/>
  <c r="LF34" i="3" s="1"/>
  <c r="HA34" i="1"/>
  <c r="DU34" i="3"/>
  <c r="DY44" i="3"/>
  <c r="BY44" i="3"/>
  <c r="BF44" i="1"/>
  <c r="DU36" i="3"/>
  <c r="EV36" i="1"/>
  <c r="JG36" i="3"/>
  <c r="JH36" i="3" s="1"/>
  <c r="KT42" i="3"/>
  <c r="DY120" i="1"/>
  <c r="CU138" i="1"/>
  <c r="IX18" i="11" l="1"/>
  <c r="FY18" i="11" s="1"/>
  <c r="FZ18" i="11" s="1"/>
  <c r="FZ102" i="11" s="1"/>
  <c r="J114" i="12" s="1"/>
  <c r="FQ18" i="11"/>
  <c r="HA18" i="11" s="1"/>
  <c r="LH18" i="11"/>
  <c r="LI18" i="11" s="1"/>
  <c r="IS18" i="13"/>
  <c r="LM18" i="11"/>
  <c r="LN18" i="11" s="1"/>
  <c r="LO18" i="11" s="1"/>
  <c r="KU36" i="3"/>
  <c r="KV36" i="3" s="1"/>
  <c r="FQ138" i="3"/>
  <c r="DV138" i="3"/>
  <c r="GF18" i="11"/>
  <c r="GG18" i="11" s="1"/>
  <c r="GG102" i="11" s="1"/>
  <c r="L114" i="12" s="1"/>
  <c r="GL44" i="1"/>
  <c r="CU124" i="3"/>
  <c r="LP124" i="3" s="1"/>
  <c r="LR124" i="3" s="1"/>
  <c r="LS124" i="3" s="1"/>
  <c r="DP124" i="1"/>
  <c r="AV128" i="3"/>
  <c r="IS128" i="3" s="1"/>
  <c r="CL128" i="1"/>
  <c r="CL64" i="1"/>
  <c r="AV66" i="3"/>
  <c r="IS66" i="3" s="1"/>
  <c r="CL66" i="1"/>
  <c r="CU60" i="3"/>
  <c r="LV60" i="3" s="1"/>
  <c r="LX60" i="3" s="1"/>
  <c r="LY60" i="3" s="1"/>
  <c r="DP60" i="1"/>
  <c r="AV62" i="3"/>
  <c r="IL62" i="3" s="1"/>
  <c r="CL62" i="1"/>
  <c r="AV56" i="3"/>
  <c r="IL56" i="3" s="1"/>
  <c r="CL56" i="1"/>
  <c r="CU38" i="3"/>
  <c r="CX38" i="3" s="1"/>
  <c r="DP38" i="1"/>
  <c r="KU34" i="3"/>
  <c r="KV34" i="3" s="1"/>
  <c r="CZ56" i="3"/>
  <c r="DA56" i="3" s="1"/>
  <c r="BF38" i="1"/>
  <c r="EV38" i="1"/>
  <c r="HA38" i="1"/>
  <c r="GL38" i="1"/>
  <c r="DP36" i="1"/>
  <c r="FO118" i="3"/>
  <c r="GK118" i="3" s="1"/>
  <c r="FI118" i="3"/>
  <c r="QF38" i="3"/>
  <c r="QJ38" i="3"/>
  <c r="QJ74" i="3" s="1"/>
  <c r="GL116" i="1"/>
  <c r="DP122" i="1"/>
  <c r="AW148" i="3"/>
  <c r="AV124" i="3"/>
  <c r="IS124" i="3" s="1"/>
  <c r="CL124" i="1"/>
  <c r="AV122" i="3"/>
  <c r="IL122" i="3" s="1"/>
  <c r="CL122" i="1"/>
  <c r="AV116" i="3"/>
  <c r="AY116" i="3" s="1"/>
  <c r="IF116" i="3" s="1"/>
  <c r="CL116" i="1"/>
  <c r="AV42" i="3"/>
  <c r="IL42" i="3" s="1"/>
  <c r="CL42" i="1"/>
  <c r="AV40" i="3"/>
  <c r="IL40" i="3" s="1"/>
  <c r="CL40" i="1"/>
  <c r="AV38" i="3"/>
  <c r="IL38" i="3" s="1"/>
  <c r="CL38" i="1"/>
  <c r="BA148" i="3"/>
  <c r="BB148" i="3" s="1"/>
  <c r="FD148" i="3" s="1"/>
  <c r="FE148" i="3" s="1"/>
  <c r="FH148" i="3" s="1"/>
  <c r="CX150" i="3"/>
  <c r="LL150" i="3" s="1"/>
  <c r="LM150" i="3" s="1"/>
  <c r="IS148" i="3"/>
  <c r="LP138" i="3"/>
  <c r="LR138" i="3" s="1"/>
  <c r="LS138" i="3" s="1"/>
  <c r="IL148" i="3"/>
  <c r="CZ142" i="3"/>
  <c r="DA142" i="3" s="1"/>
  <c r="BQ38" i="3"/>
  <c r="LP150" i="3"/>
  <c r="LQ150" i="3" s="1"/>
  <c r="AW116" i="3"/>
  <c r="GQ150" i="3"/>
  <c r="IK58" i="3"/>
  <c r="FX58" i="3" s="1"/>
  <c r="CZ118" i="3"/>
  <c r="DA118" i="3" s="1"/>
  <c r="BA126" i="3"/>
  <c r="BB126" i="3" s="1"/>
  <c r="LQ138" i="3"/>
  <c r="QB74" i="3"/>
  <c r="I242" i="6" s="1"/>
  <c r="LV118" i="3"/>
  <c r="LW118" i="3" s="1"/>
  <c r="DU38" i="3"/>
  <c r="DV38" i="3" s="1"/>
  <c r="CX142" i="3"/>
  <c r="DY142" i="1" s="1"/>
  <c r="CV150" i="3"/>
  <c r="LP142" i="3"/>
  <c r="LR142" i="3" s="1"/>
  <c r="LS142" i="3" s="1"/>
  <c r="LV150" i="3"/>
  <c r="LX150" i="3" s="1"/>
  <c r="LY150" i="3" s="1"/>
  <c r="IL126" i="3"/>
  <c r="AY38" i="3"/>
  <c r="FL38" i="3" s="1"/>
  <c r="AY120" i="3"/>
  <c r="IF120" i="3" s="1"/>
  <c r="IG120" i="3" s="1"/>
  <c r="AY144" i="3"/>
  <c r="CU144" i="1" s="1"/>
  <c r="PV74" i="3"/>
  <c r="I236" i="6" s="1"/>
  <c r="I250" i="6" s="1"/>
  <c r="I260" i="6" s="1"/>
  <c r="IS144" i="3"/>
  <c r="IU144" i="3" s="1"/>
  <c r="IV144" i="3" s="1"/>
  <c r="IL120" i="3"/>
  <c r="AW126" i="3"/>
  <c r="CX124" i="3"/>
  <c r="LL124" i="3" s="1"/>
  <c r="LM124" i="3" s="1"/>
  <c r="BA120" i="3"/>
  <c r="BB120" i="3" s="1"/>
  <c r="AW120" i="3"/>
  <c r="BA56" i="3"/>
  <c r="BB56" i="3" s="1"/>
  <c r="BA144" i="3"/>
  <c r="BB144" i="3" s="1"/>
  <c r="AW144" i="3"/>
  <c r="CV68" i="3"/>
  <c r="CX118" i="3"/>
  <c r="DY118" i="1" s="1"/>
  <c r="CV118" i="3"/>
  <c r="IS40" i="3"/>
  <c r="LV152" i="3"/>
  <c r="LW152" i="3" s="1"/>
  <c r="LP130" i="3"/>
  <c r="LQ130" i="3" s="1"/>
  <c r="LV124" i="3"/>
  <c r="LX124" i="3" s="1"/>
  <c r="LY124" i="3" s="1"/>
  <c r="BA46" i="3"/>
  <c r="BB46" i="3" s="1"/>
  <c r="CV142" i="3"/>
  <c r="AW60" i="3"/>
  <c r="AW142" i="3"/>
  <c r="LP60" i="3"/>
  <c r="LR60" i="3" s="1"/>
  <c r="LS60" i="3" s="1"/>
  <c r="LW142" i="3"/>
  <c r="CZ120" i="3"/>
  <c r="DA120" i="3" s="1"/>
  <c r="CV120" i="3"/>
  <c r="AY118" i="3"/>
  <c r="IF118" i="3" s="1"/>
  <c r="IG118" i="3" s="1"/>
  <c r="AW140" i="3"/>
  <c r="IS142" i="3"/>
  <c r="IL46" i="3"/>
  <c r="IS146" i="3"/>
  <c r="IS140" i="3"/>
  <c r="IT140" i="3" s="1"/>
  <c r="CZ126" i="3"/>
  <c r="DA126" i="3" s="1"/>
  <c r="CV126" i="3"/>
  <c r="AY46" i="3"/>
  <c r="IF46" i="3" s="1"/>
  <c r="IG46" i="3" s="1"/>
  <c r="AW46" i="3"/>
  <c r="AW118" i="3"/>
  <c r="IK140" i="3"/>
  <c r="FX140" i="3" s="1"/>
  <c r="AY146" i="3"/>
  <c r="CU146" i="1" s="1"/>
  <c r="BA60" i="3"/>
  <c r="BB60" i="3" s="1"/>
  <c r="AY142" i="3"/>
  <c r="CU142" i="1" s="1"/>
  <c r="BA64" i="3"/>
  <c r="BB64" i="3" s="1"/>
  <c r="BA142" i="3"/>
  <c r="BB142" i="3" s="1"/>
  <c r="CX68" i="3"/>
  <c r="LL68" i="3" s="1"/>
  <c r="LM68" i="3" s="1"/>
  <c r="LP120" i="3"/>
  <c r="LQ120" i="3" s="1"/>
  <c r="IL118" i="3"/>
  <c r="IL60" i="3"/>
  <c r="IN60" i="3" s="1"/>
  <c r="IO60" i="3" s="1"/>
  <c r="LP128" i="3"/>
  <c r="LQ128" i="3" s="1"/>
  <c r="IL138" i="3"/>
  <c r="IM138" i="3" s="1"/>
  <c r="FT144" i="3"/>
  <c r="BJ156" i="3"/>
  <c r="CU34" i="3"/>
  <c r="CZ34" i="3" s="1"/>
  <c r="DA34" i="3" s="1"/>
  <c r="DP34" i="1"/>
  <c r="LV70" i="3"/>
  <c r="LX70" i="3" s="1"/>
  <c r="LY70" i="3" s="1"/>
  <c r="LQ152" i="3"/>
  <c r="LR152" i="3"/>
  <c r="LS152" i="3" s="1"/>
  <c r="LX138" i="3"/>
  <c r="LY138" i="3" s="1"/>
  <c r="LW138" i="3"/>
  <c r="LX130" i="3"/>
  <c r="LY130" i="3" s="1"/>
  <c r="LW130" i="3"/>
  <c r="AY126" i="3"/>
  <c r="IF126" i="3" s="1"/>
  <c r="IG126" i="3" s="1"/>
  <c r="CZ42" i="3"/>
  <c r="DA42" i="3" s="1"/>
  <c r="CZ124" i="3"/>
  <c r="DA124" i="3" s="1"/>
  <c r="CX36" i="3"/>
  <c r="DY36" i="1" s="1"/>
  <c r="KU40" i="3"/>
  <c r="KV40" i="3" s="1"/>
  <c r="DN74" i="3"/>
  <c r="CV48" i="3"/>
  <c r="IS44" i="3"/>
  <c r="PV156" i="3"/>
  <c r="M236" i="6" s="1"/>
  <c r="M250" i="6" s="1"/>
  <c r="M260" i="6" s="1"/>
  <c r="PZ156" i="3"/>
  <c r="M240" i="6" s="1"/>
  <c r="IN144" i="3"/>
  <c r="IO144" i="3" s="1"/>
  <c r="PZ74" i="3"/>
  <c r="I240" i="6" s="1"/>
  <c r="LX120" i="3"/>
  <c r="LY120" i="3" s="1"/>
  <c r="LW120" i="3"/>
  <c r="LW128" i="3"/>
  <c r="LX128" i="3"/>
  <c r="LY128" i="3" s="1"/>
  <c r="BA128" i="3"/>
  <c r="BB128" i="3" s="1"/>
  <c r="BA118" i="3"/>
  <c r="BB118" i="3" s="1"/>
  <c r="BA138" i="3"/>
  <c r="BB138" i="3" s="1"/>
  <c r="LR118" i="3"/>
  <c r="LS118" i="3" s="1"/>
  <c r="QF156" i="3"/>
  <c r="QE156" i="3"/>
  <c r="AY138" i="3"/>
  <c r="IF138" i="3" s="1"/>
  <c r="IG138" i="3" s="1"/>
  <c r="AW146" i="3"/>
  <c r="BA146" i="3"/>
  <c r="BB146" i="3" s="1"/>
  <c r="AY140" i="3"/>
  <c r="IF140" i="3" s="1"/>
  <c r="IG140" i="3" s="1"/>
  <c r="BA140" i="3"/>
  <c r="BB140" i="3" s="1"/>
  <c r="AY60" i="3"/>
  <c r="CX120" i="3"/>
  <c r="LL120" i="3" s="1"/>
  <c r="LM120" i="3" s="1"/>
  <c r="FQ140" i="3"/>
  <c r="FT140" i="3" s="1"/>
  <c r="KU130" i="3"/>
  <c r="KV130" i="3" s="1"/>
  <c r="QB156" i="3"/>
  <c r="M242" i="6" s="1"/>
  <c r="DN156" i="3"/>
  <c r="M270" i="6" s="1"/>
  <c r="IS138" i="3"/>
  <c r="IU138" i="3" s="1"/>
  <c r="IV138" i="3" s="1"/>
  <c r="IT60" i="3"/>
  <c r="CV42" i="3"/>
  <c r="BA44" i="3"/>
  <c r="BB44" i="3" s="1"/>
  <c r="CZ48" i="3"/>
  <c r="DA48" i="3" s="1"/>
  <c r="LP42" i="3"/>
  <c r="LQ42" i="3" s="1"/>
  <c r="LP48" i="3"/>
  <c r="LQ48" i="3" s="1"/>
  <c r="LP36" i="3"/>
  <c r="LR36" i="3" s="1"/>
  <c r="LS36" i="3" s="1"/>
  <c r="PX74" i="3"/>
  <c r="LR70" i="3"/>
  <c r="LS70" i="3" s="1"/>
  <c r="LQ70" i="3"/>
  <c r="LX48" i="3"/>
  <c r="LY48" i="3" s="1"/>
  <c r="LW48" i="3"/>
  <c r="CX42" i="3"/>
  <c r="LL42" i="3" s="1"/>
  <c r="LM42" i="3" s="1"/>
  <c r="AY44" i="3"/>
  <c r="IF44" i="3" s="1"/>
  <c r="AW44" i="3"/>
  <c r="LR56" i="3"/>
  <c r="LS56" i="3" s="1"/>
  <c r="LQ46" i="3"/>
  <c r="CZ36" i="3"/>
  <c r="DA36" i="3" s="1"/>
  <c r="CV36" i="3"/>
  <c r="CX48" i="3"/>
  <c r="LL48" i="3" s="1"/>
  <c r="LM48" i="3" s="1"/>
  <c r="CX70" i="3"/>
  <c r="LL70" i="3" s="1"/>
  <c r="LM70" i="3" s="1"/>
  <c r="CX46" i="3"/>
  <c r="CZ46" i="3"/>
  <c r="DA46" i="3" s="1"/>
  <c r="CV46" i="3"/>
  <c r="CV56" i="3"/>
  <c r="CX56" i="3"/>
  <c r="BA58" i="3"/>
  <c r="BB58" i="3" s="1"/>
  <c r="AY58" i="3"/>
  <c r="IS64" i="3"/>
  <c r="LP68" i="3"/>
  <c r="LR68" i="3" s="1"/>
  <c r="LS68" i="3" s="1"/>
  <c r="LV46" i="3"/>
  <c r="IS58" i="3"/>
  <c r="IU58" i="3" s="1"/>
  <c r="IV58" i="3" s="1"/>
  <c r="LV56" i="3"/>
  <c r="CL36" i="1"/>
  <c r="AV36" i="3"/>
  <c r="AY64" i="3"/>
  <c r="IF64" i="3" s="1"/>
  <c r="IG64" i="3" s="1"/>
  <c r="AW64" i="3"/>
  <c r="AW58" i="3"/>
  <c r="LV68" i="3"/>
  <c r="DV60" i="3"/>
  <c r="FQ60" i="3"/>
  <c r="CV152" i="3"/>
  <c r="CZ152" i="3"/>
  <c r="CX152" i="3"/>
  <c r="CX138" i="3"/>
  <c r="CZ138" i="3"/>
  <c r="DA138" i="3" s="1"/>
  <c r="CV138" i="3"/>
  <c r="CX130" i="3"/>
  <c r="CV130" i="3"/>
  <c r="CZ130" i="3"/>
  <c r="DA130" i="3" s="1"/>
  <c r="CX128" i="3"/>
  <c r="CZ128" i="3"/>
  <c r="DA128" i="3" s="1"/>
  <c r="CV128" i="3"/>
  <c r="CL34" i="1"/>
  <c r="AV34" i="3"/>
  <c r="EH58" i="3"/>
  <c r="FQ58" i="3"/>
  <c r="CZ70" i="3"/>
  <c r="DA70" i="3" s="1"/>
  <c r="CV70" i="3"/>
  <c r="BA48" i="3"/>
  <c r="BB48" i="3" s="1"/>
  <c r="IL48" i="3"/>
  <c r="IS48" i="3"/>
  <c r="IL70" i="3"/>
  <c r="IS70" i="3"/>
  <c r="LV58" i="3"/>
  <c r="LP58" i="3"/>
  <c r="LV64" i="3"/>
  <c r="LP64" i="3"/>
  <c r="IL68" i="3"/>
  <c r="IS68" i="3"/>
  <c r="IL150" i="3"/>
  <c r="IS150" i="3"/>
  <c r="CX140" i="3"/>
  <c r="LL140" i="3" s="1"/>
  <c r="LM140" i="3" s="1"/>
  <c r="LV140" i="3"/>
  <c r="LP140" i="3"/>
  <c r="LR140" i="3" s="1"/>
  <c r="LS140" i="3" s="1"/>
  <c r="LV146" i="3"/>
  <c r="LP146" i="3"/>
  <c r="LR146" i="3" s="1"/>
  <c r="LS146" i="3" s="1"/>
  <c r="LV116" i="3"/>
  <c r="LP116" i="3"/>
  <c r="IL130" i="3"/>
  <c r="IS130" i="3"/>
  <c r="LV44" i="3"/>
  <c r="LP44" i="3"/>
  <c r="LV40" i="3"/>
  <c r="LP40" i="3"/>
  <c r="LV62" i="3"/>
  <c r="LP62" i="3"/>
  <c r="LV66" i="3"/>
  <c r="LW66" i="3" s="1"/>
  <c r="LP66" i="3"/>
  <c r="LV122" i="3"/>
  <c r="LP122" i="3"/>
  <c r="LV126" i="3"/>
  <c r="LP126" i="3"/>
  <c r="LV144" i="3"/>
  <c r="LX144" i="3" s="1"/>
  <c r="LY144" i="3" s="1"/>
  <c r="LP144" i="3"/>
  <c r="LV148" i="3"/>
  <c r="LP148" i="3"/>
  <c r="LW36" i="3"/>
  <c r="QH62" i="3"/>
  <c r="QE62" i="3"/>
  <c r="QH64" i="3"/>
  <c r="QF64" i="3"/>
  <c r="CU60" i="1"/>
  <c r="GR140" i="1"/>
  <c r="CU140" i="1"/>
  <c r="KU152" i="3"/>
  <c r="KV152" i="3" s="1"/>
  <c r="GL152" i="1"/>
  <c r="KY152" i="3"/>
  <c r="KX152" i="3"/>
  <c r="BZ152" i="3"/>
  <c r="CD152" i="3" s="1"/>
  <c r="CH152" i="3" s="1"/>
  <c r="EF152" i="3"/>
  <c r="EG152" i="3" s="1"/>
  <c r="EH152" i="3" s="1"/>
  <c r="EJ152" i="3"/>
  <c r="EM152" i="3"/>
  <c r="CC152" i="3"/>
  <c r="CG152" i="3" s="1"/>
  <c r="HY152" i="3" s="1"/>
  <c r="NQ152" i="3" s="1"/>
  <c r="CV144" i="3"/>
  <c r="CZ144" i="3"/>
  <c r="CX144" i="3"/>
  <c r="CV148" i="3"/>
  <c r="CZ148" i="3"/>
  <c r="DA148" i="3" s="1"/>
  <c r="CX148" i="3"/>
  <c r="BQ142" i="3"/>
  <c r="QH142" i="3"/>
  <c r="LA150" i="3"/>
  <c r="LB150" i="3" s="1"/>
  <c r="GR150" i="1"/>
  <c r="DV152" i="3"/>
  <c r="CX122" i="3"/>
  <c r="CZ122" i="3"/>
  <c r="DA122" i="3" s="1"/>
  <c r="CV122" i="3"/>
  <c r="CX126" i="3"/>
  <c r="CU64" i="1"/>
  <c r="CU62" i="1"/>
  <c r="BA130" i="3"/>
  <c r="BZ68" i="3"/>
  <c r="CD68" i="3" s="1"/>
  <c r="CH68" i="3" s="1"/>
  <c r="KX68" i="3"/>
  <c r="KY68" i="3"/>
  <c r="CV62" i="3"/>
  <c r="CX62" i="3"/>
  <c r="CZ62" i="3"/>
  <c r="KY66" i="3"/>
  <c r="KX66" i="3"/>
  <c r="EM66" i="3"/>
  <c r="BZ66" i="3"/>
  <c r="CD66" i="3" s="1"/>
  <c r="CH66" i="3" s="1"/>
  <c r="EJ66" i="3"/>
  <c r="CC66" i="3"/>
  <c r="CG66" i="3" s="1"/>
  <c r="HY66" i="3" s="1"/>
  <c r="NQ66" i="3" s="1"/>
  <c r="EF66" i="3"/>
  <c r="EG66" i="3" s="1"/>
  <c r="CV66" i="3"/>
  <c r="CZ66" i="3"/>
  <c r="DA66" i="3" s="1"/>
  <c r="CX66" i="3"/>
  <c r="PS74" i="3"/>
  <c r="I234" i="6" s="1"/>
  <c r="EF68" i="3"/>
  <c r="EG68" i="3" s="1"/>
  <c r="EH68" i="3" s="1"/>
  <c r="CC68" i="3"/>
  <c r="CG68" i="3" s="1"/>
  <c r="HY68" i="3" s="1"/>
  <c r="NQ68" i="3" s="1"/>
  <c r="CV40" i="3"/>
  <c r="CX40" i="3"/>
  <c r="CZ40" i="3"/>
  <c r="DA40" i="3" s="1"/>
  <c r="CV146" i="3"/>
  <c r="KT142" i="3"/>
  <c r="JG142" i="3"/>
  <c r="JH142" i="3" s="1"/>
  <c r="EV142" i="1"/>
  <c r="DT142" i="3"/>
  <c r="DU142" i="3"/>
  <c r="DU146" i="3"/>
  <c r="DT146" i="3"/>
  <c r="QH146" i="3"/>
  <c r="BQ146" i="3"/>
  <c r="LE146" i="3"/>
  <c r="LF146" i="3" s="1"/>
  <c r="HA146" i="1"/>
  <c r="DY146" i="3"/>
  <c r="DY156" i="3" s="1"/>
  <c r="DT148" i="3"/>
  <c r="DU148" i="3"/>
  <c r="BY142" i="3"/>
  <c r="BF142" i="1"/>
  <c r="LE142" i="3"/>
  <c r="LF142" i="3" s="1"/>
  <c r="HA142" i="1"/>
  <c r="EB142" i="3"/>
  <c r="EB156" i="3" s="1"/>
  <c r="BY146" i="3"/>
  <c r="BF146" i="1"/>
  <c r="JG146" i="3"/>
  <c r="JH146" i="3" s="1"/>
  <c r="EV146" i="1"/>
  <c r="BY148" i="3"/>
  <c r="BF148" i="1"/>
  <c r="EV148" i="1"/>
  <c r="JG148" i="3"/>
  <c r="JH148" i="3" s="1"/>
  <c r="LE148" i="3"/>
  <c r="LF148" i="3" s="1"/>
  <c r="HA148" i="1"/>
  <c r="KT146" i="3"/>
  <c r="KT148" i="3"/>
  <c r="BJ74" i="3"/>
  <c r="EM68" i="3"/>
  <c r="EJ68" i="3"/>
  <c r="GR60" i="1"/>
  <c r="DV68" i="3"/>
  <c r="KT62" i="3"/>
  <c r="KU62" i="3" s="1"/>
  <c r="KV62" i="3" s="1"/>
  <c r="KU70" i="3"/>
  <c r="KV70" i="3" s="1"/>
  <c r="GL70" i="1"/>
  <c r="AY70" i="3"/>
  <c r="AW70" i="3"/>
  <c r="BA70" i="3"/>
  <c r="KX70" i="3"/>
  <c r="KY70" i="3"/>
  <c r="BZ70" i="3"/>
  <c r="CD70" i="3" s="1"/>
  <c r="CH70" i="3" s="1"/>
  <c r="CC70" i="3"/>
  <c r="CG70" i="3" s="1"/>
  <c r="HY70" i="3" s="1"/>
  <c r="NQ70" i="3" s="1"/>
  <c r="EM70" i="3"/>
  <c r="EJ70" i="3"/>
  <c r="EF70" i="3"/>
  <c r="EG70" i="3" s="1"/>
  <c r="EH70" i="3" s="1"/>
  <c r="DV70" i="3"/>
  <c r="GR58" i="1"/>
  <c r="BZ64" i="3"/>
  <c r="CD64" i="3" s="1"/>
  <c r="CH64" i="3" s="1"/>
  <c r="EF64" i="3"/>
  <c r="EG64" i="3" s="1"/>
  <c r="EH64" i="3" s="1"/>
  <c r="EM64" i="3"/>
  <c r="KY64" i="3"/>
  <c r="EJ64" i="3"/>
  <c r="EK64" i="3" s="1"/>
  <c r="CC64" i="3"/>
  <c r="CG64" i="3" s="1"/>
  <c r="HY64" i="3" s="1"/>
  <c r="NQ64" i="3" s="1"/>
  <c r="KX64" i="3"/>
  <c r="JG62" i="3"/>
  <c r="JH62" i="3" s="1"/>
  <c r="EV62" i="1"/>
  <c r="DY62" i="3"/>
  <c r="LE62" i="3"/>
  <c r="LF62" i="3" s="1"/>
  <c r="HA62" i="1"/>
  <c r="DY64" i="3"/>
  <c r="HA64" i="1"/>
  <c r="LE64" i="3"/>
  <c r="LF64" i="3" s="1"/>
  <c r="DU64" i="3"/>
  <c r="DT64" i="3"/>
  <c r="KT64" i="3"/>
  <c r="BY62" i="3"/>
  <c r="BF62" i="1"/>
  <c r="EB62" i="3"/>
  <c r="EB74" i="3" s="1"/>
  <c r="DT62" i="3"/>
  <c r="DU62" i="3"/>
  <c r="QF62" i="3"/>
  <c r="BQ62" i="3"/>
  <c r="QE64" i="3"/>
  <c r="BQ64" i="3"/>
  <c r="JG64" i="3"/>
  <c r="JH64" i="3" s="1"/>
  <c r="EV64" i="1"/>
  <c r="CV44" i="3"/>
  <c r="CX44" i="3"/>
  <c r="CZ44" i="3"/>
  <c r="DA44" i="3" s="1"/>
  <c r="LW60" i="3"/>
  <c r="GL118" i="1"/>
  <c r="KX126" i="3"/>
  <c r="KY126" i="3"/>
  <c r="KX46" i="3"/>
  <c r="KY46" i="3"/>
  <c r="KX130" i="3"/>
  <c r="KY130" i="3"/>
  <c r="KX48" i="3"/>
  <c r="KY48" i="3"/>
  <c r="KY44" i="3"/>
  <c r="KX44" i="3"/>
  <c r="KX128" i="3"/>
  <c r="KY128" i="3"/>
  <c r="KU48" i="3"/>
  <c r="KV48" i="3" s="1"/>
  <c r="GL48" i="1"/>
  <c r="AW48" i="3"/>
  <c r="AY48" i="3"/>
  <c r="EF48" i="3"/>
  <c r="EG48" i="3" s="1"/>
  <c r="EH48" i="3" s="1"/>
  <c r="CC48" i="3"/>
  <c r="CG48" i="3" s="1"/>
  <c r="HY48" i="3" s="1"/>
  <c r="NQ48" i="3" s="1"/>
  <c r="BZ48" i="3"/>
  <c r="CD48" i="3" s="1"/>
  <c r="CH48" i="3" s="1"/>
  <c r="EM48" i="3"/>
  <c r="EJ48" i="3"/>
  <c r="DV48" i="3"/>
  <c r="CC130" i="3"/>
  <c r="CG130" i="3" s="1"/>
  <c r="HY130" i="3" s="1"/>
  <c r="NQ130" i="3" s="1"/>
  <c r="BZ130" i="3"/>
  <c r="CD130" i="3" s="1"/>
  <c r="CH130" i="3" s="1"/>
  <c r="EF130" i="3"/>
  <c r="EG130" i="3" s="1"/>
  <c r="EH130" i="3" s="1"/>
  <c r="EJ130" i="3"/>
  <c r="EM130" i="3"/>
  <c r="AY130" i="3"/>
  <c r="AW130" i="3"/>
  <c r="DV130" i="3"/>
  <c r="FQ130" i="3"/>
  <c r="KU46" i="3"/>
  <c r="KV46" i="3" s="1"/>
  <c r="GL46" i="1"/>
  <c r="CV116" i="3"/>
  <c r="CX116" i="3"/>
  <c r="CZ116" i="3"/>
  <c r="DA116" i="3" s="1"/>
  <c r="EF46" i="3"/>
  <c r="EG46" i="3" s="1"/>
  <c r="EH46" i="3" s="1"/>
  <c r="CC46" i="3"/>
  <c r="CG46" i="3" s="1"/>
  <c r="HY46" i="3" s="1"/>
  <c r="NQ46" i="3" s="1"/>
  <c r="BZ46" i="3"/>
  <c r="CD46" i="3" s="1"/>
  <c r="CH46" i="3" s="1"/>
  <c r="EM46" i="3"/>
  <c r="EJ46" i="3"/>
  <c r="DY140" i="1"/>
  <c r="AY150" i="3"/>
  <c r="AW150" i="3"/>
  <c r="BA150" i="3"/>
  <c r="CZ140" i="3"/>
  <c r="CX146" i="3"/>
  <c r="CZ146" i="3"/>
  <c r="IM144" i="3"/>
  <c r="DV128" i="3"/>
  <c r="CC128" i="3"/>
  <c r="CG128" i="3" s="1"/>
  <c r="HY128" i="3" s="1"/>
  <c r="NQ128" i="3" s="1"/>
  <c r="BZ128" i="3"/>
  <c r="CD128" i="3" s="1"/>
  <c r="CH128" i="3" s="1"/>
  <c r="EM128" i="3"/>
  <c r="EF128" i="3"/>
  <c r="EG128" i="3" s="1"/>
  <c r="EH128" i="3" s="1"/>
  <c r="EJ128" i="3"/>
  <c r="CV58" i="3"/>
  <c r="CZ58" i="3"/>
  <c r="CX58" i="3"/>
  <c r="CX64" i="3"/>
  <c r="CV64" i="3"/>
  <c r="CZ64" i="3"/>
  <c r="BA68" i="3"/>
  <c r="AY68" i="3"/>
  <c r="AW68" i="3"/>
  <c r="DV46" i="3"/>
  <c r="IU60" i="3"/>
  <c r="IV60" i="3" s="1"/>
  <c r="KU56" i="3"/>
  <c r="KV56" i="3" s="1"/>
  <c r="GL56" i="1"/>
  <c r="CC56" i="3"/>
  <c r="CG56" i="3" s="1"/>
  <c r="HY56" i="3" s="1"/>
  <c r="NQ56" i="3" s="1"/>
  <c r="EJ56" i="3"/>
  <c r="EF56" i="3"/>
  <c r="EG56" i="3" s="1"/>
  <c r="EH56" i="3" s="1"/>
  <c r="KY56" i="3"/>
  <c r="EM56" i="3"/>
  <c r="BZ56" i="3"/>
  <c r="CD56" i="3" s="1"/>
  <c r="CH56" i="3" s="1"/>
  <c r="KX56" i="3"/>
  <c r="DV56" i="3"/>
  <c r="FQ56" i="3"/>
  <c r="M248" i="6"/>
  <c r="M258" i="6" s="1"/>
  <c r="BZ44" i="3"/>
  <c r="CD44" i="3" s="1"/>
  <c r="CH44" i="3" s="1"/>
  <c r="EF44" i="3"/>
  <c r="EG44" i="3" s="1"/>
  <c r="EH44" i="3" s="1"/>
  <c r="EM44" i="3"/>
  <c r="CC44" i="3"/>
  <c r="CG44" i="3" s="1"/>
  <c r="HY44" i="3" s="1"/>
  <c r="NQ44" i="3" s="1"/>
  <c r="EJ44" i="3"/>
  <c r="FQ44" i="3"/>
  <c r="DV44" i="3"/>
  <c r="GR144" i="1"/>
  <c r="BZ126" i="3"/>
  <c r="CD126" i="3" s="1"/>
  <c r="CH126" i="3" s="1"/>
  <c r="EJ126" i="3"/>
  <c r="EF126" i="3"/>
  <c r="EG126" i="3" s="1"/>
  <c r="EH126" i="3" s="1"/>
  <c r="CC126" i="3"/>
  <c r="CG126" i="3" s="1"/>
  <c r="HY126" i="3" s="1"/>
  <c r="NQ126" i="3" s="1"/>
  <c r="EM126" i="3"/>
  <c r="DV126" i="3"/>
  <c r="FQ126" i="3"/>
  <c r="DV118" i="3"/>
  <c r="EZ122" i="3"/>
  <c r="FH122" i="3" s="1"/>
  <c r="DV122" i="3"/>
  <c r="EZ116" i="3"/>
  <c r="DV116" i="3"/>
  <c r="EM124" i="3"/>
  <c r="EF124" i="3"/>
  <c r="EG124" i="3" s="1"/>
  <c r="EH124" i="3" s="1"/>
  <c r="EJ124" i="3"/>
  <c r="KY124" i="3"/>
  <c r="CC124" i="3"/>
  <c r="CG124" i="3" s="1"/>
  <c r="HY124" i="3" s="1"/>
  <c r="NQ124" i="3" s="1"/>
  <c r="BZ124" i="3"/>
  <c r="CD124" i="3" s="1"/>
  <c r="CH124" i="3" s="1"/>
  <c r="KX124" i="3"/>
  <c r="BZ120" i="3"/>
  <c r="CD120" i="3" s="1"/>
  <c r="CH120" i="3" s="1"/>
  <c r="EM120" i="3"/>
  <c r="KX120" i="3"/>
  <c r="CC120" i="3"/>
  <c r="CG120" i="3" s="1"/>
  <c r="HY120" i="3" s="1"/>
  <c r="NQ120" i="3" s="1"/>
  <c r="EJ120" i="3"/>
  <c r="EF120" i="3"/>
  <c r="EG120" i="3" s="1"/>
  <c r="EH120" i="3" s="1"/>
  <c r="KY120" i="3"/>
  <c r="KU120" i="3"/>
  <c r="KV120" i="3" s="1"/>
  <c r="GL120" i="1"/>
  <c r="CC118" i="3"/>
  <c r="CG118" i="3" s="1"/>
  <c r="HY118" i="3" s="1"/>
  <c r="NQ118" i="3" s="1"/>
  <c r="EF118" i="3"/>
  <c r="EG118" i="3" s="1"/>
  <c r="EH118" i="3" s="1"/>
  <c r="EM118" i="3"/>
  <c r="BZ118" i="3"/>
  <c r="CD118" i="3" s="1"/>
  <c r="CH118" i="3" s="1"/>
  <c r="KX118" i="3"/>
  <c r="KY118" i="3"/>
  <c r="EJ118" i="3"/>
  <c r="EZ124" i="3"/>
  <c r="DV124" i="3"/>
  <c r="FQ124" i="3"/>
  <c r="EJ122" i="3"/>
  <c r="EM122" i="3"/>
  <c r="KY122" i="3"/>
  <c r="CC122" i="3"/>
  <c r="CG122" i="3" s="1"/>
  <c r="HY122" i="3" s="1"/>
  <c r="NQ122" i="3" s="1"/>
  <c r="BZ122" i="3"/>
  <c r="CD122" i="3" s="1"/>
  <c r="CH122" i="3" s="1"/>
  <c r="EF122" i="3"/>
  <c r="EG122" i="3" s="1"/>
  <c r="EH122" i="3" s="1"/>
  <c r="KX122" i="3"/>
  <c r="EZ120" i="3"/>
  <c r="FH120" i="3" s="1"/>
  <c r="DV120" i="3"/>
  <c r="CC116" i="3"/>
  <c r="CG116" i="3" s="1"/>
  <c r="HY116" i="3" s="1"/>
  <c r="NQ116" i="3" s="1"/>
  <c r="EM116" i="3"/>
  <c r="KX116" i="3"/>
  <c r="EF116" i="3"/>
  <c r="EG116" i="3" s="1"/>
  <c r="EH116" i="3" s="1"/>
  <c r="EJ116" i="3"/>
  <c r="BZ116" i="3"/>
  <c r="KY116" i="3"/>
  <c r="DV36" i="3"/>
  <c r="CC36" i="3"/>
  <c r="CG36" i="3" s="1"/>
  <c r="HY36" i="3" s="1"/>
  <c r="NQ36" i="3" s="1"/>
  <c r="EF36" i="3"/>
  <c r="EG36" i="3" s="1"/>
  <c r="EH36" i="3" s="1"/>
  <c r="EM36" i="3"/>
  <c r="BZ36" i="3"/>
  <c r="CD36" i="3" s="1"/>
  <c r="CH36" i="3" s="1"/>
  <c r="KY36" i="3"/>
  <c r="EJ36" i="3"/>
  <c r="KX36" i="3"/>
  <c r="CC42" i="3"/>
  <c r="CG42" i="3" s="1"/>
  <c r="HY42" i="3" s="1"/>
  <c r="NQ42" i="3" s="1"/>
  <c r="EJ42" i="3"/>
  <c r="KX42" i="3"/>
  <c r="BZ42" i="3"/>
  <c r="CD42" i="3" s="1"/>
  <c r="CH42" i="3" s="1"/>
  <c r="EF42" i="3"/>
  <c r="EG42" i="3" s="1"/>
  <c r="EH42" i="3" s="1"/>
  <c r="EM42" i="3"/>
  <c r="KY42" i="3"/>
  <c r="EZ42" i="3"/>
  <c r="FQ42" i="3"/>
  <c r="DV42" i="3"/>
  <c r="I248" i="6"/>
  <c r="I258" i="6" s="1"/>
  <c r="KU42" i="3"/>
  <c r="KV42" i="3" s="1"/>
  <c r="GL42" i="1"/>
  <c r="KX38" i="3"/>
  <c r="EJ38" i="3"/>
  <c r="KY38" i="3"/>
  <c r="CC38" i="3"/>
  <c r="CG38" i="3" s="1"/>
  <c r="HY38" i="3" s="1"/>
  <c r="NQ38" i="3" s="1"/>
  <c r="EF38" i="3"/>
  <c r="EG38" i="3" s="1"/>
  <c r="EH38" i="3" s="1"/>
  <c r="EM38" i="3"/>
  <c r="BZ38" i="3"/>
  <c r="CD38" i="3" s="1"/>
  <c r="CH38" i="3" s="1"/>
  <c r="EZ34" i="3"/>
  <c r="DV34" i="3"/>
  <c r="KX40" i="3"/>
  <c r="EF40" i="3"/>
  <c r="EG40" i="3" s="1"/>
  <c r="EH40" i="3" s="1"/>
  <c r="EM40" i="3"/>
  <c r="CC40" i="3"/>
  <c r="CG40" i="3" s="1"/>
  <c r="HY40" i="3" s="1"/>
  <c r="NQ40" i="3" s="1"/>
  <c r="KY40" i="3"/>
  <c r="EJ40" i="3"/>
  <c r="BZ40" i="3"/>
  <c r="CD40" i="3" s="1"/>
  <c r="CH40" i="3" s="1"/>
  <c r="EZ40" i="3"/>
  <c r="DV40" i="3"/>
  <c r="FQ40" i="3"/>
  <c r="EZ38" i="3"/>
  <c r="FH38" i="3" s="1"/>
  <c r="KY34" i="3"/>
  <c r="CC34" i="3"/>
  <c r="CG34" i="3" s="1"/>
  <c r="HY34" i="3" s="1"/>
  <c r="NQ34" i="3" s="1"/>
  <c r="EM34" i="3"/>
  <c r="BZ34" i="3"/>
  <c r="KX34" i="3"/>
  <c r="EF34" i="3"/>
  <c r="EG34" i="3" s="1"/>
  <c r="EH34" i="3" s="1"/>
  <c r="EJ34" i="3"/>
  <c r="HO120" i="1"/>
  <c r="LQ124" i="3"/>
  <c r="LW42" i="3"/>
  <c r="LX42" i="3"/>
  <c r="LY42" i="3" s="1"/>
  <c r="CU128" i="1"/>
  <c r="CU46" i="1"/>
  <c r="CU44" i="1"/>
  <c r="DY42" i="1"/>
  <c r="DY124" i="1"/>
  <c r="FD152" i="3"/>
  <c r="FT18" i="11" l="1"/>
  <c r="FT102" i="11" s="1"/>
  <c r="H114" i="12" s="1"/>
  <c r="JI18" i="11"/>
  <c r="IY18" i="13"/>
  <c r="CX60" i="3"/>
  <c r="DY60" i="1" s="1"/>
  <c r="CZ38" i="3"/>
  <c r="DA38" i="3" s="1"/>
  <c r="FF38" i="3" s="1"/>
  <c r="BA66" i="3"/>
  <c r="BB66" i="3" s="1"/>
  <c r="AW62" i="3"/>
  <c r="BA62" i="3"/>
  <c r="BB62" i="3" s="1"/>
  <c r="LP38" i="3"/>
  <c r="LR38" i="3" s="1"/>
  <c r="IL66" i="3"/>
  <c r="CZ60" i="3"/>
  <c r="DA60" i="3" s="1"/>
  <c r="GJ60" i="3" s="1"/>
  <c r="AW56" i="3"/>
  <c r="FT138" i="3"/>
  <c r="GQ138" i="3"/>
  <c r="JB18" i="11"/>
  <c r="ML18" i="11"/>
  <c r="GH18" i="11"/>
  <c r="GI18" i="11" s="1"/>
  <c r="GI102" i="11" s="1"/>
  <c r="L116" i="12" s="1"/>
  <c r="MF18" i="11"/>
  <c r="KZ36" i="3"/>
  <c r="AY62" i="3"/>
  <c r="IF62" i="3" s="1"/>
  <c r="IG62" i="3" s="1"/>
  <c r="IS56" i="3"/>
  <c r="AY66" i="3"/>
  <c r="CU66" i="1" s="1"/>
  <c r="LV38" i="3"/>
  <c r="LX38" i="3" s="1"/>
  <c r="LY38" i="3" s="1"/>
  <c r="CV38" i="3"/>
  <c r="AY56" i="3"/>
  <c r="CV60" i="3"/>
  <c r="AW66" i="3"/>
  <c r="IS62" i="3"/>
  <c r="AW128" i="3"/>
  <c r="CV124" i="3"/>
  <c r="IL128" i="3"/>
  <c r="AY128" i="3"/>
  <c r="IF128" i="3" s="1"/>
  <c r="IG128" i="3" s="1"/>
  <c r="IF56" i="3"/>
  <c r="IG56" i="3" s="1"/>
  <c r="CU56" i="1"/>
  <c r="IF58" i="3"/>
  <c r="IG58" i="3" s="1"/>
  <c r="CU58" i="1"/>
  <c r="LL38" i="3"/>
  <c r="LM38" i="3" s="1"/>
  <c r="DY38" i="1"/>
  <c r="GJ56" i="3"/>
  <c r="CU38" i="1"/>
  <c r="KZ34" i="3"/>
  <c r="GR34" i="1" s="1"/>
  <c r="CU118" i="1"/>
  <c r="CU120" i="1"/>
  <c r="AY40" i="3"/>
  <c r="AW38" i="3"/>
  <c r="AY122" i="3"/>
  <c r="BA116" i="3"/>
  <c r="BB116" i="3" s="1"/>
  <c r="FD116" i="3" s="1"/>
  <c r="FE116" i="3" s="1"/>
  <c r="FH116" i="3" s="1"/>
  <c r="BA124" i="3"/>
  <c r="BB124" i="3" s="1"/>
  <c r="IS122" i="3"/>
  <c r="IL124" i="3"/>
  <c r="LR130" i="3"/>
  <c r="LS130" i="3" s="1"/>
  <c r="CU126" i="1"/>
  <c r="BA40" i="3"/>
  <c r="BB40" i="3" s="1"/>
  <c r="GJ40" i="3" s="1"/>
  <c r="AY42" i="3"/>
  <c r="BA38" i="3"/>
  <c r="BB38" i="3" s="1"/>
  <c r="IS42" i="3"/>
  <c r="BA42" i="3"/>
  <c r="BB42" i="3" s="1"/>
  <c r="AW40" i="3"/>
  <c r="AY124" i="3"/>
  <c r="FL124" i="3" s="1"/>
  <c r="IS38" i="3"/>
  <c r="AW42" i="3"/>
  <c r="BA122" i="3"/>
  <c r="BB122" i="3" s="1"/>
  <c r="GJ122" i="3" s="1"/>
  <c r="AW124" i="3"/>
  <c r="AW122" i="3"/>
  <c r="CU116" i="1"/>
  <c r="IL116" i="3"/>
  <c r="IS116" i="3"/>
  <c r="GJ142" i="3"/>
  <c r="FF142" i="3"/>
  <c r="FL46" i="3"/>
  <c r="GJ118" i="3"/>
  <c r="FW138" i="3"/>
  <c r="FY138" i="3" s="1"/>
  <c r="FZ138" i="3" s="1"/>
  <c r="LR150" i="3"/>
  <c r="LS150" i="3" s="1"/>
  <c r="GJ148" i="3"/>
  <c r="FF150" i="3"/>
  <c r="KZ122" i="3"/>
  <c r="LA122" i="3" s="1"/>
  <c r="LB122" i="3" s="1"/>
  <c r="IN58" i="3"/>
  <c r="IO58" i="3" s="1"/>
  <c r="IM58" i="3"/>
  <c r="LQ60" i="3"/>
  <c r="LW124" i="3"/>
  <c r="GM142" i="3"/>
  <c r="FL128" i="3"/>
  <c r="IU140" i="3"/>
  <c r="IV140" i="3" s="1"/>
  <c r="FD142" i="3"/>
  <c r="FD146" i="3"/>
  <c r="LL142" i="3"/>
  <c r="MA142" i="3" s="1"/>
  <c r="MB142" i="3" s="1"/>
  <c r="MM142" i="3" s="1"/>
  <c r="FL146" i="3"/>
  <c r="LQ142" i="3"/>
  <c r="LX118" i="3"/>
  <c r="LY118" i="3" s="1"/>
  <c r="GJ124" i="3"/>
  <c r="GM118" i="3"/>
  <c r="IF38" i="3"/>
  <c r="IG38" i="3" s="1"/>
  <c r="FF118" i="3"/>
  <c r="QE74" i="3"/>
  <c r="LW150" i="3"/>
  <c r="GJ120" i="3"/>
  <c r="FD144" i="3"/>
  <c r="IF144" i="3"/>
  <c r="IG144" i="3" s="1"/>
  <c r="IT144" i="3"/>
  <c r="LL118" i="3"/>
  <c r="LM118" i="3" s="1"/>
  <c r="GM56" i="3"/>
  <c r="FL120" i="3"/>
  <c r="GM46" i="3"/>
  <c r="IN138" i="3"/>
  <c r="IO138" i="3" s="1"/>
  <c r="IF146" i="3"/>
  <c r="IG146" i="3" s="1"/>
  <c r="IF142" i="3"/>
  <c r="IG142" i="3" s="1"/>
  <c r="IT58" i="3"/>
  <c r="FF124" i="3"/>
  <c r="FG124" i="3" s="1"/>
  <c r="FH124" i="3" s="1"/>
  <c r="FI124" i="3" s="1"/>
  <c r="LX152" i="3"/>
  <c r="LY152" i="3" s="1"/>
  <c r="FL118" i="3"/>
  <c r="FP118" i="3" s="1"/>
  <c r="FS118" i="3" s="1"/>
  <c r="FD64" i="3"/>
  <c r="GM120" i="3"/>
  <c r="MA150" i="3"/>
  <c r="MB150" i="3" s="1"/>
  <c r="MM150" i="3" s="1"/>
  <c r="LR42" i="3"/>
  <c r="LS42" i="3" s="1"/>
  <c r="IT138" i="3"/>
  <c r="GB138" i="3" s="1"/>
  <c r="GD138" i="3" s="1"/>
  <c r="GE138" i="3" s="1"/>
  <c r="GM138" i="3"/>
  <c r="FL142" i="3"/>
  <c r="FP142" i="3" s="1"/>
  <c r="FS142" i="3" s="1"/>
  <c r="LR120" i="3"/>
  <c r="LS120" i="3" s="1"/>
  <c r="IM60" i="3"/>
  <c r="FW60" i="3" s="1"/>
  <c r="FY60" i="3" s="1"/>
  <c r="FZ60" i="3" s="1"/>
  <c r="LQ36" i="3"/>
  <c r="GJ42" i="3"/>
  <c r="GJ126" i="3"/>
  <c r="FD56" i="3"/>
  <c r="BQ74" i="3"/>
  <c r="I12" i="6" s="1"/>
  <c r="K12" i="6" s="1"/>
  <c r="FL126" i="3"/>
  <c r="LQ146" i="3"/>
  <c r="FF68" i="3"/>
  <c r="FF36" i="3"/>
  <c r="FD60" i="3"/>
  <c r="BQ156" i="3"/>
  <c r="M12" i="6" s="1"/>
  <c r="O12" i="6" s="1"/>
  <c r="GM128" i="3"/>
  <c r="FF42" i="3"/>
  <c r="FG42" i="3" s="1"/>
  <c r="FH42" i="3" s="1"/>
  <c r="FI42" i="3" s="1"/>
  <c r="GM126" i="3"/>
  <c r="IN140" i="3"/>
  <c r="IO140" i="3" s="1"/>
  <c r="AW154" i="3"/>
  <c r="FL116" i="3"/>
  <c r="FL44" i="3"/>
  <c r="IF60" i="3"/>
  <c r="IG60" i="3" s="1"/>
  <c r="FL60" i="3"/>
  <c r="FP60" i="3" s="1"/>
  <c r="FR60" i="3" s="1"/>
  <c r="FU60" i="3" s="1"/>
  <c r="QC74" i="3"/>
  <c r="I252" i="6" s="1"/>
  <c r="I262" i="6" s="1"/>
  <c r="I264" i="6" s="1"/>
  <c r="I35" i="6" s="1"/>
  <c r="IM140" i="3"/>
  <c r="LR128" i="3"/>
  <c r="LS128" i="3" s="1"/>
  <c r="FF70" i="3"/>
  <c r="GJ66" i="3"/>
  <c r="LW70" i="3"/>
  <c r="FS60" i="3"/>
  <c r="LF74" i="3"/>
  <c r="I26" i="6" s="1"/>
  <c r="K26" i="6" s="1"/>
  <c r="QH74" i="3"/>
  <c r="FL138" i="3"/>
  <c r="FP138" i="3" s="1"/>
  <c r="FR138" i="3" s="1"/>
  <c r="FU138" i="3" s="1"/>
  <c r="FD58" i="3"/>
  <c r="GB60" i="3"/>
  <c r="GD60" i="3" s="1"/>
  <c r="GE60" i="3" s="1"/>
  <c r="GM48" i="3"/>
  <c r="FF48" i="3"/>
  <c r="FF120" i="3"/>
  <c r="LQ68" i="3"/>
  <c r="GJ48" i="3"/>
  <c r="LW38" i="3"/>
  <c r="LP34" i="3"/>
  <c r="LV34" i="3"/>
  <c r="CX34" i="3"/>
  <c r="FF34" i="3" s="1"/>
  <c r="CV34" i="3"/>
  <c r="LL36" i="3"/>
  <c r="LM36" i="3" s="1"/>
  <c r="I270" i="6"/>
  <c r="I238" i="6"/>
  <c r="FQ68" i="3"/>
  <c r="GQ68" i="3" s="1"/>
  <c r="LX66" i="3"/>
  <c r="LY66" i="3" s="1"/>
  <c r="FD138" i="3"/>
  <c r="GM38" i="3"/>
  <c r="FD140" i="3"/>
  <c r="QC156" i="3"/>
  <c r="M244" i="6" s="1"/>
  <c r="LR48" i="3"/>
  <c r="LS48" i="3" s="1"/>
  <c r="GQ140" i="3"/>
  <c r="FL140" i="3"/>
  <c r="FP140" i="3" s="1"/>
  <c r="FS140" i="3" s="1"/>
  <c r="GJ138" i="3"/>
  <c r="LQ38" i="3"/>
  <c r="LL60" i="3"/>
  <c r="FL42" i="3"/>
  <c r="GJ46" i="3"/>
  <c r="MA70" i="3"/>
  <c r="MB70" i="3" s="1"/>
  <c r="MC70" i="3" s="1"/>
  <c r="LL56" i="3"/>
  <c r="FL56" i="3"/>
  <c r="FP56" i="3" s="1"/>
  <c r="FS56" i="3" s="1"/>
  <c r="LL46" i="3"/>
  <c r="FF46" i="3"/>
  <c r="IS36" i="3"/>
  <c r="AY36" i="3"/>
  <c r="CU36" i="1" s="1"/>
  <c r="IL36" i="3"/>
  <c r="AW36" i="3"/>
  <c r="BA36" i="3"/>
  <c r="LW56" i="3"/>
  <c r="LX56" i="3"/>
  <c r="LY56" i="3" s="1"/>
  <c r="LW46" i="3"/>
  <c r="LX46" i="3"/>
  <c r="LY46" i="3" s="1"/>
  <c r="FF56" i="3"/>
  <c r="LX68" i="3"/>
  <c r="LW68" i="3"/>
  <c r="LF156" i="3"/>
  <c r="M26" i="6" s="1"/>
  <c r="O26" i="6" s="1"/>
  <c r="GM116" i="3"/>
  <c r="GJ128" i="3"/>
  <c r="GJ44" i="3"/>
  <c r="LL138" i="3"/>
  <c r="FF138" i="3"/>
  <c r="DA152" i="3"/>
  <c r="GJ152" i="3" s="1"/>
  <c r="GM152" i="3"/>
  <c r="GQ60" i="3"/>
  <c r="FT60" i="3"/>
  <c r="LL128" i="3"/>
  <c r="FF128" i="3"/>
  <c r="LL130" i="3"/>
  <c r="FF130" i="3"/>
  <c r="LL152" i="3"/>
  <c r="FL152" i="3"/>
  <c r="FP152" i="3" s="1"/>
  <c r="FS152" i="3" s="1"/>
  <c r="FF152" i="3"/>
  <c r="GJ116" i="3"/>
  <c r="IL34" i="3"/>
  <c r="BA34" i="3"/>
  <c r="IS34" i="3"/>
  <c r="AY34" i="3"/>
  <c r="CU34" i="1" s="1"/>
  <c r="AW34" i="3"/>
  <c r="QF74" i="3"/>
  <c r="FT58" i="3"/>
  <c r="GQ58" i="3"/>
  <c r="DT156" i="3"/>
  <c r="M272" i="6" s="1"/>
  <c r="M274" i="6" s="1"/>
  <c r="M276" i="6" s="1"/>
  <c r="DY74" i="3"/>
  <c r="JH74" i="3"/>
  <c r="I21" i="6" s="1"/>
  <c r="K21" i="6" s="1"/>
  <c r="AW72" i="3"/>
  <c r="CV156" i="3"/>
  <c r="GM66" i="3"/>
  <c r="JH156" i="3"/>
  <c r="M21" i="6" s="1"/>
  <c r="O21" i="6" s="1"/>
  <c r="QH156" i="3"/>
  <c r="QL156" i="3" s="1"/>
  <c r="LW144" i="3"/>
  <c r="LW126" i="3"/>
  <c r="LX126" i="3"/>
  <c r="LY126" i="3" s="1"/>
  <c r="LX44" i="3"/>
  <c r="LY44" i="3" s="1"/>
  <c r="LW44" i="3"/>
  <c r="LR144" i="3"/>
  <c r="LS144" i="3" s="1"/>
  <c r="LQ144" i="3"/>
  <c r="FW144" i="3" s="1"/>
  <c r="FY144" i="3" s="1"/>
  <c r="FZ144" i="3" s="1"/>
  <c r="LR66" i="3"/>
  <c r="LS66" i="3" s="1"/>
  <c r="LQ66" i="3"/>
  <c r="FQ46" i="3"/>
  <c r="FT46" i="3" s="1"/>
  <c r="GL62" i="1"/>
  <c r="FQ152" i="3"/>
  <c r="KZ66" i="3"/>
  <c r="LA66" i="3" s="1"/>
  <c r="LB66" i="3" s="1"/>
  <c r="GM148" i="3"/>
  <c r="KZ152" i="3"/>
  <c r="LA152" i="3" s="1"/>
  <c r="LB152" i="3" s="1"/>
  <c r="KY148" i="3"/>
  <c r="KX148" i="3"/>
  <c r="LL148" i="3"/>
  <c r="DY148" i="1"/>
  <c r="FL148" i="3"/>
  <c r="FF148" i="3"/>
  <c r="LQ148" i="3"/>
  <c r="LR148" i="3"/>
  <c r="LS148" i="3" s="1"/>
  <c r="DA144" i="3"/>
  <c r="GJ144" i="3" s="1"/>
  <c r="GM144" i="3"/>
  <c r="EK152" i="3"/>
  <c r="IK152" i="3"/>
  <c r="KY142" i="3"/>
  <c r="KX142" i="3"/>
  <c r="FT152" i="3"/>
  <c r="LW148" i="3"/>
  <c r="LX148" i="3"/>
  <c r="LY148" i="3" s="1"/>
  <c r="LL144" i="3"/>
  <c r="DY144" i="1"/>
  <c r="FL144" i="3"/>
  <c r="FP144" i="3" s="1"/>
  <c r="EN152" i="3"/>
  <c r="IR152" i="3"/>
  <c r="GR152" i="1"/>
  <c r="LL126" i="3"/>
  <c r="DY126" i="1"/>
  <c r="LQ122" i="3"/>
  <c r="LR122" i="3"/>
  <c r="LS122" i="3" s="1"/>
  <c r="LW122" i="3"/>
  <c r="LX122" i="3"/>
  <c r="LY122" i="3" s="1"/>
  <c r="LR126" i="3"/>
  <c r="LS126" i="3" s="1"/>
  <c r="LQ126" i="3"/>
  <c r="LL122" i="3"/>
  <c r="DY122" i="1"/>
  <c r="FF122" i="3"/>
  <c r="FF126" i="3"/>
  <c r="LQ140" i="3"/>
  <c r="KZ68" i="3"/>
  <c r="LA68" i="3" s="1"/>
  <c r="LB68" i="3" s="1"/>
  <c r="GM130" i="3"/>
  <c r="BB130" i="3"/>
  <c r="GJ130" i="3" s="1"/>
  <c r="EH66" i="3"/>
  <c r="FQ66" i="3"/>
  <c r="EK66" i="3"/>
  <c r="IK66" i="3"/>
  <c r="EN66" i="3"/>
  <c r="IR66" i="3"/>
  <c r="LX62" i="3"/>
  <c r="LY62" i="3" s="1"/>
  <c r="LW62" i="3"/>
  <c r="LQ62" i="3"/>
  <c r="LR62" i="3"/>
  <c r="LS62" i="3" s="1"/>
  <c r="LL66" i="3"/>
  <c r="DY66" i="1"/>
  <c r="FF66" i="3"/>
  <c r="GR66" i="1"/>
  <c r="DA62" i="3"/>
  <c r="GJ62" i="3" s="1"/>
  <c r="GM62" i="3"/>
  <c r="LL62" i="3"/>
  <c r="DY62" i="1"/>
  <c r="FF62" i="3"/>
  <c r="GR68" i="1"/>
  <c r="LL40" i="3"/>
  <c r="DY40" i="1"/>
  <c r="FF40" i="3"/>
  <c r="LR40" i="3"/>
  <c r="LS40" i="3" s="1"/>
  <c r="LQ40" i="3"/>
  <c r="LW40" i="3"/>
  <c r="LX40" i="3"/>
  <c r="LY40" i="3" s="1"/>
  <c r="FD48" i="3"/>
  <c r="KU142" i="3"/>
  <c r="KV142" i="3" s="1"/>
  <c r="GL142" i="1"/>
  <c r="BZ148" i="3"/>
  <c r="CD148" i="3" s="1"/>
  <c r="CH148" i="3" s="1"/>
  <c r="EM148" i="3"/>
  <c r="EJ148" i="3"/>
  <c r="CC148" i="3"/>
  <c r="CG148" i="3" s="1"/>
  <c r="HY148" i="3" s="1"/>
  <c r="NQ148" i="3" s="1"/>
  <c r="EF148" i="3"/>
  <c r="EG148" i="3" s="1"/>
  <c r="EH148" i="3" s="1"/>
  <c r="EF142" i="3"/>
  <c r="EG142" i="3" s="1"/>
  <c r="EH142" i="3" s="1"/>
  <c r="EJ142" i="3"/>
  <c r="CC142" i="3"/>
  <c r="CG142" i="3" s="1"/>
  <c r="HY142" i="3" s="1"/>
  <c r="NQ142" i="3" s="1"/>
  <c r="KU148" i="3"/>
  <c r="KV148" i="3" s="1"/>
  <c r="GL148" i="1"/>
  <c r="EJ146" i="3"/>
  <c r="BZ146" i="3"/>
  <c r="CD146" i="3" s="1"/>
  <c r="CH146" i="3" s="1"/>
  <c r="KY146" i="3"/>
  <c r="EM146" i="3"/>
  <c r="CC146" i="3"/>
  <c r="CG146" i="3" s="1"/>
  <c r="HY146" i="3" s="1"/>
  <c r="NQ146" i="3" s="1"/>
  <c r="EF146" i="3"/>
  <c r="EG146" i="3" s="1"/>
  <c r="EH146" i="3" s="1"/>
  <c r="KX146" i="3"/>
  <c r="EM142" i="3"/>
  <c r="BZ142" i="3"/>
  <c r="CD142" i="3" s="1"/>
  <c r="CH142" i="3" s="1"/>
  <c r="DV146" i="3"/>
  <c r="KU146" i="3"/>
  <c r="KV146" i="3" s="1"/>
  <c r="KV156" i="3" s="1"/>
  <c r="M60" i="6" s="1"/>
  <c r="O60" i="6" s="1"/>
  <c r="GL146" i="1"/>
  <c r="DV148" i="3"/>
  <c r="DV142" i="3"/>
  <c r="EN68" i="3"/>
  <c r="IR68" i="3"/>
  <c r="EK68" i="3"/>
  <c r="IK68" i="3"/>
  <c r="FX68" i="3" s="1"/>
  <c r="KX62" i="3"/>
  <c r="KY62" i="3"/>
  <c r="DT74" i="3"/>
  <c r="I272" i="6" s="1"/>
  <c r="GM44" i="3"/>
  <c r="IK64" i="3"/>
  <c r="IN64" i="3" s="1"/>
  <c r="IO64" i="3" s="1"/>
  <c r="KZ70" i="3"/>
  <c r="LA70" i="3" s="1"/>
  <c r="LB70" i="3" s="1"/>
  <c r="EK70" i="3"/>
  <c r="IK70" i="3"/>
  <c r="GM70" i="3"/>
  <c r="BB70" i="3"/>
  <c r="GJ70" i="3" s="1"/>
  <c r="IF70" i="3"/>
  <c r="CU70" i="1"/>
  <c r="FL70" i="3"/>
  <c r="FP70" i="3" s="1"/>
  <c r="FQ70" i="3"/>
  <c r="EN70" i="3"/>
  <c r="IR70" i="3"/>
  <c r="DV62" i="3"/>
  <c r="GL64" i="1"/>
  <c r="KU64" i="3"/>
  <c r="KV64" i="3" s="1"/>
  <c r="KV74" i="3" s="1"/>
  <c r="I60" i="6" s="1"/>
  <c r="K60" i="6" s="1"/>
  <c r="EN64" i="3"/>
  <c r="IR64" i="3"/>
  <c r="KZ64" i="3"/>
  <c r="EF62" i="3"/>
  <c r="EG62" i="3" s="1"/>
  <c r="EH62" i="3" s="1"/>
  <c r="BZ62" i="3"/>
  <c r="CD62" i="3" s="1"/>
  <c r="CH62" i="3" s="1"/>
  <c r="CC62" i="3"/>
  <c r="CG62" i="3" s="1"/>
  <c r="HY62" i="3" s="1"/>
  <c r="NQ62" i="3" s="1"/>
  <c r="EJ62" i="3"/>
  <c r="EM62" i="3"/>
  <c r="DV64" i="3"/>
  <c r="FQ64" i="3"/>
  <c r="LQ44" i="3"/>
  <c r="LR44" i="3"/>
  <c r="LS44" i="3" s="1"/>
  <c r="LL44" i="3"/>
  <c r="DY44" i="1"/>
  <c r="FF44" i="3"/>
  <c r="FQ48" i="3"/>
  <c r="FT48" i="3" s="1"/>
  <c r="KZ44" i="3"/>
  <c r="LA44" i="3" s="1"/>
  <c r="LB44" i="3" s="1"/>
  <c r="KZ128" i="3"/>
  <c r="KZ48" i="3"/>
  <c r="KZ130" i="3"/>
  <c r="KZ46" i="3"/>
  <c r="KZ126" i="3"/>
  <c r="GR44" i="1"/>
  <c r="EK48" i="3"/>
  <c r="IK48" i="3"/>
  <c r="IN48" i="3" s="1"/>
  <c r="IO48" i="3" s="1"/>
  <c r="EN48" i="3"/>
  <c r="IR48" i="3"/>
  <c r="IF48" i="3"/>
  <c r="CU48" i="1"/>
  <c r="FL48" i="3"/>
  <c r="FP48" i="3" s="1"/>
  <c r="GQ130" i="3"/>
  <c r="FT130" i="3"/>
  <c r="EN130" i="3"/>
  <c r="IR130" i="3"/>
  <c r="IF130" i="3"/>
  <c r="CU130" i="1"/>
  <c r="FL130" i="3"/>
  <c r="FP130" i="3" s="1"/>
  <c r="EK130" i="3"/>
  <c r="IK130" i="3"/>
  <c r="LL116" i="3"/>
  <c r="DY116" i="1"/>
  <c r="FF116" i="3"/>
  <c r="LR116" i="3"/>
  <c r="LS116" i="3" s="1"/>
  <c r="LQ116" i="3"/>
  <c r="LW116" i="3"/>
  <c r="LX116" i="3"/>
  <c r="LY116" i="3" s="1"/>
  <c r="IK46" i="3"/>
  <c r="EK46" i="3"/>
  <c r="IR46" i="3"/>
  <c r="EN46" i="3"/>
  <c r="FO148" i="3"/>
  <c r="FI148" i="3"/>
  <c r="DA146" i="3"/>
  <c r="GJ146" i="3" s="1"/>
  <c r="GM146" i="3"/>
  <c r="DA140" i="3"/>
  <c r="GJ140" i="3" s="1"/>
  <c r="GM140" i="3"/>
  <c r="BB150" i="3"/>
  <c r="GJ150" i="3" s="1"/>
  <c r="GM150" i="3"/>
  <c r="IF150" i="3"/>
  <c r="CU150" i="1"/>
  <c r="FL150" i="3"/>
  <c r="LW146" i="3"/>
  <c r="LX146" i="3"/>
  <c r="LY146" i="3" s="1"/>
  <c r="LL146" i="3"/>
  <c r="DY146" i="1"/>
  <c r="LW140" i="3"/>
  <c r="GB140" i="3" s="1"/>
  <c r="GD140" i="3" s="1"/>
  <c r="GE140" i="3" s="1"/>
  <c r="LX140" i="3"/>
  <c r="IU150" i="3"/>
  <c r="IV150" i="3" s="1"/>
  <c r="IT150" i="3"/>
  <c r="IN150" i="3"/>
  <c r="IO150" i="3" s="1"/>
  <c r="IM150" i="3"/>
  <c r="FW150" i="3" s="1"/>
  <c r="FY150" i="3" s="1"/>
  <c r="FZ150" i="3" s="1"/>
  <c r="EK128" i="3"/>
  <c r="IK128" i="3"/>
  <c r="EN128" i="3"/>
  <c r="IR128" i="3"/>
  <c r="FQ128" i="3"/>
  <c r="GM68" i="3"/>
  <c r="BB68" i="3"/>
  <c r="GJ68" i="3" s="1"/>
  <c r="LR64" i="3"/>
  <c r="LS64" i="3" s="1"/>
  <c r="LQ64" i="3"/>
  <c r="LX64" i="3"/>
  <c r="LY64" i="3" s="1"/>
  <c r="LW64" i="3"/>
  <c r="LR58" i="3"/>
  <c r="LS58" i="3" s="1"/>
  <c r="LQ58" i="3"/>
  <c r="DA58" i="3"/>
  <c r="GJ58" i="3" s="1"/>
  <c r="GM58" i="3"/>
  <c r="CU68" i="1"/>
  <c r="FL68" i="3"/>
  <c r="IF68" i="3"/>
  <c r="DA64" i="3"/>
  <c r="GJ64" i="3" s="1"/>
  <c r="GM64" i="3"/>
  <c r="LL64" i="3"/>
  <c r="DY64" i="1"/>
  <c r="FL64" i="3"/>
  <c r="LL58" i="3"/>
  <c r="DY58" i="1"/>
  <c r="FL58" i="3"/>
  <c r="FP58" i="3" s="1"/>
  <c r="LX58" i="3"/>
  <c r="LY58" i="3" s="1"/>
  <c r="LW58" i="3"/>
  <c r="MA124" i="3"/>
  <c r="FQ120" i="3"/>
  <c r="GQ120" i="3" s="1"/>
  <c r="FT56" i="3"/>
  <c r="GQ56" i="3"/>
  <c r="EN56" i="3"/>
  <c r="IR56" i="3"/>
  <c r="KZ56" i="3"/>
  <c r="EK56" i="3"/>
  <c r="IK56" i="3"/>
  <c r="EK44" i="3"/>
  <c r="IK44" i="3"/>
  <c r="EN44" i="3"/>
  <c r="IR44" i="3"/>
  <c r="FT44" i="3"/>
  <c r="GQ44" i="3"/>
  <c r="HO142" i="1"/>
  <c r="EJ144" i="1"/>
  <c r="FT126" i="3"/>
  <c r="GQ126" i="3"/>
  <c r="EN126" i="3"/>
  <c r="IR126" i="3"/>
  <c r="EK126" i="3"/>
  <c r="IK126" i="3"/>
  <c r="FQ38" i="3"/>
  <c r="GQ38" i="3" s="1"/>
  <c r="KZ124" i="3"/>
  <c r="LA124" i="3" s="1"/>
  <c r="LB124" i="3" s="1"/>
  <c r="EK116" i="3"/>
  <c r="IK116" i="3"/>
  <c r="EK122" i="3"/>
  <c r="IK122" i="3"/>
  <c r="EK118" i="3"/>
  <c r="IK118" i="3"/>
  <c r="EN118" i="3"/>
  <c r="IR118" i="3"/>
  <c r="EN120" i="3"/>
  <c r="IR120" i="3"/>
  <c r="EK124" i="3"/>
  <c r="IK124" i="3"/>
  <c r="EN124" i="3"/>
  <c r="IR124" i="3"/>
  <c r="KZ116" i="3"/>
  <c r="KZ118" i="3"/>
  <c r="FQ122" i="3"/>
  <c r="CD116" i="3"/>
  <c r="CH116" i="3" s="1"/>
  <c r="EN116" i="3"/>
  <c r="IR116" i="3"/>
  <c r="FI120" i="3"/>
  <c r="FO120" i="3"/>
  <c r="GK120" i="3" s="1"/>
  <c r="EN122" i="3"/>
  <c r="IR122" i="3"/>
  <c r="FT124" i="3"/>
  <c r="GQ124" i="3"/>
  <c r="EK120" i="3"/>
  <c r="IK120" i="3"/>
  <c r="FI122" i="3"/>
  <c r="FO122" i="3"/>
  <c r="GK122" i="3" s="1"/>
  <c r="KZ120" i="3"/>
  <c r="FQ116" i="3"/>
  <c r="FQ118" i="3"/>
  <c r="CD34" i="3"/>
  <c r="CH34" i="3" s="1"/>
  <c r="FI38" i="3"/>
  <c r="FO38" i="3"/>
  <c r="GK38" i="3" s="1"/>
  <c r="EN40" i="3"/>
  <c r="IR40" i="3"/>
  <c r="EN42" i="3"/>
  <c r="IR42" i="3"/>
  <c r="EK42" i="3"/>
  <c r="IK42" i="3"/>
  <c r="LA36" i="3"/>
  <c r="LB36" i="3" s="1"/>
  <c r="GR36" i="1"/>
  <c r="EN36" i="3"/>
  <c r="IR36" i="3"/>
  <c r="KZ40" i="3"/>
  <c r="FQ34" i="3"/>
  <c r="KZ38" i="3"/>
  <c r="FQ36" i="3"/>
  <c r="EK34" i="3"/>
  <c r="IK34" i="3"/>
  <c r="EN34" i="3"/>
  <c r="IR34" i="3"/>
  <c r="FT40" i="3"/>
  <c r="GQ40" i="3"/>
  <c r="EK40" i="3"/>
  <c r="IK40" i="3"/>
  <c r="EN38" i="3"/>
  <c r="IR38" i="3"/>
  <c r="EK38" i="3"/>
  <c r="IK38" i="3"/>
  <c r="FT42" i="3"/>
  <c r="GQ42" i="3"/>
  <c r="EK36" i="3"/>
  <c r="IK36" i="3"/>
  <c r="KZ42" i="3"/>
  <c r="FD118" i="3"/>
  <c r="FD120" i="3"/>
  <c r="IG44" i="3"/>
  <c r="IG116" i="3"/>
  <c r="FD126" i="3"/>
  <c r="FE126" i="3" s="1"/>
  <c r="FH126" i="3" s="1"/>
  <c r="FD44" i="3"/>
  <c r="FE44" i="3" s="1"/>
  <c r="FH44" i="3" s="1"/>
  <c r="FD46" i="3"/>
  <c r="FE46" i="3" s="1"/>
  <c r="FH46" i="3" s="1"/>
  <c r="FD128" i="3"/>
  <c r="FE128" i="3" s="1"/>
  <c r="FH128" i="3" s="1"/>
  <c r="FL66" i="3" l="1"/>
  <c r="FF60" i="3"/>
  <c r="GM60" i="3"/>
  <c r="CV74" i="3"/>
  <c r="FD66" i="3"/>
  <c r="FE66" i="3" s="1"/>
  <c r="FH66" i="3" s="1"/>
  <c r="FI66" i="3" s="1"/>
  <c r="GJ38" i="3"/>
  <c r="LZ18" i="11"/>
  <c r="MN18" i="11"/>
  <c r="IT18" i="11"/>
  <c r="JK18" i="11"/>
  <c r="GA18" i="11"/>
  <c r="GB18" i="11" s="1"/>
  <c r="GB102" i="11" s="1"/>
  <c r="J116" i="12" s="1"/>
  <c r="FS18" i="11"/>
  <c r="FS102" i="11" s="1"/>
  <c r="H108" i="12" s="1"/>
  <c r="FR18" i="11"/>
  <c r="U12" i="12" s="1"/>
  <c r="FL62" i="3"/>
  <c r="FP62" i="3" s="1"/>
  <c r="FS62" i="3" s="1"/>
  <c r="FD62" i="3"/>
  <c r="IF66" i="3"/>
  <c r="IG66" i="3" s="1"/>
  <c r="KZ146" i="3"/>
  <c r="FO116" i="3"/>
  <c r="GK116" i="3" s="1"/>
  <c r="FI116" i="3"/>
  <c r="IF40" i="3"/>
  <c r="IG40" i="3" s="1"/>
  <c r="CU40" i="1"/>
  <c r="LA34" i="3"/>
  <c r="LB34" i="3" s="1"/>
  <c r="GB150" i="3"/>
  <c r="GD150" i="3" s="1"/>
  <c r="GE150" i="3" s="1"/>
  <c r="FD124" i="3"/>
  <c r="FD42" i="3"/>
  <c r="LM142" i="3"/>
  <c r="FL40" i="3"/>
  <c r="GM124" i="3"/>
  <c r="GM122" i="3"/>
  <c r="FD38" i="3"/>
  <c r="FD40" i="3"/>
  <c r="FE40" i="3" s="1"/>
  <c r="FH40" i="3" s="1"/>
  <c r="FO40" i="3" s="1"/>
  <c r="GK40" i="3" s="1"/>
  <c r="GM40" i="3"/>
  <c r="GM42" i="3"/>
  <c r="AY156" i="3"/>
  <c r="IF122" i="3"/>
  <c r="IG122" i="3" s="1"/>
  <c r="CU122" i="1"/>
  <c r="FL122" i="3"/>
  <c r="FP122" i="3" s="1"/>
  <c r="IF42" i="3"/>
  <c r="IG42" i="3" s="1"/>
  <c r="CU42" i="1"/>
  <c r="AW132" i="3"/>
  <c r="GR122" i="1"/>
  <c r="FD122" i="3"/>
  <c r="FW58" i="3"/>
  <c r="FY58" i="3" s="1"/>
  <c r="FZ58" i="3" s="1"/>
  <c r="IF124" i="3"/>
  <c r="IG124" i="3" s="1"/>
  <c r="CU124" i="1"/>
  <c r="AW156" i="3"/>
  <c r="P163" i="6" s="1"/>
  <c r="P161" i="6" s="1"/>
  <c r="H9" i="8" s="1"/>
  <c r="H15" i="8" s="1"/>
  <c r="K35" i="6"/>
  <c r="M294" i="6"/>
  <c r="O294" i="6" s="1"/>
  <c r="M36" i="6"/>
  <c r="O36" i="6" s="1"/>
  <c r="IX140" i="3"/>
  <c r="IY140" i="3" s="1"/>
  <c r="IZ140" i="3" s="1"/>
  <c r="IX58" i="3"/>
  <c r="IY58" i="3" s="1"/>
  <c r="IZ58" i="3" s="1"/>
  <c r="GB58" i="3"/>
  <c r="GD58" i="3" s="1"/>
  <c r="GE58" i="3" s="1"/>
  <c r="GB144" i="3"/>
  <c r="GD144" i="3" s="1"/>
  <c r="GE144" i="3" s="1"/>
  <c r="GQ48" i="3"/>
  <c r="IX144" i="3"/>
  <c r="IY144" i="3" s="1"/>
  <c r="IZ144" i="3" s="1"/>
  <c r="MC150" i="3"/>
  <c r="FR118" i="3"/>
  <c r="FU118" i="3" s="1"/>
  <c r="IX138" i="3"/>
  <c r="IY138" i="3" s="1"/>
  <c r="IX60" i="3"/>
  <c r="IY60" i="3" s="1"/>
  <c r="JJ60" i="3" s="1"/>
  <c r="FO66" i="3"/>
  <c r="GK66" i="3" s="1"/>
  <c r="MA118" i="3"/>
  <c r="FT68" i="3"/>
  <c r="MA42" i="3"/>
  <c r="MB42" i="3" s="1"/>
  <c r="MM42" i="3" s="1"/>
  <c r="MA120" i="3"/>
  <c r="MB120" i="3" s="1"/>
  <c r="MC120" i="3" s="1"/>
  <c r="I244" i="6"/>
  <c r="FW140" i="3"/>
  <c r="FY140" i="3" s="1"/>
  <c r="FZ140" i="3" s="1"/>
  <c r="QL74" i="3"/>
  <c r="FS138" i="3"/>
  <c r="FR56" i="3"/>
  <c r="FU56" i="3" s="1"/>
  <c r="MA36" i="3"/>
  <c r="MA48" i="3"/>
  <c r="MB48" i="3" s="1"/>
  <c r="M252" i="6"/>
  <c r="M262" i="6" s="1"/>
  <c r="M264" i="6" s="1"/>
  <c r="M35" i="6" s="1"/>
  <c r="LX34" i="3"/>
  <c r="LY34" i="3" s="1"/>
  <c r="LW34" i="3"/>
  <c r="LL34" i="3"/>
  <c r="DY34" i="1"/>
  <c r="LR34" i="3"/>
  <c r="LS34" i="3" s="1"/>
  <c r="LQ34" i="3"/>
  <c r="MM70" i="3"/>
  <c r="I274" i="6"/>
  <c r="I276" i="6" s="1"/>
  <c r="GQ46" i="3"/>
  <c r="FR140" i="3"/>
  <c r="FU140" i="3" s="1"/>
  <c r="AW74" i="3"/>
  <c r="K163" i="6" s="1"/>
  <c r="LS38" i="3"/>
  <c r="MA38" i="3"/>
  <c r="AW50" i="3"/>
  <c r="LM60" i="3"/>
  <c r="MA60" i="3"/>
  <c r="FL36" i="3"/>
  <c r="FP36" i="3" s="1"/>
  <c r="FS36" i="3" s="1"/>
  <c r="IF36" i="3"/>
  <c r="IG36" i="3" s="1"/>
  <c r="GM36" i="3"/>
  <c r="BB36" i="3"/>
  <c r="LM46" i="3"/>
  <c r="MA46" i="3"/>
  <c r="MB46" i="3" s="1"/>
  <c r="LM56" i="3"/>
  <c r="MA56" i="3"/>
  <c r="MB56" i="3" s="1"/>
  <c r="LY68" i="3"/>
  <c r="MA68" i="3"/>
  <c r="MB68" i="3" s="1"/>
  <c r="CH74" i="3"/>
  <c r="I13" i="6" s="1"/>
  <c r="K13" i="6" s="1"/>
  <c r="EH74" i="3"/>
  <c r="CH156" i="3"/>
  <c r="M13" i="6" s="1"/>
  <c r="O13" i="6" s="1"/>
  <c r="AY74" i="3"/>
  <c r="FR152" i="3"/>
  <c r="FU152" i="3" s="1"/>
  <c r="LM152" i="3"/>
  <c r="MA152" i="3"/>
  <c r="MB152" i="3" s="1"/>
  <c r="LM130" i="3"/>
  <c r="MA130" i="3"/>
  <c r="MB130" i="3" s="1"/>
  <c r="LM128" i="3"/>
  <c r="MA128" i="3"/>
  <c r="MB128" i="3" s="1"/>
  <c r="LM138" i="3"/>
  <c r="MA138" i="3"/>
  <c r="MB138" i="3" s="1"/>
  <c r="LS156" i="3"/>
  <c r="FO42" i="3"/>
  <c r="GK42" i="3" s="1"/>
  <c r="IF34" i="3"/>
  <c r="IG34" i="3" s="1"/>
  <c r="FL34" i="3"/>
  <c r="GM34" i="3"/>
  <c r="BB34" i="3"/>
  <c r="FT120" i="3"/>
  <c r="IM68" i="3"/>
  <c r="FW68" i="3" s="1"/>
  <c r="FY68" i="3" s="1"/>
  <c r="FZ68" i="3" s="1"/>
  <c r="DV74" i="3"/>
  <c r="DV156" i="3"/>
  <c r="EH156" i="3"/>
  <c r="BZ74" i="3"/>
  <c r="BZ156" i="3"/>
  <c r="GQ152" i="3"/>
  <c r="FX64" i="3"/>
  <c r="FF144" i="3"/>
  <c r="KZ142" i="3"/>
  <c r="LA142" i="3" s="1"/>
  <c r="LB142" i="3" s="1"/>
  <c r="KZ148" i="3"/>
  <c r="LA148" i="3" s="1"/>
  <c r="LB148" i="3" s="1"/>
  <c r="FS144" i="3"/>
  <c r="FR144" i="3"/>
  <c r="FU144" i="3" s="1"/>
  <c r="LM144" i="3"/>
  <c r="MA144" i="3"/>
  <c r="LM148" i="3"/>
  <c r="MA148" i="3"/>
  <c r="GC152" i="3"/>
  <c r="IU152" i="3"/>
  <c r="IV152" i="3" s="1"/>
  <c r="IT152" i="3"/>
  <c r="GB152" i="3" s="1"/>
  <c r="GD152" i="3" s="1"/>
  <c r="GE152" i="3" s="1"/>
  <c r="FX152" i="3"/>
  <c r="IN152" i="3"/>
  <c r="IM152" i="3"/>
  <c r="FW152" i="3" s="1"/>
  <c r="FY152" i="3" s="1"/>
  <c r="FZ152" i="3" s="1"/>
  <c r="GR148" i="1"/>
  <c r="LM122" i="3"/>
  <c r="MA122" i="3"/>
  <c r="LM126" i="3"/>
  <c r="MA126" i="3"/>
  <c r="FD130" i="3"/>
  <c r="LM62" i="3"/>
  <c r="MA62" i="3"/>
  <c r="LM66" i="3"/>
  <c r="MA66" i="3"/>
  <c r="GR70" i="1"/>
  <c r="GC66" i="3"/>
  <c r="IT66" i="3"/>
  <c r="GB66" i="3" s="1"/>
  <c r="IU66" i="3"/>
  <c r="IV66" i="3" s="1"/>
  <c r="FX66" i="3"/>
  <c r="IM66" i="3"/>
  <c r="FW66" i="3" s="1"/>
  <c r="IN66" i="3"/>
  <c r="GQ66" i="3"/>
  <c r="FT66" i="3"/>
  <c r="FQ142" i="3"/>
  <c r="FR142" i="3" s="1"/>
  <c r="FU142" i="3" s="1"/>
  <c r="GR124" i="1"/>
  <c r="FQ148" i="3"/>
  <c r="FT148" i="3" s="1"/>
  <c r="IN68" i="3"/>
  <c r="IO68" i="3" s="1"/>
  <c r="LM40" i="3"/>
  <c r="MA40" i="3"/>
  <c r="IM64" i="3"/>
  <c r="FW64" i="3" s="1"/>
  <c r="FQ146" i="3"/>
  <c r="FT146" i="3" s="1"/>
  <c r="IK142" i="3"/>
  <c r="EK142" i="3"/>
  <c r="EK148" i="3"/>
  <c r="IK148" i="3"/>
  <c r="EN148" i="3"/>
  <c r="IR148" i="3"/>
  <c r="FT142" i="3"/>
  <c r="GR146" i="1"/>
  <c r="LA146" i="3"/>
  <c r="LB146" i="3" s="1"/>
  <c r="EK146" i="3"/>
  <c r="IK146" i="3"/>
  <c r="EN142" i="3"/>
  <c r="IR142" i="3"/>
  <c r="EN146" i="3"/>
  <c r="IR146" i="3"/>
  <c r="GC68" i="3"/>
  <c r="IT68" i="3"/>
  <c r="GB68" i="3" s="1"/>
  <c r="IU68" i="3"/>
  <c r="IV68" i="3" s="1"/>
  <c r="KZ62" i="3"/>
  <c r="GC70" i="3"/>
  <c r="IT70" i="3"/>
  <c r="GB70" i="3" s="1"/>
  <c r="FR70" i="3"/>
  <c r="FU70" i="3" s="1"/>
  <c r="FS70" i="3"/>
  <c r="IG70" i="3"/>
  <c r="IU70" i="3"/>
  <c r="IV70" i="3" s="1"/>
  <c r="FT70" i="3"/>
  <c r="GQ70" i="3"/>
  <c r="FD70" i="3"/>
  <c r="FX70" i="3"/>
  <c r="IN70" i="3"/>
  <c r="IO70" i="3" s="1"/>
  <c r="IM70" i="3"/>
  <c r="FW70" i="3" s="1"/>
  <c r="FY70" i="3" s="1"/>
  <c r="FZ70" i="3" s="1"/>
  <c r="GQ64" i="3"/>
  <c r="FT64" i="3"/>
  <c r="EN62" i="3"/>
  <c r="EN74" i="3" s="1"/>
  <c r="IR62" i="3"/>
  <c r="FQ62" i="3"/>
  <c r="EK62" i="3"/>
  <c r="EK74" i="3" s="1"/>
  <c r="IK62" i="3"/>
  <c r="LA64" i="3"/>
  <c r="LB64" i="3" s="1"/>
  <c r="GR64" i="1"/>
  <c r="GC64" i="3"/>
  <c r="IT64" i="3"/>
  <c r="GB64" i="3" s="1"/>
  <c r="IU64" i="3"/>
  <c r="LM44" i="3"/>
  <c r="MA44" i="3"/>
  <c r="LA126" i="3"/>
  <c r="LB126" i="3" s="1"/>
  <c r="GR126" i="1"/>
  <c r="GR130" i="1"/>
  <c r="LA130" i="3"/>
  <c r="LB130" i="3" s="1"/>
  <c r="GR128" i="1"/>
  <c r="LA128" i="3"/>
  <c r="LB128" i="3" s="1"/>
  <c r="GR46" i="1"/>
  <c r="LA46" i="3"/>
  <c r="LB46" i="3" s="1"/>
  <c r="GR48" i="1"/>
  <c r="LA48" i="3"/>
  <c r="LB48" i="3" s="1"/>
  <c r="GC48" i="3"/>
  <c r="IT48" i="3"/>
  <c r="GB48" i="3" s="1"/>
  <c r="IU48" i="3"/>
  <c r="IV48" i="3" s="1"/>
  <c r="FR48" i="3"/>
  <c r="FU48" i="3" s="1"/>
  <c r="FS48" i="3"/>
  <c r="IG48" i="3"/>
  <c r="FX48" i="3"/>
  <c r="IM48" i="3"/>
  <c r="FW48" i="3" s="1"/>
  <c r="FX130" i="3"/>
  <c r="IM130" i="3"/>
  <c r="FW130" i="3" s="1"/>
  <c r="IN130" i="3"/>
  <c r="IO130" i="3" s="1"/>
  <c r="FS130" i="3"/>
  <c r="FR130" i="3"/>
  <c r="FU130" i="3" s="1"/>
  <c r="IG130" i="3"/>
  <c r="GC130" i="3"/>
  <c r="IU130" i="3"/>
  <c r="IV130" i="3" s="1"/>
  <c r="IT130" i="3"/>
  <c r="GB130" i="3" s="1"/>
  <c r="GD130" i="3" s="1"/>
  <c r="GE130" i="3" s="1"/>
  <c r="LM116" i="3"/>
  <c r="MA116" i="3"/>
  <c r="GC46" i="3"/>
  <c r="IT46" i="3"/>
  <c r="GB46" i="3" s="1"/>
  <c r="IU46" i="3"/>
  <c r="IV46" i="3" s="1"/>
  <c r="FX46" i="3"/>
  <c r="IN46" i="3"/>
  <c r="IM46" i="3"/>
  <c r="FW46" i="3" s="1"/>
  <c r="FY46" i="3" s="1"/>
  <c r="FZ46" i="3" s="1"/>
  <c r="FT38" i="3"/>
  <c r="FO124" i="3"/>
  <c r="GK124" i="3" s="1"/>
  <c r="FF58" i="3"/>
  <c r="FF146" i="3"/>
  <c r="FG146" i="3" s="1"/>
  <c r="FH146" i="3" s="1"/>
  <c r="FO146" i="3" s="1"/>
  <c r="IG150" i="3"/>
  <c r="IX150" i="3"/>
  <c r="FD150" i="3"/>
  <c r="FE150" i="3" s="1"/>
  <c r="FH150" i="3" s="1"/>
  <c r="FF140" i="3"/>
  <c r="GK148" i="3"/>
  <c r="FP148" i="3"/>
  <c r="EJ140" i="1"/>
  <c r="LY140" i="3"/>
  <c r="LY156" i="3" s="1"/>
  <c r="MA140" i="3"/>
  <c r="LM146" i="3"/>
  <c r="MA146" i="3"/>
  <c r="FT128" i="3"/>
  <c r="GQ128" i="3"/>
  <c r="FI128" i="3"/>
  <c r="FO128" i="3"/>
  <c r="FI126" i="3"/>
  <c r="FO126" i="3"/>
  <c r="MB124" i="3"/>
  <c r="HO124" i="1"/>
  <c r="GC128" i="3"/>
  <c r="IT128" i="3"/>
  <c r="GB128" i="3" s="1"/>
  <c r="IU128" i="3"/>
  <c r="IV128" i="3" s="1"/>
  <c r="FX128" i="3"/>
  <c r="IN128" i="3"/>
  <c r="IM128" i="3"/>
  <c r="FW128" i="3" s="1"/>
  <c r="FF64" i="3"/>
  <c r="FG64" i="3" s="1"/>
  <c r="FH64" i="3" s="1"/>
  <c r="FO64" i="3" s="1"/>
  <c r="IG68" i="3"/>
  <c r="EJ58" i="1"/>
  <c r="EJ60" i="1"/>
  <c r="FR58" i="3"/>
  <c r="FU58" i="3" s="1"/>
  <c r="FS58" i="3"/>
  <c r="LM58" i="3"/>
  <c r="MA58" i="3"/>
  <c r="LM64" i="3"/>
  <c r="MA64" i="3"/>
  <c r="FD68" i="3"/>
  <c r="FE68" i="3" s="1"/>
  <c r="FH68" i="3" s="1"/>
  <c r="FO46" i="3"/>
  <c r="FI46" i="3"/>
  <c r="FO44" i="3"/>
  <c r="FI44" i="3"/>
  <c r="HO42" i="1"/>
  <c r="FX56" i="3"/>
  <c r="IN56" i="3"/>
  <c r="IM56" i="3"/>
  <c r="FW56" i="3" s="1"/>
  <c r="FY56" i="3" s="1"/>
  <c r="FZ56" i="3" s="1"/>
  <c r="GR56" i="1"/>
  <c r="LA56" i="3"/>
  <c r="LB56" i="3" s="1"/>
  <c r="GC56" i="3"/>
  <c r="IU56" i="3"/>
  <c r="IV56" i="3" s="1"/>
  <c r="IT56" i="3"/>
  <c r="GB56" i="3" s="1"/>
  <c r="GC44" i="3"/>
  <c r="IU44" i="3"/>
  <c r="IV44" i="3" s="1"/>
  <c r="IT44" i="3"/>
  <c r="GB44" i="3" s="1"/>
  <c r="FX44" i="3"/>
  <c r="IM44" i="3"/>
  <c r="FW44" i="3" s="1"/>
  <c r="IN44" i="3"/>
  <c r="MC142" i="3"/>
  <c r="EJ138" i="1"/>
  <c r="FX126" i="3"/>
  <c r="IN126" i="3"/>
  <c r="IM126" i="3"/>
  <c r="FW126" i="3" s="1"/>
  <c r="GC126" i="3"/>
  <c r="IU126" i="3"/>
  <c r="IV126" i="3" s="1"/>
  <c r="IT126" i="3"/>
  <c r="GB126" i="3" s="1"/>
  <c r="GD126" i="3" s="1"/>
  <c r="GE126" i="3" s="1"/>
  <c r="GQ116" i="3"/>
  <c r="FT116" i="3"/>
  <c r="FX120" i="3"/>
  <c r="IN120" i="3"/>
  <c r="IM120" i="3"/>
  <c r="FW120" i="3" s="1"/>
  <c r="FY120" i="3" s="1"/>
  <c r="FZ120" i="3" s="1"/>
  <c r="GC122" i="3"/>
  <c r="IU122" i="3"/>
  <c r="IV122" i="3" s="1"/>
  <c r="IT122" i="3"/>
  <c r="GB122" i="3" s="1"/>
  <c r="GD122" i="3" s="1"/>
  <c r="GE122" i="3" s="1"/>
  <c r="GC116" i="3"/>
  <c r="IU116" i="3"/>
  <c r="IV116" i="3" s="1"/>
  <c r="IT116" i="3"/>
  <c r="GB116" i="3" s="1"/>
  <c r="GD116" i="3" s="1"/>
  <c r="GE116" i="3" s="1"/>
  <c r="GQ122" i="3"/>
  <c r="FT122" i="3"/>
  <c r="LA118" i="3"/>
  <c r="LB118" i="3" s="1"/>
  <c r="GR118" i="1"/>
  <c r="GC124" i="3"/>
  <c r="IU124" i="3"/>
  <c r="IV124" i="3" s="1"/>
  <c r="IT124" i="3"/>
  <c r="GB124" i="3" s="1"/>
  <c r="FX124" i="3"/>
  <c r="IN124" i="3"/>
  <c r="IM124" i="3"/>
  <c r="FW124" i="3" s="1"/>
  <c r="FY124" i="3" s="1"/>
  <c r="FZ124" i="3" s="1"/>
  <c r="GC120" i="3"/>
  <c r="IU120" i="3"/>
  <c r="IV120" i="3" s="1"/>
  <c r="IT120" i="3"/>
  <c r="GB120" i="3" s="1"/>
  <c r="GD120" i="3" s="1"/>
  <c r="GE120" i="3" s="1"/>
  <c r="GC118" i="3"/>
  <c r="IU118" i="3"/>
  <c r="IV118" i="3" s="1"/>
  <c r="IT118" i="3"/>
  <c r="GB118" i="3" s="1"/>
  <c r="GD118" i="3" s="1"/>
  <c r="GE118" i="3" s="1"/>
  <c r="FX118" i="3"/>
  <c r="IN118" i="3"/>
  <c r="IM118" i="3"/>
  <c r="FW118" i="3" s="1"/>
  <c r="FY118" i="3" s="1"/>
  <c r="FZ118" i="3" s="1"/>
  <c r="FX122" i="3"/>
  <c r="IM122" i="3"/>
  <c r="FW122" i="3" s="1"/>
  <c r="IN122" i="3"/>
  <c r="FX116" i="3"/>
  <c r="IN116" i="3"/>
  <c r="IM116" i="3"/>
  <c r="FW116" i="3" s="1"/>
  <c r="FY116" i="3" s="1"/>
  <c r="FZ116" i="3" s="1"/>
  <c r="FT118" i="3"/>
  <c r="GQ118" i="3"/>
  <c r="LA120" i="3"/>
  <c r="LB120" i="3" s="1"/>
  <c r="GR120" i="1"/>
  <c r="LA116" i="3"/>
  <c r="LB116" i="3" s="1"/>
  <c r="GR116" i="1"/>
  <c r="FP120" i="3"/>
  <c r="LA42" i="3"/>
  <c r="LB42" i="3" s="1"/>
  <c r="GR42" i="1"/>
  <c r="LA38" i="3"/>
  <c r="LB38" i="3" s="1"/>
  <c r="GR38" i="1"/>
  <c r="LA40" i="3"/>
  <c r="LB40" i="3" s="1"/>
  <c r="GR40" i="1"/>
  <c r="GC36" i="3"/>
  <c r="IU36" i="3"/>
  <c r="IV36" i="3" s="1"/>
  <c r="IT36" i="3"/>
  <c r="GB36" i="3" s="1"/>
  <c r="GD36" i="3" s="1"/>
  <c r="GE36" i="3" s="1"/>
  <c r="FX42" i="3"/>
  <c r="IM42" i="3"/>
  <c r="FW42" i="3" s="1"/>
  <c r="IN42" i="3"/>
  <c r="GC42" i="3"/>
  <c r="IU42" i="3"/>
  <c r="IV42" i="3" s="1"/>
  <c r="IT42" i="3"/>
  <c r="GB42" i="3" s="1"/>
  <c r="GD42" i="3" s="1"/>
  <c r="GE42" i="3" s="1"/>
  <c r="GC40" i="3"/>
  <c r="IT40" i="3"/>
  <c r="GB40" i="3" s="1"/>
  <c r="IU40" i="3"/>
  <c r="IV40" i="3" s="1"/>
  <c r="FX36" i="3"/>
  <c r="IN36" i="3"/>
  <c r="IM36" i="3"/>
  <c r="FW36" i="3" s="1"/>
  <c r="FY36" i="3" s="1"/>
  <c r="FZ36" i="3" s="1"/>
  <c r="FX38" i="3"/>
  <c r="IN38" i="3"/>
  <c r="IM38" i="3"/>
  <c r="FW38" i="3" s="1"/>
  <c r="GC38" i="3"/>
  <c r="IU38" i="3"/>
  <c r="IV38" i="3" s="1"/>
  <c r="IT38" i="3"/>
  <c r="GB38" i="3" s="1"/>
  <c r="GD38" i="3" s="1"/>
  <c r="GE38" i="3" s="1"/>
  <c r="FX40" i="3"/>
  <c r="IN40" i="3"/>
  <c r="IM40" i="3"/>
  <c r="FW40" i="3" s="1"/>
  <c r="GC34" i="3"/>
  <c r="IU34" i="3"/>
  <c r="IV34" i="3" s="1"/>
  <c r="IT34" i="3"/>
  <c r="FX34" i="3"/>
  <c r="IM34" i="3"/>
  <c r="IN34" i="3"/>
  <c r="GQ36" i="3"/>
  <c r="FT36" i="3"/>
  <c r="GQ34" i="3"/>
  <c r="FT34" i="3"/>
  <c r="I292" i="6"/>
  <c r="K292" i="6" s="1"/>
  <c r="FP38" i="3"/>
  <c r="FU18" i="11" l="1"/>
  <c r="FU102" i="11" s="1"/>
  <c r="H116" i="12" s="1"/>
  <c r="V12" i="12"/>
  <c r="MO18" i="11"/>
  <c r="MZ18" i="11" s="1"/>
  <c r="JV18" i="13"/>
  <c r="JL18" i="11"/>
  <c r="JW18" i="11" s="1"/>
  <c r="GQ18" i="13"/>
  <c r="MB118" i="3"/>
  <c r="MC118" i="3" s="1"/>
  <c r="HO118" i="1"/>
  <c r="MB60" i="3"/>
  <c r="MC60" i="3" s="1"/>
  <c r="HO60" i="1"/>
  <c r="MB38" i="3"/>
  <c r="MM38" i="3" s="1"/>
  <c r="HO38" i="1"/>
  <c r="FI132" i="3"/>
  <c r="GG132" i="3" s="1"/>
  <c r="FP116" i="3"/>
  <c r="FS116" i="3" s="1"/>
  <c r="IX48" i="3"/>
  <c r="IY48" i="3" s="1"/>
  <c r="MB36" i="3"/>
  <c r="MC36" i="3" s="1"/>
  <c r="HO36" i="1"/>
  <c r="FY128" i="3"/>
  <c r="FZ128" i="3" s="1"/>
  <c r="FI40" i="3"/>
  <c r="FR36" i="3"/>
  <c r="FU36" i="3" s="1"/>
  <c r="FP66" i="3"/>
  <c r="FS66" i="3" s="1"/>
  <c r="MM120" i="3"/>
  <c r="O35" i="6"/>
  <c r="I294" i="6"/>
  <c r="K294" i="6" s="1"/>
  <c r="I36" i="6"/>
  <c r="GD44" i="3"/>
  <c r="GE44" i="3" s="1"/>
  <c r="GD124" i="3"/>
  <c r="GE124" i="3" s="1"/>
  <c r="JJ144" i="3"/>
  <c r="MM118" i="3"/>
  <c r="FY38" i="3"/>
  <c r="FZ38" i="3" s="1"/>
  <c r="LS74" i="3"/>
  <c r="M16" i="6"/>
  <c r="O16" i="6" s="1"/>
  <c r="Q276" i="6"/>
  <c r="MM36" i="3"/>
  <c r="MC42" i="3"/>
  <c r="FW34" i="3"/>
  <c r="FY34" i="3" s="1"/>
  <c r="FZ34" i="3" s="1"/>
  <c r="GB34" i="3"/>
  <c r="GD34" i="3" s="1"/>
  <c r="GE34" i="3" s="1"/>
  <c r="MC48" i="3"/>
  <c r="MM48" i="3"/>
  <c r="LY74" i="3"/>
  <c r="EN156" i="3"/>
  <c r="EK156" i="3"/>
  <c r="E8" i="8"/>
  <c r="K161" i="6"/>
  <c r="E9" i="8" s="1"/>
  <c r="E15" i="8" s="1"/>
  <c r="I16" i="6"/>
  <c r="FP124" i="3"/>
  <c r="FR124" i="3" s="1"/>
  <c r="FU124" i="3" s="1"/>
  <c r="LM34" i="3"/>
  <c r="LM74" i="3" s="1"/>
  <c r="MA34" i="3"/>
  <c r="FP42" i="3"/>
  <c r="FR42" i="3" s="1"/>
  <c r="FU42" i="3" s="1"/>
  <c r="MC56" i="3"/>
  <c r="MM56" i="3"/>
  <c r="MC46" i="3"/>
  <c r="MM46" i="3"/>
  <c r="GJ36" i="3"/>
  <c r="FD36" i="3"/>
  <c r="MM68" i="3"/>
  <c r="MC68" i="3"/>
  <c r="MM138" i="3"/>
  <c r="MC138" i="3"/>
  <c r="MC128" i="3"/>
  <c r="MM128" i="3"/>
  <c r="MC130" i="3"/>
  <c r="MM130" i="3"/>
  <c r="MC152" i="3"/>
  <c r="MM152" i="3"/>
  <c r="GJ34" i="3"/>
  <c r="FD34" i="3"/>
  <c r="FE34" i="3" s="1"/>
  <c r="FH34" i="3" s="1"/>
  <c r="IZ60" i="3"/>
  <c r="H8" i="8"/>
  <c r="FY64" i="3"/>
  <c r="FZ64" i="3" s="1"/>
  <c r="IG74" i="3"/>
  <c r="M292" i="6"/>
  <c r="O292" i="6" s="1"/>
  <c r="Q264" i="6"/>
  <c r="GR142" i="1"/>
  <c r="IO152" i="3"/>
  <c r="IX152" i="3"/>
  <c r="MB148" i="3"/>
  <c r="HO148" i="1"/>
  <c r="MB144" i="3"/>
  <c r="HO144" i="1"/>
  <c r="MB126" i="3"/>
  <c r="HO126" i="1"/>
  <c r="MB122" i="3"/>
  <c r="HO122" i="1"/>
  <c r="GQ148" i="3"/>
  <c r="FY66" i="3"/>
  <c r="FZ66" i="3" s="1"/>
  <c r="IO66" i="3"/>
  <c r="IX66" i="3"/>
  <c r="GD66" i="3"/>
  <c r="GE66" i="3" s="1"/>
  <c r="MB66" i="3"/>
  <c r="HO66" i="1"/>
  <c r="MB62" i="3"/>
  <c r="HO62" i="1"/>
  <c r="GQ142" i="3"/>
  <c r="IX68" i="3"/>
  <c r="EJ68" i="1" s="1"/>
  <c r="MB40" i="3"/>
  <c r="HO40" i="1"/>
  <c r="GQ146" i="3"/>
  <c r="FX142" i="3"/>
  <c r="IM142" i="3"/>
  <c r="FW142" i="3" s="1"/>
  <c r="IN142" i="3"/>
  <c r="IO142" i="3" s="1"/>
  <c r="GC148" i="3"/>
  <c r="IT148" i="3"/>
  <c r="GB148" i="3" s="1"/>
  <c r="IU148" i="3"/>
  <c r="IV148" i="3" s="1"/>
  <c r="FX148" i="3"/>
  <c r="IM148" i="3"/>
  <c r="FW148" i="3" s="1"/>
  <c r="IN148" i="3"/>
  <c r="GC146" i="3"/>
  <c r="IU146" i="3"/>
  <c r="IV146" i="3" s="1"/>
  <c r="IT146" i="3"/>
  <c r="GB146" i="3" s="1"/>
  <c r="GD146" i="3" s="1"/>
  <c r="GE146" i="3" s="1"/>
  <c r="GC142" i="3"/>
  <c r="IT142" i="3"/>
  <c r="GB142" i="3" s="1"/>
  <c r="IU142" i="3"/>
  <c r="FX146" i="3"/>
  <c r="IN146" i="3"/>
  <c r="IM146" i="3"/>
  <c r="FW146" i="3" s="1"/>
  <c r="FY146" i="3" s="1"/>
  <c r="FZ146" i="3" s="1"/>
  <c r="GD68" i="3"/>
  <c r="GE68" i="3" s="1"/>
  <c r="LA62" i="3"/>
  <c r="LB62" i="3" s="1"/>
  <c r="LB74" i="3" s="1"/>
  <c r="I61" i="6" s="1"/>
  <c r="I64" i="6" s="1"/>
  <c r="GR62" i="1"/>
  <c r="IX70" i="3"/>
  <c r="GD70" i="3"/>
  <c r="GE70" i="3" s="1"/>
  <c r="GD64" i="3"/>
  <c r="GE64" i="3" s="1"/>
  <c r="IV64" i="3"/>
  <c r="IX64" i="3"/>
  <c r="FX62" i="3"/>
  <c r="IM62" i="3"/>
  <c r="FW62" i="3" s="1"/>
  <c r="IN62" i="3"/>
  <c r="GQ62" i="3"/>
  <c r="FT62" i="3"/>
  <c r="FT74" i="3" s="1"/>
  <c r="E11" i="8" s="1"/>
  <c r="E16" i="8" s="1"/>
  <c r="E17" i="8" s="1"/>
  <c r="FR62" i="3"/>
  <c r="FU62" i="3" s="1"/>
  <c r="GC62" i="3"/>
  <c r="IU62" i="3"/>
  <c r="IV62" i="3" s="1"/>
  <c r="IT62" i="3"/>
  <c r="GB62" i="3" s="1"/>
  <c r="MB44" i="3"/>
  <c r="HO44" i="1"/>
  <c r="FY40" i="3"/>
  <c r="FZ40" i="3" s="1"/>
  <c r="IG156" i="3"/>
  <c r="LM156" i="3"/>
  <c r="GD48" i="3"/>
  <c r="GE48" i="3" s="1"/>
  <c r="FY48" i="3"/>
  <c r="FZ48" i="3" s="1"/>
  <c r="FY130" i="3"/>
  <c r="FZ130" i="3" s="1"/>
  <c r="GD46" i="3"/>
  <c r="GE46" i="3" s="1"/>
  <c r="EJ48" i="1"/>
  <c r="IX130" i="3"/>
  <c r="MB116" i="3"/>
  <c r="HO116" i="1"/>
  <c r="IO46" i="3"/>
  <c r="IX46" i="3"/>
  <c r="JJ140" i="3"/>
  <c r="JJ58" i="3"/>
  <c r="FI146" i="3"/>
  <c r="GD56" i="3"/>
  <c r="GE56" i="3" s="1"/>
  <c r="GK146" i="3"/>
  <c r="FP146" i="3"/>
  <c r="MB146" i="3"/>
  <c r="HO146" i="1"/>
  <c r="MB140" i="3"/>
  <c r="HO140" i="1"/>
  <c r="FR148" i="3"/>
  <c r="FU148" i="3" s="1"/>
  <c r="FS148" i="3"/>
  <c r="FI150" i="3"/>
  <c r="FO150" i="3"/>
  <c r="IY150" i="3"/>
  <c r="EJ150" i="1"/>
  <c r="IO128" i="3"/>
  <c r="IX128" i="3"/>
  <c r="MC124" i="3"/>
  <c r="MM124" i="3"/>
  <c r="GK126" i="3"/>
  <c r="FP126" i="3"/>
  <c r="GK128" i="3"/>
  <c r="FP128" i="3"/>
  <c r="GD128" i="3"/>
  <c r="GE128" i="3" s="1"/>
  <c r="Q90" i="6"/>
  <c r="S90" i="6" s="1"/>
  <c r="FY126" i="3"/>
  <c r="FZ126" i="3" s="1"/>
  <c r="FI64" i="3"/>
  <c r="GK64" i="3"/>
  <c r="FP64" i="3"/>
  <c r="FR64" i="3" s="1"/>
  <c r="FU64" i="3" s="1"/>
  <c r="FO68" i="3"/>
  <c r="FI68" i="3"/>
  <c r="MB64" i="3"/>
  <c r="HO64" i="1"/>
  <c r="MB58" i="3"/>
  <c r="HO58" i="1"/>
  <c r="GK44" i="3"/>
  <c r="FP44" i="3"/>
  <c r="GK46" i="3"/>
  <c r="FP46" i="3"/>
  <c r="FP40" i="3"/>
  <c r="FR40" i="3" s="1"/>
  <c r="FU40" i="3" s="1"/>
  <c r="IO56" i="3"/>
  <c r="IX56" i="3"/>
  <c r="FY44" i="3"/>
  <c r="FZ44" i="3" s="1"/>
  <c r="IO44" i="3"/>
  <c r="IX44" i="3"/>
  <c r="LB156" i="3"/>
  <c r="M61" i="6" s="1"/>
  <c r="O61" i="6" s="1"/>
  <c r="IZ138" i="3"/>
  <c r="JJ138" i="3"/>
  <c r="IO126" i="3"/>
  <c r="IX126" i="3"/>
  <c r="FS122" i="3"/>
  <c r="FR122" i="3"/>
  <c r="FU122" i="3" s="1"/>
  <c r="FY122" i="3"/>
  <c r="FZ122" i="3" s="1"/>
  <c r="FR120" i="3"/>
  <c r="FU120" i="3" s="1"/>
  <c r="FS120" i="3"/>
  <c r="IO116" i="3"/>
  <c r="IX116" i="3"/>
  <c r="IX122" i="3"/>
  <c r="IO122" i="3"/>
  <c r="IO118" i="3"/>
  <c r="IX118" i="3"/>
  <c r="IO124" i="3"/>
  <c r="IX124" i="3"/>
  <c r="IX120" i="3"/>
  <c r="IO120" i="3"/>
  <c r="FT156" i="3"/>
  <c r="H11" i="8" s="1"/>
  <c r="H16" i="8" s="1"/>
  <c r="H17" i="8" s="1"/>
  <c r="IO40" i="3"/>
  <c r="IX40" i="3"/>
  <c r="IO38" i="3"/>
  <c r="IX38" i="3"/>
  <c r="GD40" i="3"/>
  <c r="GE40" i="3" s="1"/>
  <c r="FY42" i="3"/>
  <c r="FZ42" i="3" s="1"/>
  <c r="FS38" i="3"/>
  <c r="FR38" i="3"/>
  <c r="FU38" i="3" s="1"/>
  <c r="IO34" i="3"/>
  <c r="IX34" i="3"/>
  <c r="IO36" i="3"/>
  <c r="IX36" i="3"/>
  <c r="IO42" i="3"/>
  <c r="IX42" i="3"/>
  <c r="JM18" i="11" l="1"/>
  <c r="Q16" i="6"/>
  <c r="S16" i="6" s="1"/>
  <c r="MP18" i="11"/>
  <c r="GG124" i="3"/>
  <c r="GY124" i="3" s="1"/>
  <c r="OE18" i="11"/>
  <c r="OF18" i="11" s="1"/>
  <c r="OG18" i="11" s="1"/>
  <c r="MM60" i="3"/>
  <c r="NR60" i="3" s="1"/>
  <c r="NS60" i="3" s="1"/>
  <c r="NT60" i="3" s="1"/>
  <c r="FR116" i="3"/>
  <c r="FU116" i="3" s="1"/>
  <c r="MC38" i="3"/>
  <c r="K16" i="6"/>
  <c r="GG122" i="3"/>
  <c r="GY122" i="3" s="1"/>
  <c r="HE122" i="3" s="1"/>
  <c r="FR66" i="3"/>
  <c r="FU66" i="3" s="1"/>
  <c r="GG118" i="3"/>
  <c r="GY118" i="3" s="1"/>
  <c r="HF118" i="3" s="1"/>
  <c r="GG120" i="3"/>
  <c r="GY120" i="3" s="1"/>
  <c r="HE120" i="3" s="1"/>
  <c r="GG116" i="3"/>
  <c r="GY116" i="3" s="1"/>
  <c r="HF116" i="3" s="1"/>
  <c r="GG130" i="3"/>
  <c r="GY130" i="3" s="1"/>
  <c r="HE130" i="3" s="1"/>
  <c r="GG128" i="3"/>
  <c r="GY128" i="3" s="1"/>
  <c r="HE128" i="3" s="1"/>
  <c r="GG126" i="3"/>
  <c r="GY126" i="3" s="1"/>
  <c r="HF126" i="3" s="1"/>
  <c r="K36" i="6"/>
  <c r="Q292" i="6"/>
  <c r="S292" i="6" s="1"/>
  <c r="Q35" i="6"/>
  <c r="S35" i="6" s="1"/>
  <c r="Q294" i="6"/>
  <c r="S294" i="6" s="1"/>
  <c r="Q36" i="6"/>
  <c r="S36" i="6" s="1"/>
  <c r="FS42" i="3"/>
  <c r="GD62" i="3"/>
  <c r="GE62" i="3" s="1"/>
  <c r="GE74" i="3" s="1"/>
  <c r="FS124" i="3"/>
  <c r="HO34" i="1"/>
  <c r="MB34" i="3"/>
  <c r="FS64" i="3"/>
  <c r="NR138" i="3"/>
  <c r="NS138" i="3" s="1"/>
  <c r="NT138" i="3" s="1"/>
  <c r="IY68" i="3"/>
  <c r="IZ68" i="3" s="1"/>
  <c r="FI34" i="3"/>
  <c r="FI50" i="3" s="1"/>
  <c r="GG50" i="3" s="1"/>
  <c r="FO34" i="3"/>
  <c r="FS40" i="3"/>
  <c r="MM144" i="3"/>
  <c r="NR144" i="3" s="1"/>
  <c r="NS144" i="3" s="1"/>
  <c r="MC144" i="3"/>
  <c r="MM148" i="3"/>
  <c r="MC148" i="3"/>
  <c r="IY152" i="3"/>
  <c r="EJ152" i="1"/>
  <c r="MC122" i="3"/>
  <c r="MM122" i="3"/>
  <c r="MM126" i="3"/>
  <c r="MC126" i="3"/>
  <c r="IV74" i="3"/>
  <c r="MC62" i="3"/>
  <c r="MM62" i="3"/>
  <c r="MC66" i="3"/>
  <c r="MM66" i="3"/>
  <c r="IY66" i="3"/>
  <c r="EJ66" i="1"/>
  <c r="MC40" i="3"/>
  <c r="MM40" i="3"/>
  <c r="FY148" i="3"/>
  <c r="FZ148" i="3" s="1"/>
  <c r="FY142" i="3"/>
  <c r="FZ142" i="3" s="1"/>
  <c r="IO148" i="3"/>
  <c r="IX148" i="3"/>
  <c r="GD148" i="3"/>
  <c r="GE148" i="3" s="1"/>
  <c r="GD142" i="3"/>
  <c r="GE142" i="3" s="1"/>
  <c r="IO146" i="3"/>
  <c r="IO156" i="3" s="1"/>
  <c r="IX146" i="3"/>
  <c r="IV142" i="3"/>
  <c r="IV156" i="3" s="1"/>
  <c r="IX142" i="3"/>
  <c r="IY70" i="3"/>
  <c r="EJ70" i="1"/>
  <c r="FY62" i="3"/>
  <c r="FZ62" i="3" s="1"/>
  <c r="FZ74" i="3" s="1"/>
  <c r="I305" i="6" s="1"/>
  <c r="IO62" i="3"/>
  <c r="IO74" i="3" s="1"/>
  <c r="IX62" i="3"/>
  <c r="EJ64" i="1"/>
  <c r="IY64" i="3"/>
  <c r="MC44" i="3"/>
  <c r="MM44" i="3"/>
  <c r="JJ48" i="3"/>
  <c r="NR48" i="3" s="1"/>
  <c r="NS48" i="3" s="1"/>
  <c r="IZ48" i="3"/>
  <c r="IY130" i="3"/>
  <c r="EJ130" i="1"/>
  <c r="MC116" i="3"/>
  <c r="MM116" i="3"/>
  <c r="FI156" i="3"/>
  <c r="IY46" i="3"/>
  <c r="EJ46" i="1"/>
  <c r="FI154" i="3"/>
  <c r="GG154" i="3" s="1"/>
  <c r="JJ150" i="3"/>
  <c r="NR150" i="3" s="1"/>
  <c r="NS150" i="3" s="1"/>
  <c r="IZ150" i="3"/>
  <c r="MC140" i="3"/>
  <c r="MM140" i="3"/>
  <c r="NR140" i="3" s="1"/>
  <c r="NS140" i="3" s="1"/>
  <c r="MC146" i="3"/>
  <c r="MM146" i="3"/>
  <c r="GK150" i="3"/>
  <c r="FP150" i="3"/>
  <c r="FS146" i="3"/>
  <c r="FR146" i="3"/>
  <c r="FU146" i="3" s="1"/>
  <c r="FR128" i="3"/>
  <c r="FU128" i="3" s="1"/>
  <c r="FS128" i="3"/>
  <c r="FR126" i="3"/>
  <c r="FU126" i="3" s="1"/>
  <c r="FS126" i="3"/>
  <c r="IY128" i="3"/>
  <c r="EJ128" i="1"/>
  <c r="FI72" i="3"/>
  <c r="GG72" i="3" s="1"/>
  <c r="MC58" i="3"/>
  <c r="MM58" i="3"/>
  <c r="NR58" i="3" s="1"/>
  <c r="NS58" i="3" s="1"/>
  <c r="MC64" i="3"/>
  <c r="MM64" i="3"/>
  <c r="GK68" i="3"/>
  <c r="FP68" i="3"/>
  <c r="FR46" i="3"/>
  <c r="FU46" i="3" s="1"/>
  <c r="FS46" i="3"/>
  <c r="FS44" i="3"/>
  <c r="FR44" i="3"/>
  <c r="FU44" i="3" s="1"/>
  <c r="K61" i="6"/>
  <c r="M27" i="6"/>
  <c r="O27" i="6" s="1"/>
  <c r="M64" i="6"/>
  <c r="Q64" i="6" s="1"/>
  <c r="S64" i="6" s="1"/>
  <c r="IY56" i="3"/>
  <c r="EJ56" i="1"/>
  <c r="IY44" i="3"/>
  <c r="EJ44" i="1"/>
  <c r="Q114" i="6"/>
  <c r="S114" i="6" s="1"/>
  <c r="IY126" i="3"/>
  <c r="IZ126" i="3" s="1"/>
  <c r="EJ126" i="1"/>
  <c r="IY124" i="3"/>
  <c r="EJ124" i="1"/>
  <c r="HE124" i="3"/>
  <c r="HF124" i="3"/>
  <c r="IY122" i="3"/>
  <c r="EJ122" i="1"/>
  <c r="IY120" i="3"/>
  <c r="EJ120" i="1"/>
  <c r="IY118" i="3"/>
  <c r="EJ118" i="1"/>
  <c r="IY116" i="3"/>
  <c r="EJ116" i="1"/>
  <c r="EJ42" i="1"/>
  <c r="IY42" i="3"/>
  <c r="EJ36" i="1"/>
  <c r="IY36" i="3"/>
  <c r="IY34" i="3"/>
  <c r="EJ34" i="1"/>
  <c r="EJ38" i="1"/>
  <c r="IY38" i="3"/>
  <c r="IY40" i="3"/>
  <c r="EJ40" i="1"/>
  <c r="I31" i="6"/>
  <c r="K31" i="6" s="1"/>
  <c r="I27" i="6"/>
  <c r="K27" i="6" s="1"/>
  <c r="K64" i="6"/>
  <c r="FL18" i="13" l="1"/>
  <c r="HI34" i="11"/>
  <c r="HI26" i="11"/>
  <c r="HI22" i="11"/>
  <c r="HI20" i="11"/>
  <c r="FL36" i="13"/>
  <c r="FL34" i="13"/>
  <c r="FL32" i="13"/>
  <c r="FL30" i="13"/>
  <c r="FL28" i="13"/>
  <c r="HI36" i="11"/>
  <c r="HI32" i="11"/>
  <c r="HI30" i="11"/>
  <c r="HI28" i="11"/>
  <c r="HI24" i="11"/>
  <c r="FL26" i="13"/>
  <c r="FL24" i="13"/>
  <c r="FL22" i="13"/>
  <c r="FL20" i="13"/>
  <c r="GG150" i="3"/>
  <c r="GY150" i="3" s="1"/>
  <c r="HI18" i="11"/>
  <c r="HE118" i="3"/>
  <c r="HQ118" i="3" s="1"/>
  <c r="HS118" i="3" s="1"/>
  <c r="HT118" i="3" s="1"/>
  <c r="HF122" i="3"/>
  <c r="HQ122" i="3" s="1"/>
  <c r="HR122" i="3" s="1"/>
  <c r="HF120" i="3"/>
  <c r="HQ120" i="3" s="1"/>
  <c r="HE116" i="3"/>
  <c r="HQ116" i="3" s="1"/>
  <c r="HW116" i="3" s="1"/>
  <c r="HF130" i="3"/>
  <c r="HQ130" i="3" s="1"/>
  <c r="JJ68" i="3"/>
  <c r="NR68" i="3" s="1"/>
  <c r="NS68" i="3" s="1"/>
  <c r="NT68" i="3" s="1"/>
  <c r="MM34" i="3"/>
  <c r="MC34" i="3"/>
  <c r="MC74" i="3" s="1"/>
  <c r="GG48" i="3"/>
  <c r="FI74" i="3"/>
  <c r="GG36" i="3"/>
  <c r="GG38" i="3"/>
  <c r="GY38" i="3" s="1"/>
  <c r="GG34" i="3"/>
  <c r="GG44" i="3"/>
  <c r="GG40" i="3"/>
  <c r="GY40" i="3" s="1"/>
  <c r="GG46" i="3"/>
  <c r="GG42" i="3"/>
  <c r="GY42" i="3" s="1"/>
  <c r="GK34" i="3"/>
  <c r="FP34" i="3"/>
  <c r="FZ156" i="3"/>
  <c r="M305" i="6" s="1"/>
  <c r="HE126" i="3"/>
  <c r="HQ126" i="3" s="1"/>
  <c r="HW126" i="3" s="1"/>
  <c r="JJ152" i="3"/>
  <c r="NR152" i="3" s="1"/>
  <c r="NS152" i="3" s="1"/>
  <c r="IZ152" i="3"/>
  <c r="Q117" i="6"/>
  <c r="S117" i="6" s="1"/>
  <c r="NT144" i="3"/>
  <c r="GE156" i="3"/>
  <c r="IZ66" i="3"/>
  <c r="JJ66" i="3"/>
  <c r="NR66" i="3" s="1"/>
  <c r="NS66" i="3" s="1"/>
  <c r="IY148" i="3"/>
  <c r="JJ148" i="3" s="1"/>
  <c r="NR148" i="3" s="1"/>
  <c r="NS148" i="3" s="1"/>
  <c r="EJ148" i="1"/>
  <c r="IZ148" i="3"/>
  <c r="EJ142" i="1"/>
  <c r="IY142" i="3"/>
  <c r="EJ146" i="1"/>
  <c r="IY146" i="3"/>
  <c r="JJ70" i="3"/>
  <c r="NR70" i="3" s="1"/>
  <c r="NS70" i="3" s="1"/>
  <c r="IZ70" i="3"/>
  <c r="JJ64" i="3"/>
  <c r="NR64" i="3" s="1"/>
  <c r="NS64" i="3" s="1"/>
  <c r="IZ64" i="3"/>
  <c r="EJ62" i="1"/>
  <c r="IY62" i="3"/>
  <c r="HF128" i="3"/>
  <c r="HQ128" i="3" s="1"/>
  <c r="HW128" i="3" s="1"/>
  <c r="NT48" i="3"/>
  <c r="Q82" i="6"/>
  <c r="S82" i="6" s="1"/>
  <c r="JJ130" i="3"/>
  <c r="NR130" i="3" s="1"/>
  <c r="NS130" i="3" s="1"/>
  <c r="IZ130" i="3"/>
  <c r="IZ46" i="3"/>
  <c r="JJ46" i="3"/>
  <c r="NR46" i="3" s="1"/>
  <c r="NS46" i="3" s="1"/>
  <c r="JJ126" i="3"/>
  <c r="NR126" i="3" s="1"/>
  <c r="NS126" i="3" s="1"/>
  <c r="NT126" i="3" s="1"/>
  <c r="GG148" i="3"/>
  <c r="GG146" i="3"/>
  <c r="GG152" i="3"/>
  <c r="GG140" i="3"/>
  <c r="GG138" i="3"/>
  <c r="GG144" i="3"/>
  <c r="GG142" i="3"/>
  <c r="NT150" i="3"/>
  <c r="Q120" i="6"/>
  <c r="S120" i="6" s="1"/>
  <c r="MC156" i="3"/>
  <c r="FR150" i="3"/>
  <c r="FU150" i="3" s="1"/>
  <c r="FU156" i="3" s="1"/>
  <c r="M303" i="6" s="1"/>
  <c r="FS150" i="3"/>
  <c r="FS156" i="3" s="1"/>
  <c r="NT140" i="3"/>
  <c r="Q115" i="6"/>
  <c r="S115" i="6" s="1"/>
  <c r="IZ128" i="3"/>
  <c r="JJ128" i="3"/>
  <c r="NR128" i="3" s="1"/>
  <c r="NS128" i="3" s="1"/>
  <c r="Q94" i="6"/>
  <c r="S94" i="6" s="1"/>
  <c r="GG68" i="3"/>
  <c r="GY68" i="3" s="1"/>
  <c r="GG60" i="3"/>
  <c r="GY60" i="3" s="1"/>
  <c r="GG70" i="3"/>
  <c r="GY70" i="3" s="1"/>
  <c r="GG62" i="3"/>
  <c r="GY62" i="3" s="1"/>
  <c r="GG64" i="3"/>
  <c r="GY64" i="3" s="1"/>
  <c r="GG56" i="3"/>
  <c r="GY56" i="3" s="1"/>
  <c r="GG66" i="3"/>
  <c r="GY66" i="3" s="1"/>
  <c r="GG58" i="3"/>
  <c r="GY58" i="3" s="1"/>
  <c r="FS68" i="3"/>
  <c r="FR68" i="3"/>
  <c r="FU68" i="3" s="1"/>
  <c r="Q89" i="6"/>
  <c r="S89" i="6" s="1"/>
  <c r="NT58" i="3"/>
  <c r="M31" i="6"/>
  <c r="O31" i="6" s="1"/>
  <c r="O64" i="6"/>
  <c r="HQ124" i="3"/>
  <c r="IZ56" i="3"/>
  <c r="JJ56" i="3"/>
  <c r="NR56" i="3" s="1"/>
  <c r="NS56" i="3" s="1"/>
  <c r="IZ44" i="3"/>
  <c r="JJ44" i="3"/>
  <c r="NR44" i="3" s="1"/>
  <c r="NS44" i="3" s="1"/>
  <c r="JJ118" i="3"/>
  <c r="NR118" i="3" s="1"/>
  <c r="NS118" i="3" s="1"/>
  <c r="IZ118" i="3"/>
  <c r="JJ122" i="3"/>
  <c r="NR122" i="3" s="1"/>
  <c r="NS122" i="3" s="1"/>
  <c r="IZ122" i="3"/>
  <c r="IZ124" i="3"/>
  <c r="JJ124" i="3"/>
  <c r="NR124" i="3" s="1"/>
  <c r="NS124" i="3" s="1"/>
  <c r="JJ116" i="3"/>
  <c r="NR116" i="3" s="1"/>
  <c r="NS116" i="3" s="1"/>
  <c r="IZ116" i="3"/>
  <c r="IZ120" i="3"/>
  <c r="JJ120" i="3"/>
  <c r="NR120" i="3" s="1"/>
  <c r="NS120" i="3" s="1"/>
  <c r="IZ38" i="3"/>
  <c r="JJ38" i="3"/>
  <c r="NR38" i="3" s="1"/>
  <c r="NS38" i="3" s="1"/>
  <c r="JJ34" i="3"/>
  <c r="IZ34" i="3"/>
  <c r="IZ40" i="3"/>
  <c r="JJ40" i="3"/>
  <c r="NR40" i="3" s="1"/>
  <c r="NS40" i="3" s="1"/>
  <c r="JJ36" i="3"/>
  <c r="NR36" i="3" s="1"/>
  <c r="NS36" i="3" s="1"/>
  <c r="IZ36" i="3"/>
  <c r="JJ42" i="3"/>
  <c r="NR42" i="3" s="1"/>
  <c r="NS42" i="3" s="1"/>
  <c r="IZ42" i="3"/>
  <c r="HO28" i="11" l="1"/>
  <c r="HP28" i="11"/>
  <c r="HP32" i="11"/>
  <c r="HO32" i="11"/>
  <c r="HO22" i="11"/>
  <c r="HP22" i="11"/>
  <c r="HP34" i="11"/>
  <c r="HO34" i="11"/>
  <c r="HO24" i="11"/>
  <c r="HP24" i="11"/>
  <c r="HO30" i="11"/>
  <c r="HP30" i="11"/>
  <c r="HO36" i="11"/>
  <c r="HP36" i="11"/>
  <c r="HO20" i="11"/>
  <c r="HP20" i="11"/>
  <c r="HP26" i="11"/>
  <c r="HO26" i="11"/>
  <c r="HO18" i="11"/>
  <c r="HP18" i="11"/>
  <c r="Q107" i="6"/>
  <c r="S107" i="6" s="1"/>
  <c r="NR34" i="3"/>
  <c r="NS34" i="3" s="1"/>
  <c r="Q75" i="6" s="1"/>
  <c r="S75" i="6" s="1"/>
  <c r="GY144" i="3"/>
  <c r="HE144" i="3" s="1"/>
  <c r="GY140" i="3"/>
  <c r="HF140" i="3" s="1"/>
  <c r="GY146" i="3"/>
  <c r="HF146" i="3" s="1"/>
  <c r="GY142" i="3"/>
  <c r="HE142" i="3" s="1"/>
  <c r="GY138" i="3"/>
  <c r="HE138" i="3" s="1"/>
  <c r="GY152" i="3"/>
  <c r="HE152" i="3" s="1"/>
  <c r="GY148" i="3"/>
  <c r="HF148" i="3" s="1"/>
  <c r="GY34" i="3"/>
  <c r="GY36" i="3"/>
  <c r="HF36" i="3" s="1"/>
  <c r="GY46" i="3"/>
  <c r="HE46" i="3" s="1"/>
  <c r="GY44" i="3"/>
  <c r="HF44" i="3" s="1"/>
  <c r="GY48" i="3"/>
  <c r="HF48" i="3" s="1"/>
  <c r="HE38" i="3"/>
  <c r="HF38" i="3"/>
  <c r="HE44" i="3"/>
  <c r="FS34" i="3"/>
  <c r="FS74" i="3" s="1"/>
  <c r="FR34" i="3"/>
  <c r="FU34" i="3" s="1"/>
  <c r="FU74" i="3" s="1"/>
  <c r="I303" i="6" s="1"/>
  <c r="HF42" i="3"/>
  <c r="HE42" i="3"/>
  <c r="HF40" i="3"/>
  <c r="HE40" i="3"/>
  <c r="NT152" i="3"/>
  <c r="Q121" i="6"/>
  <c r="S121" i="6" s="1"/>
  <c r="NT66" i="3"/>
  <c r="Q93" i="6"/>
  <c r="S93" i="6" s="1"/>
  <c r="NT148" i="3"/>
  <c r="Q119" i="6"/>
  <c r="S119" i="6" s="1"/>
  <c r="IZ146" i="3"/>
  <c r="JJ146" i="3"/>
  <c r="NR146" i="3" s="1"/>
  <c r="NS146" i="3" s="1"/>
  <c r="JJ142" i="3"/>
  <c r="NR142" i="3" s="1"/>
  <c r="NS142" i="3" s="1"/>
  <c r="IZ142" i="3"/>
  <c r="NT70" i="3"/>
  <c r="Q95" i="6"/>
  <c r="S95" i="6" s="1"/>
  <c r="Q92" i="6"/>
  <c r="S92" i="6" s="1"/>
  <c r="NT64" i="3"/>
  <c r="JJ62" i="3"/>
  <c r="NR62" i="3" s="1"/>
  <c r="NS62" i="3" s="1"/>
  <c r="IZ62" i="3"/>
  <c r="IZ74" i="3" s="1"/>
  <c r="I19" i="6" s="1"/>
  <c r="NT130" i="3"/>
  <c r="Q109" i="6"/>
  <c r="S109" i="6" s="1"/>
  <c r="NT46" i="3"/>
  <c r="Q81" i="6"/>
  <c r="S81" i="6" s="1"/>
  <c r="HE150" i="3"/>
  <c r="HF150" i="3"/>
  <c r="NT128" i="3"/>
  <c r="Q108" i="6"/>
  <c r="S108" i="6" s="1"/>
  <c r="HE66" i="3"/>
  <c r="HF66" i="3"/>
  <c r="HE64" i="3"/>
  <c r="HF64" i="3"/>
  <c r="HE70" i="3"/>
  <c r="HF70" i="3"/>
  <c r="HF68" i="3"/>
  <c r="HE68" i="3"/>
  <c r="HF58" i="3"/>
  <c r="HE58" i="3"/>
  <c r="HF56" i="3"/>
  <c r="HE56" i="3"/>
  <c r="HF62" i="3"/>
  <c r="HE62" i="3"/>
  <c r="HE60" i="3"/>
  <c r="HF60" i="3"/>
  <c r="HW118" i="3"/>
  <c r="HR116" i="3"/>
  <c r="HS116" i="3"/>
  <c r="HT116" i="3" s="1"/>
  <c r="HS122" i="3"/>
  <c r="HT122" i="3" s="1"/>
  <c r="HR126" i="3"/>
  <c r="NT56" i="3"/>
  <c r="Q88" i="6"/>
  <c r="S88" i="6" s="1"/>
  <c r="Q80" i="6"/>
  <c r="S80" i="6" s="1"/>
  <c r="NT44" i="3"/>
  <c r="HR118" i="3"/>
  <c r="HS126" i="3"/>
  <c r="HT126" i="3" s="1"/>
  <c r="HW122" i="3"/>
  <c r="HR128" i="3"/>
  <c r="HS128" i="3"/>
  <c r="HT128" i="3" s="1"/>
  <c r="HS130" i="3"/>
  <c r="HT130" i="3" s="1"/>
  <c r="HR130" i="3"/>
  <c r="HW130" i="3"/>
  <c r="Q104" i="6"/>
  <c r="S104" i="6" s="1"/>
  <c r="NT120" i="3"/>
  <c r="HW124" i="3"/>
  <c r="HR124" i="3"/>
  <c r="HS124" i="3"/>
  <c r="HT124" i="3" s="1"/>
  <c r="Q105" i="6"/>
  <c r="S105" i="6" s="1"/>
  <c r="NT122" i="3"/>
  <c r="Q103" i="6"/>
  <c r="S103" i="6" s="1"/>
  <c r="NT118" i="3"/>
  <c r="Q102" i="6"/>
  <c r="S102" i="6" s="1"/>
  <c r="NT116" i="3"/>
  <c r="HS120" i="3"/>
  <c r="HT120" i="3" s="1"/>
  <c r="HR120" i="3"/>
  <c r="HW120" i="3"/>
  <c r="Q106" i="6"/>
  <c r="S106" i="6" s="1"/>
  <c r="NT124" i="3"/>
  <c r="Q78" i="6"/>
  <c r="S78" i="6" s="1"/>
  <c r="NT40" i="3"/>
  <c r="NT42" i="3"/>
  <c r="Q79" i="6"/>
  <c r="S79" i="6" s="1"/>
  <c r="Q76" i="6"/>
  <c r="S76" i="6" s="1"/>
  <c r="NT36" i="3"/>
  <c r="NT38" i="3"/>
  <c r="Q77" i="6"/>
  <c r="S77" i="6" s="1"/>
  <c r="IC36" i="11" l="1"/>
  <c r="X30" i="12" s="1"/>
  <c r="Y30" i="12" s="1"/>
  <c r="IC20" i="11"/>
  <c r="IJ20" i="11" s="1"/>
  <c r="IC22" i="11"/>
  <c r="X16" i="12" s="1"/>
  <c r="Y16" i="12" s="1"/>
  <c r="IC24" i="11"/>
  <c r="X18" i="12" s="1"/>
  <c r="Y18" i="12" s="1"/>
  <c r="IC30" i="11"/>
  <c r="IC28" i="11"/>
  <c r="IC26" i="11"/>
  <c r="X20" i="12" s="1"/>
  <c r="Y20" i="12" s="1"/>
  <c r="IC34" i="11"/>
  <c r="X28" i="12" s="1"/>
  <c r="Y28" i="12" s="1"/>
  <c r="IC32" i="11"/>
  <c r="X26" i="12" s="1"/>
  <c r="Y26" i="12" s="1"/>
  <c r="IC18" i="11"/>
  <c r="HF144" i="3"/>
  <c r="HQ144" i="3" s="1"/>
  <c r="HR144" i="3" s="1"/>
  <c r="NT34" i="3"/>
  <c r="HE140" i="3"/>
  <c r="HF152" i="3"/>
  <c r="HQ152" i="3" s="1"/>
  <c r="HS152" i="3" s="1"/>
  <c r="HT152" i="3" s="1"/>
  <c r="HQ140" i="3"/>
  <c r="HR140" i="3" s="1"/>
  <c r="HF142" i="3"/>
  <c r="HQ142" i="3" s="1"/>
  <c r="HR142" i="3" s="1"/>
  <c r="HF138" i="3"/>
  <c r="HQ138" i="3" s="1"/>
  <c r="HS138" i="3" s="1"/>
  <c r="HT138" i="3" s="1"/>
  <c r="HE148" i="3"/>
  <c r="HQ148" i="3" s="1"/>
  <c r="HR148" i="3" s="1"/>
  <c r="HE146" i="3"/>
  <c r="HQ146" i="3" s="1"/>
  <c r="HS146" i="3" s="1"/>
  <c r="HT146" i="3" s="1"/>
  <c r="HE48" i="3"/>
  <c r="HF46" i="3"/>
  <c r="HQ46" i="3" s="1"/>
  <c r="HE36" i="3"/>
  <c r="HQ36" i="3" s="1"/>
  <c r="HS36" i="3" s="1"/>
  <c r="HT36" i="3" s="1"/>
  <c r="HQ44" i="3"/>
  <c r="HS44" i="3" s="1"/>
  <c r="HT44" i="3" s="1"/>
  <c r="HQ48" i="3"/>
  <c r="HQ40" i="3"/>
  <c r="HR40" i="3" s="1"/>
  <c r="HQ42" i="3"/>
  <c r="HW42" i="3" s="1"/>
  <c r="HQ38" i="3"/>
  <c r="HF34" i="3"/>
  <c r="HE34" i="3"/>
  <c r="IZ156" i="3"/>
  <c r="M19" i="6" s="1"/>
  <c r="O19" i="6" s="1"/>
  <c r="Q116" i="6"/>
  <c r="S116" i="6" s="1"/>
  <c r="NT142" i="3"/>
  <c r="NT146" i="3"/>
  <c r="Q118" i="6"/>
  <c r="S118" i="6" s="1"/>
  <c r="Q91" i="6"/>
  <c r="S91" i="6" s="1"/>
  <c r="NT62" i="3"/>
  <c r="NT72" i="3" s="1"/>
  <c r="HQ150" i="3"/>
  <c r="HQ62" i="3"/>
  <c r="HS62" i="3" s="1"/>
  <c r="HT62" i="3" s="1"/>
  <c r="HQ56" i="3"/>
  <c r="HS56" i="3" s="1"/>
  <c r="HT56" i="3" s="1"/>
  <c r="HQ58" i="3"/>
  <c r="HS58" i="3" s="1"/>
  <c r="HT58" i="3" s="1"/>
  <c r="HQ68" i="3"/>
  <c r="HR68" i="3" s="1"/>
  <c r="HQ60" i="3"/>
  <c r="HQ70" i="3"/>
  <c r="HQ64" i="3"/>
  <c r="HQ66" i="3"/>
  <c r="HW62" i="3"/>
  <c r="NT132" i="3"/>
  <c r="I22" i="6"/>
  <c r="K19" i="6"/>
  <c r="NT50" i="3"/>
  <c r="IJ36" i="11" l="1"/>
  <c r="ID36" i="11"/>
  <c r="IF36" i="11"/>
  <c r="AD30" i="12" s="1"/>
  <c r="AE30" i="12" s="1"/>
  <c r="IF20" i="11"/>
  <c r="IG20" i="11" s="1"/>
  <c r="ID20" i="11"/>
  <c r="X14" i="12"/>
  <c r="Y14" i="12" s="1"/>
  <c r="IF22" i="11"/>
  <c r="AD16" i="12" s="1"/>
  <c r="AE16" i="12" s="1"/>
  <c r="IJ22" i="11"/>
  <c r="ID22" i="11"/>
  <c r="IJ24" i="11"/>
  <c r="ID24" i="11"/>
  <c r="IF24" i="11"/>
  <c r="IG24" i="11" s="1"/>
  <c r="IJ30" i="11"/>
  <c r="X24" i="12"/>
  <c r="Y24" i="12" s="1"/>
  <c r="ID28" i="11"/>
  <c r="X22" i="12"/>
  <c r="Y22" i="12" s="1"/>
  <c r="ID30" i="11"/>
  <c r="IF30" i="11"/>
  <c r="IF28" i="11"/>
  <c r="IJ28" i="11"/>
  <c r="IF34" i="11"/>
  <c r="IJ34" i="11"/>
  <c r="ID34" i="11"/>
  <c r="IJ32" i="11"/>
  <c r="ID32" i="11"/>
  <c r="IF32" i="11"/>
  <c r="IJ26" i="11"/>
  <c r="ID26" i="11"/>
  <c r="IF26" i="11"/>
  <c r="X12" i="12"/>
  <c r="Y12" i="12" s="1"/>
  <c r="IJ18" i="11"/>
  <c r="IF18" i="11"/>
  <c r="AD12" i="12" s="1"/>
  <c r="ID18" i="11"/>
  <c r="NU132" i="3"/>
  <c r="Q110" i="6" s="1"/>
  <c r="S110" i="6" s="1"/>
  <c r="NU50" i="3"/>
  <c r="Q83" i="6" s="1"/>
  <c r="S83" i="6" s="1"/>
  <c r="NU72" i="3"/>
  <c r="HR152" i="3"/>
  <c r="HW138" i="3"/>
  <c r="HW152" i="3"/>
  <c r="HS140" i="3"/>
  <c r="HT140" i="3" s="1"/>
  <c r="HR146" i="3"/>
  <c r="HW140" i="3"/>
  <c r="HR138" i="3"/>
  <c r="HS142" i="3"/>
  <c r="HT142" i="3" s="1"/>
  <c r="HS148" i="3"/>
  <c r="HT148" i="3" s="1"/>
  <c r="HW44" i="3"/>
  <c r="HS144" i="3"/>
  <c r="HT144" i="3" s="1"/>
  <c r="HW144" i="3"/>
  <c r="HW142" i="3"/>
  <c r="HW148" i="3"/>
  <c r="HW146" i="3"/>
  <c r="HR44" i="3"/>
  <c r="HW48" i="3"/>
  <c r="HR48" i="3"/>
  <c r="HS48" i="3"/>
  <c r="HT48" i="3" s="1"/>
  <c r="HW36" i="3"/>
  <c r="HR36" i="3"/>
  <c r="HW46" i="3"/>
  <c r="HS46" i="3"/>
  <c r="HT46" i="3" s="1"/>
  <c r="HR46" i="3"/>
  <c r="HS42" i="3"/>
  <c r="HT42" i="3" s="1"/>
  <c r="HR42" i="3"/>
  <c r="HS40" i="3"/>
  <c r="HT40" i="3" s="1"/>
  <c r="HW40" i="3"/>
  <c r="HS38" i="3"/>
  <c r="HT38" i="3" s="1"/>
  <c r="HW38" i="3"/>
  <c r="HR38" i="3"/>
  <c r="HQ34" i="3"/>
  <c r="HS34" i="3" s="1"/>
  <c r="HT34" i="3" s="1"/>
  <c r="HR56" i="3"/>
  <c r="Q96" i="6"/>
  <c r="S96" i="6" s="1"/>
  <c r="M22" i="6"/>
  <c r="M24" i="6" s="1"/>
  <c r="NT154" i="3"/>
  <c r="HW68" i="3"/>
  <c r="HW56" i="3"/>
  <c r="HS68" i="3"/>
  <c r="HT68" i="3" s="1"/>
  <c r="HR58" i="3"/>
  <c r="HW58" i="3"/>
  <c r="HR62" i="3"/>
  <c r="HW150" i="3"/>
  <c r="HR150" i="3"/>
  <c r="HS150" i="3"/>
  <c r="HT150" i="3" s="1"/>
  <c r="HR64" i="3"/>
  <c r="HW64" i="3"/>
  <c r="HS64" i="3"/>
  <c r="HT64" i="3" s="1"/>
  <c r="HR60" i="3"/>
  <c r="HS60" i="3"/>
  <c r="HT60" i="3" s="1"/>
  <c r="HW60" i="3"/>
  <c r="HS66" i="3"/>
  <c r="HT66" i="3" s="1"/>
  <c r="HW66" i="3"/>
  <c r="HR66" i="3"/>
  <c r="HS70" i="3"/>
  <c r="HT70" i="3" s="1"/>
  <c r="HW70" i="3"/>
  <c r="HR70" i="3"/>
  <c r="I24" i="6"/>
  <c r="K22" i="6"/>
  <c r="AD14" i="12" l="1"/>
  <c r="AE14" i="12" s="1"/>
  <c r="IG36" i="11"/>
  <c r="ID102" i="11"/>
  <c r="H118" i="12" s="1"/>
  <c r="IG22" i="11"/>
  <c r="AD18" i="12"/>
  <c r="AE18" i="12" s="1"/>
  <c r="IG34" i="11"/>
  <c r="AD28" i="12"/>
  <c r="AE28" i="12" s="1"/>
  <c r="IG32" i="11"/>
  <c r="AD26" i="12"/>
  <c r="AE26" i="12" s="1"/>
  <c r="IG30" i="11"/>
  <c r="AD24" i="12"/>
  <c r="AE24" i="12" s="1"/>
  <c r="IG28" i="11"/>
  <c r="AD22" i="12"/>
  <c r="AE22" i="12" s="1"/>
  <c r="IG26" i="11"/>
  <c r="AD20" i="12"/>
  <c r="AE20" i="12" s="1"/>
  <c r="IG18" i="11"/>
  <c r="AE12" i="12"/>
  <c r="NU154" i="3"/>
  <c r="Q122" i="6" s="1"/>
  <c r="S122" i="6" s="1"/>
  <c r="HR156" i="3"/>
  <c r="HW156" i="3" s="1"/>
  <c r="M321" i="6" s="1"/>
  <c r="HT156" i="3"/>
  <c r="M311" i="6" s="1"/>
  <c r="HR34" i="3"/>
  <c r="HR74" i="3" s="1"/>
  <c r="HW74" i="3" s="1"/>
  <c r="HW34" i="3"/>
  <c r="O22" i="6"/>
  <c r="Q22" i="6"/>
  <c r="S22" i="6" s="1"/>
  <c r="HT74" i="3"/>
  <c r="M29" i="6"/>
  <c r="O24" i="6"/>
  <c r="Q24" i="6"/>
  <c r="S24" i="6" s="1"/>
  <c r="K24" i="6"/>
  <c r="I29" i="6"/>
  <c r="IG102" i="11" l="1"/>
  <c r="H119" i="12" s="1"/>
  <c r="M317" i="6"/>
  <c r="M307" i="6"/>
  <c r="M323" i="6"/>
  <c r="I323" i="6"/>
  <c r="I311" i="6"/>
  <c r="Q311" i="6" s="1"/>
  <c r="I321" i="6"/>
  <c r="I307" i="6"/>
  <c r="I317" i="6"/>
  <c r="O29" i="6"/>
  <c r="M288" i="6"/>
  <c r="O288" i="6" s="1"/>
  <c r="M33" i="6"/>
  <c r="Q29" i="6"/>
  <c r="I288" i="6"/>
  <c r="K288" i="6" s="1"/>
  <c r="I33" i="6"/>
  <c r="I38" i="6" s="1"/>
  <c r="K38" i="6" s="1"/>
  <c r="K29" i="6"/>
  <c r="K194" i="1"/>
  <c r="K196" i="1" s="1"/>
  <c r="O33" i="6" l="1"/>
  <c r="M38" i="6"/>
  <c r="K33" i="6"/>
  <c r="Q33" i="6"/>
  <c r="S33" i="6" s="1"/>
  <c r="Q288" i="6"/>
  <c r="S29" i="6"/>
  <c r="O38" i="6" l="1"/>
  <c r="Q38" i="6"/>
  <c r="S38" i="6" s="1"/>
  <c r="S288" i="6"/>
  <c r="Q296" i="6"/>
  <c r="P313" i="6" l="1"/>
  <c r="S296" i="6"/>
</calcChain>
</file>

<file path=xl/comments1.xml><?xml version="1.0" encoding="utf-8"?>
<comments xmlns="http://schemas.openxmlformats.org/spreadsheetml/2006/main">
  <authors>
    <author>Søren Kolind Hvid</author>
  </authors>
  <commentList>
    <comment ref="S5" authorId="0">
      <text>
        <r>
          <rPr>
            <sz val="8"/>
            <color indexed="81"/>
            <rFont val="Tahoma"/>
            <family val="2"/>
          </rPr>
          <t xml:space="preserve">Postnummer skal udfyldes for at beregne nitratudvaskningen.
Afstrømning beregnes ud fra postnummer, jordtype og afgrøde.
</t>
        </r>
      </text>
    </comment>
    <comment ref="K7" authorId="0">
      <text>
        <r>
          <rPr>
            <sz val="8"/>
            <color indexed="81"/>
            <rFont val="Tahoma"/>
            <family val="2"/>
          </rPr>
          <t xml:space="preserve">Mængden af husdyrgødning til udbringning på egen bedrift angives i "Husdyr".
I "Normer" kan du angive om næringsstofferne i husdyrgødningen skal værdisættes som handelsgødning eller ej.
</t>
        </r>
      </text>
    </comment>
    <comment ref="K9" authorId="0">
      <text>
        <r>
          <rPr>
            <sz val="8"/>
            <color indexed="81"/>
            <rFont val="Tahoma"/>
            <family val="2"/>
          </rPr>
          <t xml:space="preserve">Hvis bedriften har et efterafgrødekrav fra en miljøgodkendelse, så indtastes det her.
</t>
        </r>
      </text>
    </comment>
    <comment ref="E13" authorId="0">
      <text>
        <r>
          <rPr>
            <sz val="8"/>
            <color indexed="81"/>
            <rFont val="Tahoma"/>
            <family val="2"/>
          </rPr>
          <t>Indtast evt. et sigende navn på den beregning du vil udføre.</t>
        </r>
      </text>
    </comment>
    <comment ref="N13" authorId="0">
      <text>
        <r>
          <rPr>
            <sz val="8"/>
            <color indexed="81"/>
            <rFont val="Tahoma"/>
            <family val="2"/>
          </rPr>
          <t>Programmet kan beregne krav til efterafgrøder efter både 2010-regler og 2011-regler.
Hvis du vil beregne de økonomiske konsekvenser af 2011-reglerne for efterafgrøder, så vælg 2010-regler i scenarie A og 2011-regler i scenarie B.</t>
        </r>
      </text>
    </comment>
    <comment ref="K15" authorId="0">
      <text>
        <r>
          <rPr>
            <sz val="8"/>
            <color indexed="81"/>
            <rFont val="Tahoma"/>
            <family val="2"/>
          </rPr>
          <t xml:space="preserve">Efter 2011-reglerne for efterafgrøder er det muligt at erstatte pligtige efterafgrøder med reduktion i bedriftens kvælstofkvote.
Indtast det antal ha med pligtig efterafgrøde, der ønskes erstattet med reduceret kvælstofkvote.
</t>
        </r>
      </text>
    </comment>
    <comment ref="Q15" authorId="0">
      <text>
        <r>
          <rPr>
            <sz val="8"/>
            <color indexed="81"/>
            <rFont val="Tahoma"/>
            <family val="2"/>
          </rPr>
          <t>Hvis du vælger tilpas automatisk bliver N-niveauet automatisk korrigeret i alle afgrøder
Hvis du vælger Tilpas manuelt skal du selv reducere kvælstoftilførslen. Du kan da selv vælge hvilke afgrøder reduktionen skal ske i.
Udbyttet i afgrøderne bliver automatisk korrigeret for ændringer i N-tilførsel.</t>
        </r>
      </text>
    </comment>
    <comment ref="K17" authorId="0">
      <text>
        <r>
          <rPr>
            <sz val="8"/>
            <color indexed="81"/>
            <rFont val="Tahoma"/>
            <family val="2"/>
          </rPr>
          <t xml:space="preserve">Efter 2011-reglerne for efterafgrøder kan man opnå en større kvælstofkvote ved at etablere friviillige ekstra efterafgrøder (ud over kravet til pligtige efterafgrøder).
Vær opmærksom på, at bedriftens kvælstofkvote ikke reduceres med nogen N-eftervirkning efter frivillige efterafgrøder (som det ellers er tilfældet for pligtige efterafgrøder). Man får altså både en større kvælstofkvote og slipper for at fratrække N-eftervirkningen.
</t>
        </r>
      </text>
    </comment>
    <comment ref="Q17" authorId="0">
      <text>
        <r>
          <rPr>
            <sz val="8"/>
            <color indexed="81"/>
            <rFont val="Tahoma"/>
            <family val="2"/>
          </rPr>
          <t>Hvis du vælger tilpas automatisk bliver N-niveauet automatisk korrigeret i alle afgrøder
Hvis du vælger Tilpas manuelt skal du selv øge kvælstoftilførslen. Du kan da selv vælge hvilke afgrøder, der skal have ekstra kvælstof.
Udbyttet i afgrøderne bliver automatisk korrigeret for ændringer i N-tilførsel.</t>
        </r>
      </text>
    </comment>
    <comment ref="K19" authorId="0">
      <text>
        <r>
          <rPr>
            <sz val="8"/>
            <color indexed="81"/>
            <rFont val="Tahoma"/>
            <family val="2"/>
          </rPr>
          <t>Du skal kun indtaste et ændret kvælstofkvoteniveau, hvis du ønsker at se effekten heraf på sædskiftekalkulen. N-tilførslen ændres med samme procentsats i alle afgrøder. 
Programmet beregner automatisk ændringer i udbytte og proteinindhold (dog ikke efterslæt).</t>
        </r>
      </text>
    </comment>
    <comment ref="K21" authorId="0">
      <text>
        <r>
          <rPr>
            <sz val="8"/>
            <color indexed="81"/>
            <rFont val="Tahoma"/>
            <family val="2"/>
          </rPr>
          <t xml:space="preserve">Efter 2011-reglerne for efterafgrøder er det muligt at overføre efterafgrøder til en anden bedrift. Indtast det antal hektar med efterafgrøder, der skal overføres.
</t>
        </r>
      </text>
    </comment>
    <comment ref="K23" authorId="0">
      <text>
        <r>
          <rPr>
            <sz val="8"/>
            <color indexed="81"/>
            <rFont val="Tahoma"/>
            <family val="2"/>
          </rPr>
          <t xml:space="preserve">Indtast det ekstra efterafgrødekrav, som bedriften vil få på grund af de målrettede tiltag i vandplanerne.
Dette efterafgrødekrav varierer fra vandopland til vandopland og forventes tidligst at træde i kraft fra og med 2013.
</t>
        </r>
      </text>
    </comment>
    <comment ref="K25" authorId="0">
      <text>
        <r>
          <rPr>
            <sz val="8"/>
            <color indexed="81"/>
            <rFont val="Tahoma"/>
            <family val="2"/>
          </rPr>
          <t>Indtast længden af den vandløbsstrækning på bedriften, hvor der bliver krav om 10 m randzone. 
Hvis man f.eks. Dyrker 500 m på begge sider af et vandløb, skal man indtaste 1.000 m vandløbsstrækning.</t>
        </r>
      </text>
    </comment>
    <comment ref="T25" authorId="0">
      <text>
        <r>
          <rPr>
            <sz val="8"/>
            <color indexed="81"/>
            <rFont val="Tahoma"/>
            <family val="2"/>
          </rPr>
          <t>Der er regnet med 8 m ekstra randzone pr. m vandløbsstrækning.
Hvis det beregnede randzoneareal udgør over 3% af det dyrkede areal reduceres randzonekravet til 3% af det dyrkede areal.</t>
        </r>
      </text>
    </comment>
    <comment ref="M30" authorId="0">
      <text>
        <r>
          <rPr>
            <sz val="8"/>
            <color indexed="81"/>
            <rFont val="Tahoma"/>
            <family val="2"/>
          </rPr>
          <t>Indtast det samlede areal, der indgår i sædskiftet.
Når man har indtastet det rigtige arealforhold mellem afgrøderne i sædskiftet, kan  sædskiftets arealer skaleres op og ned ved blot at taste i dette felt.</t>
        </r>
      </text>
    </comment>
    <comment ref="S30" authorId="0">
      <text>
        <r>
          <rPr>
            <sz val="8"/>
            <color indexed="81"/>
            <rFont val="Tahoma"/>
            <family val="2"/>
          </rPr>
          <t xml:space="preserve">Retentionen er den nitratreduktion, der sker mellem rodzonen og det marine vandmiljø (fjorde mv.) 
Jo større retention jo mindre af det udvaskede kvælstof når frem til vandmiljøet.
</t>
        </r>
      </text>
    </comment>
    <comment ref="C32" authorId="0">
      <text>
        <r>
          <rPr>
            <sz val="8"/>
            <color indexed="81"/>
            <rFont val="Tahoma"/>
            <family val="2"/>
          </rPr>
          <t>Forfrugt skal indtastes for at kunne beregne kvælstofkvoten og nitratudvaskningen korrekt.
Ved rene økonomiberegninger er det kun nødvendigt at indtaste forfrugter med forfrugtsværdi.</t>
        </r>
      </text>
    </comment>
    <comment ref="G32" authorId="0">
      <text>
        <r>
          <rPr>
            <sz val="8"/>
            <color indexed="81"/>
            <rFont val="Tahoma"/>
            <family val="2"/>
          </rPr>
          <t>Efterafgrøde efter forfrugt skal indtastes for at kunne indregne N-eftervirkningen i afgrødens kvælstofkvote
Hvis man sætter flueben i feltet "Frivillig", så fratrækkes den normale N-eftervirkningen efter pligtige efterafgrøder ikke fra afgrødens kvælstofkvote.
Arealet med efterafgrøder efter forfrugten skal være det samme som efter afgrøden.</t>
        </r>
      </text>
    </comment>
    <comment ref="K32" authorId="0">
      <text>
        <r>
          <rPr>
            <sz val="8"/>
            <color indexed="81"/>
            <rFont val="Tahoma"/>
            <family val="2"/>
          </rPr>
          <t xml:space="preserve">Hvis du sætter flueben i "Frivillig", så fratrækkes den normale N-eftervirkning efter pligtige efterafgrøder ikke i afgrødens kvælstofkvote.
</t>
        </r>
      </text>
    </comment>
    <comment ref="M32" authorId="0">
      <text>
        <r>
          <rPr>
            <sz val="8"/>
            <color indexed="81"/>
            <rFont val="Tahoma"/>
            <family val="2"/>
          </rPr>
          <t xml:space="preserve">Vælg afgrøde.
Afgrødesammensætningen i kolonnerne "Fofrugt"; "Afgrøde" og "Næste års afgrøde" skal være ens for at kunne beregne kvælstofudvaskning  mv. korrekt for hele sædskiftet.
</t>
        </r>
      </text>
    </comment>
    <comment ref="Q32" authorId="0">
      <text>
        <r>
          <rPr>
            <sz val="8"/>
            <color indexed="81"/>
            <rFont val="Tahoma"/>
            <family val="2"/>
          </rPr>
          <t xml:space="preserve">Vælg efterafgrøder E eller mellemafgrøder M.
Arealet med efterafgrøder  skal være det samme som arealet med efterafgrøder efter forfrugten.
</t>
        </r>
      </text>
    </comment>
    <comment ref="U32" authorId="0">
      <text>
        <r>
          <rPr>
            <sz val="8"/>
            <color indexed="81"/>
            <rFont val="Tahoma"/>
            <family val="2"/>
          </rPr>
          <t>Næste års afgrøde skal være angivet for at beregne nitratudvaskningen korrekt.
Programmet tjekker også, om efterafgrøden eller mellemafgrøden er mulig eller "gyldig" i forhold til næste års afgrøde. 
Hvis du f.eks. vælger en vintersædafgrøde efter en efterafgrøde, så regnes efterafgrøden som ugyldig og tælles ikke med i efterafgrødearealet.</t>
        </r>
      </text>
    </comment>
    <comment ref="BW32" authorId="0">
      <text>
        <r>
          <rPr>
            <sz val="8"/>
            <color indexed="81"/>
            <rFont val="Tahoma"/>
            <family val="2"/>
          </rPr>
          <t xml:space="preserve">N-optimum af afgrødens økonomisk optimale kvælstoftilførsel.
N-optimum har betydning af udbyttekorrektionen ved ændret N-tilførsel.
Normalt skal du </t>
        </r>
        <r>
          <rPr>
            <b/>
            <sz val="8"/>
            <color indexed="81"/>
            <rFont val="Tahoma"/>
            <family val="2"/>
          </rPr>
          <t>ikke</t>
        </r>
        <r>
          <rPr>
            <sz val="8"/>
            <color indexed="81"/>
            <rFont val="Tahoma"/>
            <family val="2"/>
          </rPr>
          <t xml:space="preserve"> korrigere N-optimum.
</t>
        </r>
      </text>
    </comment>
    <comment ref="CC32" authorId="0">
      <text>
        <r>
          <rPr>
            <sz val="8"/>
            <color indexed="81"/>
            <rFont val="Tahoma"/>
            <family val="2"/>
          </rPr>
          <t xml:space="preserve">Afgrødens kvælstofnorm korrigeret for forfrugt og N-eftervirkning efter pligtige efterafgrøder (korrigeres ikke for N-eftervirkningen efter frivillige efterafgrøder)
</t>
        </r>
      </text>
    </comment>
    <comment ref="CF32" authorId="0">
      <text>
        <r>
          <rPr>
            <sz val="8"/>
            <color indexed="81"/>
            <rFont val="Tahoma"/>
            <family val="2"/>
          </rPr>
          <t>N-norm korrigeret til kvælstofkvoteniveau (beregnet for sædskiftet i række 19).
Du kan vælge at indtaste kvælsoftilførslen til afgrøden. Det er aktuelt, hvis du vil omfordele kvælstof mellem afgrøderne eller hvis du manuelt vil justere bedriftens kvælstofkvote.</t>
        </r>
      </text>
    </comment>
    <comment ref="CI32" authorId="0">
      <text>
        <r>
          <rPr>
            <sz val="8"/>
            <color indexed="81"/>
            <rFont val="Tahoma"/>
            <family val="2"/>
          </rPr>
          <t xml:space="preserve">Du kan vælge at indtaste kvælsoftilførslen til afgrøden. Det er aktuelt, hvis du vil omfordele kvælstof mellem afgrøderne eller hvis du manuelt vil justere bedriftens kvælstofkvote.
</t>
        </r>
      </text>
    </comment>
    <comment ref="CL32" authorId="0">
      <text>
        <r>
          <rPr>
            <sz val="8"/>
            <color indexed="81"/>
            <rFont val="Tahoma"/>
            <family val="2"/>
          </rPr>
          <t xml:space="preserve">Husdyrgødning fordeles automatisk ud fra fordelingsnøgle (afgrødernes N-norm).
Hvis du regulerer mængden af husdyrgødning i en afgrøde, så ændres tilførslen til de øvrige afgrøder i sædskiftet automatisk, så den samlede mængde husdyrgødning, der er til rådighed anvendes.
Dog overskrides grænserne for anvendelse af husdyrgødning i sædskiftet aldrig (1.4 DE for svinegylle og 2,3 DE for kvæggylle).
</t>
        </r>
      </text>
    </comment>
    <comment ref="CU32" authorId="0">
      <text>
        <r>
          <rPr>
            <sz val="8"/>
            <color indexed="81"/>
            <rFont val="Tahoma"/>
            <family val="2"/>
          </rPr>
          <t xml:space="preserve">N i husdyrgødning korrigeret for kravet til N-udnyttelse.
</t>
        </r>
      </text>
    </comment>
    <comment ref="M52" authorId="0">
      <text>
        <r>
          <rPr>
            <sz val="8"/>
            <color indexed="81"/>
            <rFont val="Tahoma"/>
            <family val="2"/>
          </rPr>
          <t>Indtast det samlede areal, der indgår i sædskiftet.
Når man har indtastet det rigtige arealforhold mellem afgrøderne i sædskiftet, kan  sædskiftets arealer skaleres op og ned ved blot at taste i dette felt.</t>
        </r>
      </text>
    </comment>
    <comment ref="S52" authorId="0">
      <text>
        <r>
          <rPr>
            <sz val="8"/>
            <color indexed="81"/>
            <rFont val="Tahoma"/>
            <family val="2"/>
          </rPr>
          <t xml:space="preserve">Retentionen er den nitratreduktion, der sker mellem rodzonen og det marine vandmiljø (fjorde mv.) 
Jo større retention jo mindre af det udvaskede kvælstof når frem til vandmiljøet.
</t>
        </r>
      </text>
    </comment>
    <comment ref="C54" authorId="0">
      <text>
        <r>
          <rPr>
            <sz val="8"/>
            <color indexed="81"/>
            <rFont val="Tahoma"/>
            <family val="2"/>
          </rPr>
          <t xml:space="preserve">Forfrugt skal indtastes for at kunne beregne kvælstofkvoten og nitratudvaskningen korrekt.
</t>
        </r>
      </text>
    </comment>
    <comment ref="G54" authorId="0">
      <text>
        <r>
          <rPr>
            <sz val="8"/>
            <color indexed="81"/>
            <rFont val="Tahoma"/>
            <family val="2"/>
          </rPr>
          <t>Efterafgrøde efter forfrugt skal indtastes for at kunne indregne N-eftervirkningen i afgrødens kvælstofkvote
Hvis man sætter flueben i feltet "Frivillig", så fratrækkes den normale N-eftervirkningen efter pligtige efterafgrøder ikke fra afgrødens kvælstofkvote.
Arealet med efterafgrøder efter forfrugten skal være det samme som efter afgrøden.</t>
        </r>
      </text>
    </comment>
    <comment ref="K54" authorId="0">
      <text>
        <r>
          <rPr>
            <sz val="8"/>
            <color indexed="81"/>
            <rFont val="Tahoma"/>
            <family val="2"/>
          </rPr>
          <t xml:space="preserve">Hvis du sætter flueben i "Frivillig", så fratrækkes den normale N-eftervirkning efter pligtige efterafgrøder ikke i afgrødens kvælstofkvote.
</t>
        </r>
      </text>
    </comment>
    <comment ref="M54" authorId="0">
      <text>
        <r>
          <rPr>
            <sz val="8"/>
            <color indexed="81"/>
            <rFont val="Tahoma"/>
            <family val="2"/>
          </rPr>
          <t xml:space="preserve">Vælg afgrøde.
Afgrødesammensætningen i kolonnen "Fofrugt"; "Afgrøde" og "Næste års afgrøde" skal være ens for at kunne beregne kvælstofkvote  mv. korrekt for hele sædskiftet.
</t>
        </r>
      </text>
    </comment>
    <comment ref="Q54" authorId="0">
      <text>
        <r>
          <rPr>
            <sz val="8"/>
            <color indexed="81"/>
            <rFont val="Tahoma"/>
            <family val="2"/>
          </rPr>
          <t xml:space="preserve">Vælg efterafgrøder E eller mellemafgrøder M.
Arealet med efterafgrøder  skal være det samme som arealet med efterafgrøder efter forfrugten.
</t>
        </r>
      </text>
    </comment>
    <comment ref="U54" authorId="0">
      <text>
        <r>
          <rPr>
            <sz val="8"/>
            <color indexed="81"/>
            <rFont val="Tahoma"/>
            <family val="2"/>
          </rPr>
          <t>Næste års afgrøde skal være angivet for at beregne nitratudvaskningen korrekt.
Programmet tjekker også, om efterafgrøden eller mellemafgrøden er mulig eller "gyldig" i forhold til næste års afgrøde. 
Hvis du f.eks. vælger en vintersædafgrøde efter en efterafgrøde, så regnes efterafgrøden som ugyldig og tælles ikke med i efterafgrødearealet.</t>
        </r>
      </text>
    </comment>
    <comment ref="BW54" authorId="0">
      <text>
        <r>
          <rPr>
            <sz val="8"/>
            <color indexed="81"/>
            <rFont val="Tahoma"/>
            <family val="2"/>
          </rPr>
          <t xml:space="preserve">N-optimum af afgrødens økonomisk optimale kvælstoftilførsel.
N-optimum har betydning af udbyttekorrektionen ved ændret N-tilførsel.
Normalt skal du </t>
        </r>
        <r>
          <rPr>
            <b/>
            <sz val="8"/>
            <color indexed="81"/>
            <rFont val="Tahoma"/>
            <family val="2"/>
          </rPr>
          <t>ikke</t>
        </r>
        <r>
          <rPr>
            <sz val="8"/>
            <color indexed="81"/>
            <rFont val="Tahoma"/>
            <family val="2"/>
          </rPr>
          <t xml:space="preserve"> korrigere N-optimum.
</t>
        </r>
      </text>
    </comment>
    <comment ref="CC54" authorId="0">
      <text>
        <r>
          <rPr>
            <sz val="8"/>
            <color indexed="81"/>
            <rFont val="Tahoma"/>
            <family val="2"/>
          </rPr>
          <t xml:space="preserve">Afgrødens kvælstofnorm korrigeret for forfrugt og N-eftervirkning efter pligtige efterafgrøder (korrigeres ikke for N-eftervirkningen efter frivillige efterafgrøder)
</t>
        </r>
      </text>
    </comment>
    <comment ref="CF54" authorId="0">
      <text>
        <r>
          <rPr>
            <sz val="8"/>
            <color indexed="81"/>
            <rFont val="Tahoma"/>
            <family val="2"/>
          </rPr>
          <t>N-norm korrigeret til kvælstofkvoteniveau (beregnet for sædskiftet i række 19).
Du kan vælge at indtaste kvælsoftilførslen til afgrøden. Det er aktuelt, hvis du vil omfordele kvælstof mellem afgrøderne eller hvis du manuelt vil justere bedriftens kvælstofkvote.</t>
        </r>
      </text>
    </comment>
    <comment ref="CI54" authorId="0">
      <text>
        <r>
          <rPr>
            <sz val="8"/>
            <color indexed="81"/>
            <rFont val="Tahoma"/>
            <family val="2"/>
          </rPr>
          <t xml:space="preserve">Du kan vælge at indtaste kvælsoftilførslen til afgrøden. Det er aktuelt, hvis du vil omfordele kvælstof mellem afgrøderne eller hvis du manuelt vil justere bedriftens kvælstofkvote.
</t>
        </r>
      </text>
    </comment>
    <comment ref="CL54" authorId="0">
      <text>
        <r>
          <rPr>
            <sz val="8"/>
            <color indexed="81"/>
            <rFont val="Tahoma"/>
            <family val="2"/>
          </rPr>
          <t xml:space="preserve">Husdyrgødning fordeles automatisk ud fra fordelingsnøgle (afgrødernes N-norm).
Hvis du regulerer mængden af husdyrgødning i en afgrøde, så ændres tilførslen til de øvrige afgrøder i sædskiftet automatisk, så den samlede mængde husdyrgødning, der er til rådighed anvendes.
Dog overskrides grænserne for anvendelse af husdyrgødning i sædskiftet aldrig (1.4 DE for svinegylle og 2,3 DE for kvæggylle).
</t>
        </r>
      </text>
    </comment>
    <comment ref="CU54" authorId="0">
      <text>
        <r>
          <rPr>
            <sz val="8"/>
            <color indexed="81"/>
            <rFont val="Tahoma"/>
            <family val="2"/>
          </rPr>
          <t xml:space="preserve">N i husdyrgødning korrigeret for kravet til N-udnyttelse.
</t>
        </r>
      </text>
    </comment>
    <comment ref="E95" authorId="0">
      <text>
        <r>
          <rPr>
            <sz val="8"/>
            <color indexed="81"/>
            <rFont val="Tahoma"/>
            <family val="2"/>
          </rPr>
          <t>Indtast evt. et sigende navn på den beregning du vil udføre.</t>
        </r>
      </text>
    </comment>
    <comment ref="N95" authorId="0">
      <text>
        <r>
          <rPr>
            <sz val="8"/>
            <color indexed="81"/>
            <rFont val="Tahoma"/>
            <family val="2"/>
          </rPr>
          <t>Programmet kan beregne krav til efterafgrøder efter både 2010-regler og 2011-regler.
Hvis du vil beregne de økonomiske konsekvenser af 2011-reglerne for efterafgrøder, så vælg 2010-regler i scenarie A og 2011-regler i scenarie B.</t>
        </r>
      </text>
    </comment>
    <comment ref="K97" authorId="0">
      <text>
        <r>
          <rPr>
            <sz val="8"/>
            <color indexed="81"/>
            <rFont val="Tahoma"/>
            <family val="2"/>
          </rPr>
          <t xml:space="preserve">Efter 2011-reglerne for efterafgrøder er det muligt at erstatte pligtige efterafgrøder med reduktion i bedriftens kvælstofkvote.
Indtast det antal ha med pligtig efterafgrøde, der ønskes erstattet med reduceret kvælstofkvote.
</t>
        </r>
      </text>
    </comment>
    <comment ref="Q97" authorId="0">
      <text>
        <r>
          <rPr>
            <sz val="8"/>
            <color indexed="81"/>
            <rFont val="Tahoma"/>
            <family val="2"/>
          </rPr>
          <t>Hvis du vælger tilpas automatisk bliver N-niveauet automatisk korrigeret i alle afgrøder
Hvis du vælger Tilpas manuelt skal du selv reducere kvælstoftilførslen. Du kan da selv vælge hvilke afgrøder reduktionen skal ske i.
Udbyttet i afgrøderne bliver automatisk korrigeret for ændringer i N-tilførsel.</t>
        </r>
      </text>
    </comment>
    <comment ref="K99" authorId="0">
      <text>
        <r>
          <rPr>
            <sz val="8"/>
            <color indexed="81"/>
            <rFont val="Tahoma"/>
            <family val="2"/>
          </rPr>
          <t xml:space="preserve">Efter 2011-reglerne for efterafgrøder kan man opnå en større kvælstofkvote ved at etablere friviillige ekstra efterafgrøder (ud over kravet til pligtige efterafgrøder).
Vær opmærksom på, at bedriftens kvælstofkvote ikke reduceres med nogen N-eftervirkning efter frivillige efterafgrøder (som det ellers er tilfældet for pligtige efterafgrøder). Man får altså både en større kvælstofkvote og slipper for at fratrække N-eftervirkningen.
</t>
        </r>
      </text>
    </comment>
    <comment ref="Q99" authorId="0">
      <text>
        <r>
          <rPr>
            <sz val="8"/>
            <color indexed="81"/>
            <rFont val="Tahoma"/>
            <family val="2"/>
          </rPr>
          <t>Hvis du vælger tilpas automatisk bliver N-niveauet automatisk korrigeret i alle afgrøder
Hvis du vælger Tilpas manuelt skal du selv øge kvælstoftilførslen. Du kan da selv vælge hvilke afgrøder, der skal have ekstra kvælstof.
Udbyttet i afgrøderne bliver automatisk korrigeret for ændringer i N-tilførsel.</t>
        </r>
      </text>
    </comment>
    <comment ref="K101" authorId="0">
      <text>
        <r>
          <rPr>
            <sz val="8"/>
            <color indexed="81"/>
            <rFont val="Tahoma"/>
            <family val="2"/>
          </rPr>
          <t>Du skal kun indtaste et ændret kvælstofkvoteniveau, hvis du ønsker at se effekten heraf på sædskiftekalkulen. N-tilførslen ændres med samme procentsats i alle afgrøder. 
Programmet beregner automatisk ændringer i udbytte og proteinindhold (dog ikke efterslæt).</t>
        </r>
      </text>
    </comment>
    <comment ref="K103" authorId="0">
      <text>
        <r>
          <rPr>
            <sz val="8"/>
            <color indexed="81"/>
            <rFont val="Tahoma"/>
            <family val="2"/>
          </rPr>
          <t xml:space="preserve">Efter 2011-reglerne for efterafgrøder er det muligt at overføre efterafgrøder til en anden bedrift. Indtast det antal hektar med efterafgrøder, der skal overføres.
</t>
        </r>
      </text>
    </comment>
    <comment ref="K105" authorId="0">
      <text>
        <r>
          <rPr>
            <sz val="8"/>
            <color indexed="81"/>
            <rFont val="Tahoma"/>
            <family val="2"/>
          </rPr>
          <t xml:space="preserve">Indtast det ekstra efterafgrødekrav, som bedriften vil få på grund af de målrettede tiltag i vandplanerne.
Dette efterafgrødekrav varierer fra vandopland til vandopland og forventes tidligst at træde i kraft fra og med 2013.
</t>
        </r>
      </text>
    </comment>
    <comment ref="K107" authorId="0">
      <text>
        <r>
          <rPr>
            <sz val="8"/>
            <color indexed="81"/>
            <rFont val="Tahoma"/>
            <family val="2"/>
          </rPr>
          <t>Indtast længden af den vandløbsstrækning på bedriften, hvor der bliver krav om 10 m randzone. 
Hvis man f.eks. Dyrker 500 m på begge sider af et vandløb, skal man indtaste 1.000 m vandløbsstrækning.</t>
        </r>
      </text>
    </comment>
    <comment ref="T107" authorId="0">
      <text>
        <r>
          <rPr>
            <sz val="8"/>
            <color indexed="81"/>
            <rFont val="Tahoma"/>
            <family val="2"/>
          </rPr>
          <t>Der er regnet med 8 m ekstra randzone pr. m vandløbsstrækning.
Hvis det beregnede randzoneareal udgør over 3% af det dyrkede areal reduceres randzonekravet til 3% af det dyrkede areal.</t>
        </r>
      </text>
    </comment>
    <comment ref="M112" authorId="0">
      <text>
        <r>
          <rPr>
            <sz val="8"/>
            <color indexed="81"/>
            <rFont val="Tahoma"/>
            <family val="2"/>
          </rPr>
          <t>Indtast det samlede areal, der indgår i sædskiftet.
Når man har indtastet det rigtige arealforhold mellem afgrøderne i sædskiftet, kan  sædskiftets arealer skaleres op og ned ved blot at taste i dette felt.</t>
        </r>
      </text>
    </comment>
    <comment ref="S112" authorId="0">
      <text>
        <r>
          <rPr>
            <sz val="8"/>
            <color indexed="81"/>
            <rFont val="Tahoma"/>
            <family val="2"/>
          </rPr>
          <t xml:space="preserve">Retentionen er den nitratreduktion, der sker mellem rodzonen og det marine vandmiljø (fjorde mv.) 
Jo større retention jo mindre af det udvaskede kvælstof når frem til vandmiljøet.
</t>
        </r>
      </text>
    </comment>
    <comment ref="C114" authorId="0">
      <text>
        <r>
          <rPr>
            <sz val="8"/>
            <color indexed="81"/>
            <rFont val="Tahoma"/>
            <family val="2"/>
          </rPr>
          <t xml:space="preserve">Forfrugt skal indtastes for at kunne beregne kvælstofkvoten og nitratudvaskningen korrekt.
</t>
        </r>
      </text>
    </comment>
    <comment ref="G114" authorId="0">
      <text>
        <r>
          <rPr>
            <sz val="8"/>
            <color indexed="81"/>
            <rFont val="Tahoma"/>
            <family val="2"/>
          </rPr>
          <t>Efterafgrøde efter forfrugt skal indtastes for at kunne indregne N-eftervirkningen i afgrødens kvælstofkvote
Hvis man sætter flueben i feltet "Frivillig", så fratrækkes den normale N-eftervirkningen efter pligtige efterafgrøder ikke fra afgrødens kvælstofkvote.
Arealet med efterafgrøder efter forfrugten skal være det samme som efter afgrøden.</t>
        </r>
      </text>
    </comment>
    <comment ref="K114" authorId="0">
      <text>
        <r>
          <rPr>
            <sz val="8"/>
            <color indexed="81"/>
            <rFont val="Tahoma"/>
            <family val="2"/>
          </rPr>
          <t xml:space="preserve">Hvis du sætter flueben i "Frivillig", så fratrækkes den normale N-eftervirkning efter pligtige efterafgrøder ikke i afgrødens kvælstofkvote.
</t>
        </r>
      </text>
    </comment>
    <comment ref="M114" authorId="0">
      <text>
        <r>
          <rPr>
            <sz val="8"/>
            <color indexed="81"/>
            <rFont val="Tahoma"/>
            <family val="2"/>
          </rPr>
          <t xml:space="preserve">Vælg afgrøde.
Afgrødesammensætningen i kolonnen "Fofrugt"; "Afgrøde" og "Næste års afgrøde" skal være ens for at kunne beregne kvælstofkvote  mv. korrekt for hele sædskiftet.
</t>
        </r>
      </text>
    </comment>
    <comment ref="Q114" authorId="0">
      <text>
        <r>
          <rPr>
            <sz val="8"/>
            <color indexed="81"/>
            <rFont val="Tahoma"/>
            <family val="2"/>
          </rPr>
          <t xml:space="preserve">Vælg efterafgrøder E eller mellemafgrøder M.
Arealet med efterafgrøder  skal være det samme som arealet med efterafgrøder efter forfrugten.
</t>
        </r>
      </text>
    </comment>
    <comment ref="U114" authorId="0">
      <text>
        <r>
          <rPr>
            <sz val="8"/>
            <color indexed="81"/>
            <rFont val="Tahoma"/>
            <family val="2"/>
          </rPr>
          <t>Næste års afgrøde skal være angivet for at beregne nitratudvaskningen korrekt.
Programmet tjekker også, om efterafgrøden eller mellemafgrøden er mulig eller "gyldig" i forhold til næste års afgrøde. 
Hvis du f.eks. vælger en vintersædafgrøde efter en efterafgrøde, så regnes efterafgrøden som ugyldig og tælles ikke med i efterafgrødearealet.</t>
        </r>
      </text>
    </comment>
    <comment ref="BW114" authorId="0">
      <text>
        <r>
          <rPr>
            <sz val="8"/>
            <color indexed="81"/>
            <rFont val="Tahoma"/>
            <family val="2"/>
          </rPr>
          <t xml:space="preserve">N-optimum af afgrødens økonomisk optimale kvælstoftilførsel.
N-optimum har betydning af udbyttekorrektionen ved ændret N-tilførsel.
Normalt skal du </t>
        </r>
        <r>
          <rPr>
            <b/>
            <sz val="8"/>
            <color indexed="81"/>
            <rFont val="Tahoma"/>
            <family val="2"/>
          </rPr>
          <t>ikke</t>
        </r>
        <r>
          <rPr>
            <sz val="8"/>
            <color indexed="81"/>
            <rFont val="Tahoma"/>
            <family val="2"/>
          </rPr>
          <t xml:space="preserve"> korrigere N-optimum.
</t>
        </r>
      </text>
    </comment>
    <comment ref="CC114" authorId="0">
      <text>
        <r>
          <rPr>
            <sz val="8"/>
            <color indexed="81"/>
            <rFont val="Tahoma"/>
            <family val="2"/>
          </rPr>
          <t xml:space="preserve">Afgrødens kvælstofnorm korrigeret for forfrugt og N-eftervirkning efter pligtige efterafgrøder (korrigeres ikke for N-eftervirkningen efter frivillige efterafgrøder)
</t>
        </r>
      </text>
    </comment>
    <comment ref="CF114" authorId="0">
      <text>
        <r>
          <rPr>
            <sz val="8"/>
            <color indexed="81"/>
            <rFont val="Tahoma"/>
            <family val="2"/>
          </rPr>
          <t>N-norm korrigeret til kvælstofkvoteniveau (beregnet for sædskiftet i række 19).
Du kan vælge at indtaste kvælsoftilførslen til afgrøden. Det er aktuelt, hvis du vil omfordele kvælstof mellem afgrøderne eller hvis du manuelt vil justere bedriftens kvælstofkvote.</t>
        </r>
      </text>
    </comment>
    <comment ref="CI114" authorId="0">
      <text>
        <r>
          <rPr>
            <sz val="8"/>
            <color indexed="81"/>
            <rFont val="Tahoma"/>
            <family val="2"/>
          </rPr>
          <t xml:space="preserve">Du kan vælge at indtaste kvælsoftilførslen til afgrøden. Det er aktuelt, hvis du vil omfordele kvælstof mellem afgrøderne eller hvis du manuelt vil justere bedriftens kvælstofkvote.
</t>
        </r>
      </text>
    </comment>
    <comment ref="CL114" authorId="0">
      <text>
        <r>
          <rPr>
            <sz val="8"/>
            <color indexed="81"/>
            <rFont val="Tahoma"/>
            <family val="2"/>
          </rPr>
          <t xml:space="preserve">Husdyrgødning fordeles automatisk ud fra fordelingsnøgle (afgrødernes N-norm).
Hvis du regulerer mængden af husdyrgødning i en afgrøde, så ændres tilførslen til de øvrige afgrøder i sædskiftet automatisk, så den samlede mængde husdyrgødning, der er til rådighed anvendes.
Dog overskrides grænserne for anvendelse af husdyrgødning i sædskiftet aldrig (1.4 DE for svinegylle og 2,3 DE for kvæggylle).
</t>
        </r>
      </text>
    </comment>
    <comment ref="CU114" authorId="0">
      <text>
        <r>
          <rPr>
            <sz val="8"/>
            <color indexed="81"/>
            <rFont val="Tahoma"/>
            <family val="2"/>
          </rPr>
          <t xml:space="preserve">N i husdyrgødning korrigeret for kravet til N-udnyttelse.
</t>
        </r>
      </text>
    </comment>
    <comment ref="M134" authorId="0">
      <text>
        <r>
          <rPr>
            <sz val="8"/>
            <color indexed="81"/>
            <rFont val="Tahoma"/>
            <family val="2"/>
          </rPr>
          <t>Indtast det samlede areal, der indgår i sædskiftet.
Når man har indtastet det rigtige arealforhold mellem afgrøderne i sædskiftet, kan  sædskiftets arealer skaleres op og ned ved blot at taste i dette felt.</t>
        </r>
      </text>
    </comment>
    <comment ref="S134" authorId="0">
      <text>
        <r>
          <rPr>
            <sz val="8"/>
            <color indexed="81"/>
            <rFont val="Tahoma"/>
            <family val="2"/>
          </rPr>
          <t xml:space="preserve">Retentionen er den nitratreduktion, der sker mellem rodzonen og det marine vandmiljø (fjorde mv.) 
Jo større retention jo mindre af det udvaskede kvælstof når frem til vandmiljøet.
</t>
        </r>
      </text>
    </comment>
    <comment ref="C136" authorId="0">
      <text>
        <r>
          <rPr>
            <sz val="8"/>
            <color indexed="81"/>
            <rFont val="Tahoma"/>
            <family val="2"/>
          </rPr>
          <t xml:space="preserve">Forfrugt skal indtastes for at kunne beregne kvælstofkvoten og nitratudvaskningen korrekt.
</t>
        </r>
      </text>
    </comment>
    <comment ref="G136" authorId="0">
      <text>
        <r>
          <rPr>
            <sz val="8"/>
            <color indexed="81"/>
            <rFont val="Tahoma"/>
            <family val="2"/>
          </rPr>
          <t>Efterafgrøde efter forfrugt skal indtastes for at kunne indregne N-eftervirkningen i afgrødens kvælstofkvote
Hvis man sætter flueben i feltet "Frivillig", så fratrækkes den normale N-eftervirkningen efter pligtige efterafgrøder ikke fra afgrødens kvælstofkvote.
Arealet med efterafgrøder efter forfrugten skal være det samme som efter afgrøden.</t>
        </r>
      </text>
    </comment>
    <comment ref="K136" authorId="0">
      <text>
        <r>
          <rPr>
            <sz val="8"/>
            <color indexed="81"/>
            <rFont val="Tahoma"/>
            <family val="2"/>
          </rPr>
          <t xml:space="preserve">Hvis du sætter flueben i "Frivillig", så fratrækkes den normale N-eftervirkning efter pligtige efterafgrøder ikke i afgrødens kvælstofkvote.
</t>
        </r>
      </text>
    </comment>
    <comment ref="M136" authorId="0">
      <text>
        <r>
          <rPr>
            <sz val="8"/>
            <color indexed="81"/>
            <rFont val="Tahoma"/>
            <family val="2"/>
          </rPr>
          <t xml:space="preserve">Vælg afgrøde.
Afgrødesammensætningen i kolonnen "Fofrugt"; "Afgrøde" og "Næste års afgrøde" skal være ens for at kunne beregne kvælstofkvote  mv. korrekt for hele sædskiftet.
</t>
        </r>
      </text>
    </comment>
    <comment ref="Q136" authorId="0">
      <text>
        <r>
          <rPr>
            <sz val="8"/>
            <color indexed="81"/>
            <rFont val="Tahoma"/>
            <family val="2"/>
          </rPr>
          <t xml:space="preserve">Vælg efterafgrøder E eller mellemafgrøder M.
Arealet med efterafgrøder  skal være det samme som arealet med efterafgrøder efter forfrugten.
</t>
        </r>
      </text>
    </comment>
    <comment ref="U136" authorId="0">
      <text>
        <r>
          <rPr>
            <sz val="8"/>
            <color indexed="81"/>
            <rFont val="Tahoma"/>
            <family val="2"/>
          </rPr>
          <t>Næste års afgrøde skal være angivet for at beregne nitratudvaskningen korrekt.
Programmet tjekker også, om efterafgrøden eller mellemafgrøden er mulig eller "gyldig" i forhold til næste års afgrøde. 
Hvis du f.eks. vælger en vintersædafgrøde efter en efterafgrøde, så regnes efterafgrøden som ugyldig og tælles ikke med i efterafgrødearealet.</t>
        </r>
      </text>
    </comment>
    <comment ref="BW136" authorId="0">
      <text>
        <r>
          <rPr>
            <sz val="8"/>
            <color indexed="81"/>
            <rFont val="Tahoma"/>
            <family val="2"/>
          </rPr>
          <t xml:space="preserve">N-optimum af afgrødens økonomisk optimale kvælstoftilførsel.
N-optimum har betydning af udbyttekorrektionen ved ændret N-tilførsel.
Normalt skal du </t>
        </r>
        <r>
          <rPr>
            <b/>
            <sz val="8"/>
            <color indexed="81"/>
            <rFont val="Tahoma"/>
            <family val="2"/>
          </rPr>
          <t>ikke</t>
        </r>
        <r>
          <rPr>
            <sz val="8"/>
            <color indexed="81"/>
            <rFont val="Tahoma"/>
            <family val="2"/>
          </rPr>
          <t xml:space="preserve"> korrigere N-optimum.
</t>
        </r>
      </text>
    </comment>
    <comment ref="CC136" authorId="0">
      <text>
        <r>
          <rPr>
            <sz val="8"/>
            <color indexed="81"/>
            <rFont val="Tahoma"/>
            <family val="2"/>
          </rPr>
          <t xml:space="preserve">Afgrødens kvælstofnorm korrigeret for forfrugt og N-eftervirkning efter pligtige efterafgrøder (korrigeres ikke for N-eftervirkningen efter frivillige efterafgrøder)
</t>
        </r>
      </text>
    </comment>
    <comment ref="CF136" authorId="0">
      <text>
        <r>
          <rPr>
            <sz val="8"/>
            <color indexed="81"/>
            <rFont val="Tahoma"/>
            <family val="2"/>
          </rPr>
          <t>N-norm korrigeret til kvælstofkvoteniveau (beregnet for sædskiftet i række 19).
Du kan vælge at indtaste kvælsoftilførslen til afgrøden. Det er aktuelt, hvis du vil omfordele kvælstof mellem afgrøderne eller hvis du manuelt vil justere bedriftens kvælstofkvote.</t>
        </r>
      </text>
    </comment>
    <comment ref="CI136" authorId="0">
      <text>
        <r>
          <rPr>
            <sz val="8"/>
            <color indexed="81"/>
            <rFont val="Tahoma"/>
            <family val="2"/>
          </rPr>
          <t xml:space="preserve">Du kan vælge at indtaste kvælsoftilførslen til afgrøden. Det er aktuelt, hvis du vil omfordele kvælstof mellem afgrøderne eller hvis du manuelt vil justere bedriftens kvælstofkvote.
</t>
        </r>
      </text>
    </comment>
    <comment ref="CL136" authorId="0">
      <text>
        <r>
          <rPr>
            <sz val="8"/>
            <color indexed="81"/>
            <rFont val="Tahoma"/>
            <family val="2"/>
          </rPr>
          <t xml:space="preserve">Husdyrgødning fordeles automatisk ud fra fordelingsnøgle (afgrødernes N-norm).
Hvis du regulerer mængden af husdyrgødning i en afgrøde, så ændres tilførslen til de øvrige afgrøder i sædskiftet automatisk, så den samlede mængde husdyrgødning, der er til rådighed anvendes.
Dog overskrides grænserne for anvendelse af husdyrgødning i sædskiftet aldrig (1.4 DE for svinegylle og 2,3 DE for kvæggylle).
</t>
        </r>
      </text>
    </comment>
    <comment ref="CU136" authorId="0">
      <text>
        <r>
          <rPr>
            <sz val="8"/>
            <color indexed="81"/>
            <rFont val="Tahoma"/>
            <family val="2"/>
          </rPr>
          <t xml:space="preserve">N i husdyrgødning korrigeret for kravet til N-udnyttelse.
</t>
        </r>
      </text>
    </comment>
    <comment ref="K194" authorId="0">
      <text>
        <r>
          <rPr>
            <sz val="8"/>
            <color indexed="81"/>
            <rFont val="Tahoma"/>
            <family val="2"/>
          </rPr>
          <t xml:space="preserve">Det gennemsnitlige dækningsbidrag efter fradag af variable maskinomkostninger i scenarie 1.
</t>
        </r>
      </text>
    </comment>
    <comment ref="K198" authorId="0">
      <text>
        <r>
          <rPr>
            <sz val="8"/>
            <color indexed="81"/>
            <rFont val="Tahoma"/>
            <family val="2"/>
          </rPr>
          <t xml:space="preserve">Indtast den ekstra transportafstand til det forpagtede areal i forhold til eget areal.
</t>
        </r>
      </text>
    </comment>
    <comment ref="J200" authorId="0">
      <text>
        <r>
          <rPr>
            <b/>
            <sz val="8"/>
            <color indexed="81"/>
            <rFont val="Tahoma"/>
            <family val="2"/>
          </rPr>
          <t>Søren Kolind Hvid:</t>
        </r>
        <r>
          <rPr>
            <sz val="8"/>
            <color indexed="81"/>
            <rFont val="Tahoma"/>
            <family val="2"/>
          </rPr>
          <t xml:space="preserve">
Transportafstand gange 2 (frem og tilbage).
Gange 12 kørsler pr. år.
Gange 15 kr. pr. km. Omkostning pr. ha er beregnet ud fra 300 kr. til mand og traktor og en gns. hastighed på 20 km pr. time.</t>
        </r>
      </text>
    </comment>
    <comment ref="J202" authorId="0">
      <text>
        <r>
          <rPr>
            <b/>
            <sz val="8"/>
            <color indexed="81"/>
            <rFont val="Tahoma"/>
            <family val="2"/>
          </rPr>
          <t>Søren Kolind Hvid:</t>
        </r>
        <r>
          <rPr>
            <sz val="8"/>
            <color indexed="81"/>
            <rFont val="Tahoma"/>
            <family val="2"/>
          </rPr>
          <t xml:space="preserve">
Transportafstand gange 2 (frem og tilbage).
Gange 12 kørsler pr. år.
Gange 15 kr. pr. km. Omkostning pr. ha er beregnet ud fra 300 kr. til mand og traktor og en gns. hastighed på 20 km pr. time.</t>
        </r>
      </text>
    </comment>
    <comment ref="N214" authorId="0">
      <text>
        <r>
          <rPr>
            <sz val="8"/>
            <color indexed="81"/>
            <rFont val="Tahoma"/>
            <family val="2"/>
          </rPr>
          <t>Der er regnet med 750 kr. pr. time til traktor, gyllevogn og traktorfører samt kørehastighed på 18 km pr. time  og 20 ton pr. læs gylle.</t>
        </r>
      </text>
    </comment>
    <comment ref="N216" authorId="0">
      <text>
        <r>
          <rPr>
            <sz val="8"/>
            <color indexed="81"/>
            <rFont val="Tahoma"/>
            <family val="2"/>
          </rPr>
          <t>Der er regnet med 750 kr. pr. time til traktor, gyllevogn og traktorfører samt kørehastighed på 18 km pr. time  og 20 ton pr. læs gylle.</t>
        </r>
      </text>
    </comment>
    <comment ref="K220" authorId="0">
      <text>
        <r>
          <rPr>
            <sz val="8"/>
            <color indexed="81"/>
            <rFont val="Tahoma"/>
            <family val="2"/>
          </rPr>
          <t>Hvis du kan få penge for gyllen, så indtast et positivt tal.
Hvis du skal betale for at komme af med gyllen, så indtast et negativt tal (minus foran).</t>
        </r>
      </text>
    </comment>
  </commentList>
</comments>
</file>

<file path=xl/comments2.xml><?xml version="1.0" encoding="utf-8"?>
<comments xmlns="http://schemas.openxmlformats.org/spreadsheetml/2006/main">
  <authors>
    <author>Søren Kolind Hvid</author>
  </authors>
  <commentList>
    <comment ref="J3" authorId="0">
      <text>
        <r>
          <rPr>
            <sz val="8"/>
            <color indexed="81"/>
            <rFont val="Tahoma"/>
            <family val="2"/>
          </rPr>
          <t>Her kan du angive, om næringsstofferne i husdyrgødningen skal værdisættes som handelsgødning. For N værdisættes kun den andel, der svarer til udnyttelseskravet.
Hvis husdyrgødningen ikke kan afsættes til en anden bedrift mod en betaling svarende til værdien af næringsstofferne, er det mest korrekt at vælge 'Nej' til værdisætning af husdyrgødningen.
Når man vælger 'Nej' vil afgrøder med et stort næringsstofbehov få en økonomisk konkurrencefordel i forhold til afgrøder med et mindre næringsstofbehov.</t>
        </r>
      </text>
    </comment>
    <comment ref="V19" authorId="0">
      <text>
        <r>
          <rPr>
            <sz val="8"/>
            <color indexed="81"/>
            <rFont val="Tahoma"/>
            <family val="2"/>
          </rPr>
          <t>Kornrationen i en sofoderblanding kan f.eks. typisk bestå af 50% byg og 50% hvede.</t>
        </r>
      </text>
    </comment>
    <comment ref="V21" authorId="0">
      <text>
        <r>
          <rPr>
            <sz val="8"/>
            <color indexed="81"/>
            <rFont val="Tahoma"/>
            <family val="2"/>
          </rPr>
          <t>Kornrationen i en smågriseblanding kan f.eks. typisk bestå af ca. 22% byg og 78% hvede.</t>
        </r>
      </text>
    </comment>
    <comment ref="V23" authorId="0">
      <text>
        <r>
          <rPr>
            <sz val="8"/>
            <color indexed="81"/>
            <rFont val="Tahoma"/>
            <family val="2"/>
          </rPr>
          <t>Kornrationen i slagtesvineblanding kan f.eks. typisk bestå af ca. 25% byg og 75% hvede.</t>
        </r>
      </text>
    </comment>
  </commentList>
</comments>
</file>

<file path=xl/comments3.xml><?xml version="1.0" encoding="utf-8"?>
<comments xmlns="http://schemas.openxmlformats.org/spreadsheetml/2006/main">
  <authors>
    <author>Søren Kolind Hvid</author>
  </authors>
  <commentList>
    <comment ref="B258" authorId="0">
      <text>
        <r>
          <rPr>
            <sz val="8"/>
            <color indexed="81"/>
            <rFont val="Tahoma"/>
            <family val="2"/>
          </rPr>
          <t>Handelsomkostningerne er forskellen på købs- og salgspris ab gård, dvs. det som landmanden skal betale mere for indkøbt korn end han kan få for hjemmeavlet korn.</t>
        </r>
      </text>
    </comment>
    <comment ref="B260" authorId="0">
      <text>
        <r>
          <rPr>
            <sz val="8"/>
            <color indexed="81"/>
            <rFont val="Tahoma"/>
            <family val="2"/>
          </rPr>
          <t>Handelsomkostningerne er forskellen på købs- og salgspris ab gård, dvs. det som landmanden skal betale mere for indkøbt korn end han kan få for hjemmeavlet korn.</t>
        </r>
      </text>
    </comment>
    <comment ref="B262" authorId="0">
      <text>
        <r>
          <rPr>
            <sz val="8"/>
            <color indexed="81"/>
            <rFont val="Tahoma"/>
            <family val="2"/>
          </rPr>
          <t>For grovfoder beregnes den fulde pris for indkøb af manglende grovfoder, da produktionen af grovfoder ikke er prissat i markkalkulen.
Der anvendes den gns. pris pr. FE, der er beregnet ud fra foderbehovet i "Husdyr".</t>
        </r>
      </text>
    </comment>
  </commentList>
</comments>
</file>

<file path=xl/comments4.xml><?xml version="1.0" encoding="utf-8"?>
<comments xmlns="http://schemas.openxmlformats.org/spreadsheetml/2006/main">
  <authors>
    <author>Søren Kolind Hvid</author>
    <author>skh</author>
  </authors>
  <commentList>
    <comment ref="S27" authorId="0">
      <text>
        <r>
          <rPr>
            <b/>
            <sz val="8"/>
            <color indexed="81"/>
            <rFont val="Tahoma"/>
            <family val="2"/>
          </rPr>
          <t>Søren Kolind Hvid:</t>
        </r>
        <r>
          <rPr>
            <sz val="8"/>
            <color indexed="81"/>
            <rFont val="Tahoma"/>
            <family val="2"/>
          </rPr>
          <t xml:space="preserve">
Korrektion af omkostninger til pløjning og stubharvning afhængig af jordtype</t>
        </r>
      </text>
    </comment>
    <comment ref="T2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GG29" authorId="0">
      <text>
        <r>
          <rPr>
            <b/>
            <sz val="8"/>
            <color indexed="81"/>
            <rFont val="Tahoma"/>
            <family val="2"/>
          </rPr>
          <t>Søren Kolind Hvid:</t>
        </r>
        <r>
          <rPr>
            <sz val="8"/>
            <color indexed="81"/>
            <rFont val="Tahoma"/>
            <family val="2"/>
          </rPr>
          <t xml:space="preserve">
For Randzone og vådområder regnes med N-niveau på 0. </t>
        </r>
      </text>
    </comment>
    <comment ref="GI29" authorId="0">
      <text>
        <r>
          <rPr>
            <b/>
            <sz val="8"/>
            <color indexed="81"/>
            <rFont val="Tahoma"/>
            <family val="2"/>
          </rPr>
          <t>Søren Kolind Hvid:</t>
        </r>
        <r>
          <rPr>
            <sz val="8"/>
            <color indexed="81"/>
            <rFont val="Tahoma"/>
            <family val="2"/>
          </rPr>
          <t xml:space="preserve">
Antager, der ikke udbringes N året før i perioden 1/9 - 15/2</t>
        </r>
      </text>
    </comment>
    <comment ref="GJ29" authorId="1">
      <text>
        <r>
          <rPr>
            <b/>
            <sz val="8"/>
            <color indexed="81"/>
            <rFont val="Tahoma"/>
            <family val="2"/>
          </rPr>
          <t>skh:</t>
        </r>
        <r>
          <rPr>
            <sz val="8"/>
            <color indexed="81"/>
            <rFont val="Tahoma"/>
            <family val="2"/>
          </rPr>
          <t xml:space="preserve">
Tilført mineralsk N, dvs. handelsgødning + ammonium i husdyrgødning (70% af N i husdyrgødning).
Husk at fratrække N tilført efteråret før.
Det er antaget, at N i husdyrgødning gange udnyttelseskrav er lig mineralsk N (der er altså ikke korrigeret for husdyrgødningens faktiske ammoniumindhold)
N afsat under afgræsning trækkes fra.</t>
        </r>
      </text>
    </comment>
    <comment ref="GM29" authorId="0">
      <text>
        <r>
          <rPr>
            <b/>
            <sz val="8"/>
            <color indexed="81"/>
            <rFont val="Tahoma"/>
            <family val="2"/>
          </rPr>
          <t>Søren Kolind Hvid:</t>
        </r>
        <r>
          <rPr>
            <sz val="8"/>
            <color indexed="81"/>
            <rFont val="Tahoma"/>
            <family val="2"/>
          </rPr>
          <t xml:space="preserve">
Total-N afsat under afgræsning.
</t>
        </r>
      </text>
    </comment>
    <comment ref="GO29" authorId="0">
      <text>
        <r>
          <rPr>
            <b/>
            <sz val="8"/>
            <color indexed="81"/>
            <rFont val="Tahoma"/>
            <family val="2"/>
          </rPr>
          <t>Søren Kolind Hvid:</t>
        </r>
        <r>
          <rPr>
            <sz val="8"/>
            <color indexed="81"/>
            <rFont val="Tahoma"/>
            <family val="2"/>
          </rPr>
          <t xml:space="preserve">
Det antages, at der ikke udbringes N i perioden 1/9-15/2
</t>
        </r>
      </text>
    </comment>
    <comment ref="AI31" authorId="0">
      <text>
        <r>
          <rPr>
            <b/>
            <sz val="8"/>
            <color indexed="81"/>
            <rFont val="Tahoma"/>
            <family val="2"/>
          </rPr>
          <t>Søren Kolind Hvid:</t>
        </r>
        <r>
          <rPr>
            <sz val="8"/>
            <color indexed="81"/>
            <rFont val="Tahoma"/>
            <family val="2"/>
          </rPr>
          <t xml:space="preserve">
Hvis 'Nmodel' er lig pantmodel (2), så beregnes UDBtab ud fra Noptpant i stedet for N-norm tilpasset.</t>
        </r>
      </text>
    </comment>
    <comment ref="AJ31" authorId="0">
      <text>
        <r>
          <rPr>
            <b/>
            <sz val="8"/>
            <color indexed="81"/>
            <rFont val="Tahoma"/>
            <family val="2"/>
          </rPr>
          <t>Søren Kolind Hvid:</t>
        </r>
        <r>
          <rPr>
            <sz val="8"/>
            <color indexed="81"/>
            <rFont val="Tahoma"/>
            <family val="2"/>
          </rPr>
          <t xml:space="preserve">
Ved N-norm beregner udbyttefunktionen et udbytte, der afviger en anelse fra den rene udbyttenorm (som opslag). Udbyttet ved ændret N-tilførsel skal korrigeres for den afvigelse, der er mellem den rene udbyttenorm (opslag) og det beregnede udbytte ved N-norm.
Tallet UDB afvigelse viser hvor meget det beregnede udbytte ved N-norm ligger over den rene udbyttenorm (opslag). Dvs. det beregnede udbytte ligger over, hvis tallet er positivt.</t>
        </r>
      </text>
    </comment>
    <comment ref="AO31" authorId="0">
      <text>
        <r>
          <rPr>
            <b/>
            <sz val="8"/>
            <color indexed="81"/>
            <rFont val="Tahoma"/>
            <family val="2"/>
          </rPr>
          <t>Søren Kolind Hvid:</t>
        </r>
        <r>
          <rPr>
            <sz val="8"/>
            <color indexed="81"/>
            <rFont val="Tahoma"/>
            <family val="2"/>
          </rPr>
          <t xml:space="preserve">
Kvælstofinput ved pantmodel.
Indgår i beregning af UDBtab (og aktuel udbytte) i stedet for aktuel N-tilførsel</t>
        </r>
      </text>
    </comment>
    <comment ref="AQ32"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CP32"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FD32"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F32"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L32" authorId="0">
      <text>
        <r>
          <rPr>
            <b/>
            <sz val="8"/>
            <color indexed="81"/>
            <rFont val="Tahoma"/>
            <family val="2"/>
          </rPr>
          <t>Søren Kolind Hvid:</t>
        </r>
        <r>
          <rPr>
            <sz val="8"/>
            <color indexed="81"/>
            <rFont val="Tahoma"/>
            <family val="2"/>
          </rPr>
          <t xml:space="preserve">
Her beregnes den ekstra N-tilførsel som anvendelse af husdyrgødning bevirker i forhold til kun at anvende handelsgødning efter N-norm</t>
        </r>
      </text>
    </comment>
    <comment ref="II32" authorId="0">
      <text>
        <r>
          <rPr>
            <b/>
            <sz val="8"/>
            <color indexed="81"/>
            <rFont val="Tahoma"/>
            <family val="2"/>
          </rPr>
          <t>Søren Kolind Hvid:</t>
        </r>
        <r>
          <rPr>
            <sz val="8"/>
            <color indexed="81"/>
            <rFont val="Tahoma"/>
            <family val="2"/>
          </rPr>
          <t xml:space="preserve">
Kan ikke erstattes af husdyrgødning.</t>
        </r>
      </text>
    </comment>
    <comment ref="IJ32" authorId="0">
      <text>
        <r>
          <rPr>
            <b/>
            <sz val="8"/>
            <color indexed="81"/>
            <rFont val="Tahoma"/>
            <family val="2"/>
          </rPr>
          <t>Søren Kolind Hvid:</t>
        </r>
        <r>
          <rPr>
            <sz val="8"/>
            <color indexed="81"/>
            <rFont val="Tahoma"/>
            <family val="2"/>
          </rPr>
          <t xml:space="preserve">
Kan tilføres med husdyrgødning.</t>
        </r>
      </text>
    </comment>
    <comment ref="IN32"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R32"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X32"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HL3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3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34" authorId="0">
      <text>
        <r>
          <rPr>
            <b/>
            <sz val="8"/>
            <color indexed="81"/>
            <rFont val="Tahoma"/>
            <family val="2"/>
          </rPr>
          <t>Søren Kolind Hvid:</t>
        </r>
        <r>
          <rPr>
            <sz val="8"/>
            <color indexed="81"/>
            <rFont val="Tahoma"/>
            <family val="2"/>
          </rPr>
          <t xml:space="preserve">
mm vandingsvand</t>
        </r>
      </text>
    </comment>
    <comment ref="KL34" authorId="0">
      <text>
        <r>
          <rPr>
            <b/>
            <sz val="8"/>
            <color indexed="81"/>
            <rFont val="Tahoma"/>
            <family val="2"/>
          </rPr>
          <t>Søren Kolind Hvid:</t>
        </r>
        <r>
          <rPr>
            <sz val="8"/>
            <color indexed="81"/>
            <rFont val="Tahoma"/>
            <family val="2"/>
          </rPr>
          <t xml:space="preserve">
mm vandingsvand</t>
        </r>
      </text>
    </comment>
    <comment ref="KM3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34" authorId="0">
      <text>
        <r>
          <rPr>
            <b/>
            <sz val="8"/>
            <color indexed="81"/>
            <rFont val="Tahoma"/>
            <family val="2"/>
          </rPr>
          <t>Søren Kolind Hvid:</t>
        </r>
        <r>
          <rPr>
            <sz val="8"/>
            <color indexed="81"/>
            <rFont val="Tahoma"/>
            <family val="2"/>
          </rPr>
          <t xml:space="preserve">
mm vandingsvand</t>
        </r>
      </text>
    </comment>
    <comment ref="NB34" authorId="0">
      <text>
        <r>
          <rPr>
            <b/>
            <sz val="8"/>
            <color indexed="81"/>
            <rFont val="Tahoma"/>
            <family val="2"/>
          </rPr>
          <t>Søren Kolind Hvid:</t>
        </r>
        <r>
          <rPr>
            <sz val="8"/>
            <color indexed="81"/>
            <rFont val="Tahoma"/>
            <family val="2"/>
          </rPr>
          <t xml:space="preserve">
mm vandingsvand</t>
        </r>
      </text>
    </comment>
    <comment ref="NC3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3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3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36" authorId="0">
      <text>
        <r>
          <rPr>
            <b/>
            <sz val="8"/>
            <color indexed="81"/>
            <rFont val="Tahoma"/>
            <family val="2"/>
          </rPr>
          <t>Søren Kolind Hvid:</t>
        </r>
        <r>
          <rPr>
            <sz val="8"/>
            <color indexed="81"/>
            <rFont val="Tahoma"/>
            <family val="2"/>
          </rPr>
          <t xml:space="preserve">
mm vandingsvand</t>
        </r>
      </text>
    </comment>
    <comment ref="KL36" authorId="0">
      <text>
        <r>
          <rPr>
            <b/>
            <sz val="8"/>
            <color indexed="81"/>
            <rFont val="Tahoma"/>
            <family val="2"/>
          </rPr>
          <t>Søren Kolind Hvid:</t>
        </r>
        <r>
          <rPr>
            <sz val="8"/>
            <color indexed="81"/>
            <rFont val="Tahoma"/>
            <family val="2"/>
          </rPr>
          <t xml:space="preserve">
mm vandingsvand</t>
        </r>
      </text>
    </comment>
    <comment ref="KM3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36" authorId="0">
      <text>
        <r>
          <rPr>
            <b/>
            <sz val="8"/>
            <color indexed="81"/>
            <rFont val="Tahoma"/>
            <family val="2"/>
          </rPr>
          <t>Søren Kolind Hvid:</t>
        </r>
        <r>
          <rPr>
            <sz val="8"/>
            <color indexed="81"/>
            <rFont val="Tahoma"/>
            <family val="2"/>
          </rPr>
          <t xml:space="preserve">
mm vandingsvand</t>
        </r>
      </text>
    </comment>
    <comment ref="NB36" authorId="0">
      <text>
        <r>
          <rPr>
            <b/>
            <sz val="8"/>
            <color indexed="81"/>
            <rFont val="Tahoma"/>
            <family val="2"/>
          </rPr>
          <t>Søren Kolind Hvid:</t>
        </r>
        <r>
          <rPr>
            <sz val="8"/>
            <color indexed="81"/>
            <rFont val="Tahoma"/>
            <family val="2"/>
          </rPr>
          <t xml:space="preserve">
mm vandingsvand</t>
        </r>
      </text>
    </comment>
    <comment ref="NC3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38" authorId="0">
      <text>
        <r>
          <rPr>
            <b/>
            <sz val="8"/>
            <color indexed="81"/>
            <rFont val="Tahoma"/>
            <family val="2"/>
          </rPr>
          <t>Søren Kolind Hvid:</t>
        </r>
        <r>
          <rPr>
            <sz val="8"/>
            <color indexed="81"/>
            <rFont val="Tahoma"/>
            <family val="2"/>
          </rPr>
          <t xml:space="preserve">
mm vandingsvand</t>
        </r>
      </text>
    </comment>
    <comment ref="KL38" authorId="0">
      <text>
        <r>
          <rPr>
            <b/>
            <sz val="8"/>
            <color indexed="81"/>
            <rFont val="Tahoma"/>
            <family val="2"/>
          </rPr>
          <t>Søren Kolind Hvid:</t>
        </r>
        <r>
          <rPr>
            <sz val="8"/>
            <color indexed="81"/>
            <rFont val="Tahoma"/>
            <family val="2"/>
          </rPr>
          <t xml:space="preserve">
mm vandingsvand</t>
        </r>
      </text>
    </comment>
    <comment ref="KM3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38" authorId="0">
      <text>
        <r>
          <rPr>
            <b/>
            <sz val="8"/>
            <color indexed="81"/>
            <rFont val="Tahoma"/>
            <family val="2"/>
          </rPr>
          <t>Søren Kolind Hvid:</t>
        </r>
        <r>
          <rPr>
            <sz val="8"/>
            <color indexed="81"/>
            <rFont val="Tahoma"/>
            <family val="2"/>
          </rPr>
          <t xml:space="preserve">
mm vandingsvand</t>
        </r>
      </text>
    </comment>
    <comment ref="NB38" authorId="0">
      <text>
        <r>
          <rPr>
            <b/>
            <sz val="8"/>
            <color indexed="81"/>
            <rFont val="Tahoma"/>
            <family val="2"/>
          </rPr>
          <t>Søren Kolind Hvid:</t>
        </r>
        <r>
          <rPr>
            <sz val="8"/>
            <color indexed="81"/>
            <rFont val="Tahoma"/>
            <family val="2"/>
          </rPr>
          <t xml:space="preserve">
mm vandingsvand</t>
        </r>
      </text>
    </comment>
    <comment ref="NC3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40" authorId="0">
      <text>
        <r>
          <rPr>
            <b/>
            <sz val="8"/>
            <color indexed="81"/>
            <rFont val="Tahoma"/>
            <family val="2"/>
          </rPr>
          <t>Søren Kolind Hvid:</t>
        </r>
        <r>
          <rPr>
            <sz val="8"/>
            <color indexed="81"/>
            <rFont val="Tahoma"/>
            <family val="2"/>
          </rPr>
          <t xml:space="preserve">
mm vandingsvand</t>
        </r>
      </text>
    </comment>
    <comment ref="KL40" authorId="0">
      <text>
        <r>
          <rPr>
            <b/>
            <sz val="8"/>
            <color indexed="81"/>
            <rFont val="Tahoma"/>
            <family val="2"/>
          </rPr>
          <t>Søren Kolind Hvid:</t>
        </r>
        <r>
          <rPr>
            <sz val="8"/>
            <color indexed="81"/>
            <rFont val="Tahoma"/>
            <family val="2"/>
          </rPr>
          <t xml:space="preserve">
mm vandingsvand</t>
        </r>
      </text>
    </comment>
    <comment ref="KM4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40" authorId="0">
      <text>
        <r>
          <rPr>
            <b/>
            <sz val="8"/>
            <color indexed="81"/>
            <rFont val="Tahoma"/>
            <family val="2"/>
          </rPr>
          <t>Søren Kolind Hvid:</t>
        </r>
        <r>
          <rPr>
            <sz val="8"/>
            <color indexed="81"/>
            <rFont val="Tahoma"/>
            <family val="2"/>
          </rPr>
          <t xml:space="preserve">
mm vandingsvand</t>
        </r>
      </text>
    </comment>
    <comment ref="NB40" authorId="0">
      <text>
        <r>
          <rPr>
            <b/>
            <sz val="8"/>
            <color indexed="81"/>
            <rFont val="Tahoma"/>
            <family val="2"/>
          </rPr>
          <t>Søren Kolind Hvid:</t>
        </r>
        <r>
          <rPr>
            <sz val="8"/>
            <color indexed="81"/>
            <rFont val="Tahoma"/>
            <family val="2"/>
          </rPr>
          <t xml:space="preserve">
mm vandingsvand</t>
        </r>
      </text>
    </comment>
    <comment ref="NC4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42" authorId="0">
      <text>
        <r>
          <rPr>
            <b/>
            <sz val="8"/>
            <color indexed="81"/>
            <rFont val="Tahoma"/>
            <family val="2"/>
          </rPr>
          <t>Søren Kolind Hvid:</t>
        </r>
        <r>
          <rPr>
            <sz val="8"/>
            <color indexed="81"/>
            <rFont val="Tahoma"/>
            <family val="2"/>
          </rPr>
          <t xml:space="preserve">
mm vandingsvand</t>
        </r>
      </text>
    </comment>
    <comment ref="KL42" authorId="0">
      <text>
        <r>
          <rPr>
            <b/>
            <sz val="8"/>
            <color indexed="81"/>
            <rFont val="Tahoma"/>
            <family val="2"/>
          </rPr>
          <t>Søren Kolind Hvid:</t>
        </r>
        <r>
          <rPr>
            <sz val="8"/>
            <color indexed="81"/>
            <rFont val="Tahoma"/>
            <family val="2"/>
          </rPr>
          <t xml:space="preserve">
mm vandingsvand</t>
        </r>
      </text>
    </comment>
    <comment ref="KM4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42" authorId="0">
      <text>
        <r>
          <rPr>
            <b/>
            <sz val="8"/>
            <color indexed="81"/>
            <rFont val="Tahoma"/>
            <family val="2"/>
          </rPr>
          <t>Søren Kolind Hvid:</t>
        </r>
        <r>
          <rPr>
            <sz val="8"/>
            <color indexed="81"/>
            <rFont val="Tahoma"/>
            <family val="2"/>
          </rPr>
          <t xml:space="preserve">
mm vandingsvand</t>
        </r>
      </text>
    </comment>
    <comment ref="NB42" authorId="0">
      <text>
        <r>
          <rPr>
            <b/>
            <sz val="8"/>
            <color indexed="81"/>
            <rFont val="Tahoma"/>
            <family val="2"/>
          </rPr>
          <t>Søren Kolind Hvid:</t>
        </r>
        <r>
          <rPr>
            <sz val="8"/>
            <color indexed="81"/>
            <rFont val="Tahoma"/>
            <family val="2"/>
          </rPr>
          <t xml:space="preserve">
mm vandingsvand</t>
        </r>
      </text>
    </comment>
    <comment ref="NC4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44" authorId="0">
      <text>
        <r>
          <rPr>
            <b/>
            <sz val="8"/>
            <color indexed="81"/>
            <rFont val="Tahoma"/>
            <family val="2"/>
          </rPr>
          <t>Søren Kolind Hvid:</t>
        </r>
        <r>
          <rPr>
            <sz val="8"/>
            <color indexed="81"/>
            <rFont val="Tahoma"/>
            <family val="2"/>
          </rPr>
          <t xml:space="preserve">
mm vandingsvand</t>
        </r>
      </text>
    </comment>
    <comment ref="KL44" authorId="0">
      <text>
        <r>
          <rPr>
            <b/>
            <sz val="8"/>
            <color indexed="81"/>
            <rFont val="Tahoma"/>
            <family val="2"/>
          </rPr>
          <t>Søren Kolind Hvid:</t>
        </r>
        <r>
          <rPr>
            <sz val="8"/>
            <color indexed="81"/>
            <rFont val="Tahoma"/>
            <family val="2"/>
          </rPr>
          <t xml:space="preserve">
mm vandingsvand</t>
        </r>
      </text>
    </comment>
    <comment ref="KM4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44" authorId="0">
      <text>
        <r>
          <rPr>
            <b/>
            <sz val="8"/>
            <color indexed="81"/>
            <rFont val="Tahoma"/>
            <family val="2"/>
          </rPr>
          <t>Søren Kolind Hvid:</t>
        </r>
        <r>
          <rPr>
            <sz val="8"/>
            <color indexed="81"/>
            <rFont val="Tahoma"/>
            <family val="2"/>
          </rPr>
          <t xml:space="preserve">
mm vandingsvand</t>
        </r>
      </text>
    </comment>
    <comment ref="NB44" authorId="0">
      <text>
        <r>
          <rPr>
            <b/>
            <sz val="8"/>
            <color indexed="81"/>
            <rFont val="Tahoma"/>
            <family val="2"/>
          </rPr>
          <t>Søren Kolind Hvid:</t>
        </r>
        <r>
          <rPr>
            <sz val="8"/>
            <color indexed="81"/>
            <rFont val="Tahoma"/>
            <family val="2"/>
          </rPr>
          <t xml:space="preserve">
mm vandingsvand</t>
        </r>
      </text>
    </comment>
    <comment ref="NC4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46" authorId="0">
      <text>
        <r>
          <rPr>
            <b/>
            <sz val="8"/>
            <color indexed="81"/>
            <rFont val="Tahoma"/>
            <family val="2"/>
          </rPr>
          <t>Søren Kolind Hvid:</t>
        </r>
        <r>
          <rPr>
            <sz val="8"/>
            <color indexed="81"/>
            <rFont val="Tahoma"/>
            <family val="2"/>
          </rPr>
          <t xml:space="preserve">
mm vandingsvand</t>
        </r>
      </text>
    </comment>
    <comment ref="KL46" authorId="0">
      <text>
        <r>
          <rPr>
            <b/>
            <sz val="8"/>
            <color indexed="81"/>
            <rFont val="Tahoma"/>
            <family val="2"/>
          </rPr>
          <t>Søren Kolind Hvid:</t>
        </r>
        <r>
          <rPr>
            <sz val="8"/>
            <color indexed="81"/>
            <rFont val="Tahoma"/>
            <family val="2"/>
          </rPr>
          <t xml:space="preserve">
mm vandingsvand</t>
        </r>
      </text>
    </comment>
    <comment ref="KM4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46" authorId="0">
      <text>
        <r>
          <rPr>
            <b/>
            <sz val="8"/>
            <color indexed="81"/>
            <rFont val="Tahoma"/>
            <family val="2"/>
          </rPr>
          <t>Søren Kolind Hvid:</t>
        </r>
        <r>
          <rPr>
            <sz val="8"/>
            <color indexed="81"/>
            <rFont val="Tahoma"/>
            <family val="2"/>
          </rPr>
          <t xml:space="preserve">
mm vandingsvand</t>
        </r>
      </text>
    </comment>
    <comment ref="NB46" authorId="0">
      <text>
        <r>
          <rPr>
            <b/>
            <sz val="8"/>
            <color indexed="81"/>
            <rFont val="Tahoma"/>
            <family val="2"/>
          </rPr>
          <t>Søren Kolind Hvid:</t>
        </r>
        <r>
          <rPr>
            <sz val="8"/>
            <color indexed="81"/>
            <rFont val="Tahoma"/>
            <family val="2"/>
          </rPr>
          <t xml:space="preserve">
mm vandingsvand</t>
        </r>
      </text>
    </comment>
    <comment ref="NC4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48" authorId="0">
      <text>
        <r>
          <rPr>
            <b/>
            <sz val="8"/>
            <color indexed="81"/>
            <rFont val="Tahoma"/>
            <family val="2"/>
          </rPr>
          <t>Søren Kolind Hvid:</t>
        </r>
        <r>
          <rPr>
            <sz val="8"/>
            <color indexed="81"/>
            <rFont val="Tahoma"/>
            <family val="2"/>
          </rPr>
          <t xml:space="preserve">
mm vandingsvand</t>
        </r>
      </text>
    </comment>
    <comment ref="KL48" authorId="0">
      <text>
        <r>
          <rPr>
            <b/>
            <sz val="8"/>
            <color indexed="81"/>
            <rFont val="Tahoma"/>
            <family val="2"/>
          </rPr>
          <t>Søren Kolind Hvid:</t>
        </r>
        <r>
          <rPr>
            <sz val="8"/>
            <color indexed="81"/>
            <rFont val="Tahoma"/>
            <family val="2"/>
          </rPr>
          <t xml:space="preserve">
mm vandingsvand</t>
        </r>
      </text>
    </comment>
    <comment ref="KM4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48" authorId="0">
      <text>
        <r>
          <rPr>
            <b/>
            <sz val="8"/>
            <color indexed="81"/>
            <rFont val="Tahoma"/>
            <family val="2"/>
          </rPr>
          <t>Søren Kolind Hvid:</t>
        </r>
        <r>
          <rPr>
            <sz val="8"/>
            <color indexed="81"/>
            <rFont val="Tahoma"/>
            <family val="2"/>
          </rPr>
          <t xml:space="preserve">
mm vandingsvand</t>
        </r>
      </text>
    </comment>
    <comment ref="NB48" authorId="0">
      <text>
        <r>
          <rPr>
            <b/>
            <sz val="8"/>
            <color indexed="81"/>
            <rFont val="Tahoma"/>
            <family val="2"/>
          </rPr>
          <t>Søren Kolind Hvid:</t>
        </r>
        <r>
          <rPr>
            <sz val="8"/>
            <color indexed="81"/>
            <rFont val="Tahoma"/>
            <family val="2"/>
          </rPr>
          <t xml:space="preserve">
mm vandingsvand</t>
        </r>
      </text>
    </comment>
    <comment ref="NC4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1" authorId="0">
      <text>
        <r>
          <rPr>
            <b/>
            <sz val="8"/>
            <color indexed="81"/>
            <rFont val="Tahoma"/>
            <family val="2"/>
          </rPr>
          <t>Søren Kolind Hvid:</t>
        </r>
        <r>
          <rPr>
            <sz val="8"/>
            <color indexed="81"/>
            <rFont val="Tahoma"/>
            <family val="2"/>
          </rPr>
          <t xml:space="preserve">
Korrektion af omkostninger til pløjning og stubharvning afhængig af jordtype</t>
        </r>
      </text>
    </comment>
    <comment ref="L5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GJ52" authorId="0">
      <text>
        <r>
          <rPr>
            <b/>
            <sz val="8"/>
            <color indexed="81"/>
            <rFont val="Tahoma"/>
            <family val="2"/>
          </rPr>
          <t>Søren Kolind Hvid:</t>
        </r>
        <r>
          <rPr>
            <sz val="8"/>
            <color indexed="81"/>
            <rFont val="Tahoma"/>
            <family val="2"/>
          </rPr>
          <t xml:space="preserve">
Antager, der ikke udbringes N året før i perioden 1/9 - 15/2</t>
        </r>
      </text>
    </comment>
    <comment ref="GK52" authorId="1">
      <text>
        <r>
          <rPr>
            <b/>
            <sz val="8"/>
            <color indexed="81"/>
            <rFont val="Tahoma"/>
            <family val="2"/>
          </rPr>
          <t>skh:</t>
        </r>
        <r>
          <rPr>
            <sz val="8"/>
            <color indexed="81"/>
            <rFont val="Tahoma"/>
            <family val="2"/>
          </rPr>
          <t xml:space="preserve">
Tilført mineralsk N, dvs. handelsgødning + ammonium i husdyrgødning (70% af N i husdyrgødning).
Husk at fratrække N tilført efteråret før.
Det er antaget, at N i husdyrgødning gange udnyttelseskrav er lig mineralsk N (der er altså ikke korrigeret for husdyrgødningens faktiske ammoniumindhold)
N afsat under afgræsning trækkes fra.</t>
        </r>
      </text>
    </comment>
    <comment ref="GN52" authorId="0">
      <text>
        <r>
          <rPr>
            <b/>
            <sz val="8"/>
            <color indexed="81"/>
            <rFont val="Tahoma"/>
            <family val="2"/>
          </rPr>
          <t>Søren Kolind Hvid:</t>
        </r>
        <r>
          <rPr>
            <sz val="8"/>
            <color indexed="81"/>
            <rFont val="Tahoma"/>
            <family val="2"/>
          </rPr>
          <t xml:space="preserve">
Total-N afsat under afgræsning.
</t>
        </r>
      </text>
    </comment>
    <comment ref="GP52" authorId="0">
      <text>
        <r>
          <rPr>
            <b/>
            <sz val="8"/>
            <color indexed="81"/>
            <rFont val="Tahoma"/>
            <family val="2"/>
          </rPr>
          <t>Søren Kolind Hvid:</t>
        </r>
        <r>
          <rPr>
            <sz val="8"/>
            <color indexed="81"/>
            <rFont val="Tahoma"/>
            <family val="2"/>
          </rPr>
          <t xml:space="preserve">
Det antages, at der ikke udbringes N i perioden 1/9-15/2
</t>
        </r>
      </text>
    </comment>
    <comment ref="AI53" authorId="0">
      <text>
        <r>
          <rPr>
            <b/>
            <sz val="8"/>
            <color indexed="81"/>
            <rFont val="Tahoma"/>
            <family val="2"/>
          </rPr>
          <t>Søren Kolind Hvid:</t>
        </r>
        <r>
          <rPr>
            <sz val="8"/>
            <color indexed="81"/>
            <rFont val="Tahoma"/>
            <family val="2"/>
          </rPr>
          <t xml:space="preserve">
Hvis 'Nmodel' er lig pantmodel (2), så beregnes UDBtab ud fra Noptpant i stedet for N-norm tilpasset.</t>
        </r>
      </text>
    </comment>
    <comment ref="AJ53" authorId="0">
      <text>
        <r>
          <rPr>
            <b/>
            <sz val="8"/>
            <color indexed="81"/>
            <rFont val="Tahoma"/>
            <family val="2"/>
          </rPr>
          <t>Søren Kolind Hvid:</t>
        </r>
        <r>
          <rPr>
            <sz val="8"/>
            <color indexed="81"/>
            <rFont val="Tahoma"/>
            <family val="2"/>
          </rPr>
          <t xml:space="preserve">
Ved N-norm beregner udbyttefunktionen et udbytte, der afviger en anelse fra den rene udbyttenorm (som opslag). Udbyttet ved ændret N-tilførsel skal korrigeres for den afvigelse, der er mellem den rene udbyttenorm (opslag) og det beregnede udbytte ved N-norm.
Tallet UDB afvigelse viser hvor meget det beregnede udbytte ved N-norm ligger over den rene udbyttenorm (opslag). Dvs. det beregnede udbytte ligger over, hvis tallet er positivt.</t>
        </r>
      </text>
    </comment>
    <comment ref="AO53" authorId="0">
      <text>
        <r>
          <rPr>
            <b/>
            <sz val="8"/>
            <color indexed="81"/>
            <rFont val="Tahoma"/>
            <family val="2"/>
          </rPr>
          <t>Søren Kolind Hvid:</t>
        </r>
        <r>
          <rPr>
            <sz val="8"/>
            <color indexed="81"/>
            <rFont val="Tahoma"/>
            <family val="2"/>
          </rPr>
          <t xml:space="preserve">
Kvælstofinput ved pantmodel.
Indgår i beregning af UDBtab (og aktuel udbytte) i stedet for aktuel N-tilførsel</t>
        </r>
      </text>
    </comment>
    <comment ref="AQ54"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CP54"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FD54"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F54"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L54" authorId="0">
      <text>
        <r>
          <rPr>
            <b/>
            <sz val="8"/>
            <color indexed="81"/>
            <rFont val="Tahoma"/>
            <family val="2"/>
          </rPr>
          <t>Søren Kolind Hvid:</t>
        </r>
        <r>
          <rPr>
            <sz val="8"/>
            <color indexed="81"/>
            <rFont val="Tahoma"/>
            <family val="2"/>
          </rPr>
          <t xml:space="preserve">
Her beregnes den ekstra N-tilførsel som anvendelse af husdyrgødning bevirker i forhold til kun at anvende handelsgødning efter N-norm</t>
        </r>
      </text>
    </comment>
    <comment ref="II54" authorId="0">
      <text>
        <r>
          <rPr>
            <b/>
            <sz val="8"/>
            <color indexed="81"/>
            <rFont val="Tahoma"/>
            <family val="2"/>
          </rPr>
          <t>Søren Kolind Hvid:</t>
        </r>
        <r>
          <rPr>
            <sz val="8"/>
            <color indexed="81"/>
            <rFont val="Tahoma"/>
            <family val="2"/>
          </rPr>
          <t xml:space="preserve">
Kan ikke erstattes af husdyrgødning.</t>
        </r>
      </text>
    </comment>
    <comment ref="IJ54" authorId="0">
      <text>
        <r>
          <rPr>
            <b/>
            <sz val="8"/>
            <color indexed="81"/>
            <rFont val="Tahoma"/>
            <family val="2"/>
          </rPr>
          <t>Søren Kolind Hvid:</t>
        </r>
        <r>
          <rPr>
            <sz val="8"/>
            <color indexed="81"/>
            <rFont val="Tahoma"/>
            <family val="2"/>
          </rPr>
          <t xml:space="preserve">
Kan tilføres med husdyrgødning.</t>
        </r>
      </text>
    </comment>
    <comment ref="IN5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R5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X5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HL5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5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56" authorId="0">
      <text>
        <r>
          <rPr>
            <b/>
            <sz val="8"/>
            <color indexed="81"/>
            <rFont val="Tahoma"/>
            <family val="2"/>
          </rPr>
          <t>Søren Kolind Hvid:</t>
        </r>
        <r>
          <rPr>
            <sz val="8"/>
            <color indexed="81"/>
            <rFont val="Tahoma"/>
            <family val="2"/>
          </rPr>
          <t xml:space="preserve">
mm vandingsvand</t>
        </r>
      </text>
    </comment>
    <comment ref="KL56" authorId="0">
      <text>
        <r>
          <rPr>
            <b/>
            <sz val="8"/>
            <color indexed="81"/>
            <rFont val="Tahoma"/>
            <family val="2"/>
          </rPr>
          <t>Søren Kolind Hvid:</t>
        </r>
        <r>
          <rPr>
            <sz val="8"/>
            <color indexed="81"/>
            <rFont val="Tahoma"/>
            <family val="2"/>
          </rPr>
          <t xml:space="preserve">
mm vandingsvand</t>
        </r>
      </text>
    </comment>
    <comment ref="KM5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56" authorId="0">
      <text>
        <r>
          <rPr>
            <b/>
            <sz val="8"/>
            <color indexed="81"/>
            <rFont val="Tahoma"/>
            <family val="2"/>
          </rPr>
          <t>Søren Kolind Hvid:</t>
        </r>
        <r>
          <rPr>
            <sz val="8"/>
            <color indexed="81"/>
            <rFont val="Tahoma"/>
            <family val="2"/>
          </rPr>
          <t xml:space="preserve">
mm vandingsvand</t>
        </r>
      </text>
    </comment>
    <comment ref="NB56" authorId="0">
      <text>
        <r>
          <rPr>
            <b/>
            <sz val="8"/>
            <color indexed="81"/>
            <rFont val="Tahoma"/>
            <family val="2"/>
          </rPr>
          <t>Søren Kolind Hvid:</t>
        </r>
        <r>
          <rPr>
            <sz val="8"/>
            <color indexed="81"/>
            <rFont val="Tahoma"/>
            <family val="2"/>
          </rPr>
          <t xml:space="preserve">
mm vandingsvand</t>
        </r>
      </text>
    </comment>
    <comment ref="NC5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5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5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58" authorId="0">
      <text>
        <r>
          <rPr>
            <b/>
            <sz val="8"/>
            <color indexed="81"/>
            <rFont val="Tahoma"/>
            <family val="2"/>
          </rPr>
          <t>Søren Kolind Hvid:</t>
        </r>
        <r>
          <rPr>
            <sz val="8"/>
            <color indexed="81"/>
            <rFont val="Tahoma"/>
            <family val="2"/>
          </rPr>
          <t xml:space="preserve">
mm vandingsvand</t>
        </r>
      </text>
    </comment>
    <comment ref="KL58" authorId="0">
      <text>
        <r>
          <rPr>
            <b/>
            <sz val="8"/>
            <color indexed="81"/>
            <rFont val="Tahoma"/>
            <family val="2"/>
          </rPr>
          <t>Søren Kolind Hvid:</t>
        </r>
        <r>
          <rPr>
            <sz val="8"/>
            <color indexed="81"/>
            <rFont val="Tahoma"/>
            <family val="2"/>
          </rPr>
          <t xml:space="preserve">
mm vandingsvand</t>
        </r>
      </text>
    </comment>
    <comment ref="KM5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58" authorId="0">
      <text>
        <r>
          <rPr>
            <b/>
            <sz val="8"/>
            <color indexed="81"/>
            <rFont val="Tahoma"/>
            <family val="2"/>
          </rPr>
          <t>Søren Kolind Hvid:</t>
        </r>
        <r>
          <rPr>
            <sz val="8"/>
            <color indexed="81"/>
            <rFont val="Tahoma"/>
            <family val="2"/>
          </rPr>
          <t xml:space="preserve">
mm vandingsvand</t>
        </r>
      </text>
    </comment>
    <comment ref="NB58" authorId="0">
      <text>
        <r>
          <rPr>
            <b/>
            <sz val="8"/>
            <color indexed="81"/>
            <rFont val="Tahoma"/>
            <family val="2"/>
          </rPr>
          <t>Søren Kolind Hvid:</t>
        </r>
        <r>
          <rPr>
            <sz val="8"/>
            <color indexed="81"/>
            <rFont val="Tahoma"/>
            <family val="2"/>
          </rPr>
          <t xml:space="preserve">
mm vandingsvand</t>
        </r>
      </text>
    </comment>
    <comment ref="NC5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6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6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60" authorId="0">
      <text>
        <r>
          <rPr>
            <b/>
            <sz val="8"/>
            <color indexed="81"/>
            <rFont val="Tahoma"/>
            <family val="2"/>
          </rPr>
          <t>Søren Kolind Hvid:</t>
        </r>
        <r>
          <rPr>
            <sz val="8"/>
            <color indexed="81"/>
            <rFont val="Tahoma"/>
            <family val="2"/>
          </rPr>
          <t xml:space="preserve">
mm vandingsvand</t>
        </r>
      </text>
    </comment>
    <comment ref="KL60" authorId="0">
      <text>
        <r>
          <rPr>
            <b/>
            <sz val="8"/>
            <color indexed="81"/>
            <rFont val="Tahoma"/>
            <family val="2"/>
          </rPr>
          <t>Søren Kolind Hvid:</t>
        </r>
        <r>
          <rPr>
            <sz val="8"/>
            <color indexed="81"/>
            <rFont val="Tahoma"/>
            <family val="2"/>
          </rPr>
          <t xml:space="preserve">
mm vandingsvand</t>
        </r>
      </text>
    </comment>
    <comment ref="KM6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60" authorId="0">
      <text>
        <r>
          <rPr>
            <b/>
            <sz val="8"/>
            <color indexed="81"/>
            <rFont val="Tahoma"/>
            <family val="2"/>
          </rPr>
          <t>Søren Kolind Hvid:</t>
        </r>
        <r>
          <rPr>
            <sz val="8"/>
            <color indexed="81"/>
            <rFont val="Tahoma"/>
            <family val="2"/>
          </rPr>
          <t xml:space="preserve">
mm vandingsvand</t>
        </r>
      </text>
    </comment>
    <comment ref="NB60" authorId="0">
      <text>
        <r>
          <rPr>
            <b/>
            <sz val="8"/>
            <color indexed="81"/>
            <rFont val="Tahoma"/>
            <family val="2"/>
          </rPr>
          <t>Søren Kolind Hvid:</t>
        </r>
        <r>
          <rPr>
            <sz val="8"/>
            <color indexed="81"/>
            <rFont val="Tahoma"/>
            <family val="2"/>
          </rPr>
          <t xml:space="preserve">
mm vandingsvand</t>
        </r>
      </text>
    </comment>
    <comment ref="NC6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6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6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62" authorId="0">
      <text>
        <r>
          <rPr>
            <b/>
            <sz val="8"/>
            <color indexed="81"/>
            <rFont val="Tahoma"/>
            <family val="2"/>
          </rPr>
          <t>Søren Kolind Hvid:</t>
        </r>
        <r>
          <rPr>
            <sz val="8"/>
            <color indexed="81"/>
            <rFont val="Tahoma"/>
            <family val="2"/>
          </rPr>
          <t xml:space="preserve">
mm vandingsvand</t>
        </r>
      </text>
    </comment>
    <comment ref="KL62" authorId="0">
      <text>
        <r>
          <rPr>
            <b/>
            <sz val="8"/>
            <color indexed="81"/>
            <rFont val="Tahoma"/>
            <family val="2"/>
          </rPr>
          <t>Søren Kolind Hvid:</t>
        </r>
        <r>
          <rPr>
            <sz val="8"/>
            <color indexed="81"/>
            <rFont val="Tahoma"/>
            <family val="2"/>
          </rPr>
          <t xml:space="preserve">
mm vandingsvand</t>
        </r>
      </text>
    </comment>
    <comment ref="KM6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62" authorId="0">
      <text>
        <r>
          <rPr>
            <b/>
            <sz val="8"/>
            <color indexed="81"/>
            <rFont val="Tahoma"/>
            <family val="2"/>
          </rPr>
          <t>Søren Kolind Hvid:</t>
        </r>
        <r>
          <rPr>
            <sz val="8"/>
            <color indexed="81"/>
            <rFont val="Tahoma"/>
            <family val="2"/>
          </rPr>
          <t xml:space="preserve">
mm vandingsvand</t>
        </r>
      </text>
    </comment>
    <comment ref="NB62" authorId="0">
      <text>
        <r>
          <rPr>
            <b/>
            <sz val="8"/>
            <color indexed="81"/>
            <rFont val="Tahoma"/>
            <family val="2"/>
          </rPr>
          <t>Søren Kolind Hvid:</t>
        </r>
        <r>
          <rPr>
            <sz val="8"/>
            <color indexed="81"/>
            <rFont val="Tahoma"/>
            <family val="2"/>
          </rPr>
          <t xml:space="preserve">
mm vandingsvand</t>
        </r>
      </text>
    </comment>
    <comment ref="NC6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6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6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64" authorId="0">
      <text>
        <r>
          <rPr>
            <b/>
            <sz val="8"/>
            <color indexed="81"/>
            <rFont val="Tahoma"/>
            <family val="2"/>
          </rPr>
          <t>Søren Kolind Hvid:</t>
        </r>
        <r>
          <rPr>
            <sz val="8"/>
            <color indexed="81"/>
            <rFont val="Tahoma"/>
            <family val="2"/>
          </rPr>
          <t xml:space="preserve">
mm vandingsvand</t>
        </r>
      </text>
    </comment>
    <comment ref="KL64" authorId="0">
      <text>
        <r>
          <rPr>
            <b/>
            <sz val="8"/>
            <color indexed="81"/>
            <rFont val="Tahoma"/>
            <family val="2"/>
          </rPr>
          <t>Søren Kolind Hvid:</t>
        </r>
        <r>
          <rPr>
            <sz val="8"/>
            <color indexed="81"/>
            <rFont val="Tahoma"/>
            <family val="2"/>
          </rPr>
          <t xml:space="preserve">
mm vandingsvand</t>
        </r>
      </text>
    </comment>
    <comment ref="KM6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64" authorId="0">
      <text>
        <r>
          <rPr>
            <b/>
            <sz val="8"/>
            <color indexed="81"/>
            <rFont val="Tahoma"/>
            <family val="2"/>
          </rPr>
          <t>Søren Kolind Hvid:</t>
        </r>
        <r>
          <rPr>
            <sz val="8"/>
            <color indexed="81"/>
            <rFont val="Tahoma"/>
            <family val="2"/>
          </rPr>
          <t xml:space="preserve">
mm vandingsvand</t>
        </r>
      </text>
    </comment>
    <comment ref="NB64" authorId="0">
      <text>
        <r>
          <rPr>
            <b/>
            <sz val="8"/>
            <color indexed="81"/>
            <rFont val="Tahoma"/>
            <family val="2"/>
          </rPr>
          <t>Søren Kolind Hvid:</t>
        </r>
        <r>
          <rPr>
            <sz val="8"/>
            <color indexed="81"/>
            <rFont val="Tahoma"/>
            <family val="2"/>
          </rPr>
          <t xml:space="preserve">
mm vandingsvand</t>
        </r>
      </text>
    </comment>
    <comment ref="NC6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6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6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66" authorId="0">
      <text>
        <r>
          <rPr>
            <b/>
            <sz val="8"/>
            <color indexed="81"/>
            <rFont val="Tahoma"/>
            <family val="2"/>
          </rPr>
          <t>Søren Kolind Hvid:</t>
        </r>
        <r>
          <rPr>
            <sz val="8"/>
            <color indexed="81"/>
            <rFont val="Tahoma"/>
            <family val="2"/>
          </rPr>
          <t xml:space="preserve">
mm vandingsvand</t>
        </r>
      </text>
    </comment>
    <comment ref="KL66" authorId="0">
      <text>
        <r>
          <rPr>
            <b/>
            <sz val="8"/>
            <color indexed="81"/>
            <rFont val="Tahoma"/>
            <family val="2"/>
          </rPr>
          <t>Søren Kolind Hvid:</t>
        </r>
        <r>
          <rPr>
            <sz val="8"/>
            <color indexed="81"/>
            <rFont val="Tahoma"/>
            <family val="2"/>
          </rPr>
          <t xml:space="preserve">
mm vandingsvand</t>
        </r>
      </text>
    </comment>
    <comment ref="KM6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66" authorId="0">
      <text>
        <r>
          <rPr>
            <b/>
            <sz val="8"/>
            <color indexed="81"/>
            <rFont val="Tahoma"/>
            <family val="2"/>
          </rPr>
          <t>Søren Kolind Hvid:</t>
        </r>
        <r>
          <rPr>
            <sz val="8"/>
            <color indexed="81"/>
            <rFont val="Tahoma"/>
            <family val="2"/>
          </rPr>
          <t xml:space="preserve">
mm vandingsvand</t>
        </r>
      </text>
    </comment>
    <comment ref="NB66" authorId="0">
      <text>
        <r>
          <rPr>
            <b/>
            <sz val="8"/>
            <color indexed="81"/>
            <rFont val="Tahoma"/>
            <family val="2"/>
          </rPr>
          <t>Søren Kolind Hvid:</t>
        </r>
        <r>
          <rPr>
            <sz val="8"/>
            <color indexed="81"/>
            <rFont val="Tahoma"/>
            <family val="2"/>
          </rPr>
          <t xml:space="preserve">
mm vandingsvand</t>
        </r>
      </text>
    </comment>
    <comment ref="NC6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6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6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68" authorId="0">
      <text>
        <r>
          <rPr>
            <b/>
            <sz val="8"/>
            <color indexed="81"/>
            <rFont val="Tahoma"/>
            <family val="2"/>
          </rPr>
          <t>Søren Kolind Hvid:</t>
        </r>
        <r>
          <rPr>
            <sz val="8"/>
            <color indexed="81"/>
            <rFont val="Tahoma"/>
            <family val="2"/>
          </rPr>
          <t xml:space="preserve">
mm vandingsvand</t>
        </r>
      </text>
    </comment>
    <comment ref="KL68" authorId="0">
      <text>
        <r>
          <rPr>
            <b/>
            <sz val="8"/>
            <color indexed="81"/>
            <rFont val="Tahoma"/>
            <family val="2"/>
          </rPr>
          <t>Søren Kolind Hvid:</t>
        </r>
        <r>
          <rPr>
            <sz val="8"/>
            <color indexed="81"/>
            <rFont val="Tahoma"/>
            <family val="2"/>
          </rPr>
          <t xml:space="preserve">
mm vandingsvand</t>
        </r>
      </text>
    </comment>
    <comment ref="KM6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68" authorId="0">
      <text>
        <r>
          <rPr>
            <b/>
            <sz val="8"/>
            <color indexed="81"/>
            <rFont val="Tahoma"/>
            <family val="2"/>
          </rPr>
          <t>Søren Kolind Hvid:</t>
        </r>
        <r>
          <rPr>
            <sz val="8"/>
            <color indexed="81"/>
            <rFont val="Tahoma"/>
            <family val="2"/>
          </rPr>
          <t xml:space="preserve">
mm vandingsvand</t>
        </r>
      </text>
    </comment>
    <comment ref="NB68" authorId="0">
      <text>
        <r>
          <rPr>
            <b/>
            <sz val="8"/>
            <color indexed="81"/>
            <rFont val="Tahoma"/>
            <family val="2"/>
          </rPr>
          <t>Søren Kolind Hvid:</t>
        </r>
        <r>
          <rPr>
            <sz val="8"/>
            <color indexed="81"/>
            <rFont val="Tahoma"/>
            <family val="2"/>
          </rPr>
          <t xml:space="preserve">
mm vandingsvand</t>
        </r>
      </text>
    </comment>
    <comment ref="NC6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7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7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70" authorId="0">
      <text>
        <r>
          <rPr>
            <b/>
            <sz val="8"/>
            <color indexed="81"/>
            <rFont val="Tahoma"/>
            <family val="2"/>
          </rPr>
          <t>Søren Kolind Hvid:</t>
        </r>
        <r>
          <rPr>
            <sz val="8"/>
            <color indexed="81"/>
            <rFont val="Tahoma"/>
            <family val="2"/>
          </rPr>
          <t xml:space="preserve">
mm vandingsvand</t>
        </r>
      </text>
    </comment>
    <comment ref="KL70" authorId="0">
      <text>
        <r>
          <rPr>
            <b/>
            <sz val="8"/>
            <color indexed="81"/>
            <rFont val="Tahoma"/>
            <family val="2"/>
          </rPr>
          <t>Søren Kolind Hvid:</t>
        </r>
        <r>
          <rPr>
            <sz val="8"/>
            <color indexed="81"/>
            <rFont val="Tahoma"/>
            <family val="2"/>
          </rPr>
          <t xml:space="preserve">
mm vandingsvand</t>
        </r>
      </text>
    </comment>
    <comment ref="KM7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70" authorId="0">
      <text>
        <r>
          <rPr>
            <b/>
            <sz val="8"/>
            <color indexed="81"/>
            <rFont val="Tahoma"/>
            <family val="2"/>
          </rPr>
          <t>Søren Kolind Hvid:</t>
        </r>
        <r>
          <rPr>
            <sz val="8"/>
            <color indexed="81"/>
            <rFont val="Tahoma"/>
            <family val="2"/>
          </rPr>
          <t xml:space="preserve">
mm vandingsvand</t>
        </r>
      </text>
    </comment>
    <comment ref="NB70" authorId="0">
      <text>
        <r>
          <rPr>
            <b/>
            <sz val="8"/>
            <color indexed="81"/>
            <rFont val="Tahoma"/>
            <family val="2"/>
          </rPr>
          <t>Søren Kolind Hvid:</t>
        </r>
        <r>
          <rPr>
            <sz val="8"/>
            <color indexed="81"/>
            <rFont val="Tahoma"/>
            <family val="2"/>
          </rPr>
          <t xml:space="preserve">
mm vandingsvand</t>
        </r>
      </text>
    </comment>
    <comment ref="NC7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R78" authorId="0">
      <text>
        <r>
          <rPr>
            <b/>
            <sz val="8"/>
            <color indexed="81"/>
            <rFont val="Tahoma"/>
            <family val="2"/>
          </rPr>
          <t>Søren Kolind Hvid:</t>
        </r>
        <r>
          <rPr>
            <sz val="8"/>
            <color indexed="81"/>
            <rFont val="Tahoma"/>
            <family val="2"/>
          </rPr>
          <t xml:space="preserve">
Beregning:
Hvis dyrket areal under 10 ha, så 0 ha efterafgrøder.
Hvis dyrket areal under 30 ha, så krav fra miljøgodkendelse plus det efterafgrødekrav, der ikke dækkes af grønne marker (pct grønne marker + efterafgrødekrav - 100).
Hvis over 30 ha så som ovenfor, dog mindst 4 ha pligtige efterafgrøder ud over kravet fra miljøgodkendelsen.</t>
        </r>
      </text>
    </comment>
    <comment ref="S109" authorId="0">
      <text>
        <r>
          <rPr>
            <b/>
            <sz val="8"/>
            <color indexed="81"/>
            <rFont val="Tahoma"/>
            <family val="2"/>
          </rPr>
          <t>Søren Kolind Hvid:</t>
        </r>
        <r>
          <rPr>
            <sz val="8"/>
            <color indexed="81"/>
            <rFont val="Tahoma"/>
            <family val="2"/>
          </rPr>
          <t xml:space="preserve">
Korrektion af omkostninger til pløjning og stubharvning afhængig af jordtype</t>
        </r>
      </text>
    </comment>
    <comment ref="T11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AI113" authorId="0">
      <text>
        <r>
          <rPr>
            <b/>
            <sz val="8"/>
            <color indexed="81"/>
            <rFont val="Tahoma"/>
            <family val="2"/>
          </rPr>
          <t>Søren Kolind Hvid:</t>
        </r>
        <r>
          <rPr>
            <sz val="8"/>
            <color indexed="81"/>
            <rFont val="Tahoma"/>
            <family val="2"/>
          </rPr>
          <t xml:space="preserve">
Hvis 'Nmodel' er lig pantmodel (2), så beregnes UDBtab ud fra Noptpant i stedet for N-norm tilpasset.</t>
        </r>
      </text>
    </comment>
    <comment ref="AJ113" authorId="0">
      <text>
        <r>
          <rPr>
            <b/>
            <sz val="8"/>
            <color indexed="81"/>
            <rFont val="Tahoma"/>
            <family val="2"/>
          </rPr>
          <t>Søren Kolind Hvid:</t>
        </r>
        <r>
          <rPr>
            <sz val="8"/>
            <color indexed="81"/>
            <rFont val="Tahoma"/>
            <family val="2"/>
          </rPr>
          <t xml:space="preserve">
Ved N-norm beregner udbyttefunktionen et udbytte, der afviger en anelse fra den rene udbyttenorm (som opslag). Udbyttet ved ændret N-tilførsel skal korrigeres for den afvigelse, der er mellem den rene udbyttenorm (opslag) og det beregnede udbytte ved N-norm.
Tallet UDB afvigelse viser hvor meget det beregnede udbytte ved N-norm ligger over den rene udbyttenorm (opslag). Dvs. det beregnede udbytte ligger over, hvis tallet er positivt.</t>
        </r>
      </text>
    </comment>
    <comment ref="AO113" authorId="0">
      <text>
        <r>
          <rPr>
            <b/>
            <sz val="8"/>
            <color indexed="81"/>
            <rFont val="Tahoma"/>
            <family val="2"/>
          </rPr>
          <t>Søren Kolind Hvid:</t>
        </r>
        <r>
          <rPr>
            <sz val="8"/>
            <color indexed="81"/>
            <rFont val="Tahoma"/>
            <family val="2"/>
          </rPr>
          <t xml:space="preserve">
Kvælstofinput ved pantmodel.
Indgår i beregning af UDBtab (og aktuel udbytte) i stedet for aktuel N-tilførsel</t>
        </r>
      </text>
    </comment>
    <comment ref="AQ114"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CP114"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FD114"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F114"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L114" authorId="0">
      <text>
        <r>
          <rPr>
            <b/>
            <sz val="8"/>
            <color indexed="81"/>
            <rFont val="Tahoma"/>
            <family val="2"/>
          </rPr>
          <t>Søren Kolind Hvid:</t>
        </r>
        <r>
          <rPr>
            <sz val="8"/>
            <color indexed="81"/>
            <rFont val="Tahoma"/>
            <family val="2"/>
          </rPr>
          <t xml:space="preserve">
Her beregnes den ekstra N-tilførsel som anvendelse af husdyrgødning bevirker i forhold til kun at anvende handelsgødning efter N-norm</t>
        </r>
      </text>
    </comment>
    <comment ref="II114" authorId="0">
      <text>
        <r>
          <rPr>
            <b/>
            <sz val="8"/>
            <color indexed="81"/>
            <rFont val="Tahoma"/>
            <family val="2"/>
          </rPr>
          <t>Søren Kolind Hvid:</t>
        </r>
        <r>
          <rPr>
            <sz val="8"/>
            <color indexed="81"/>
            <rFont val="Tahoma"/>
            <family val="2"/>
          </rPr>
          <t xml:space="preserve">
Kan ikke erstattes af husdyrgødning.</t>
        </r>
      </text>
    </comment>
    <comment ref="IJ114" authorId="0">
      <text>
        <r>
          <rPr>
            <b/>
            <sz val="8"/>
            <color indexed="81"/>
            <rFont val="Tahoma"/>
            <family val="2"/>
          </rPr>
          <t>Søren Kolind Hvid:</t>
        </r>
        <r>
          <rPr>
            <sz val="8"/>
            <color indexed="81"/>
            <rFont val="Tahoma"/>
            <family val="2"/>
          </rPr>
          <t xml:space="preserve">
Kan tilføres med husdyrgødning.</t>
        </r>
      </text>
    </comment>
    <comment ref="IN11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R11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X11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HL11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1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16" authorId="0">
      <text>
        <r>
          <rPr>
            <b/>
            <sz val="8"/>
            <color indexed="81"/>
            <rFont val="Tahoma"/>
            <family val="2"/>
          </rPr>
          <t>Søren Kolind Hvid:</t>
        </r>
        <r>
          <rPr>
            <sz val="8"/>
            <color indexed="81"/>
            <rFont val="Tahoma"/>
            <family val="2"/>
          </rPr>
          <t xml:space="preserve">
mm vandingsvand</t>
        </r>
      </text>
    </comment>
    <comment ref="KL116" authorId="0">
      <text>
        <r>
          <rPr>
            <b/>
            <sz val="8"/>
            <color indexed="81"/>
            <rFont val="Tahoma"/>
            <family val="2"/>
          </rPr>
          <t>Søren Kolind Hvid:</t>
        </r>
        <r>
          <rPr>
            <sz val="8"/>
            <color indexed="81"/>
            <rFont val="Tahoma"/>
            <family val="2"/>
          </rPr>
          <t xml:space="preserve">
mm vandingsvand</t>
        </r>
      </text>
    </comment>
    <comment ref="KM11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16" authorId="0">
      <text>
        <r>
          <rPr>
            <b/>
            <sz val="8"/>
            <color indexed="81"/>
            <rFont val="Tahoma"/>
            <family val="2"/>
          </rPr>
          <t>Søren Kolind Hvid:</t>
        </r>
        <r>
          <rPr>
            <sz val="8"/>
            <color indexed="81"/>
            <rFont val="Tahoma"/>
            <family val="2"/>
          </rPr>
          <t xml:space="preserve">
mm vandingsvand</t>
        </r>
      </text>
    </comment>
    <comment ref="NB116" authorId="0">
      <text>
        <r>
          <rPr>
            <b/>
            <sz val="8"/>
            <color indexed="81"/>
            <rFont val="Tahoma"/>
            <family val="2"/>
          </rPr>
          <t>Søren Kolind Hvid:</t>
        </r>
        <r>
          <rPr>
            <sz val="8"/>
            <color indexed="81"/>
            <rFont val="Tahoma"/>
            <family val="2"/>
          </rPr>
          <t xml:space="preserve">
mm vandingsvand</t>
        </r>
      </text>
    </comment>
    <comment ref="NC11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1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1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18" authorId="0">
      <text>
        <r>
          <rPr>
            <b/>
            <sz val="8"/>
            <color indexed="81"/>
            <rFont val="Tahoma"/>
            <family val="2"/>
          </rPr>
          <t>Søren Kolind Hvid:</t>
        </r>
        <r>
          <rPr>
            <sz val="8"/>
            <color indexed="81"/>
            <rFont val="Tahoma"/>
            <family val="2"/>
          </rPr>
          <t xml:space="preserve">
mm vandingsvand</t>
        </r>
      </text>
    </comment>
    <comment ref="KL118" authorId="0">
      <text>
        <r>
          <rPr>
            <b/>
            <sz val="8"/>
            <color indexed="81"/>
            <rFont val="Tahoma"/>
            <family val="2"/>
          </rPr>
          <t>Søren Kolind Hvid:</t>
        </r>
        <r>
          <rPr>
            <sz val="8"/>
            <color indexed="81"/>
            <rFont val="Tahoma"/>
            <family val="2"/>
          </rPr>
          <t xml:space="preserve">
mm vandingsvand</t>
        </r>
      </text>
    </comment>
    <comment ref="KM11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18" authorId="0">
      <text>
        <r>
          <rPr>
            <b/>
            <sz val="8"/>
            <color indexed="81"/>
            <rFont val="Tahoma"/>
            <family val="2"/>
          </rPr>
          <t>Søren Kolind Hvid:</t>
        </r>
        <r>
          <rPr>
            <sz val="8"/>
            <color indexed="81"/>
            <rFont val="Tahoma"/>
            <family val="2"/>
          </rPr>
          <t xml:space="preserve">
mm vandingsvand</t>
        </r>
      </text>
    </comment>
    <comment ref="NB118" authorId="0">
      <text>
        <r>
          <rPr>
            <b/>
            <sz val="8"/>
            <color indexed="81"/>
            <rFont val="Tahoma"/>
            <family val="2"/>
          </rPr>
          <t>Søren Kolind Hvid:</t>
        </r>
        <r>
          <rPr>
            <sz val="8"/>
            <color indexed="81"/>
            <rFont val="Tahoma"/>
            <family val="2"/>
          </rPr>
          <t xml:space="preserve">
mm vandingsvand</t>
        </r>
      </text>
    </comment>
    <comment ref="NC11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2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2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20" authorId="0">
      <text>
        <r>
          <rPr>
            <b/>
            <sz val="8"/>
            <color indexed="81"/>
            <rFont val="Tahoma"/>
            <family val="2"/>
          </rPr>
          <t>Søren Kolind Hvid:</t>
        </r>
        <r>
          <rPr>
            <sz val="8"/>
            <color indexed="81"/>
            <rFont val="Tahoma"/>
            <family val="2"/>
          </rPr>
          <t xml:space="preserve">
mm vandingsvand</t>
        </r>
      </text>
    </comment>
    <comment ref="KL120" authorId="0">
      <text>
        <r>
          <rPr>
            <b/>
            <sz val="8"/>
            <color indexed="81"/>
            <rFont val="Tahoma"/>
            <family val="2"/>
          </rPr>
          <t>Søren Kolind Hvid:</t>
        </r>
        <r>
          <rPr>
            <sz val="8"/>
            <color indexed="81"/>
            <rFont val="Tahoma"/>
            <family val="2"/>
          </rPr>
          <t xml:space="preserve">
mm vandingsvand</t>
        </r>
      </text>
    </comment>
    <comment ref="KM12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20" authorId="0">
      <text>
        <r>
          <rPr>
            <b/>
            <sz val="8"/>
            <color indexed="81"/>
            <rFont val="Tahoma"/>
            <family val="2"/>
          </rPr>
          <t>Søren Kolind Hvid:</t>
        </r>
        <r>
          <rPr>
            <sz val="8"/>
            <color indexed="81"/>
            <rFont val="Tahoma"/>
            <family val="2"/>
          </rPr>
          <t xml:space="preserve">
mm vandingsvand</t>
        </r>
      </text>
    </comment>
    <comment ref="NB120" authorId="0">
      <text>
        <r>
          <rPr>
            <b/>
            <sz val="8"/>
            <color indexed="81"/>
            <rFont val="Tahoma"/>
            <family val="2"/>
          </rPr>
          <t>Søren Kolind Hvid:</t>
        </r>
        <r>
          <rPr>
            <sz val="8"/>
            <color indexed="81"/>
            <rFont val="Tahoma"/>
            <family val="2"/>
          </rPr>
          <t xml:space="preserve">
mm vandingsvand</t>
        </r>
      </text>
    </comment>
    <comment ref="NC12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2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2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22" authorId="0">
      <text>
        <r>
          <rPr>
            <b/>
            <sz val="8"/>
            <color indexed="81"/>
            <rFont val="Tahoma"/>
            <family val="2"/>
          </rPr>
          <t>Søren Kolind Hvid:</t>
        </r>
        <r>
          <rPr>
            <sz val="8"/>
            <color indexed="81"/>
            <rFont val="Tahoma"/>
            <family val="2"/>
          </rPr>
          <t xml:space="preserve">
mm vandingsvand</t>
        </r>
      </text>
    </comment>
    <comment ref="KL122" authorId="0">
      <text>
        <r>
          <rPr>
            <b/>
            <sz val="8"/>
            <color indexed="81"/>
            <rFont val="Tahoma"/>
            <family val="2"/>
          </rPr>
          <t>Søren Kolind Hvid:</t>
        </r>
        <r>
          <rPr>
            <sz val="8"/>
            <color indexed="81"/>
            <rFont val="Tahoma"/>
            <family val="2"/>
          </rPr>
          <t xml:space="preserve">
mm vandingsvand</t>
        </r>
      </text>
    </comment>
    <comment ref="KM12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22" authorId="0">
      <text>
        <r>
          <rPr>
            <b/>
            <sz val="8"/>
            <color indexed="81"/>
            <rFont val="Tahoma"/>
            <family val="2"/>
          </rPr>
          <t>Søren Kolind Hvid:</t>
        </r>
        <r>
          <rPr>
            <sz val="8"/>
            <color indexed="81"/>
            <rFont val="Tahoma"/>
            <family val="2"/>
          </rPr>
          <t xml:space="preserve">
mm vandingsvand</t>
        </r>
      </text>
    </comment>
    <comment ref="NB122" authorId="0">
      <text>
        <r>
          <rPr>
            <b/>
            <sz val="8"/>
            <color indexed="81"/>
            <rFont val="Tahoma"/>
            <family val="2"/>
          </rPr>
          <t>Søren Kolind Hvid:</t>
        </r>
        <r>
          <rPr>
            <sz val="8"/>
            <color indexed="81"/>
            <rFont val="Tahoma"/>
            <family val="2"/>
          </rPr>
          <t xml:space="preserve">
mm vandingsvand</t>
        </r>
      </text>
    </comment>
    <comment ref="NC12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2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2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24" authorId="0">
      <text>
        <r>
          <rPr>
            <b/>
            <sz val="8"/>
            <color indexed="81"/>
            <rFont val="Tahoma"/>
            <family val="2"/>
          </rPr>
          <t>Søren Kolind Hvid:</t>
        </r>
        <r>
          <rPr>
            <sz val="8"/>
            <color indexed="81"/>
            <rFont val="Tahoma"/>
            <family val="2"/>
          </rPr>
          <t xml:space="preserve">
mm vandingsvand</t>
        </r>
      </text>
    </comment>
    <comment ref="KL124" authorId="0">
      <text>
        <r>
          <rPr>
            <b/>
            <sz val="8"/>
            <color indexed="81"/>
            <rFont val="Tahoma"/>
            <family val="2"/>
          </rPr>
          <t>Søren Kolind Hvid:</t>
        </r>
        <r>
          <rPr>
            <sz val="8"/>
            <color indexed="81"/>
            <rFont val="Tahoma"/>
            <family val="2"/>
          </rPr>
          <t xml:space="preserve">
mm vandingsvand</t>
        </r>
      </text>
    </comment>
    <comment ref="KM12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24" authorId="0">
      <text>
        <r>
          <rPr>
            <b/>
            <sz val="8"/>
            <color indexed="81"/>
            <rFont val="Tahoma"/>
            <family val="2"/>
          </rPr>
          <t>Søren Kolind Hvid:</t>
        </r>
        <r>
          <rPr>
            <sz val="8"/>
            <color indexed="81"/>
            <rFont val="Tahoma"/>
            <family val="2"/>
          </rPr>
          <t xml:space="preserve">
mm vandingsvand</t>
        </r>
      </text>
    </comment>
    <comment ref="NB124" authorId="0">
      <text>
        <r>
          <rPr>
            <b/>
            <sz val="8"/>
            <color indexed="81"/>
            <rFont val="Tahoma"/>
            <family val="2"/>
          </rPr>
          <t>Søren Kolind Hvid:</t>
        </r>
        <r>
          <rPr>
            <sz val="8"/>
            <color indexed="81"/>
            <rFont val="Tahoma"/>
            <family val="2"/>
          </rPr>
          <t xml:space="preserve">
mm vandingsvand</t>
        </r>
      </text>
    </comment>
    <comment ref="NC12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2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2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26" authorId="0">
      <text>
        <r>
          <rPr>
            <b/>
            <sz val="8"/>
            <color indexed="81"/>
            <rFont val="Tahoma"/>
            <family val="2"/>
          </rPr>
          <t>Søren Kolind Hvid:</t>
        </r>
        <r>
          <rPr>
            <sz val="8"/>
            <color indexed="81"/>
            <rFont val="Tahoma"/>
            <family val="2"/>
          </rPr>
          <t xml:space="preserve">
mm vandingsvand</t>
        </r>
      </text>
    </comment>
    <comment ref="KL126" authorId="0">
      <text>
        <r>
          <rPr>
            <b/>
            <sz val="8"/>
            <color indexed="81"/>
            <rFont val="Tahoma"/>
            <family val="2"/>
          </rPr>
          <t>Søren Kolind Hvid:</t>
        </r>
        <r>
          <rPr>
            <sz val="8"/>
            <color indexed="81"/>
            <rFont val="Tahoma"/>
            <family val="2"/>
          </rPr>
          <t xml:space="preserve">
mm vandingsvand</t>
        </r>
      </text>
    </comment>
    <comment ref="KM12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26" authorId="0">
      <text>
        <r>
          <rPr>
            <b/>
            <sz val="8"/>
            <color indexed="81"/>
            <rFont val="Tahoma"/>
            <family val="2"/>
          </rPr>
          <t>Søren Kolind Hvid:</t>
        </r>
        <r>
          <rPr>
            <sz val="8"/>
            <color indexed="81"/>
            <rFont val="Tahoma"/>
            <family val="2"/>
          </rPr>
          <t xml:space="preserve">
mm vandingsvand</t>
        </r>
      </text>
    </comment>
    <comment ref="NB126" authorId="0">
      <text>
        <r>
          <rPr>
            <b/>
            <sz val="8"/>
            <color indexed="81"/>
            <rFont val="Tahoma"/>
            <family val="2"/>
          </rPr>
          <t>Søren Kolind Hvid:</t>
        </r>
        <r>
          <rPr>
            <sz val="8"/>
            <color indexed="81"/>
            <rFont val="Tahoma"/>
            <family val="2"/>
          </rPr>
          <t xml:space="preserve">
mm vandingsvand</t>
        </r>
      </text>
    </comment>
    <comment ref="NC12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2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2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28" authorId="0">
      <text>
        <r>
          <rPr>
            <b/>
            <sz val="8"/>
            <color indexed="81"/>
            <rFont val="Tahoma"/>
            <family val="2"/>
          </rPr>
          <t>Søren Kolind Hvid:</t>
        </r>
        <r>
          <rPr>
            <sz val="8"/>
            <color indexed="81"/>
            <rFont val="Tahoma"/>
            <family val="2"/>
          </rPr>
          <t xml:space="preserve">
mm vandingsvand</t>
        </r>
      </text>
    </comment>
    <comment ref="KL128" authorId="0">
      <text>
        <r>
          <rPr>
            <b/>
            <sz val="8"/>
            <color indexed="81"/>
            <rFont val="Tahoma"/>
            <family val="2"/>
          </rPr>
          <t>Søren Kolind Hvid:</t>
        </r>
        <r>
          <rPr>
            <sz val="8"/>
            <color indexed="81"/>
            <rFont val="Tahoma"/>
            <family val="2"/>
          </rPr>
          <t xml:space="preserve">
mm vandingsvand</t>
        </r>
      </text>
    </comment>
    <comment ref="KM12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28" authorId="0">
      <text>
        <r>
          <rPr>
            <b/>
            <sz val="8"/>
            <color indexed="81"/>
            <rFont val="Tahoma"/>
            <family val="2"/>
          </rPr>
          <t>Søren Kolind Hvid:</t>
        </r>
        <r>
          <rPr>
            <sz val="8"/>
            <color indexed="81"/>
            <rFont val="Tahoma"/>
            <family val="2"/>
          </rPr>
          <t xml:space="preserve">
mm vandingsvand</t>
        </r>
      </text>
    </comment>
    <comment ref="NB128" authorId="0">
      <text>
        <r>
          <rPr>
            <b/>
            <sz val="8"/>
            <color indexed="81"/>
            <rFont val="Tahoma"/>
            <family val="2"/>
          </rPr>
          <t>Søren Kolind Hvid:</t>
        </r>
        <r>
          <rPr>
            <sz val="8"/>
            <color indexed="81"/>
            <rFont val="Tahoma"/>
            <family val="2"/>
          </rPr>
          <t xml:space="preserve">
mm vandingsvand</t>
        </r>
      </text>
    </comment>
    <comment ref="NC12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3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3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30" authorId="0">
      <text>
        <r>
          <rPr>
            <b/>
            <sz val="8"/>
            <color indexed="81"/>
            <rFont val="Tahoma"/>
            <family val="2"/>
          </rPr>
          <t>Søren Kolind Hvid:</t>
        </r>
        <r>
          <rPr>
            <sz val="8"/>
            <color indexed="81"/>
            <rFont val="Tahoma"/>
            <family val="2"/>
          </rPr>
          <t xml:space="preserve">
mm vandingsvand</t>
        </r>
      </text>
    </comment>
    <comment ref="KL130" authorId="0">
      <text>
        <r>
          <rPr>
            <b/>
            <sz val="8"/>
            <color indexed="81"/>
            <rFont val="Tahoma"/>
            <family val="2"/>
          </rPr>
          <t>Søren Kolind Hvid:</t>
        </r>
        <r>
          <rPr>
            <sz val="8"/>
            <color indexed="81"/>
            <rFont val="Tahoma"/>
            <family val="2"/>
          </rPr>
          <t xml:space="preserve">
mm vandingsvand</t>
        </r>
      </text>
    </comment>
    <comment ref="KM13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30" authorId="0">
      <text>
        <r>
          <rPr>
            <b/>
            <sz val="8"/>
            <color indexed="81"/>
            <rFont val="Tahoma"/>
            <family val="2"/>
          </rPr>
          <t>Søren Kolind Hvid:</t>
        </r>
        <r>
          <rPr>
            <sz val="8"/>
            <color indexed="81"/>
            <rFont val="Tahoma"/>
            <family val="2"/>
          </rPr>
          <t xml:space="preserve">
mm vandingsvand</t>
        </r>
      </text>
    </comment>
    <comment ref="NB130" authorId="0">
      <text>
        <r>
          <rPr>
            <b/>
            <sz val="8"/>
            <color indexed="81"/>
            <rFont val="Tahoma"/>
            <family val="2"/>
          </rPr>
          <t>Søren Kolind Hvid:</t>
        </r>
        <r>
          <rPr>
            <sz val="8"/>
            <color indexed="81"/>
            <rFont val="Tahoma"/>
            <family val="2"/>
          </rPr>
          <t xml:space="preserve">
mm vandingsvand</t>
        </r>
      </text>
    </comment>
    <comment ref="NC13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133" authorId="0">
      <text>
        <r>
          <rPr>
            <b/>
            <sz val="8"/>
            <color indexed="81"/>
            <rFont val="Tahoma"/>
            <family val="2"/>
          </rPr>
          <t>Søren Kolind Hvid:</t>
        </r>
        <r>
          <rPr>
            <sz val="8"/>
            <color indexed="81"/>
            <rFont val="Tahoma"/>
            <family val="2"/>
          </rPr>
          <t xml:space="preserve">
Korrektion af omkostninger til pløjning og stubharvning afhængig af jordtype</t>
        </r>
      </text>
    </comment>
    <comment ref="L13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AI135" authorId="0">
      <text>
        <r>
          <rPr>
            <b/>
            <sz val="8"/>
            <color indexed="81"/>
            <rFont val="Tahoma"/>
            <family val="2"/>
          </rPr>
          <t>Søren Kolind Hvid:</t>
        </r>
        <r>
          <rPr>
            <sz val="8"/>
            <color indexed="81"/>
            <rFont val="Tahoma"/>
            <family val="2"/>
          </rPr>
          <t xml:space="preserve">
Hvis 'Nmodel' er lig pantmodel (2), så beregnes UDBtab ud fra Noptpant i stedet for N-norm tilpasset.</t>
        </r>
      </text>
    </comment>
    <comment ref="AJ135" authorId="0">
      <text>
        <r>
          <rPr>
            <b/>
            <sz val="8"/>
            <color indexed="81"/>
            <rFont val="Tahoma"/>
            <family val="2"/>
          </rPr>
          <t>Søren Kolind Hvid:</t>
        </r>
        <r>
          <rPr>
            <sz val="8"/>
            <color indexed="81"/>
            <rFont val="Tahoma"/>
            <family val="2"/>
          </rPr>
          <t xml:space="preserve">
Ved N-norm beregner udbyttefunktionen et udbytte, der afviger en anelse fra den rene udbyttenorm (som opslag). Udbyttet ved ændret N-tilførsel skal korrigeres for den afvigelse, der er mellem den rene udbyttenorm (opslag) og det beregnede udbytte ved N-norm.
Tallet UDB afvigelse viser hvor meget det beregnede udbytte ved N-norm ligger over den rene udbyttenorm (opslag). Dvs. det beregnede udbytte ligger over, hvis tallet er positivt.</t>
        </r>
      </text>
    </comment>
    <comment ref="AO135" authorId="0">
      <text>
        <r>
          <rPr>
            <b/>
            <sz val="8"/>
            <color indexed="81"/>
            <rFont val="Tahoma"/>
            <family val="2"/>
          </rPr>
          <t>Søren Kolind Hvid:</t>
        </r>
        <r>
          <rPr>
            <sz val="8"/>
            <color indexed="81"/>
            <rFont val="Tahoma"/>
            <family val="2"/>
          </rPr>
          <t xml:space="preserve">
Kvælstofinput ved pantmodel.
Indgår i beregning af UDBtab (og aktuel udbytte) i stedet for aktuel N-tilførsel</t>
        </r>
      </text>
    </comment>
    <comment ref="AQ136"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CP136"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FD136"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F136"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L136" authorId="0">
      <text>
        <r>
          <rPr>
            <b/>
            <sz val="8"/>
            <color indexed="81"/>
            <rFont val="Tahoma"/>
            <family val="2"/>
          </rPr>
          <t>Søren Kolind Hvid:</t>
        </r>
        <r>
          <rPr>
            <sz val="8"/>
            <color indexed="81"/>
            <rFont val="Tahoma"/>
            <family val="2"/>
          </rPr>
          <t xml:space="preserve">
Her beregnes den ekstra N-tilførsel som anvendelse af husdyrgødning bevirker i forhold til kun at anvende handelsgødning efter N-norm</t>
        </r>
      </text>
    </comment>
    <comment ref="II136" authorId="0">
      <text>
        <r>
          <rPr>
            <b/>
            <sz val="8"/>
            <color indexed="81"/>
            <rFont val="Tahoma"/>
            <family val="2"/>
          </rPr>
          <t>Søren Kolind Hvid:</t>
        </r>
        <r>
          <rPr>
            <sz val="8"/>
            <color indexed="81"/>
            <rFont val="Tahoma"/>
            <family val="2"/>
          </rPr>
          <t xml:space="preserve">
Kan ikke erstattes af husdyrgødning.</t>
        </r>
      </text>
    </comment>
    <comment ref="IJ136" authorId="0">
      <text>
        <r>
          <rPr>
            <b/>
            <sz val="8"/>
            <color indexed="81"/>
            <rFont val="Tahoma"/>
            <family val="2"/>
          </rPr>
          <t>Søren Kolind Hvid:</t>
        </r>
        <r>
          <rPr>
            <sz val="8"/>
            <color indexed="81"/>
            <rFont val="Tahoma"/>
            <family val="2"/>
          </rPr>
          <t xml:space="preserve">
Kan tilføres med husdyrgødning.</t>
        </r>
      </text>
    </comment>
    <comment ref="IN13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R13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X13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HL1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38" authorId="0">
      <text>
        <r>
          <rPr>
            <b/>
            <sz val="8"/>
            <color indexed="81"/>
            <rFont val="Tahoma"/>
            <family val="2"/>
          </rPr>
          <t>Søren Kolind Hvid:</t>
        </r>
        <r>
          <rPr>
            <sz val="8"/>
            <color indexed="81"/>
            <rFont val="Tahoma"/>
            <family val="2"/>
          </rPr>
          <t xml:space="preserve">
mm vandingsvand</t>
        </r>
      </text>
    </comment>
    <comment ref="KL138" authorId="0">
      <text>
        <r>
          <rPr>
            <b/>
            <sz val="8"/>
            <color indexed="81"/>
            <rFont val="Tahoma"/>
            <family val="2"/>
          </rPr>
          <t>Søren Kolind Hvid:</t>
        </r>
        <r>
          <rPr>
            <sz val="8"/>
            <color indexed="81"/>
            <rFont val="Tahoma"/>
            <family val="2"/>
          </rPr>
          <t xml:space="preserve">
mm vandingsvand</t>
        </r>
      </text>
    </comment>
    <comment ref="KM13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38" authorId="0">
      <text>
        <r>
          <rPr>
            <b/>
            <sz val="8"/>
            <color indexed="81"/>
            <rFont val="Tahoma"/>
            <family val="2"/>
          </rPr>
          <t>Søren Kolind Hvid:</t>
        </r>
        <r>
          <rPr>
            <sz val="8"/>
            <color indexed="81"/>
            <rFont val="Tahoma"/>
            <family val="2"/>
          </rPr>
          <t xml:space="preserve">
mm vandingsvand</t>
        </r>
      </text>
    </comment>
    <comment ref="NB138" authorId="0">
      <text>
        <r>
          <rPr>
            <b/>
            <sz val="8"/>
            <color indexed="81"/>
            <rFont val="Tahoma"/>
            <family val="2"/>
          </rPr>
          <t>Søren Kolind Hvid:</t>
        </r>
        <r>
          <rPr>
            <sz val="8"/>
            <color indexed="81"/>
            <rFont val="Tahoma"/>
            <family val="2"/>
          </rPr>
          <t xml:space="preserve">
mm vandingsvand</t>
        </r>
      </text>
    </comment>
    <comment ref="NC13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40" authorId="0">
      <text>
        <r>
          <rPr>
            <b/>
            <sz val="8"/>
            <color indexed="81"/>
            <rFont val="Tahoma"/>
            <family val="2"/>
          </rPr>
          <t>Søren Kolind Hvid:</t>
        </r>
        <r>
          <rPr>
            <sz val="8"/>
            <color indexed="81"/>
            <rFont val="Tahoma"/>
            <family val="2"/>
          </rPr>
          <t xml:space="preserve">
mm vandingsvand</t>
        </r>
      </text>
    </comment>
    <comment ref="KL140" authorId="0">
      <text>
        <r>
          <rPr>
            <b/>
            <sz val="8"/>
            <color indexed="81"/>
            <rFont val="Tahoma"/>
            <family val="2"/>
          </rPr>
          <t>Søren Kolind Hvid:</t>
        </r>
        <r>
          <rPr>
            <sz val="8"/>
            <color indexed="81"/>
            <rFont val="Tahoma"/>
            <family val="2"/>
          </rPr>
          <t xml:space="preserve">
mm vandingsvand</t>
        </r>
      </text>
    </comment>
    <comment ref="KM14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40" authorId="0">
      <text>
        <r>
          <rPr>
            <b/>
            <sz val="8"/>
            <color indexed="81"/>
            <rFont val="Tahoma"/>
            <family val="2"/>
          </rPr>
          <t>Søren Kolind Hvid:</t>
        </r>
        <r>
          <rPr>
            <sz val="8"/>
            <color indexed="81"/>
            <rFont val="Tahoma"/>
            <family val="2"/>
          </rPr>
          <t xml:space="preserve">
mm vandingsvand</t>
        </r>
      </text>
    </comment>
    <comment ref="NB140" authorId="0">
      <text>
        <r>
          <rPr>
            <b/>
            <sz val="8"/>
            <color indexed="81"/>
            <rFont val="Tahoma"/>
            <family val="2"/>
          </rPr>
          <t>Søren Kolind Hvid:</t>
        </r>
        <r>
          <rPr>
            <sz val="8"/>
            <color indexed="81"/>
            <rFont val="Tahoma"/>
            <family val="2"/>
          </rPr>
          <t xml:space="preserve">
mm vandingsvand</t>
        </r>
      </text>
    </comment>
    <comment ref="NC14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42" authorId="0">
      <text>
        <r>
          <rPr>
            <b/>
            <sz val="8"/>
            <color indexed="81"/>
            <rFont val="Tahoma"/>
            <family val="2"/>
          </rPr>
          <t>Søren Kolind Hvid:</t>
        </r>
        <r>
          <rPr>
            <sz val="8"/>
            <color indexed="81"/>
            <rFont val="Tahoma"/>
            <family val="2"/>
          </rPr>
          <t xml:space="preserve">
mm vandingsvand</t>
        </r>
      </text>
    </comment>
    <comment ref="KL142" authorId="0">
      <text>
        <r>
          <rPr>
            <b/>
            <sz val="8"/>
            <color indexed="81"/>
            <rFont val="Tahoma"/>
            <family val="2"/>
          </rPr>
          <t>Søren Kolind Hvid:</t>
        </r>
        <r>
          <rPr>
            <sz val="8"/>
            <color indexed="81"/>
            <rFont val="Tahoma"/>
            <family val="2"/>
          </rPr>
          <t xml:space="preserve">
mm vandingsvand</t>
        </r>
      </text>
    </comment>
    <comment ref="KM14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42" authorId="0">
      <text>
        <r>
          <rPr>
            <b/>
            <sz val="8"/>
            <color indexed="81"/>
            <rFont val="Tahoma"/>
            <family val="2"/>
          </rPr>
          <t>Søren Kolind Hvid:</t>
        </r>
        <r>
          <rPr>
            <sz val="8"/>
            <color indexed="81"/>
            <rFont val="Tahoma"/>
            <family val="2"/>
          </rPr>
          <t xml:space="preserve">
mm vandingsvand</t>
        </r>
      </text>
    </comment>
    <comment ref="NB142" authorId="0">
      <text>
        <r>
          <rPr>
            <b/>
            <sz val="8"/>
            <color indexed="81"/>
            <rFont val="Tahoma"/>
            <family val="2"/>
          </rPr>
          <t>Søren Kolind Hvid:</t>
        </r>
        <r>
          <rPr>
            <sz val="8"/>
            <color indexed="81"/>
            <rFont val="Tahoma"/>
            <family val="2"/>
          </rPr>
          <t xml:space="preserve">
mm vandingsvand</t>
        </r>
      </text>
    </comment>
    <comment ref="NC14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44" authorId="0">
      <text>
        <r>
          <rPr>
            <b/>
            <sz val="8"/>
            <color indexed="81"/>
            <rFont val="Tahoma"/>
            <family val="2"/>
          </rPr>
          <t>Søren Kolind Hvid:</t>
        </r>
        <r>
          <rPr>
            <sz val="8"/>
            <color indexed="81"/>
            <rFont val="Tahoma"/>
            <family val="2"/>
          </rPr>
          <t xml:space="preserve">
mm vandingsvand</t>
        </r>
      </text>
    </comment>
    <comment ref="KL144" authorId="0">
      <text>
        <r>
          <rPr>
            <b/>
            <sz val="8"/>
            <color indexed="81"/>
            <rFont val="Tahoma"/>
            <family val="2"/>
          </rPr>
          <t>Søren Kolind Hvid:</t>
        </r>
        <r>
          <rPr>
            <sz val="8"/>
            <color indexed="81"/>
            <rFont val="Tahoma"/>
            <family val="2"/>
          </rPr>
          <t xml:space="preserve">
mm vandingsvand</t>
        </r>
      </text>
    </comment>
    <comment ref="KM14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44" authorId="0">
      <text>
        <r>
          <rPr>
            <b/>
            <sz val="8"/>
            <color indexed="81"/>
            <rFont val="Tahoma"/>
            <family val="2"/>
          </rPr>
          <t>Søren Kolind Hvid:</t>
        </r>
        <r>
          <rPr>
            <sz val="8"/>
            <color indexed="81"/>
            <rFont val="Tahoma"/>
            <family val="2"/>
          </rPr>
          <t xml:space="preserve">
mm vandingsvand</t>
        </r>
      </text>
    </comment>
    <comment ref="NB144" authorId="0">
      <text>
        <r>
          <rPr>
            <b/>
            <sz val="8"/>
            <color indexed="81"/>
            <rFont val="Tahoma"/>
            <family val="2"/>
          </rPr>
          <t>Søren Kolind Hvid:</t>
        </r>
        <r>
          <rPr>
            <sz val="8"/>
            <color indexed="81"/>
            <rFont val="Tahoma"/>
            <family val="2"/>
          </rPr>
          <t xml:space="preserve">
mm vandingsvand</t>
        </r>
      </text>
    </comment>
    <comment ref="NC14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46" authorId="0">
      <text>
        <r>
          <rPr>
            <b/>
            <sz val="8"/>
            <color indexed="81"/>
            <rFont val="Tahoma"/>
            <family val="2"/>
          </rPr>
          <t>Søren Kolind Hvid:</t>
        </r>
        <r>
          <rPr>
            <sz val="8"/>
            <color indexed="81"/>
            <rFont val="Tahoma"/>
            <family val="2"/>
          </rPr>
          <t xml:space="preserve">
mm vandingsvand</t>
        </r>
      </text>
    </comment>
    <comment ref="KL146" authorId="0">
      <text>
        <r>
          <rPr>
            <b/>
            <sz val="8"/>
            <color indexed="81"/>
            <rFont val="Tahoma"/>
            <family val="2"/>
          </rPr>
          <t>Søren Kolind Hvid:</t>
        </r>
        <r>
          <rPr>
            <sz val="8"/>
            <color indexed="81"/>
            <rFont val="Tahoma"/>
            <family val="2"/>
          </rPr>
          <t xml:space="preserve">
mm vandingsvand</t>
        </r>
      </text>
    </comment>
    <comment ref="KM14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46" authorId="0">
      <text>
        <r>
          <rPr>
            <b/>
            <sz val="8"/>
            <color indexed="81"/>
            <rFont val="Tahoma"/>
            <family val="2"/>
          </rPr>
          <t>Søren Kolind Hvid:</t>
        </r>
        <r>
          <rPr>
            <sz val="8"/>
            <color indexed="81"/>
            <rFont val="Tahoma"/>
            <family val="2"/>
          </rPr>
          <t xml:space="preserve">
mm vandingsvand</t>
        </r>
      </text>
    </comment>
    <comment ref="NB146" authorId="0">
      <text>
        <r>
          <rPr>
            <b/>
            <sz val="8"/>
            <color indexed="81"/>
            <rFont val="Tahoma"/>
            <family val="2"/>
          </rPr>
          <t>Søren Kolind Hvid:</t>
        </r>
        <r>
          <rPr>
            <sz val="8"/>
            <color indexed="81"/>
            <rFont val="Tahoma"/>
            <family val="2"/>
          </rPr>
          <t xml:space="preserve">
mm vandingsvand</t>
        </r>
      </text>
    </comment>
    <comment ref="NC14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48" authorId="0">
      <text>
        <r>
          <rPr>
            <b/>
            <sz val="8"/>
            <color indexed="81"/>
            <rFont val="Tahoma"/>
            <family val="2"/>
          </rPr>
          <t>Søren Kolind Hvid:</t>
        </r>
        <r>
          <rPr>
            <sz val="8"/>
            <color indexed="81"/>
            <rFont val="Tahoma"/>
            <family val="2"/>
          </rPr>
          <t xml:space="preserve">
mm vandingsvand</t>
        </r>
      </text>
    </comment>
    <comment ref="KL148" authorId="0">
      <text>
        <r>
          <rPr>
            <b/>
            <sz val="8"/>
            <color indexed="81"/>
            <rFont val="Tahoma"/>
            <family val="2"/>
          </rPr>
          <t>Søren Kolind Hvid:</t>
        </r>
        <r>
          <rPr>
            <sz val="8"/>
            <color indexed="81"/>
            <rFont val="Tahoma"/>
            <family val="2"/>
          </rPr>
          <t xml:space="preserve">
mm vandingsvand</t>
        </r>
      </text>
    </comment>
    <comment ref="KM14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48" authorId="0">
      <text>
        <r>
          <rPr>
            <b/>
            <sz val="8"/>
            <color indexed="81"/>
            <rFont val="Tahoma"/>
            <family val="2"/>
          </rPr>
          <t>Søren Kolind Hvid:</t>
        </r>
        <r>
          <rPr>
            <sz val="8"/>
            <color indexed="81"/>
            <rFont val="Tahoma"/>
            <family val="2"/>
          </rPr>
          <t xml:space="preserve">
mm vandingsvand</t>
        </r>
      </text>
    </comment>
    <comment ref="NB148" authorId="0">
      <text>
        <r>
          <rPr>
            <b/>
            <sz val="8"/>
            <color indexed="81"/>
            <rFont val="Tahoma"/>
            <family val="2"/>
          </rPr>
          <t>Søren Kolind Hvid:</t>
        </r>
        <r>
          <rPr>
            <sz val="8"/>
            <color indexed="81"/>
            <rFont val="Tahoma"/>
            <family val="2"/>
          </rPr>
          <t xml:space="preserve">
mm vandingsvand</t>
        </r>
      </text>
    </comment>
    <comment ref="NC14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5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5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50" authorId="0">
      <text>
        <r>
          <rPr>
            <b/>
            <sz val="8"/>
            <color indexed="81"/>
            <rFont val="Tahoma"/>
            <family val="2"/>
          </rPr>
          <t>Søren Kolind Hvid:</t>
        </r>
        <r>
          <rPr>
            <sz val="8"/>
            <color indexed="81"/>
            <rFont val="Tahoma"/>
            <family val="2"/>
          </rPr>
          <t xml:space="preserve">
mm vandingsvand</t>
        </r>
      </text>
    </comment>
    <comment ref="KL150" authorId="0">
      <text>
        <r>
          <rPr>
            <b/>
            <sz val="8"/>
            <color indexed="81"/>
            <rFont val="Tahoma"/>
            <family val="2"/>
          </rPr>
          <t>Søren Kolind Hvid:</t>
        </r>
        <r>
          <rPr>
            <sz val="8"/>
            <color indexed="81"/>
            <rFont val="Tahoma"/>
            <family val="2"/>
          </rPr>
          <t xml:space="preserve">
mm vandingsvand</t>
        </r>
      </text>
    </comment>
    <comment ref="KM15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50" authorId="0">
      <text>
        <r>
          <rPr>
            <b/>
            <sz val="8"/>
            <color indexed="81"/>
            <rFont val="Tahoma"/>
            <family val="2"/>
          </rPr>
          <t>Søren Kolind Hvid:</t>
        </r>
        <r>
          <rPr>
            <sz val="8"/>
            <color indexed="81"/>
            <rFont val="Tahoma"/>
            <family val="2"/>
          </rPr>
          <t xml:space="preserve">
mm vandingsvand</t>
        </r>
      </text>
    </comment>
    <comment ref="NB150" authorId="0">
      <text>
        <r>
          <rPr>
            <b/>
            <sz val="8"/>
            <color indexed="81"/>
            <rFont val="Tahoma"/>
            <family val="2"/>
          </rPr>
          <t>Søren Kolind Hvid:</t>
        </r>
        <r>
          <rPr>
            <sz val="8"/>
            <color indexed="81"/>
            <rFont val="Tahoma"/>
            <family val="2"/>
          </rPr>
          <t xml:space="preserve">
mm vandingsvand</t>
        </r>
      </text>
    </comment>
    <comment ref="NC15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5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5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52" authorId="0">
      <text>
        <r>
          <rPr>
            <b/>
            <sz val="8"/>
            <color indexed="81"/>
            <rFont val="Tahoma"/>
            <family val="2"/>
          </rPr>
          <t>Søren Kolind Hvid:</t>
        </r>
        <r>
          <rPr>
            <sz val="8"/>
            <color indexed="81"/>
            <rFont val="Tahoma"/>
            <family val="2"/>
          </rPr>
          <t xml:space="preserve">
mm vandingsvand</t>
        </r>
      </text>
    </comment>
    <comment ref="KL152" authorId="0">
      <text>
        <r>
          <rPr>
            <b/>
            <sz val="8"/>
            <color indexed="81"/>
            <rFont val="Tahoma"/>
            <family val="2"/>
          </rPr>
          <t>Søren Kolind Hvid:</t>
        </r>
        <r>
          <rPr>
            <sz val="8"/>
            <color indexed="81"/>
            <rFont val="Tahoma"/>
            <family val="2"/>
          </rPr>
          <t xml:space="preserve">
mm vandingsvand</t>
        </r>
      </text>
    </comment>
    <comment ref="KM15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52" authorId="0">
      <text>
        <r>
          <rPr>
            <b/>
            <sz val="8"/>
            <color indexed="81"/>
            <rFont val="Tahoma"/>
            <family val="2"/>
          </rPr>
          <t>Søren Kolind Hvid:</t>
        </r>
        <r>
          <rPr>
            <sz val="8"/>
            <color indexed="81"/>
            <rFont val="Tahoma"/>
            <family val="2"/>
          </rPr>
          <t xml:space="preserve">
mm vandingsvand</t>
        </r>
      </text>
    </comment>
    <comment ref="NB152" authorId="0">
      <text>
        <r>
          <rPr>
            <b/>
            <sz val="8"/>
            <color indexed="81"/>
            <rFont val="Tahoma"/>
            <family val="2"/>
          </rPr>
          <t>Søren Kolind Hvid:</t>
        </r>
        <r>
          <rPr>
            <sz val="8"/>
            <color indexed="81"/>
            <rFont val="Tahoma"/>
            <family val="2"/>
          </rPr>
          <t xml:space="preserve">
mm vandingsvand</t>
        </r>
      </text>
    </comment>
    <comment ref="NC15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R160" authorId="0">
      <text>
        <r>
          <rPr>
            <b/>
            <sz val="8"/>
            <color indexed="81"/>
            <rFont val="Tahoma"/>
            <family val="2"/>
          </rPr>
          <t>Søren Kolind Hvid:</t>
        </r>
        <r>
          <rPr>
            <sz val="8"/>
            <color indexed="81"/>
            <rFont val="Tahoma"/>
            <family val="2"/>
          </rPr>
          <t xml:space="preserve">
Beregning:
Hvis dyrket areal under 10 ha, så 0 ha efterafgrøder.
Hvis dyrket areal under 30 ha, så krav fra miljøgodkendelse plus det efterafgrødekrav, der ikke dækkes af grønne marker (pct grønne marker + efterafgrødekrav - 100).
Hvis over 30 ha så som ovenfor, dog mindst 4 ha pligtige efterafgrøder ud over kravet fra miljøgodkendelsen.</t>
        </r>
      </text>
    </comment>
  </commentList>
</comments>
</file>

<file path=xl/comments5.xml><?xml version="1.0" encoding="utf-8"?>
<comments xmlns="http://schemas.openxmlformats.org/spreadsheetml/2006/main">
  <authors>
    <author>Søren Kolind Hvid</author>
  </authors>
  <commentList>
    <comment ref="AN4" authorId="0">
      <text>
        <r>
          <rPr>
            <b/>
            <sz val="8"/>
            <color indexed="81"/>
            <rFont val="Tahoma"/>
            <family val="2"/>
          </rPr>
          <t>Søren Kolind Hvid:</t>
        </r>
        <r>
          <rPr>
            <sz val="8"/>
            <color indexed="81"/>
            <rFont val="Tahoma"/>
            <family val="2"/>
          </rPr>
          <t xml:space="preserve">
Tilskud, der opnås som følge af den valgte arealanvendelse, herunder tilskud randzoner, økologi mv.
</t>
        </r>
      </text>
    </comment>
    <comment ref="BA4" authorId="0">
      <text>
        <r>
          <rPr>
            <b/>
            <sz val="8"/>
            <color indexed="81"/>
            <rFont val="Tahoma"/>
            <family val="2"/>
          </rPr>
          <t>Søren Kolind Hvid:</t>
        </r>
        <r>
          <rPr>
            <sz val="8"/>
            <color indexed="81"/>
            <rFont val="Tahoma"/>
            <family val="2"/>
          </rPr>
          <t xml:space="preserve">
Startgødning, der ikke kan erstattes af husdyrgødning.
Gælder alle rækkesåede afgrøder: 15 kg P pr. ha.
I kalkulen indregnes halvdelen af den faktiske tilførsel. Den anden halvdel skal ikke belaste afgrøden, fordi det kommer efterfølgende afgrøder til gode.</t>
        </r>
      </text>
    </comment>
    <comment ref="BB4" authorId="0">
      <text>
        <r>
          <rPr>
            <b/>
            <sz val="8"/>
            <color indexed="81"/>
            <rFont val="Tahoma"/>
            <family val="2"/>
          </rPr>
          <t>Søren Kolind Hvid:</t>
        </r>
        <r>
          <rPr>
            <sz val="8"/>
            <color indexed="81"/>
            <rFont val="Tahoma"/>
            <family val="2"/>
          </rPr>
          <t xml:space="preserve">
Startgødning, der kan erstattes af husdyrgødning. Gælder alle vårafgrøder: 5 kg P.
I kalkulen regnes kun med den halve mængde, fordi det antages at den anden halvdel kommer efterfølgende afgrøder til gode.</t>
        </r>
      </text>
    </comment>
    <comment ref="BE4" authorId="0">
      <text>
        <r>
          <rPr>
            <b/>
            <sz val="8"/>
            <color indexed="81"/>
            <rFont val="Tahoma"/>
            <family val="2"/>
          </rPr>
          <t>Søren Kolind Hvid:</t>
        </r>
        <r>
          <rPr>
            <sz val="8"/>
            <color indexed="81"/>
            <rFont val="Tahoma"/>
            <family val="2"/>
          </rPr>
          <t xml:space="preserve">
Ekstra K-gødning til JB1+3 og vandet sandjord pga. udvaskning.
Kan erstattes af husdyrgødning.
Øvrige JB får ikke noget.</t>
        </r>
      </text>
    </comment>
    <comment ref="BX4" authorId="0">
      <text>
        <r>
          <rPr>
            <b/>
            <sz val="8"/>
            <color indexed="81"/>
            <rFont val="Tahoma"/>
            <family val="2"/>
          </rPr>
          <t>Søren Kolind Hvid:</t>
        </r>
        <r>
          <rPr>
            <sz val="8"/>
            <color indexed="81"/>
            <rFont val="Tahoma"/>
            <family val="2"/>
          </rPr>
          <t xml:space="preserve">
Til beregning af efterafgrødekrav efter 2010 regnler</t>
        </r>
      </text>
    </comment>
    <comment ref="CU4" authorId="0">
      <text>
        <r>
          <rPr>
            <b/>
            <sz val="8"/>
            <color indexed="81"/>
            <rFont val="Tahoma"/>
            <family val="2"/>
          </rPr>
          <t>Søren Kolind Hvid:</t>
        </r>
        <r>
          <rPr>
            <sz val="8"/>
            <color indexed="81"/>
            <rFont val="Tahoma"/>
            <family val="2"/>
          </rPr>
          <t xml:space="preserve">
Prisen for tørring af korn i eget tørreri er beregnet (se JJJ). Prisen for øvrige afgrøder i eget tørreri er skønnet.</t>
        </r>
      </text>
    </comment>
    <comment ref="DC4" authorId="0">
      <text>
        <r>
          <rPr>
            <b/>
            <sz val="8"/>
            <color indexed="81"/>
            <rFont val="Tahoma"/>
            <family val="2"/>
          </rPr>
          <t>Søren Kolind Hvid:</t>
        </r>
        <r>
          <rPr>
            <sz val="8"/>
            <color indexed="81"/>
            <rFont val="Tahoma"/>
            <family val="2"/>
          </rPr>
          <t xml:space="preserve">
Kan være forskellig fra aktuel kalkulepris.</t>
        </r>
      </text>
    </comment>
    <comment ref="DD4" authorId="0">
      <text>
        <r>
          <rPr>
            <b/>
            <sz val="8"/>
            <color indexed="81"/>
            <rFont val="Tahoma"/>
            <family val="2"/>
          </rPr>
          <t>Søren Kolind Hvid:</t>
        </r>
        <r>
          <rPr>
            <sz val="8"/>
            <color indexed="81"/>
            <rFont val="Tahoma"/>
            <family val="2"/>
          </rPr>
          <t xml:space="preserve">
Til beregning af udbytterespons på ændret N-tilførsel til afgrøden.</t>
        </r>
      </text>
    </comment>
    <comment ref="DE4" authorId="0">
      <text>
        <r>
          <rPr>
            <b/>
            <sz val="8"/>
            <color indexed="81"/>
            <rFont val="Tahoma"/>
            <family val="2"/>
          </rPr>
          <t>Søren Kolind Hvid:</t>
        </r>
        <r>
          <rPr>
            <sz val="8"/>
            <color indexed="81"/>
            <rFont val="Tahoma"/>
            <family val="2"/>
          </rPr>
          <t xml:space="preserve">
Til beregning af udbytterespons på ændret N-tilførsel til afgrøden.</t>
        </r>
      </text>
    </comment>
    <comment ref="DJ4" authorId="0">
      <text>
        <r>
          <rPr>
            <b/>
            <sz val="8"/>
            <color indexed="81"/>
            <rFont val="Tahoma"/>
            <family val="2"/>
          </rPr>
          <t>Søren Kolind Hvid:</t>
        </r>
        <r>
          <rPr>
            <sz val="8"/>
            <color indexed="81"/>
            <rFont val="Tahoma"/>
            <family val="2"/>
          </rPr>
          <t xml:space="preserve">
Til beregning af andel af husdyrgødning tilført afgrøden, der afsættes under afgræsning.</t>
        </r>
      </text>
    </comment>
    <comment ref="DL4" authorId="0">
      <text>
        <r>
          <rPr>
            <b/>
            <sz val="8"/>
            <color indexed="81"/>
            <rFont val="Tahoma"/>
            <family val="2"/>
          </rPr>
          <t>Søren Kolind Hvid:</t>
        </r>
        <r>
          <rPr>
            <sz val="8"/>
            <color indexed="81"/>
            <rFont val="Tahoma"/>
            <family val="2"/>
          </rPr>
          <t xml:space="preserve">
Til opslag i afstrømningstabellen (virker i kombination med jordtype nr.)
</t>
        </r>
      </text>
    </comment>
    <comment ref="DM4" authorId="0">
      <text>
        <r>
          <rPr>
            <b/>
            <sz val="8"/>
            <color indexed="81"/>
            <rFont val="Tahoma"/>
            <family val="2"/>
          </rPr>
          <t>Søren Kolind Hvid:</t>
        </r>
        <r>
          <rPr>
            <sz val="8"/>
            <color indexed="81"/>
            <rFont val="Tahoma"/>
            <family val="2"/>
          </rPr>
          <t xml:space="preserve">
Koderne kan ses i tabellen NLES_afg; men husk at alt korn får i denne kolonne koden 1, fordi vi ikke ved hvad der kommer efter kornafgrøden.</t>
        </r>
      </text>
    </comment>
    <comment ref="DN4" authorId="0">
      <text>
        <r>
          <rPr>
            <b/>
            <sz val="8"/>
            <color indexed="81"/>
            <rFont val="Tahoma"/>
            <family val="2"/>
          </rPr>
          <t>Søren Kolind Hvid:</t>
        </r>
        <r>
          <rPr>
            <sz val="8"/>
            <color indexed="81"/>
            <rFont val="Tahoma"/>
            <family val="2"/>
          </rPr>
          <t xml:space="preserve">
Afgrødekode for forfrugt i NLES-beregning.
Koderne kan ses i tabellen NLES_ff.</t>
        </r>
      </text>
    </comment>
    <comment ref="DR4" authorId="0">
      <text>
        <r>
          <rPr>
            <b/>
            <sz val="9"/>
            <color indexed="81"/>
            <rFont val="Tahoma"/>
            <family val="2"/>
          </rPr>
          <t>Søren Kolind Hvid:</t>
        </r>
        <r>
          <rPr>
            <sz val="9"/>
            <color indexed="81"/>
            <rFont val="Tahoma"/>
            <family val="2"/>
          </rPr>
          <t xml:space="preserve">
Koden for N-niveau anvendes til at inddele afgrøderne i grupper. N-niveau bliver beregnet som et gennemsnit for afgrøder med samme kode.</t>
        </r>
      </text>
    </comment>
    <comment ref="BR6" authorId="0">
      <text>
        <r>
          <rPr>
            <b/>
            <sz val="8"/>
            <color indexed="81"/>
            <rFont val="Tahoma"/>
            <family val="2"/>
          </rPr>
          <t>Søren Kolind Hvid:</t>
        </r>
        <r>
          <rPr>
            <sz val="8"/>
            <color indexed="81"/>
            <rFont val="Tahoma"/>
            <family val="2"/>
          </rPr>
          <t xml:space="preserve">
Så accepteres efter afgrøden som "gyldig", hvis der ikke er angivet nogen "Næste års afgrøde".</t>
        </r>
      </text>
    </comment>
    <comment ref="DM10" authorId="0">
      <text>
        <r>
          <rPr>
            <b/>
            <sz val="8"/>
            <color indexed="81"/>
            <rFont val="Tahoma"/>
            <family val="2"/>
          </rPr>
          <t>Søren Kolind Hvid:</t>
        </r>
        <r>
          <rPr>
            <sz val="8"/>
            <color indexed="81"/>
            <rFont val="Tahoma"/>
            <family val="2"/>
          </rPr>
          <t xml:space="preserve">
Som græs (laveste udvaskning i N-les). Energipil findes ikke.
</t>
        </r>
      </text>
    </comment>
    <comment ref="DN10" authorId="0">
      <text>
        <r>
          <rPr>
            <b/>
            <sz val="8"/>
            <color indexed="81"/>
            <rFont val="Tahoma"/>
            <family val="2"/>
          </rPr>
          <t>Søren Kolind Hvid:</t>
        </r>
        <r>
          <rPr>
            <sz val="8"/>
            <color indexed="81"/>
            <rFont val="Tahoma"/>
            <family val="2"/>
          </rPr>
          <t xml:space="preserve">
Som græs - selv om pil ikke findes i NLES</t>
        </r>
      </text>
    </comment>
    <comment ref="CM12" authorId="0">
      <text>
        <r>
          <rPr>
            <b/>
            <sz val="8"/>
            <color indexed="81"/>
            <rFont val="Tahoma"/>
            <family val="2"/>
          </rPr>
          <t>Søren Kolind Hvid:</t>
        </r>
        <r>
          <rPr>
            <sz val="8"/>
            <color indexed="81"/>
            <rFont val="Tahoma"/>
            <family val="2"/>
          </rPr>
          <t xml:space="preserve">
Tillæg til høstomkostning på 450 kr. plus 200 kr. til skårlægning.</t>
        </r>
      </text>
    </comment>
    <comment ref="CM13" authorId="0">
      <text>
        <r>
          <rPr>
            <b/>
            <sz val="8"/>
            <color indexed="81"/>
            <rFont val="Tahoma"/>
            <family val="2"/>
          </rPr>
          <t>Søren Kolind Hvid:</t>
        </r>
        <r>
          <rPr>
            <sz val="8"/>
            <color indexed="81"/>
            <rFont val="Tahoma"/>
            <family val="2"/>
          </rPr>
          <t xml:space="preserve">
Tillæg til høstomkostning på 450 kr. plus 200 kr. til skårlægning.</t>
        </r>
      </text>
    </comment>
    <comment ref="CO18" authorId="0">
      <text>
        <r>
          <rPr>
            <b/>
            <sz val="8"/>
            <color indexed="81"/>
            <rFont val="Tahoma"/>
            <family val="2"/>
          </rPr>
          <t>Søren Kolind Hvid:</t>
        </r>
        <r>
          <rPr>
            <sz val="8"/>
            <color indexed="81"/>
            <rFont val="Tahoma"/>
            <family val="2"/>
          </rPr>
          <t xml:space="preserve">
Hjemkørsel er indeholdt i høstomkostningerne
</t>
        </r>
      </text>
    </comment>
    <comment ref="CO19" authorId="0">
      <text>
        <r>
          <rPr>
            <b/>
            <sz val="8"/>
            <color indexed="81"/>
            <rFont val="Tahoma"/>
            <family val="2"/>
          </rPr>
          <t>Søren Kolind Hvid:</t>
        </r>
        <r>
          <rPr>
            <sz val="8"/>
            <color indexed="81"/>
            <rFont val="Tahoma"/>
            <family val="2"/>
          </rPr>
          <t xml:space="preserve">
Hjemkørsel er indeholdt i høstomkostningerne
</t>
        </r>
      </text>
    </comment>
    <comment ref="CO20" authorId="0">
      <text>
        <r>
          <rPr>
            <b/>
            <sz val="8"/>
            <color indexed="81"/>
            <rFont val="Tahoma"/>
            <family val="2"/>
          </rPr>
          <t>Søren Kolind Hvid:</t>
        </r>
        <r>
          <rPr>
            <sz val="8"/>
            <color indexed="81"/>
            <rFont val="Tahoma"/>
            <family val="2"/>
          </rPr>
          <t xml:space="preserve">
Hjemkørsel er indeholdt i høstomkostningerne
</t>
        </r>
      </text>
    </comment>
    <comment ref="CM23" authorId="0">
      <text>
        <r>
          <rPr>
            <b/>
            <sz val="8"/>
            <color indexed="81"/>
            <rFont val="Tahoma"/>
            <family val="2"/>
          </rPr>
          <t>Søren Kolind Hvid:</t>
        </r>
        <r>
          <rPr>
            <sz val="8"/>
            <color indexed="81"/>
            <rFont val="Tahoma"/>
            <family val="2"/>
          </rPr>
          <t xml:space="preserve">
Hegning før afgræsning.</t>
        </r>
      </text>
    </comment>
    <comment ref="CO27" authorId="0">
      <text>
        <r>
          <rPr>
            <b/>
            <sz val="8"/>
            <color indexed="81"/>
            <rFont val="Tahoma"/>
            <family val="2"/>
          </rPr>
          <t>Søren Kolind Hvid:</t>
        </r>
        <r>
          <rPr>
            <sz val="8"/>
            <color indexed="81"/>
            <rFont val="Tahoma"/>
            <family val="2"/>
          </rPr>
          <t xml:space="preserve">
Hjemkørsel er indeholdt i høstomkostningerne
</t>
        </r>
      </text>
    </comment>
    <comment ref="CO28" authorId="0">
      <text>
        <r>
          <rPr>
            <b/>
            <sz val="8"/>
            <color indexed="81"/>
            <rFont val="Tahoma"/>
            <family val="2"/>
          </rPr>
          <t>Søren Kolind Hvid:</t>
        </r>
        <r>
          <rPr>
            <sz val="8"/>
            <color indexed="81"/>
            <rFont val="Tahoma"/>
            <family val="2"/>
          </rPr>
          <t xml:space="preserve">
Hjemkørsel er indeholdt i høstomkostningerne
</t>
        </r>
      </text>
    </comment>
    <comment ref="CO29" authorId="0">
      <text>
        <r>
          <rPr>
            <b/>
            <sz val="8"/>
            <color indexed="81"/>
            <rFont val="Tahoma"/>
            <family val="2"/>
          </rPr>
          <t>Søren Kolind Hvid:</t>
        </r>
        <r>
          <rPr>
            <sz val="8"/>
            <color indexed="81"/>
            <rFont val="Tahoma"/>
            <family val="2"/>
          </rPr>
          <t xml:space="preserve">
Omfatter hjemkørsel, crimpning, syre, indlægning og plastik</t>
        </r>
      </text>
    </comment>
    <comment ref="CM31" authorId="0">
      <text>
        <r>
          <rPr>
            <b/>
            <sz val="8"/>
            <color indexed="81"/>
            <rFont val="Tahoma"/>
            <family val="2"/>
          </rPr>
          <t>Søren Kolind Hvid:</t>
        </r>
        <r>
          <rPr>
            <sz val="8"/>
            <color indexed="81"/>
            <rFont val="Tahoma"/>
            <family val="2"/>
          </rPr>
          <t xml:space="preserve">
Afpudsning og hegning
</t>
        </r>
      </text>
    </comment>
    <comment ref="CM32" authorId="0">
      <text>
        <r>
          <rPr>
            <b/>
            <sz val="8"/>
            <color indexed="81"/>
            <rFont val="Tahoma"/>
            <family val="2"/>
          </rPr>
          <t>Søren Kolind Hvid:</t>
        </r>
        <r>
          <rPr>
            <sz val="8"/>
            <color indexed="81"/>
            <rFont val="Tahoma"/>
            <family val="2"/>
          </rPr>
          <t xml:space="preserve">
Afpudsning og hegning
</t>
        </r>
      </text>
    </comment>
    <comment ref="CM33" authorId="0">
      <text>
        <r>
          <rPr>
            <b/>
            <sz val="8"/>
            <color indexed="81"/>
            <rFont val="Tahoma"/>
            <family val="2"/>
          </rPr>
          <t>Søren Kolind Hvid:</t>
        </r>
        <r>
          <rPr>
            <sz val="8"/>
            <color indexed="81"/>
            <rFont val="Tahoma"/>
            <family val="2"/>
          </rPr>
          <t xml:space="preserve">
Afpudsning og hegning
</t>
        </r>
      </text>
    </comment>
    <comment ref="CM35" authorId="0">
      <text>
        <r>
          <rPr>
            <b/>
            <sz val="8"/>
            <color indexed="81"/>
            <rFont val="Tahoma"/>
            <family val="2"/>
          </rPr>
          <t>Søren Kolind Hvid:</t>
        </r>
        <r>
          <rPr>
            <sz val="8"/>
            <color indexed="81"/>
            <rFont val="Tahoma"/>
            <family val="2"/>
          </rPr>
          <t xml:space="preserve">
Tillæg til høstomkostning på 450 kr. plus 150 kr. til afpudsning.</t>
        </r>
      </text>
    </comment>
    <comment ref="DF38" authorId="0">
      <text>
        <r>
          <rPr>
            <b/>
            <sz val="8"/>
            <color indexed="81"/>
            <rFont val="Tahoma"/>
            <family val="2"/>
          </rPr>
          <t>Søren Kolind Hvid:</t>
        </r>
        <r>
          <rPr>
            <sz val="8"/>
            <color indexed="81"/>
            <rFont val="Tahoma"/>
            <family val="2"/>
          </rPr>
          <t xml:space="preserve">
Som vinterrug
</t>
        </r>
      </text>
    </comment>
    <comment ref="AQ54" authorId="0">
      <text>
        <r>
          <rPr>
            <b/>
            <sz val="8"/>
            <color indexed="81"/>
            <rFont val="Tahoma"/>
            <family val="2"/>
          </rPr>
          <t>Søren Kolind Hvid:</t>
        </r>
        <r>
          <rPr>
            <sz val="8"/>
            <color indexed="81"/>
            <rFont val="Tahoma"/>
            <family val="2"/>
          </rPr>
          <t xml:space="preserve">
Til beregning af efterafgrødekrav efter 2010 regler</t>
        </r>
      </text>
    </comment>
    <comment ref="AC64"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4"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4" authorId="0">
      <text>
        <r>
          <rPr>
            <b/>
            <sz val="8"/>
            <color indexed="81"/>
            <rFont val="Tahoma"/>
            <family val="2"/>
          </rPr>
          <t>Søren Kolind Hvid:</t>
        </r>
        <r>
          <rPr>
            <sz val="8"/>
            <color indexed="81"/>
            <rFont val="Tahoma"/>
            <family val="2"/>
          </rPr>
          <t xml:space="preserve">
Hegning før afgræsning.</t>
        </r>
      </text>
    </comment>
    <comment ref="AC65"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5"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5" authorId="0">
      <text>
        <r>
          <rPr>
            <b/>
            <sz val="8"/>
            <color indexed="81"/>
            <rFont val="Tahoma"/>
            <family val="2"/>
          </rPr>
          <t>Søren Kolind Hvid:</t>
        </r>
        <r>
          <rPr>
            <sz val="8"/>
            <color indexed="81"/>
            <rFont val="Tahoma"/>
            <family val="2"/>
          </rPr>
          <t xml:space="preserve">
Hegning før afgræsning.</t>
        </r>
      </text>
    </comment>
    <comment ref="AC66"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6"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6" authorId="0">
      <text>
        <r>
          <rPr>
            <b/>
            <sz val="8"/>
            <color indexed="81"/>
            <rFont val="Tahoma"/>
            <family val="2"/>
          </rPr>
          <t>Søren Kolind Hvid:</t>
        </r>
        <r>
          <rPr>
            <sz val="8"/>
            <color indexed="81"/>
            <rFont val="Tahoma"/>
            <family val="2"/>
          </rPr>
          <t xml:space="preserve">
Hegning før afgræsning.</t>
        </r>
      </text>
    </comment>
    <comment ref="AC67"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7"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7" authorId="0">
      <text>
        <r>
          <rPr>
            <b/>
            <sz val="8"/>
            <color indexed="81"/>
            <rFont val="Tahoma"/>
            <family val="2"/>
          </rPr>
          <t>Søren Kolind Hvid:</t>
        </r>
        <r>
          <rPr>
            <sz val="8"/>
            <color indexed="81"/>
            <rFont val="Tahoma"/>
            <family val="2"/>
          </rPr>
          <t xml:space="preserve">
Hegning før afgræsning.</t>
        </r>
      </text>
    </comment>
    <comment ref="AC68"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8"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8" authorId="0">
      <text>
        <r>
          <rPr>
            <b/>
            <sz val="8"/>
            <color indexed="81"/>
            <rFont val="Tahoma"/>
            <family val="2"/>
          </rPr>
          <t>Søren Kolind Hvid:</t>
        </r>
        <r>
          <rPr>
            <sz val="8"/>
            <color indexed="81"/>
            <rFont val="Tahoma"/>
            <family val="2"/>
          </rPr>
          <t xml:space="preserve">
Hegning før afgræsning.</t>
        </r>
      </text>
    </comment>
    <comment ref="AC69"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9"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9" authorId="0">
      <text>
        <r>
          <rPr>
            <b/>
            <sz val="8"/>
            <color indexed="81"/>
            <rFont val="Tahoma"/>
            <family val="2"/>
          </rPr>
          <t>Søren Kolind Hvid:</t>
        </r>
        <r>
          <rPr>
            <sz val="8"/>
            <color indexed="81"/>
            <rFont val="Tahoma"/>
            <family val="2"/>
          </rPr>
          <t xml:space="preserve">
Hegning før afgræsning.</t>
        </r>
      </text>
    </comment>
    <comment ref="Q1099" authorId="0">
      <text>
        <r>
          <rPr>
            <b/>
            <sz val="9"/>
            <color indexed="81"/>
            <rFont val="Tahoma"/>
            <family val="2"/>
          </rPr>
          <t>Søren Kolind Hvid:</t>
        </r>
        <r>
          <rPr>
            <sz val="9"/>
            <color indexed="81"/>
            <rFont val="Tahoma"/>
            <family val="2"/>
          </rPr>
          <t xml:space="preserve">
Evt. i stedet bar jord
</t>
        </r>
      </text>
    </comment>
    <comment ref="M1143" authorId="0">
      <text>
        <r>
          <rPr>
            <sz val="8"/>
            <color indexed="81"/>
            <rFont val="Tahoma"/>
            <family val="2"/>
          </rPr>
          <t>Du skal kun indtaste et ændret kvælstofkvoteniveau, hvis du ønsker at se effekten heraf på sædskiftekalkulen. N-tilførslen ændres med samme procentsats i alle afgrøder. 
Programmet beregner automatisk ændringer i udbytte og proteinindhold (dog ikke efterslæt).</t>
        </r>
      </text>
    </comment>
  </commentList>
</comments>
</file>

<file path=xl/comments6.xml><?xml version="1.0" encoding="utf-8"?>
<comments xmlns="http://schemas.openxmlformats.org/spreadsheetml/2006/main">
  <authors>
    <author>Søren Kolind Hvid</author>
  </authors>
  <commentList>
    <comment ref="R5" authorId="0">
      <text>
        <r>
          <rPr>
            <sz val="8"/>
            <color indexed="81"/>
            <rFont val="Tahoma"/>
            <family val="2"/>
          </rPr>
          <t xml:space="preserve">Postnummer skal udfyldes for at beregne nitratudvaskningen.
Afstrømning beregnes ud fra postnummer, jordtype og afgrøde.
</t>
        </r>
      </text>
    </comment>
    <comment ref="B7" authorId="0">
      <text>
        <r>
          <rPr>
            <sz val="8"/>
            <color indexed="81"/>
            <rFont val="Tahoma"/>
            <family val="2"/>
          </rPr>
          <t>Her kan du angive, om næringsstofferne i husdyrgødningen skal værdisættes som handelsgødning. For N værdisættes kun den andel, der svarer til udnyttelseskravet.
Hvis husdyrgødningen ikke kan afsættes til en anden bedrift mod en betaling svarende til værdien af næringsstofferne, er det mest korrekt at vælge 'Nej' til værdisætning af husdyrgødningen.
Når man vælger 'Nej' vil afgrøder med et stort næringsstofbehov få en økonomisk konkurrencefordel i forhold til afgrøder med et mindre næringsstofbehov.</t>
        </r>
      </text>
    </comment>
    <comment ref="J16" authorId="0">
      <text>
        <r>
          <rPr>
            <sz val="8"/>
            <color indexed="81"/>
            <rFont val="Tahoma"/>
            <family val="2"/>
          </rPr>
          <t>Forfrugt skal indtastes for at kunne beregne kvælstofkvoten og nitratudvaskningen korrekt.
Ved rene økonomiberegninger er det kun nødvendigt at indtaste forfrugter med forfrugtsværdi.</t>
        </r>
      </text>
    </comment>
    <comment ref="N16" authorId="0">
      <text>
        <r>
          <rPr>
            <sz val="8"/>
            <color indexed="81"/>
            <rFont val="Tahoma"/>
            <family val="2"/>
          </rPr>
          <t>Efterafgrøde efter forfrugt skal indtastes for at kunne indregne N-eftervirkningen i afgrødens kvælstofkvote
Hvis man sætter flueben i feltet "Frivillig", så fratrækkes den normale N-eftervirkningen efter pligtige efterafgrøder ikke fra afgrødens kvælstofkvote.
Arealet med efterafgrøder efter forfrugten skal være det samme som efter afgrøden.</t>
        </r>
      </text>
    </comment>
    <comment ref="R16" authorId="0">
      <text>
        <r>
          <rPr>
            <sz val="8"/>
            <color indexed="81"/>
            <rFont val="Tahoma"/>
            <family val="2"/>
          </rPr>
          <t xml:space="preserve">Hvis du sætter flueben i "Frivillig", så fratrækkes den normale N-eftervirkning efter pligtige efterafgrøder ikke i afgrødens kvælstofkvote.
</t>
        </r>
      </text>
    </comment>
    <comment ref="T16" authorId="0">
      <text>
        <r>
          <rPr>
            <sz val="8"/>
            <color indexed="81"/>
            <rFont val="Tahoma"/>
            <family val="2"/>
          </rPr>
          <t xml:space="preserve">Vælg afgrøde.
Afgrødesammensætningen i kolonnerne "Fofrugt"; "Afgrøde" og "Næste års afgrøde" skal være ens for at kunne beregne kvælstofudvaskning  mv. korrekt for hele sædskiftet.
</t>
        </r>
      </text>
    </comment>
    <comment ref="X16" authorId="0">
      <text>
        <r>
          <rPr>
            <sz val="8"/>
            <color indexed="81"/>
            <rFont val="Tahoma"/>
            <family val="2"/>
          </rPr>
          <t xml:space="preserve">Vælg efterafgrøder E eller mellemafgrøder M.
Arealet med efterafgrøder  skal være det samme som arealet med efterafgrøder efter forfrugten.
</t>
        </r>
      </text>
    </comment>
    <comment ref="AB16" authorId="0">
      <text>
        <r>
          <rPr>
            <sz val="8"/>
            <color indexed="81"/>
            <rFont val="Tahoma"/>
            <family val="2"/>
          </rPr>
          <t>Næste års afgrøde skal være angivet for at beregne nitratudvaskningen korrekt.
Programmet tjekker også, om efterafgrøden eller mellemafgrøden er mulig eller "gyldig" i forhold til næste års afgrøde. 
Hvis du f.eks. vælger en vintersædafgrøde efter en efterafgrøde, så regnes efterafgrøden som ugyldig og tælles ikke med i efterafgrødearealet.</t>
        </r>
      </text>
    </comment>
    <comment ref="AJ16" authorId="0">
      <text>
        <r>
          <rPr>
            <b/>
            <sz val="9"/>
            <color indexed="81"/>
            <rFont val="Tahoma"/>
            <family val="2"/>
          </rPr>
          <t>Søren Kolind Hvid:</t>
        </r>
        <r>
          <rPr>
            <sz val="9"/>
            <color indexed="81"/>
            <rFont val="Tahoma"/>
            <family val="2"/>
          </rPr>
          <t xml:space="preserve">
Marker, der indgår i samme sædskifte tildeles samme gruppe nr. Det har betydning for beregning af markens N-niveau.</t>
        </r>
      </text>
    </comment>
    <comment ref="AN16" authorId="0">
      <text>
        <r>
          <rPr>
            <sz val="8"/>
            <color indexed="81"/>
            <rFont val="Tahoma"/>
            <family val="2"/>
          </rPr>
          <t xml:space="preserve">Afgrødens kvælstofnorm korrigeret for forfrugt og N-eftervirkning efter pligtige efterafgrøder (korrigeres ikke for N-eftervirkningen efter frivillige efterafgrøder)
</t>
        </r>
      </text>
    </comment>
  </commentList>
</comments>
</file>

<file path=xl/comments7.xml><?xml version="1.0" encoding="utf-8"?>
<comments xmlns="http://schemas.openxmlformats.org/spreadsheetml/2006/main">
  <authors>
    <author>Søren Kolind Hvid</author>
    <author>skh</author>
  </authors>
  <commentList>
    <comment ref="GQ14" authorId="0">
      <text>
        <r>
          <rPr>
            <b/>
            <sz val="8"/>
            <color indexed="81"/>
            <rFont val="Tahoma"/>
            <family val="2"/>
          </rPr>
          <t>Søren Kolind Hvid:</t>
        </r>
        <r>
          <rPr>
            <sz val="8"/>
            <color indexed="81"/>
            <rFont val="Tahoma"/>
            <family val="2"/>
          </rPr>
          <t xml:space="preserve">
For Randzone og vådområder regnes med N-niveau på 0. </t>
        </r>
      </text>
    </comment>
    <comment ref="GS14" authorId="0">
      <text>
        <r>
          <rPr>
            <b/>
            <sz val="8"/>
            <color indexed="81"/>
            <rFont val="Tahoma"/>
            <family val="2"/>
          </rPr>
          <t>Søren Kolind Hvid:</t>
        </r>
        <r>
          <rPr>
            <sz val="8"/>
            <color indexed="81"/>
            <rFont val="Tahoma"/>
            <family val="2"/>
          </rPr>
          <t xml:space="preserve">
Kvælstof udbragt året før indgår ikke i N-les beregningen, men det indgår i N-balancen.</t>
        </r>
      </text>
    </comment>
    <comment ref="GT14" authorId="1">
      <text>
        <r>
          <rPr>
            <b/>
            <sz val="8"/>
            <color indexed="81"/>
            <rFont val="Tahoma"/>
            <family val="2"/>
          </rPr>
          <t>skh:</t>
        </r>
        <r>
          <rPr>
            <sz val="8"/>
            <color indexed="81"/>
            <rFont val="Tahoma"/>
            <family val="2"/>
          </rPr>
          <t xml:space="preserve">
Tilført mineralsk N, dvs. handelsgødning + ammonium i husdyrgødning (70% af N i husdyrgødning).
Husk at fratrække N tilført efteråret før.
Det er antaget, at N i husdyrgødning gange udnyttelseskrav er lig mineralsk N (der er altså ikke korrigeret for husdyrgødningens faktiske ammoniumindhold)
N afsat under afgræsning trækkes fra.</t>
        </r>
      </text>
    </comment>
    <comment ref="GW14" authorId="0">
      <text>
        <r>
          <rPr>
            <b/>
            <sz val="8"/>
            <color indexed="81"/>
            <rFont val="Tahoma"/>
            <family val="2"/>
          </rPr>
          <t>Søren Kolind Hvid:</t>
        </r>
        <r>
          <rPr>
            <sz val="8"/>
            <color indexed="81"/>
            <rFont val="Tahoma"/>
            <family val="2"/>
          </rPr>
          <t xml:space="preserve">
Total-N afsat under afgræsning.
</t>
        </r>
      </text>
    </comment>
    <comment ref="GY14" authorId="0">
      <text>
        <r>
          <rPr>
            <b/>
            <sz val="8"/>
            <color indexed="81"/>
            <rFont val="Tahoma"/>
            <family val="2"/>
          </rPr>
          <t>Søren Kolind Hvid:</t>
        </r>
        <r>
          <rPr>
            <sz val="8"/>
            <color indexed="81"/>
            <rFont val="Tahoma"/>
            <family val="2"/>
          </rPr>
          <t xml:space="preserve">
Det antages, at der ikke udbringes N i perioden 1/9-15/2
</t>
        </r>
      </text>
    </comment>
    <comment ref="J16" authorId="0">
      <text>
        <r>
          <rPr>
            <b/>
            <sz val="8"/>
            <color indexed="81"/>
            <rFont val="Tahoma"/>
            <family val="2"/>
          </rPr>
          <t>Søren Kolind Hvid:</t>
        </r>
        <r>
          <rPr>
            <sz val="8"/>
            <color indexed="81"/>
            <rFont val="Tahoma"/>
            <family val="2"/>
          </rPr>
          <t xml:space="preserve">
Korrektion af omkostninger til pløjning og stubharvning afhængig af jordtype</t>
        </r>
      </text>
    </comment>
    <comment ref="EY16"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A16"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IV16" authorId="0">
      <text>
        <r>
          <rPr>
            <b/>
            <sz val="8"/>
            <color indexed="81"/>
            <rFont val="Tahoma"/>
            <family val="2"/>
          </rPr>
          <t>Søren Kolind Hvid:</t>
        </r>
        <r>
          <rPr>
            <sz val="8"/>
            <color indexed="81"/>
            <rFont val="Tahoma"/>
            <family val="2"/>
          </rPr>
          <t xml:space="preserve">
Kan ikke erstattes af husdyrgødning.</t>
        </r>
      </text>
    </comment>
    <comment ref="IW16" authorId="0">
      <text>
        <r>
          <rPr>
            <b/>
            <sz val="8"/>
            <color indexed="81"/>
            <rFont val="Tahoma"/>
            <family val="2"/>
          </rPr>
          <t>Søren Kolind Hvid:</t>
        </r>
        <r>
          <rPr>
            <sz val="8"/>
            <color indexed="81"/>
            <rFont val="Tahoma"/>
            <family val="2"/>
          </rPr>
          <t xml:space="preserve">
Kan tilføres med husdyrgødning.</t>
        </r>
      </text>
    </comment>
    <comment ref="JA1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ME1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MK1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RJ16" authorId="0">
      <text>
        <r>
          <rPr>
            <b/>
            <sz val="8"/>
            <color indexed="81"/>
            <rFont val="Tahoma"/>
            <family val="2"/>
          </rPr>
          <t>Søren Kolind Hvid:</t>
        </r>
        <r>
          <rPr>
            <sz val="8"/>
            <color indexed="81"/>
            <rFont val="Tahoma"/>
            <family val="2"/>
          </rPr>
          <t xml:space="preserve">
Ammonium i husdyrgødning minus ammoniaktab
</t>
        </r>
      </text>
    </comment>
    <comment ref="K1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1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1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18" authorId="0">
      <text>
        <r>
          <rPr>
            <b/>
            <sz val="8"/>
            <color indexed="81"/>
            <rFont val="Tahoma"/>
            <family val="2"/>
          </rPr>
          <t>Søren Kolind Hvid:</t>
        </r>
        <r>
          <rPr>
            <sz val="8"/>
            <color indexed="81"/>
            <rFont val="Tahoma"/>
            <family val="2"/>
          </rPr>
          <t xml:space="preserve">
mm vandingsvand</t>
        </r>
      </text>
    </comment>
    <comment ref="KY18" authorId="0">
      <text>
        <r>
          <rPr>
            <b/>
            <sz val="8"/>
            <color indexed="81"/>
            <rFont val="Tahoma"/>
            <family val="2"/>
          </rPr>
          <t>Søren Kolind Hvid:</t>
        </r>
        <r>
          <rPr>
            <sz val="8"/>
            <color indexed="81"/>
            <rFont val="Tahoma"/>
            <family val="2"/>
          </rPr>
          <t xml:space="preserve">
mm vandingsvand</t>
        </r>
      </text>
    </comment>
    <comment ref="KZ1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18" authorId="0">
      <text>
        <r>
          <rPr>
            <b/>
            <sz val="8"/>
            <color indexed="81"/>
            <rFont val="Tahoma"/>
            <family val="2"/>
          </rPr>
          <t>Søren Kolind Hvid:</t>
        </r>
        <r>
          <rPr>
            <sz val="8"/>
            <color indexed="81"/>
            <rFont val="Tahoma"/>
            <family val="2"/>
          </rPr>
          <t xml:space="preserve">
mm vandingsvand</t>
        </r>
      </text>
    </comment>
    <comment ref="NO18" authorId="0">
      <text>
        <r>
          <rPr>
            <b/>
            <sz val="8"/>
            <color indexed="81"/>
            <rFont val="Tahoma"/>
            <family val="2"/>
          </rPr>
          <t>Søren Kolind Hvid:</t>
        </r>
        <r>
          <rPr>
            <sz val="8"/>
            <color indexed="81"/>
            <rFont val="Tahoma"/>
            <family val="2"/>
          </rPr>
          <t xml:space="preserve">
mm vandingsvand</t>
        </r>
      </text>
    </comment>
    <comment ref="NP1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2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2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2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20" authorId="0">
      <text>
        <r>
          <rPr>
            <b/>
            <sz val="8"/>
            <color indexed="81"/>
            <rFont val="Tahoma"/>
            <family val="2"/>
          </rPr>
          <t>Søren Kolind Hvid:</t>
        </r>
        <r>
          <rPr>
            <sz val="8"/>
            <color indexed="81"/>
            <rFont val="Tahoma"/>
            <family val="2"/>
          </rPr>
          <t xml:space="preserve">
mm vandingsvand</t>
        </r>
      </text>
    </comment>
    <comment ref="KY20" authorId="0">
      <text>
        <r>
          <rPr>
            <b/>
            <sz val="8"/>
            <color indexed="81"/>
            <rFont val="Tahoma"/>
            <family val="2"/>
          </rPr>
          <t>Søren Kolind Hvid:</t>
        </r>
        <r>
          <rPr>
            <sz val="8"/>
            <color indexed="81"/>
            <rFont val="Tahoma"/>
            <family val="2"/>
          </rPr>
          <t xml:space="preserve">
mm vandingsvand</t>
        </r>
      </text>
    </comment>
    <comment ref="KZ2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20" authorId="0">
      <text>
        <r>
          <rPr>
            <b/>
            <sz val="8"/>
            <color indexed="81"/>
            <rFont val="Tahoma"/>
            <family val="2"/>
          </rPr>
          <t>Søren Kolind Hvid:</t>
        </r>
        <r>
          <rPr>
            <sz val="8"/>
            <color indexed="81"/>
            <rFont val="Tahoma"/>
            <family val="2"/>
          </rPr>
          <t xml:space="preserve">
mm vandingsvand</t>
        </r>
      </text>
    </comment>
    <comment ref="NO20" authorId="0">
      <text>
        <r>
          <rPr>
            <b/>
            <sz val="8"/>
            <color indexed="81"/>
            <rFont val="Tahoma"/>
            <family val="2"/>
          </rPr>
          <t>Søren Kolind Hvid:</t>
        </r>
        <r>
          <rPr>
            <sz val="8"/>
            <color indexed="81"/>
            <rFont val="Tahoma"/>
            <family val="2"/>
          </rPr>
          <t xml:space="preserve">
mm vandingsvand</t>
        </r>
      </text>
    </comment>
    <comment ref="NP2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2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2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2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22" authorId="0">
      <text>
        <r>
          <rPr>
            <b/>
            <sz val="8"/>
            <color indexed="81"/>
            <rFont val="Tahoma"/>
            <family val="2"/>
          </rPr>
          <t>Søren Kolind Hvid:</t>
        </r>
        <r>
          <rPr>
            <sz val="8"/>
            <color indexed="81"/>
            <rFont val="Tahoma"/>
            <family val="2"/>
          </rPr>
          <t xml:space="preserve">
mm vandingsvand</t>
        </r>
      </text>
    </comment>
    <comment ref="KY22" authorId="0">
      <text>
        <r>
          <rPr>
            <b/>
            <sz val="8"/>
            <color indexed="81"/>
            <rFont val="Tahoma"/>
            <family val="2"/>
          </rPr>
          <t>Søren Kolind Hvid:</t>
        </r>
        <r>
          <rPr>
            <sz val="8"/>
            <color indexed="81"/>
            <rFont val="Tahoma"/>
            <family val="2"/>
          </rPr>
          <t xml:space="preserve">
mm vandingsvand</t>
        </r>
      </text>
    </comment>
    <comment ref="KZ2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22" authorId="0">
      <text>
        <r>
          <rPr>
            <b/>
            <sz val="8"/>
            <color indexed="81"/>
            <rFont val="Tahoma"/>
            <family val="2"/>
          </rPr>
          <t>Søren Kolind Hvid:</t>
        </r>
        <r>
          <rPr>
            <sz val="8"/>
            <color indexed="81"/>
            <rFont val="Tahoma"/>
            <family val="2"/>
          </rPr>
          <t xml:space="preserve">
mm vandingsvand</t>
        </r>
      </text>
    </comment>
    <comment ref="NO22" authorId="0">
      <text>
        <r>
          <rPr>
            <b/>
            <sz val="8"/>
            <color indexed="81"/>
            <rFont val="Tahoma"/>
            <family val="2"/>
          </rPr>
          <t>Søren Kolind Hvid:</t>
        </r>
        <r>
          <rPr>
            <sz val="8"/>
            <color indexed="81"/>
            <rFont val="Tahoma"/>
            <family val="2"/>
          </rPr>
          <t xml:space="preserve">
mm vandingsvand</t>
        </r>
      </text>
    </comment>
    <comment ref="NP2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2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2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2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24" authorId="0">
      <text>
        <r>
          <rPr>
            <b/>
            <sz val="8"/>
            <color indexed="81"/>
            <rFont val="Tahoma"/>
            <family val="2"/>
          </rPr>
          <t>Søren Kolind Hvid:</t>
        </r>
        <r>
          <rPr>
            <sz val="8"/>
            <color indexed="81"/>
            <rFont val="Tahoma"/>
            <family val="2"/>
          </rPr>
          <t xml:space="preserve">
mm vandingsvand</t>
        </r>
      </text>
    </comment>
    <comment ref="KY24" authorId="0">
      <text>
        <r>
          <rPr>
            <b/>
            <sz val="8"/>
            <color indexed="81"/>
            <rFont val="Tahoma"/>
            <family val="2"/>
          </rPr>
          <t>Søren Kolind Hvid:</t>
        </r>
        <r>
          <rPr>
            <sz val="8"/>
            <color indexed="81"/>
            <rFont val="Tahoma"/>
            <family val="2"/>
          </rPr>
          <t xml:space="preserve">
mm vandingsvand</t>
        </r>
      </text>
    </comment>
    <comment ref="KZ2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24" authorId="0">
      <text>
        <r>
          <rPr>
            <b/>
            <sz val="8"/>
            <color indexed="81"/>
            <rFont val="Tahoma"/>
            <family val="2"/>
          </rPr>
          <t>Søren Kolind Hvid:</t>
        </r>
        <r>
          <rPr>
            <sz val="8"/>
            <color indexed="81"/>
            <rFont val="Tahoma"/>
            <family val="2"/>
          </rPr>
          <t xml:space="preserve">
mm vandingsvand</t>
        </r>
      </text>
    </comment>
    <comment ref="NO24" authorId="0">
      <text>
        <r>
          <rPr>
            <b/>
            <sz val="8"/>
            <color indexed="81"/>
            <rFont val="Tahoma"/>
            <family val="2"/>
          </rPr>
          <t>Søren Kolind Hvid:</t>
        </r>
        <r>
          <rPr>
            <sz val="8"/>
            <color indexed="81"/>
            <rFont val="Tahoma"/>
            <family val="2"/>
          </rPr>
          <t xml:space="preserve">
mm vandingsvand</t>
        </r>
      </text>
    </comment>
    <comment ref="NP2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2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2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2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26" authorId="0">
      <text>
        <r>
          <rPr>
            <b/>
            <sz val="8"/>
            <color indexed="81"/>
            <rFont val="Tahoma"/>
            <family val="2"/>
          </rPr>
          <t>Søren Kolind Hvid:</t>
        </r>
        <r>
          <rPr>
            <sz val="8"/>
            <color indexed="81"/>
            <rFont val="Tahoma"/>
            <family val="2"/>
          </rPr>
          <t xml:space="preserve">
mm vandingsvand</t>
        </r>
      </text>
    </comment>
    <comment ref="KY26" authorId="0">
      <text>
        <r>
          <rPr>
            <b/>
            <sz val="8"/>
            <color indexed="81"/>
            <rFont val="Tahoma"/>
            <family val="2"/>
          </rPr>
          <t>Søren Kolind Hvid:</t>
        </r>
        <r>
          <rPr>
            <sz val="8"/>
            <color indexed="81"/>
            <rFont val="Tahoma"/>
            <family val="2"/>
          </rPr>
          <t xml:space="preserve">
mm vandingsvand</t>
        </r>
      </text>
    </comment>
    <comment ref="KZ2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26" authorId="0">
      <text>
        <r>
          <rPr>
            <b/>
            <sz val="8"/>
            <color indexed="81"/>
            <rFont val="Tahoma"/>
            <family val="2"/>
          </rPr>
          <t>Søren Kolind Hvid:</t>
        </r>
        <r>
          <rPr>
            <sz val="8"/>
            <color indexed="81"/>
            <rFont val="Tahoma"/>
            <family val="2"/>
          </rPr>
          <t xml:space="preserve">
mm vandingsvand</t>
        </r>
      </text>
    </comment>
    <comment ref="NO26" authorId="0">
      <text>
        <r>
          <rPr>
            <b/>
            <sz val="8"/>
            <color indexed="81"/>
            <rFont val="Tahoma"/>
            <family val="2"/>
          </rPr>
          <t>Søren Kolind Hvid:</t>
        </r>
        <r>
          <rPr>
            <sz val="8"/>
            <color indexed="81"/>
            <rFont val="Tahoma"/>
            <family val="2"/>
          </rPr>
          <t xml:space="preserve">
mm vandingsvand</t>
        </r>
      </text>
    </comment>
    <comment ref="NP2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2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2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2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28" authorId="0">
      <text>
        <r>
          <rPr>
            <b/>
            <sz val="8"/>
            <color indexed="81"/>
            <rFont val="Tahoma"/>
            <family val="2"/>
          </rPr>
          <t>Søren Kolind Hvid:</t>
        </r>
        <r>
          <rPr>
            <sz val="8"/>
            <color indexed="81"/>
            <rFont val="Tahoma"/>
            <family val="2"/>
          </rPr>
          <t xml:space="preserve">
mm vandingsvand</t>
        </r>
      </text>
    </comment>
    <comment ref="KY28" authorId="0">
      <text>
        <r>
          <rPr>
            <b/>
            <sz val="8"/>
            <color indexed="81"/>
            <rFont val="Tahoma"/>
            <family val="2"/>
          </rPr>
          <t>Søren Kolind Hvid:</t>
        </r>
        <r>
          <rPr>
            <sz val="8"/>
            <color indexed="81"/>
            <rFont val="Tahoma"/>
            <family val="2"/>
          </rPr>
          <t xml:space="preserve">
mm vandingsvand</t>
        </r>
      </text>
    </comment>
    <comment ref="KZ2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28" authorId="0">
      <text>
        <r>
          <rPr>
            <b/>
            <sz val="8"/>
            <color indexed="81"/>
            <rFont val="Tahoma"/>
            <family val="2"/>
          </rPr>
          <t>Søren Kolind Hvid:</t>
        </r>
        <r>
          <rPr>
            <sz val="8"/>
            <color indexed="81"/>
            <rFont val="Tahoma"/>
            <family val="2"/>
          </rPr>
          <t xml:space="preserve">
mm vandingsvand</t>
        </r>
      </text>
    </comment>
    <comment ref="NO28" authorId="0">
      <text>
        <r>
          <rPr>
            <b/>
            <sz val="8"/>
            <color indexed="81"/>
            <rFont val="Tahoma"/>
            <family val="2"/>
          </rPr>
          <t>Søren Kolind Hvid:</t>
        </r>
        <r>
          <rPr>
            <sz val="8"/>
            <color indexed="81"/>
            <rFont val="Tahoma"/>
            <family val="2"/>
          </rPr>
          <t xml:space="preserve">
mm vandingsvand</t>
        </r>
      </text>
    </comment>
    <comment ref="NP2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3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3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3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30" authorId="0">
      <text>
        <r>
          <rPr>
            <b/>
            <sz val="8"/>
            <color indexed="81"/>
            <rFont val="Tahoma"/>
            <family val="2"/>
          </rPr>
          <t>Søren Kolind Hvid:</t>
        </r>
        <r>
          <rPr>
            <sz val="8"/>
            <color indexed="81"/>
            <rFont val="Tahoma"/>
            <family val="2"/>
          </rPr>
          <t xml:space="preserve">
mm vandingsvand</t>
        </r>
      </text>
    </comment>
    <comment ref="KY30" authorId="0">
      <text>
        <r>
          <rPr>
            <b/>
            <sz val="8"/>
            <color indexed="81"/>
            <rFont val="Tahoma"/>
            <family val="2"/>
          </rPr>
          <t>Søren Kolind Hvid:</t>
        </r>
        <r>
          <rPr>
            <sz val="8"/>
            <color indexed="81"/>
            <rFont val="Tahoma"/>
            <family val="2"/>
          </rPr>
          <t xml:space="preserve">
mm vandingsvand</t>
        </r>
      </text>
    </comment>
    <comment ref="KZ3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30" authorId="0">
      <text>
        <r>
          <rPr>
            <b/>
            <sz val="8"/>
            <color indexed="81"/>
            <rFont val="Tahoma"/>
            <family val="2"/>
          </rPr>
          <t>Søren Kolind Hvid:</t>
        </r>
        <r>
          <rPr>
            <sz val="8"/>
            <color indexed="81"/>
            <rFont val="Tahoma"/>
            <family val="2"/>
          </rPr>
          <t xml:space="preserve">
mm vandingsvand</t>
        </r>
      </text>
    </comment>
    <comment ref="NO30" authorId="0">
      <text>
        <r>
          <rPr>
            <b/>
            <sz val="8"/>
            <color indexed="81"/>
            <rFont val="Tahoma"/>
            <family val="2"/>
          </rPr>
          <t>Søren Kolind Hvid:</t>
        </r>
        <r>
          <rPr>
            <sz val="8"/>
            <color indexed="81"/>
            <rFont val="Tahoma"/>
            <family val="2"/>
          </rPr>
          <t xml:space="preserve">
mm vandingsvand</t>
        </r>
      </text>
    </comment>
    <comment ref="NP3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3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3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3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32" authorId="0">
      <text>
        <r>
          <rPr>
            <b/>
            <sz val="8"/>
            <color indexed="81"/>
            <rFont val="Tahoma"/>
            <family val="2"/>
          </rPr>
          <t>Søren Kolind Hvid:</t>
        </r>
        <r>
          <rPr>
            <sz val="8"/>
            <color indexed="81"/>
            <rFont val="Tahoma"/>
            <family val="2"/>
          </rPr>
          <t xml:space="preserve">
mm vandingsvand</t>
        </r>
      </text>
    </comment>
    <comment ref="KY32" authorId="0">
      <text>
        <r>
          <rPr>
            <b/>
            <sz val="8"/>
            <color indexed="81"/>
            <rFont val="Tahoma"/>
            <family val="2"/>
          </rPr>
          <t>Søren Kolind Hvid:</t>
        </r>
        <r>
          <rPr>
            <sz val="8"/>
            <color indexed="81"/>
            <rFont val="Tahoma"/>
            <family val="2"/>
          </rPr>
          <t xml:space="preserve">
mm vandingsvand</t>
        </r>
      </text>
    </comment>
    <comment ref="KZ3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32" authorId="0">
      <text>
        <r>
          <rPr>
            <b/>
            <sz val="8"/>
            <color indexed="81"/>
            <rFont val="Tahoma"/>
            <family val="2"/>
          </rPr>
          <t>Søren Kolind Hvid:</t>
        </r>
        <r>
          <rPr>
            <sz val="8"/>
            <color indexed="81"/>
            <rFont val="Tahoma"/>
            <family val="2"/>
          </rPr>
          <t xml:space="preserve">
mm vandingsvand</t>
        </r>
      </text>
    </comment>
    <comment ref="NO32" authorId="0">
      <text>
        <r>
          <rPr>
            <b/>
            <sz val="8"/>
            <color indexed="81"/>
            <rFont val="Tahoma"/>
            <family val="2"/>
          </rPr>
          <t>Søren Kolind Hvid:</t>
        </r>
        <r>
          <rPr>
            <sz val="8"/>
            <color indexed="81"/>
            <rFont val="Tahoma"/>
            <family val="2"/>
          </rPr>
          <t xml:space="preserve">
mm vandingsvand</t>
        </r>
      </text>
    </comment>
    <comment ref="NP3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3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3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3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34" authorId="0">
      <text>
        <r>
          <rPr>
            <b/>
            <sz val="8"/>
            <color indexed="81"/>
            <rFont val="Tahoma"/>
            <family val="2"/>
          </rPr>
          <t>Søren Kolind Hvid:</t>
        </r>
        <r>
          <rPr>
            <sz val="8"/>
            <color indexed="81"/>
            <rFont val="Tahoma"/>
            <family val="2"/>
          </rPr>
          <t xml:space="preserve">
mm vandingsvand</t>
        </r>
      </text>
    </comment>
    <comment ref="KY34" authorId="0">
      <text>
        <r>
          <rPr>
            <b/>
            <sz val="8"/>
            <color indexed="81"/>
            <rFont val="Tahoma"/>
            <family val="2"/>
          </rPr>
          <t>Søren Kolind Hvid:</t>
        </r>
        <r>
          <rPr>
            <sz val="8"/>
            <color indexed="81"/>
            <rFont val="Tahoma"/>
            <family val="2"/>
          </rPr>
          <t xml:space="preserve">
mm vandingsvand</t>
        </r>
      </text>
    </comment>
    <comment ref="KZ3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34" authorId="0">
      <text>
        <r>
          <rPr>
            <b/>
            <sz val="8"/>
            <color indexed="81"/>
            <rFont val="Tahoma"/>
            <family val="2"/>
          </rPr>
          <t>Søren Kolind Hvid:</t>
        </r>
        <r>
          <rPr>
            <sz val="8"/>
            <color indexed="81"/>
            <rFont val="Tahoma"/>
            <family val="2"/>
          </rPr>
          <t xml:space="preserve">
mm vandingsvand</t>
        </r>
      </text>
    </comment>
    <comment ref="NO34" authorId="0">
      <text>
        <r>
          <rPr>
            <b/>
            <sz val="8"/>
            <color indexed="81"/>
            <rFont val="Tahoma"/>
            <family val="2"/>
          </rPr>
          <t>Søren Kolind Hvid:</t>
        </r>
        <r>
          <rPr>
            <sz val="8"/>
            <color indexed="81"/>
            <rFont val="Tahoma"/>
            <family val="2"/>
          </rPr>
          <t xml:space="preserve">
mm vandingsvand</t>
        </r>
      </text>
    </comment>
    <comment ref="NP3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3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3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3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36" authorId="0">
      <text>
        <r>
          <rPr>
            <b/>
            <sz val="8"/>
            <color indexed="81"/>
            <rFont val="Tahoma"/>
            <family val="2"/>
          </rPr>
          <t>Søren Kolind Hvid:</t>
        </r>
        <r>
          <rPr>
            <sz val="8"/>
            <color indexed="81"/>
            <rFont val="Tahoma"/>
            <family val="2"/>
          </rPr>
          <t xml:space="preserve">
mm vandingsvand</t>
        </r>
      </text>
    </comment>
    <comment ref="KY36" authorId="0">
      <text>
        <r>
          <rPr>
            <b/>
            <sz val="8"/>
            <color indexed="81"/>
            <rFont val="Tahoma"/>
            <family val="2"/>
          </rPr>
          <t>Søren Kolind Hvid:</t>
        </r>
        <r>
          <rPr>
            <sz val="8"/>
            <color indexed="81"/>
            <rFont val="Tahoma"/>
            <family val="2"/>
          </rPr>
          <t xml:space="preserve">
mm vandingsvand</t>
        </r>
      </text>
    </comment>
    <comment ref="KZ3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36" authorId="0">
      <text>
        <r>
          <rPr>
            <b/>
            <sz val="8"/>
            <color indexed="81"/>
            <rFont val="Tahoma"/>
            <family val="2"/>
          </rPr>
          <t>Søren Kolind Hvid:</t>
        </r>
        <r>
          <rPr>
            <sz val="8"/>
            <color indexed="81"/>
            <rFont val="Tahoma"/>
            <family val="2"/>
          </rPr>
          <t xml:space="preserve">
mm vandingsvand</t>
        </r>
      </text>
    </comment>
    <comment ref="NO36" authorId="0">
      <text>
        <r>
          <rPr>
            <b/>
            <sz val="8"/>
            <color indexed="81"/>
            <rFont val="Tahoma"/>
            <family val="2"/>
          </rPr>
          <t>Søren Kolind Hvid:</t>
        </r>
        <r>
          <rPr>
            <sz val="8"/>
            <color indexed="81"/>
            <rFont val="Tahoma"/>
            <family val="2"/>
          </rPr>
          <t xml:space="preserve">
mm vandingsvand</t>
        </r>
      </text>
    </comment>
    <comment ref="NP3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3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38" authorId="0">
      <text>
        <r>
          <rPr>
            <b/>
            <sz val="8"/>
            <color indexed="81"/>
            <rFont val="Tahoma"/>
            <family val="2"/>
          </rPr>
          <t>Søren Kolind Hvid:</t>
        </r>
        <r>
          <rPr>
            <sz val="8"/>
            <color indexed="81"/>
            <rFont val="Tahoma"/>
            <family val="2"/>
          </rPr>
          <t xml:space="preserve">
mm vandingsvand</t>
        </r>
      </text>
    </comment>
    <comment ref="KY38" authorId="0">
      <text>
        <r>
          <rPr>
            <b/>
            <sz val="8"/>
            <color indexed="81"/>
            <rFont val="Tahoma"/>
            <family val="2"/>
          </rPr>
          <t>Søren Kolind Hvid:</t>
        </r>
        <r>
          <rPr>
            <sz val="8"/>
            <color indexed="81"/>
            <rFont val="Tahoma"/>
            <family val="2"/>
          </rPr>
          <t xml:space="preserve">
mm vandingsvand</t>
        </r>
      </text>
    </comment>
    <comment ref="KZ3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38" authorId="0">
      <text>
        <r>
          <rPr>
            <b/>
            <sz val="8"/>
            <color indexed="81"/>
            <rFont val="Tahoma"/>
            <family val="2"/>
          </rPr>
          <t>Søren Kolind Hvid:</t>
        </r>
        <r>
          <rPr>
            <sz val="8"/>
            <color indexed="81"/>
            <rFont val="Tahoma"/>
            <family val="2"/>
          </rPr>
          <t xml:space="preserve">
mm vandingsvand</t>
        </r>
      </text>
    </comment>
    <comment ref="NO38" authorId="0">
      <text>
        <r>
          <rPr>
            <b/>
            <sz val="8"/>
            <color indexed="81"/>
            <rFont val="Tahoma"/>
            <family val="2"/>
          </rPr>
          <t>Søren Kolind Hvid:</t>
        </r>
        <r>
          <rPr>
            <sz val="8"/>
            <color indexed="81"/>
            <rFont val="Tahoma"/>
            <family val="2"/>
          </rPr>
          <t xml:space="preserve">
mm vandingsvand</t>
        </r>
      </text>
    </comment>
    <comment ref="NP3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4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40" authorId="0">
      <text>
        <r>
          <rPr>
            <b/>
            <sz val="8"/>
            <color indexed="81"/>
            <rFont val="Tahoma"/>
            <family val="2"/>
          </rPr>
          <t>Søren Kolind Hvid:</t>
        </r>
        <r>
          <rPr>
            <sz val="8"/>
            <color indexed="81"/>
            <rFont val="Tahoma"/>
            <family val="2"/>
          </rPr>
          <t xml:space="preserve">
mm vandingsvand</t>
        </r>
      </text>
    </comment>
    <comment ref="KY40" authorId="0">
      <text>
        <r>
          <rPr>
            <b/>
            <sz val="8"/>
            <color indexed="81"/>
            <rFont val="Tahoma"/>
            <family val="2"/>
          </rPr>
          <t>Søren Kolind Hvid:</t>
        </r>
        <r>
          <rPr>
            <sz val="8"/>
            <color indexed="81"/>
            <rFont val="Tahoma"/>
            <family val="2"/>
          </rPr>
          <t xml:space="preserve">
mm vandingsvand</t>
        </r>
      </text>
    </comment>
    <comment ref="KZ4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40" authorId="0">
      <text>
        <r>
          <rPr>
            <b/>
            <sz val="8"/>
            <color indexed="81"/>
            <rFont val="Tahoma"/>
            <family val="2"/>
          </rPr>
          <t>Søren Kolind Hvid:</t>
        </r>
        <r>
          <rPr>
            <sz val="8"/>
            <color indexed="81"/>
            <rFont val="Tahoma"/>
            <family val="2"/>
          </rPr>
          <t xml:space="preserve">
mm vandingsvand</t>
        </r>
      </text>
    </comment>
    <comment ref="NO40" authorId="0">
      <text>
        <r>
          <rPr>
            <b/>
            <sz val="8"/>
            <color indexed="81"/>
            <rFont val="Tahoma"/>
            <family val="2"/>
          </rPr>
          <t>Søren Kolind Hvid:</t>
        </r>
        <r>
          <rPr>
            <sz val="8"/>
            <color indexed="81"/>
            <rFont val="Tahoma"/>
            <family val="2"/>
          </rPr>
          <t xml:space="preserve">
mm vandingsvand</t>
        </r>
      </text>
    </comment>
    <comment ref="NP4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4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42" authorId="0">
      <text>
        <r>
          <rPr>
            <b/>
            <sz val="8"/>
            <color indexed="81"/>
            <rFont val="Tahoma"/>
            <family val="2"/>
          </rPr>
          <t>Søren Kolind Hvid:</t>
        </r>
        <r>
          <rPr>
            <sz val="8"/>
            <color indexed="81"/>
            <rFont val="Tahoma"/>
            <family val="2"/>
          </rPr>
          <t xml:space="preserve">
mm vandingsvand</t>
        </r>
      </text>
    </comment>
    <comment ref="KY42" authorId="0">
      <text>
        <r>
          <rPr>
            <b/>
            <sz val="8"/>
            <color indexed="81"/>
            <rFont val="Tahoma"/>
            <family val="2"/>
          </rPr>
          <t>Søren Kolind Hvid:</t>
        </r>
        <r>
          <rPr>
            <sz val="8"/>
            <color indexed="81"/>
            <rFont val="Tahoma"/>
            <family val="2"/>
          </rPr>
          <t xml:space="preserve">
mm vandingsvand</t>
        </r>
      </text>
    </comment>
    <comment ref="KZ4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42" authorId="0">
      <text>
        <r>
          <rPr>
            <b/>
            <sz val="8"/>
            <color indexed="81"/>
            <rFont val="Tahoma"/>
            <family val="2"/>
          </rPr>
          <t>Søren Kolind Hvid:</t>
        </r>
        <r>
          <rPr>
            <sz val="8"/>
            <color indexed="81"/>
            <rFont val="Tahoma"/>
            <family val="2"/>
          </rPr>
          <t xml:space="preserve">
mm vandingsvand</t>
        </r>
      </text>
    </comment>
    <comment ref="NO42" authorId="0">
      <text>
        <r>
          <rPr>
            <b/>
            <sz val="8"/>
            <color indexed="81"/>
            <rFont val="Tahoma"/>
            <family val="2"/>
          </rPr>
          <t>Søren Kolind Hvid:</t>
        </r>
        <r>
          <rPr>
            <sz val="8"/>
            <color indexed="81"/>
            <rFont val="Tahoma"/>
            <family val="2"/>
          </rPr>
          <t xml:space="preserve">
mm vandingsvand</t>
        </r>
      </text>
    </comment>
    <comment ref="NP4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4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44" authorId="0">
      <text>
        <r>
          <rPr>
            <b/>
            <sz val="8"/>
            <color indexed="81"/>
            <rFont val="Tahoma"/>
            <family val="2"/>
          </rPr>
          <t>Søren Kolind Hvid:</t>
        </r>
        <r>
          <rPr>
            <sz val="8"/>
            <color indexed="81"/>
            <rFont val="Tahoma"/>
            <family val="2"/>
          </rPr>
          <t xml:space="preserve">
mm vandingsvand</t>
        </r>
      </text>
    </comment>
    <comment ref="KY44" authorId="0">
      <text>
        <r>
          <rPr>
            <b/>
            <sz val="8"/>
            <color indexed="81"/>
            <rFont val="Tahoma"/>
            <family val="2"/>
          </rPr>
          <t>Søren Kolind Hvid:</t>
        </r>
        <r>
          <rPr>
            <sz val="8"/>
            <color indexed="81"/>
            <rFont val="Tahoma"/>
            <family val="2"/>
          </rPr>
          <t xml:space="preserve">
mm vandingsvand</t>
        </r>
      </text>
    </comment>
    <comment ref="KZ4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44" authorId="0">
      <text>
        <r>
          <rPr>
            <b/>
            <sz val="8"/>
            <color indexed="81"/>
            <rFont val="Tahoma"/>
            <family val="2"/>
          </rPr>
          <t>Søren Kolind Hvid:</t>
        </r>
        <r>
          <rPr>
            <sz val="8"/>
            <color indexed="81"/>
            <rFont val="Tahoma"/>
            <family val="2"/>
          </rPr>
          <t xml:space="preserve">
mm vandingsvand</t>
        </r>
      </text>
    </comment>
    <comment ref="NO44" authorId="0">
      <text>
        <r>
          <rPr>
            <b/>
            <sz val="8"/>
            <color indexed="81"/>
            <rFont val="Tahoma"/>
            <family val="2"/>
          </rPr>
          <t>Søren Kolind Hvid:</t>
        </r>
        <r>
          <rPr>
            <sz val="8"/>
            <color indexed="81"/>
            <rFont val="Tahoma"/>
            <family val="2"/>
          </rPr>
          <t xml:space="preserve">
mm vandingsvand</t>
        </r>
      </text>
    </comment>
    <comment ref="NP4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4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46" authorId="0">
      <text>
        <r>
          <rPr>
            <b/>
            <sz val="8"/>
            <color indexed="81"/>
            <rFont val="Tahoma"/>
            <family val="2"/>
          </rPr>
          <t>Søren Kolind Hvid:</t>
        </r>
        <r>
          <rPr>
            <sz val="8"/>
            <color indexed="81"/>
            <rFont val="Tahoma"/>
            <family val="2"/>
          </rPr>
          <t xml:space="preserve">
mm vandingsvand</t>
        </r>
      </text>
    </comment>
    <comment ref="KY46" authorId="0">
      <text>
        <r>
          <rPr>
            <b/>
            <sz val="8"/>
            <color indexed="81"/>
            <rFont val="Tahoma"/>
            <family val="2"/>
          </rPr>
          <t>Søren Kolind Hvid:</t>
        </r>
        <r>
          <rPr>
            <sz val="8"/>
            <color indexed="81"/>
            <rFont val="Tahoma"/>
            <family val="2"/>
          </rPr>
          <t xml:space="preserve">
mm vandingsvand</t>
        </r>
      </text>
    </comment>
    <comment ref="KZ4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46" authorId="0">
      <text>
        <r>
          <rPr>
            <b/>
            <sz val="8"/>
            <color indexed="81"/>
            <rFont val="Tahoma"/>
            <family val="2"/>
          </rPr>
          <t>Søren Kolind Hvid:</t>
        </r>
        <r>
          <rPr>
            <sz val="8"/>
            <color indexed="81"/>
            <rFont val="Tahoma"/>
            <family val="2"/>
          </rPr>
          <t xml:space="preserve">
mm vandingsvand</t>
        </r>
      </text>
    </comment>
    <comment ref="NO46" authorId="0">
      <text>
        <r>
          <rPr>
            <b/>
            <sz val="8"/>
            <color indexed="81"/>
            <rFont val="Tahoma"/>
            <family val="2"/>
          </rPr>
          <t>Søren Kolind Hvid:</t>
        </r>
        <r>
          <rPr>
            <sz val="8"/>
            <color indexed="81"/>
            <rFont val="Tahoma"/>
            <family val="2"/>
          </rPr>
          <t xml:space="preserve">
mm vandingsvand</t>
        </r>
      </text>
    </comment>
    <comment ref="NP4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4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48" authorId="0">
      <text>
        <r>
          <rPr>
            <b/>
            <sz val="8"/>
            <color indexed="81"/>
            <rFont val="Tahoma"/>
            <family val="2"/>
          </rPr>
          <t>Søren Kolind Hvid:</t>
        </r>
        <r>
          <rPr>
            <sz val="8"/>
            <color indexed="81"/>
            <rFont val="Tahoma"/>
            <family val="2"/>
          </rPr>
          <t xml:space="preserve">
mm vandingsvand</t>
        </r>
      </text>
    </comment>
    <comment ref="KY48" authorId="0">
      <text>
        <r>
          <rPr>
            <b/>
            <sz val="8"/>
            <color indexed="81"/>
            <rFont val="Tahoma"/>
            <family val="2"/>
          </rPr>
          <t>Søren Kolind Hvid:</t>
        </r>
        <r>
          <rPr>
            <sz val="8"/>
            <color indexed="81"/>
            <rFont val="Tahoma"/>
            <family val="2"/>
          </rPr>
          <t xml:space="preserve">
mm vandingsvand</t>
        </r>
      </text>
    </comment>
    <comment ref="KZ4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48" authorId="0">
      <text>
        <r>
          <rPr>
            <b/>
            <sz val="8"/>
            <color indexed="81"/>
            <rFont val="Tahoma"/>
            <family val="2"/>
          </rPr>
          <t>Søren Kolind Hvid:</t>
        </r>
        <r>
          <rPr>
            <sz val="8"/>
            <color indexed="81"/>
            <rFont val="Tahoma"/>
            <family val="2"/>
          </rPr>
          <t xml:space="preserve">
mm vandingsvand</t>
        </r>
      </text>
    </comment>
    <comment ref="NO48" authorId="0">
      <text>
        <r>
          <rPr>
            <b/>
            <sz val="8"/>
            <color indexed="81"/>
            <rFont val="Tahoma"/>
            <family val="2"/>
          </rPr>
          <t>Søren Kolind Hvid:</t>
        </r>
        <r>
          <rPr>
            <sz val="8"/>
            <color indexed="81"/>
            <rFont val="Tahoma"/>
            <family val="2"/>
          </rPr>
          <t xml:space="preserve">
mm vandingsvand</t>
        </r>
      </text>
    </comment>
    <comment ref="NP4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5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5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50" authorId="0">
      <text>
        <r>
          <rPr>
            <b/>
            <sz val="8"/>
            <color indexed="81"/>
            <rFont val="Tahoma"/>
            <family val="2"/>
          </rPr>
          <t>Søren Kolind Hvid:</t>
        </r>
        <r>
          <rPr>
            <sz val="8"/>
            <color indexed="81"/>
            <rFont val="Tahoma"/>
            <family val="2"/>
          </rPr>
          <t xml:space="preserve">
mm vandingsvand</t>
        </r>
      </text>
    </comment>
    <comment ref="KY50" authorId="0">
      <text>
        <r>
          <rPr>
            <b/>
            <sz val="8"/>
            <color indexed="81"/>
            <rFont val="Tahoma"/>
            <family val="2"/>
          </rPr>
          <t>Søren Kolind Hvid:</t>
        </r>
        <r>
          <rPr>
            <sz val="8"/>
            <color indexed="81"/>
            <rFont val="Tahoma"/>
            <family val="2"/>
          </rPr>
          <t xml:space="preserve">
mm vandingsvand</t>
        </r>
      </text>
    </comment>
    <comment ref="KZ5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50" authorId="0">
      <text>
        <r>
          <rPr>
            <b/>
            <sz val="8"/>
            <color indexed="81"/>
            <rFont val="Tahoma"/>
            <family val="2"/>
          </rPr>
          <t>Søren Kolind Hvid:</t>
        </r>
        <r>
          <rPr>
            <sz val="8"/>
            <color indexed="81"/>
            <rFont val="Tahoma"/>
            <family val="2"/>
          </rPr>
          <t xml:space="preserve">
mm vandingsvand</t>
        </r>
      </text>
    </comment>
    <comment ref="NO50" authorId="0">
      <text>
        <r>
          <rPr>
            <b/>
            <sz val="8"/>
            <color indexed="81"/>
            <rFont val="Tahoma"/>
            <family val="2"/>
          </rPr>
          <t>Søren Kolind Hvid:</t>
        </r>
        <r>
          <rPr>
            <sz val="8"/>
            <color indexed="81"/>
            <rFont val="Tahoma"/>
            <family val="2"/>
          </rPr>
          <t xml:space="preserve">
mm vandingsvand</t>
        </r>
      </text>
    </comment>
    <comment ref="NP5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5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5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52" authorId="0">
      <text>
        <r>
          <rPr>
            <b/>
            <sz val="8"/>
            <color indexed="81"/>
            <rFont val="Tahoma"/>
            <family val="2"/>
          </rPr>
          <t>Søren Kolind Hvid:</t>
        </r>
        <r>
          <rPr>
            <sz val="8"/>
            <color indexed="81"/>
            <rFont val="Tahoma"/>
            <family val="2"/>
          </rPr>
          <t xml:space="preserve">
mm vandingsvand</t>
        </r>
      </text>
    </comment>
    <comment ref="KY52" authorId="0">
      <text>
        <r>
          <rPr>
            <b/>
            <sz val="8"/>
            <color indexed="81"/>
            <rFont val="Tahoma"/>
            <family val="2"/>
          </rPr>
          <t>Søren Kolind Hvid:</t>
        </r>
        <r>
          <rPr>
            <sz val="8"/>
            <color indexed="81"/>
            <rFont val="Tahoma"/>
            <family val="2"/>
          </rPr>
          <t xml:space="preserve">
mm vandingsvand</t>
        </r>
      </text>
    </comment>
    <comment ref="KZ5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52" authorId="0">
      <text>
        <r>
          <rPr>
            <b/>
            <sz val="8"/>
            <color indexed="81"/>
            <rFont val="Tahoma"/>
            <family val="2"/>
          </rPr>
          <t>Søren Kolind Hvid:</t>
        </r>
        <r>
          <rPr>
            <sz val="8"/>
            <color indexed="81"/>
            <rFont val="Tahoma"/>
            <family val="2"/>
          </rPr>
          <t xml:space="preserve">
mm vandingsvand</t>
        </r>
      </text>
    </comment>
    <comment ref="NO52" authorId="0">
      <text>
        <r>
          <rPr>
            <b/>
            <sz val="8"/>
            <color indexed="81"/>
            <rFont val="Tahoma"/>
            <family val="2"/>
          </rPr>
          <t>Søren Kolind Hvid:</t>
        </r>
        <r>
          <rPr>
            <sz val="8"/>
            <color indexed="81"/>
            <rFont val="Tahoma"/>
            <family val="2"/>
          </rPr>
          <t xml:space="preserve">
mm vandingsvand</t>
        </r>
      </text>
    </comment>
    <comment ref="NP5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5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5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54" authorId="0">
      <text>
        <r>
          <rPr>
            <b/>
            <sz val="8"/>
            <color indexed="81"/>
            <rFont val="Tahoma"/>
            <family val="2"/>
          </rPr>
          <t>Søren Kolind Hvid:</t>
        </r>
        <r>
          <rPr>
            <sz val="8"/>
            <color indexed="81"/>
            <rFont val="Tahoma"/>
            <family val="2"/>
          </rPr>
          <t xml:space="preserve">
mm vandingsvand</t>
        </r>
      </text>
    </comment>
    <comment ref="KY54" authorId="0">
      <text>
        <r>
          <rPr>
            <b/>
            <sz val="8"/>
            <color indexed="81"/>
            <rFont val="Tahoma"/>
            <family val="2"/>
          </rPr>
          <t>Søren Kolind Hvid:</t>
        </r>
        <r>
          <rPr>
            <sz val="8"/>
            <color indexed="81"/>
            <rFont val="Tahoma"/>
            <family val="2"/>
          </rPr>
          <t xml:space="preserve">
mm vandingsvand</t>
        </r>
      </text>
    </comment>
    <comment ref="KZ5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54" authorId="0">
      <text>
        <r>
          <rPr>
            <b/>
            <sz val="8"/>
            <color indexed="81"/>
            <rFont val="Tahoma"/>
            <family val="2"/>
          </rPr>
          <t>Søren Kolind Hvid:</t>
        </r>
        <r>
          <rPr>
            <sz val="8"/>
            <color indexed="81"/>
            <rFont val="Tahoma"/>
            <family val="2"/>
          </rPr>
          <t xml:space="preserve">
mm vandingsvand</t>
        </r>
      </text>
    </comment>
    <comment ref="NO54" authorId="0">
      <text>
        <r>
          <rPr>
            <b/>
            <sz val="8"/>
            <color indexed="81"/>
            <rFont val="Tahoma"/>
            <family val="2"/>
          </rPr>
          <t>Søren Kolind Hvid:</t>
        </r>
        <r>
          <rPr>
            <sz val="8"/>
            <color indexed="81"/>
            <rFont val="Tahoma"/>
            <family val="2"/>
          </rPr>
          <t xml:space="preserve">
mm vandingsvand</t>
        </r>
      </text>
    </comment>
    <comment ref="NP5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5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5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56" authorId="0">
      <text>
        <r>
          <rPr>
            <b/>
            <sz val="8"/>
            <color indexed="81"/>
            <rFont val="Tahoma"/>
            <family val="2"/>
          </rPr>
          <t>Søren Kolind Hvid:</t>
        </r>
        <r>
          <rPr>
            <sz val="8"/>
            <color indexed="81"/>
            <rFont val="Tahoma"/>
            <family val="2"/>
          </rPr>
          <t xml:space="preserve">
mm vandingsvand</t>
        </r>
      </text>
    </comment>
    <comment ref="KY56" authorId="0">
      <text>
        <r>
          <rPr>
            <b/>
            <sz val="8"/>
            <color indexed="81"/>
            <rFont val="Tahoma"/>
            <family val="2"/>
          </rPr>
          <t>Søren Kolind Hvid:</t>
        </r>
        <r>
          <rPr>
            <sz val="8"/>
            <color indexed="81"/>
            <rFont val="Tahoma"/>
            <family val="2"/>
          </rPr>
          <t xml:space="preserve">
mm vandingsvand</t>
        </r>
      </text>
    </comment>
    <comment ref="KZ5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56" authorId="0">
      <text>
        <r>
          <rPr>
            <b/>
            <sz val="8"/>
            <color indexed="81"/>
            <rFont val="Tahoma"/>
            <family val="2"/>
          </rPr>
          <t>Søren Kolind Hvid:</t>
        </r>
        <r>
          <rPr>
            <sz val="8"/>
            <color indexed="81"/>
            <rFont val="Tahoma"/>
            <family val="2"/>
          </rPr>
          <t xml:space="preserve">
mm vandingsvand</t>
        </r>
      </text>
    </comment>
    <comment ref="NO56" authorId="0">
      <text>
        <r>
          <rPr>
            <b/>
            <sz val="8"/>
            <color indexed="81"/>
            <rFont val="Tahoma"/>
            <family val="2"/>
          </rPr>
          <t>Søren Kolind Hvid:</t>
        </r>
        <r>
          <rPr>
            <sz val="8"/>
            <color indexed="81"/>
            <rFont val="Tahoma"/>
            <family val="2"/>
          </rPr>
          <t xml:space="preserve">
mm vandingsvand</t>
        </r>
      </text>
    </comment>
    <comment ref="NP5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5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5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58" authorId="0">
      <text>
        <r>
          <rPr>
            <b/>
            <sz val="8"/>
            <color indexed="81"/>
            <rFont val="Tahoma"/>
            <family val="2"/>
          </rPr>
          <t>Søren Kolind Hvid:</t>
        </r>
        <r>
          <rPr>
            <sz val="8"/>
            <color indexed="81"/>
            <rFont val="Tahoma"/>
            <family val="2"/>
          </rPr>
          <t xml:space="preserve">
mm vandingsvand</t>
        </r>
      </text>
    </comment>
    <comment ref="KY58" authorId="0">
      <text>
        <r>
          <rPr>
            <b/>
            <sz val="8"/>
            <color indexed="81"/>
            <rFont val="Tahoma"/>
            <family val="2"/>
          </rPr>
          <t>Søren Kolind Hvid:</t>
        </r>
        <r>
          <rPr>
            <sz val="8"/>
            <color indexed="81"/>
            <rFont val="Tahoma"/>
            <family val="2"/>
          </rPr>
          <t xml:space="preserve">
mm vandingsvand</t>
        </r>
      </text>
    </comment>
    <comment ref="KZ5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58" authorId="0">
      <text>
        <r>
          <rPr>
            <b/>
            <sz val="8"/>
            <color indexed="81"/>
            <rFont val="Tahoma"/>
            <family val="2"/>
          </rPr>
          <t>Søren Kolind Hvid:</t>
        </r>
        <r>
          <rPr>
            <sz val="8"/>
            <color indexed="81"/>
            <rFont val="Tahoma"/>
            <family val="2"/>
          </rPr>
          <t xml:space="preserve">
mm vandingsvand</t>
        </r>
      </text>
    </comment>
    <comment ref="NO58" authorId="0">
      <text>
        <r>
          <rPr>
            <b/>
            <sz val="8"/>
            <color indexed="81"/>
            <rFont val="Tahoma"/>
            <family val="2"/>
          </rPr>
          <t>Søren Kolind Hvid:</t>
        </r>
        <r>
          <rPr>
            <sz val="8"/>
            <color indexed="81"/>
            <rFont val="Tahoma"/>
            <family val="2"/>
          </rPr>
          <t xml:space="preserve">
mm vandingsvand</t>
        </r>
      </text>
    </comment>
    <comment ref="NP5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6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6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6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60" authorId="0">
      <text>
        <r>
          <rPr>
            <b/>
            <sz val="8"/>
            <color indexed="81"/>
            <rFont val="Tahoma"/>
            <family val="2"/>
          </rPr>
          <t>Søren Kolind Hvid:</t>
        </r>
        <r>
          <rPr>
            <sz val="8"/>
            <color indexed="81"/>
            <rFont val="Tahoma"/>
            <family val="2"/>
          </rPr>
          <t xml:space="preserve">
mm vandingsvand</t>
        </r>
      </text>
    </comment>
    <comment ref="KY60" authorId="0">
      <text>
        <r>
          <rPr>
            <b/>
            <sz val="8"/>
            <color indexed="81"/>
            <rFont val="Tahoma"/>
            <family val="2"/>
          </rPr>
          <t>Søren Kolind Hvid:</t>
        </r>
        <r>
          <rPr>
            <sz val="8"/>
            <color indexed="81"/>
            <rFont val="Tahoma"/>
            <family val="2"/>
          </rPr>
          <t xml:space="preserve">
mm vandingsvand</t>
        </r>
      </text>
    </comment>
    <comment ref="KZ6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60" authorId="0">
      <text>
        <r>
          <rPr>
            <b/>
            <sz val="8"/>
            <color indexed="81"/>
            <rFont val="Tahoma"/>
            <family val="2"/>
          </rPr>
          <t>Søren Kolind Hvid:</t>
        </r>
        <r>
          <rPr>
            <sz val="8"/>
            <color indexed="81"/>
            <rFont val="Tahoma"/>
            <family val="2"/>
          </rPr>
          <t xml:space="preserve">
mm vandingsvand</t>
        </r>
      </text>
    </comment>
    <comment ref="NO60" authorId="0">
      <text>
        <r>
          <rPr>
            <b/>
            <sz val="8"/>
            <color indexed="81"/>
            <rFont val="Tahoma"/>
            <family val="2"/>
          </rPr>
          <t>Søren Kolind Hvid:</t>
        </r>
        <r>
          <rPr>
            <sz val="8"/>
            <color indexed="81"/>
            <rFont val="Tahoma"/>
            <family val="2"/>
          </rPr>
          <t xml:space="preserve">
mm vandingsvand</t>
        </r>
      </text>
    </comment>
    <comment ref="NP6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6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6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6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62" authorId="0">
      <text>
        <r>
          <rPr>
            <b/>
            <sz val="8"/>
            <color indexed="81"/>
            <rFont val="Tahoma"/>
            <family val="2"/>
          </rPr>
          <t>Søren Kolind Hvid:</t>
        </r>
        <r>
          <rPr>
            <sz val="8"/>
            <color indexed="81"/>
            <rFont val="Tahoma"/>
            <family val="2"/>
          </rPr>
          <t xml:space="preserve">
mm vandingsvand</t>
        </r>
      </text>
    </comment>
    <comment ref="KY62" authorId="0">
      <text>
        <r>
          <rPr>
            <b/>
            <sz val="8"/>
            <color indexed="81"/>
            <rFont val="Tahoma"/>
            <family val="2"/>
          </rPr>
          <t>Søren Kolind Hvid:</t>
        </r>
        <r>
          <rPr>
            <sz val="8"/>
            <color indexed="81"/>
            <rFont val="Tahoma"/>
            <family val="2"/>
          </rPr>
          <t xml:space="preserve">
mm vandingsvand</t>
        </r>
      </text>
    </comment>
    <comment ref="KZ6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62" authorId="0">
      <text>
        <r>
          <rPr>
            <b/>
            <sz val="8"/>
            <color indexed="81"/>
            <rFont val="Tahoma"/>
            <family val="2"/>
          </rPr>
          <t>Søren Kolind Hvid:</t>
        </r>
        <r>
          <rPr>
            <sz val="8"/>
            <color indexed="81"/>
            <rFont val="Tahoma"/>
            <family val="2"/>
          </rPr>
          <t xml:space="preserve">
mm vandingsvand</t>
        </r>
      </text>
    </comment>
    <comment ref="NO62" authorId="0">
      <text>
        <r>
          <rPr>
            <b/>
            <sz val="8"/>
            <color indexed="81"/>
            <rFont val="Tahoma"/>
            <family val="2"/>
          </rPr>
          <t>Søren Kolind Hvid:</t>
        </r>
        <r>
          <rPr>
            <sz val="8"/>
            <color indexed="81"/>
            <rFont val="Tahoma"/>
            <family val="2"/>
          </rPr>
          <t xml:space="preserve">
mm vandingsvand</t>
        </r>
      </text>
    </comment>
    <comment ref="NP6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6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6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6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64" authorId="0">
      <text>
        <r>
          <rPr>
            <b/>
            <sz val="8"/>
            <color indexed="81"/>
            <rFont val="Tahoma"/>
            <family val="2"/>
          </rPr>
          <t>Søren Kolind Hvid:</t>
        </r>
        <r>
          <rPr>
            <sz val="8"/>
            <color indexed="81"/>
            <rFont val="Tahoma"/>
            <family val="2"/>
          </rPr>
          <t xml:space="preserve">
mm vandingsvand</t>
        </r>
      </text>
    </comment>
    <comment ref="KY64" authorId="0">
      <text>
        <r>
          <rPr>
            <b/>
            <sz val="8"/>
            <color indexed="81"/>
            <rFont val="Tahoma"/>
            <family val="2"/>
          </rPr>
          <t>Søren Kolind Hvid:</t>
        </r>
        <r>
          <rPr>
            <sz val="8"/>
            <color indexed="81"/>
            <rFont val="Tahoma"/>
            <family val="2"/>
          </rPr>
          <t xml:space="preserve">
mm vandingsvand</t>
        </r>
      </text>
    </comment>
    <comment ref="KZ6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64" authorId="0">
      <text>
        <r>
          <rPr>
            <b/>
            <sz val="8"/>
            <color indexed="81"/>
            <rFont val="Tahoma"/>
            <family val="2"/>
          </rPr>
          <t>Søren Kolind Hvid:</t>
        </r>
        <r>
          <rPr>
            <sz val="8"/>
            <color indexed="81"/>
            <rFont val="Tahoma"/>
            <family val="2"/>
          </rPr>
          <t xml:space="preserve">
mm vandingsvand</t>
        </r>
      </text>
    </comment>
    <comment ref="NO64" authorId="0">
      <text>
        <r>
          <rPr>
            <b/>
            <sz val="8"/>
            <color indexed="81"/>
            <rFont val="Tahoma"/>
            <family val="2"/>
          </rPr>
          <t>Søren Kolind Hvid:</t>
        </r>
        <r>
          <rPr>
            <sz val="8"/>
            <color indexed="81"/>
            <rFont val="Tahoma"/>
            <family val="2"/>
          </rPr>
          <t xml:space="preserve">
mm vandingsvand</t>
        </r>
      </text>
    </comment>
    <comment ref="NP6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6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6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6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66" authorId="0">
      <text>
        <r>
          <rPr>
            <b/>
            <sz val="8"/>
            <color indexed="81"/>
            <rFont val="Tahoma"/>
            <family val="2"/>
          </rPr>
          <t>Søren Kolind Hvid:</t>
        </r>
        <r>
          <rPr>
            <sz val="8"/>
            <color indexed="81"/>
            <rFont val="Tahoma"/>
            <family val="2"/>
          </rPr>
          <t xml:space="preserve">
mm vandingsvand</t>
        </r>
      </text>
    </comment>
    <comment ref="KY66" authorId="0">
      <text>
        <r>
          <rPr>
            <b/>
            <sz val="8"/>
            <color indexed="81"/>
            <rFont val="Tahoma"/>
            <family val="2"/>
          </rPr>
          <t>Søren Kolind Hvid:</t>
        </r>
        <r>
          <rPr>
            <sz val="8"/>
            <color indexed="81"/>
            <rFont val="Tahoma"/>
            <family val="2"/>
          </rPr>
          <t xml:space="preserve">
mm vandingsvand</t>
        </r>
      </text>
    </comment>
    <comment ref="KZ6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66" authorId="0">
      <text>
        <r>
          <rPr>
            <b/>
            <sz val="8"/>
            <color indexed="81"/>
            <rFont val="Tahoma"/>
            <family val="2"/>
          </rPr>
          <t>Søren Kolind Hvid:</t>
        </r>
        <r>
          <rPr>
            <sz val="8"/>
            <color indexed="81"/>
            <rFont val="Tahoma"/>
            <family val="2"/>
          </rPr>
          <t xml:space="preserve">
mm vandingsvand</t>
        </r>
      </text>
    </comment>
    <comment ref="NO66" authorId="0">
      <text>
        <r>
          <rPr>
            <b/>
            <sz val="8"/>
            <color indexed="81"/>
            <rFont val="Tahoma"/>
            <family val="2"/>
          </rPr>
          <t>Søren Kolind Hvid:</t>
        </r>
        <r>
          <rPr>
            <sz val="8"/>
            <color indexed="81"/>
            <rFont val="Tahoma"/>
            <family val="2"/>
          </rPr>
          <t xml:space="preserve">
mm vandingsvand</t>
        </r>
      </text>
    </comment>
    <comment ref="NP6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6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6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6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68" authorId="0">
      <text>
        <r>
          <rPr>
            <b/>
            <sz val="8"/>
            <color indexed="81"/>
            <rFont val="Tahoma"/>
            <family val="2"/>
          </rPr>
          <t>Søren Kolind Hvid:</t>
        </r>
        <r>
          <rPr>
            <sz val="8"/>
            <color indexed="81"/>
            <rFont val="Tahoma"/>
            <family val="2"/>
          </rPr>
          <t xml:space="preserve">
mm vandingsvand</t>
        </r>
      </text>
    </comment>
    <comment ref="KY68" authorId="0">
      <text>
        <r>
          <rPr>
            <b/>
            <sz val="8"/>
            <color indexed="81"/>
            <rFont val="Tahoma"/>
            <family val="2"/>
          </rPr>
          <t>Søren Kolind Hvid:</t>
        </r>
        <r>
          <rPr>
            <sz val="8"/>
            <color indexed="81"/>
            <rFont val="Tahoma"/>
            <family val="2"/>
          </rPr>
          <t xml:space="preserve">
mm vandingsvand</t>
        </r>
      </text>
    </comment>
    <comment ref="KZ6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68" authorId="0">
      <text>
        <r>
          <rPr>
            <b/>
            <sz val="8"/>
            <color indexed="81"/>
            <rFont val="Tahoma"/>
            <family val="2"/>
          </rPr>
          <t>Søren Kolind Hvid:</t>
        </r>
        <r>
          <rPr>
            <sz val="8"/>
            <color indexed="81"/>
            <rFont val="Tahoma"/>
            <family val="2"/>
          </rPr>
          <t xml:space="preserve">
mm vandingsvand</t>
        </r>
      </text>
    </comment>
    <comment ref="NO68" authorId="0">
      <text>
        <r>
          <rPr>
            <b/>
            <sz val="8"/>
            <color indexed="81"/>
            <rFont val="Tahoma"/>
            <family val="2"/>
          </rPr>
          <t>Søren Kolind Hvid:</t>
        </r>
        <r>
          <rPr>
            <sz val="8"/>
            <color indexed="81"/>
            <rFont val="Tahoma"/>
            <family val="2"/>
          </rPr>
          <t xml:space="preserve">
mm vandingsvand</t>
        </r>
      </text>
    </comment>
    <comment ref="NP6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7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7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7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70" authorId="0">
      <text>
        <r>
          <rPr>
            <b/>
            <sz val="8"/>
            <color indexed="81"/>
            <rFont val="Tahoma"/>
            <family val="2"/>
          </rPr>
          <t>Søren Kolind Hvid:</t>
        </r>
        <r>
          <rPr>
            <sz val="8"/>
            <color indexed="81"/>
            <rFont val="Tahoma"/>
            <family val="2"/>
          </rPr>
          <t xml:space="preserve">
mm vandingsvand</t>
        </r>
      </text>
    </comment>
    <comment ref="KY70" authorId="0">
      <text>
        <r>
          <rPr>
            <b/>
            <sz val="8"/>
            <color indexed="81"/>
            <rFont val="Tahoma"/>
            <family val="2"/>
          </rPr>
          <t>Søren Kolind Hvid:</t>
        </r>
        <r>
          <rPr>
            <sz val="8"/>
            <color indexed="81"/>
            <rFont val="Tahoma"/>
            <family val="2"/>
          </rPr>
          <t xml:space="preserve">
mm vandingsvand</t>
        </r>
      </text>
    </comment>
    <comment ref="KZ7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70" authorId="0">
      <text>
        <r>
          <rPr>
            <b/>
            <sz val="8"/>
            <color indexed="81"/>
            <rFont val="Tahoma"/>
            <family val="2"/>
          </rPr>
          <t>Søren Kolind Hvid:</t>
        </r>
        <r>
          <rPr>
            <sz val="8"/>
            <color indexed="81"/>
            <rFont val="Tahoma"/>
            <family val="2"/>
          </rPr>
          <t xml:space="preserve">
mm vandingsvand</t>
        </r>
      </text>
    </comment>
    <comment ref="NO70" authorId="0">
      <text>
        <r>
          <rPr>
            <b/>
            <sz val="8"/>
            <color indexed="81"/>
            <rFont val="Tahoma"/>
            <family val="2"/>
          </rPr>
          <t>Søren Kolind Hvid:</t>
        </r>
        <r>
          <rPr>
            <sz val="8"/>
            <color indexed="81"/>
            <rFont val="Tahoma"/>
            <family val="2"/>
          </rPr>
          <t xml:space="preserve">
mm vandingsvand</t>
        </r>
      </text>
    </comment>
    <comment ref="NP7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7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7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7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72" authorId="0">
      <text>
        <r>
          <rPr>
            <b/>
            <sz val="8"/>
            <color indexed="81"/>
            <rFont val="Tahoma"/>
            <family val="2"/>
          </rPr>
          <t>Søren Kolind Hvid:</t>
        </r>
        <r>
          <rPr>
            <sz val="8"/>
            <color indexed="81"/>
            <rFont val="Tahoma"/>
            <family val="2"/>
          </rPr>
          <t xml:space="preserve">
mm vandingsvand</t>
        </r>
      </text>
    </comment>
    <comment ref="KY72" authorId="0">
      <text>
        <r>
          <rPr>
            <b/>
            <sz val="8"/>
            <color indexed="81"/>
            <rFont val="Tahoma"/>
            <family val="2"/>
          </rPr>
          <t>Søren Kolind Hvid:</t>
        </r>
        <r>
          <rPr>
            <sz val="8"/>
            <color indexed="81"/>
            <rFont val="Tahoma"/>
            <family val="2"/>
          </rPr>
          <t xml:space="preserve">
mm vandingsvand</t>
        </r>
      </text>
    </comment>
    <comment ref="KZ7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72" authorId="0">
      <text>
        <r>
          <rPr>
            <b/>
            <sz val="8"/>
            <color indexed="81"/>
            <rFont val="Tahoma"/>
            <family val="2"/>
          </rPr>
          <t>Søren Kolind Hvid:</t>
        </r>
        <r>
          <rPr>
            <sz val="8"/>
            <color indexed="81"/>
            <rFont val="Tahoma"/>
            <family val="2"/>
          </rPr>
          <t xml:space="preserve">
mm vandingsvand</t>
        </r>
      </text>
    </comment>
    <comment ref="NO72" authorId="0">
      <text>
        <r>
          <rPr>
            <b/>
            <sz val="8"/>
            <color indexed="81"/>
            <rFont val="Tahoma"/>
            <family val="2"/>
          </rPr>
          <t>Søren Kolind Hvid:</t>
        </r>
        <r>
          <rPr>
            <sz val="8"/>
            <color indexed="81"/>
            <rFont val="Tahoma"/>
            <family val="2"/>
          </rPr>
          <t xml:space="preserve">
mm vandingsvand</t>
        </r>
      </text>
    </comment>
    <comment ref="NP7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7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7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7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74" authorId="0">
      <text>
        <r>
          <rPr>
            <b/>
            <sz val="8"/>
            <color indexed="81"/>
            <rFont val="Tahoma"/>
            <family val="2"/>
          </rPr>
          <t>Søren Kolind Hvid:</t>
        </r>
        <r>
          <rPr>
            <sz val="8"/>
            <color indexed="81"/>
            <rFont val="Tahoma"/>
            <family val="2"/>
          </rPr>
          <t xml:space="preserve">
mm vandingsvand</t>
        </r>
      </text>
    </comment>
    <comment ref="KY74" authorId="0">
      <text>
        <r>
          <rPr>
            <b/>
            <sz val="8"/>
            <color indexed="81"/>
            <rFont val="Tahoma"/>
            <family val="2"/>
          </rPr>
          <t>Søren Kolind Hvid:</t>
        </r>
        <r>
          <rPr>
            <sz val="8"/>
            <color indexed="81"/>
            <rFont val="Tahoma"/>
            <family val="2"/>
          </rPr>
          <t xml:space="preserve">
mm vandingsvand</t>
        </r>
      </text>
    </comment>
    <comment ref="KZ7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74" authorId="0">
      <text>
        <r>
          <rPr>
            <b/>
            <sz val="8"/>
            <color indexed="81"/>
            <rFont val="Tahoma"/>
            <family val="2"/>
          </rPr>
          <t>Søren Kolind Hvid:</t>
        </r>
        <r>
          <rPr>
            <sz val="8"/>
            <color indexed="81"/>
            <rFont val="Tahoma"/>
            <family val="2"/>
          </rPr>
          <t xml:space="preserve">
mm vandingsvand</t>
        </r>
      </text>
    </comment>
    <comment ref="NO74" authorId="0">
      <text>
        <r>
          <rPr>
            <b/>
            <sz val="8"/>
            <color indexed="81"/>
            <rFont val="Tahoma"/>
            <family val="2"/>
          </rPr>
          <t>Søren Kolind Hvid:</t>
        </r>
        <r>
          <rPr>
            <sz val="8"/>
            <color indexed="81"/>
            <rFont val="Tahoma"/>
            <family val="2"/>
          </rPr>
          <t xml:space="preserve">
mm vandingsvand</t>
        </r>
      </text>
    </comment>
    <comment ref="NP7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7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7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7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76" authorId="0">
      <text>
        <r>
          <rPr>
            <b/>
            <sz val="8"/>
            <color indexed="81"/>
            <rFont val="Tahoma"/>
            <family val="2"/>
          </rPr>
          <t>Søren Kolind Hvid:</t>
        </r>
        <r>
          <rPr>
            <sz val="8"/>
            <color indexed="81"/>
            <rFont val="Tahoma"/>
            <family val="2"/>
          </rPr>
          <t xml:space="preserve">
mm vandingsvand</t>
        </r>
      </text>
    </comment>
    <comment ref="KY76" authorId="0">
      <text>
        <r>
          <rPr>
            <b/>
            <sz val="8"/>
            <color indexed="81"/>
            <rFont val="Tahoma"/>
            <family val="2"/>
          </rPr>
          <t>Søren Kolind Hvid:</t>
        </r>
        <r>
          <rPr>
            <sz val="8"/>
            <color indexed="81"/>
            <rFont val="Tahoma"/>
            <family val="2"/>
          </rPr>
          <t xml:space="preserve">
mm vandingsvand</t>
        </r>
      </text>
    </comment>
    <comment ref="KZ7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76" authorId="0">
      <text>
        <r>
          <rPr>
            <b/>
            <sz val="8"/>
            <color indexed="81"/>
            <rFont val="Tahoma"/>
            <family val="2"/>
          </rPr>
          <t>Søren Kolind Hvid:</t>
        </r>
        <r>
          <rPr>
            <sz val="8"/>
            <color indexed="81"/>
            <rFont val="Tahoma"/>
            <family val="2"/>
          </rPr>
          <t xml:space="preserve">
mm vandingsvand</t>
        </r>
      </text>
    </comment>
    <comment ref="NO76" authorId="0">
      <text>
        <r>
          <rPr>
            <b/>
            <sz val="8"/>
            <color indexed="81"/>
            <rFont val="Tahoma"/>
            <family val="2"/>
          </rPr>
          <t>Søren Kolind Hvid:</t>
        </r>
        <r>
          <rPr>
            <sz val="8"/>
            <color indexed="81"/>
            <rFont val="Tahoma"/>
            <family val="2"/>
          </rPr>
          <t xml:space="preserve">
mm vandingsvand</t>
        </r>
      </text>
    </comment>
    <comment ref="NP7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7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7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7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78" authorId="0">
      <text>
        <r>
          <rPr>
            <b/>
            <sz val="8"/>
            <color indexed="81"/>
            <rFont val="Tahoma"/>
            <family val="2"/>
          </rPr>
          <t>Søren Kolind Hvid:</t>
        </r>
        <r>
          <rPr>
            <sz val="8"/>
            <color indexed="81"/>
            <rFont val="Tahoma"/>
            <family val="2"/>
          </rPr>
          <t xml:space="preserve">
mm vandingsvand</t>
        </r>
      </text>
    </comment>
    <comment ref="KY78" authorId="0">
      <text>
        <r>
          <rPr>
            <b/>
            <sz val="8"/>
            <color indexed="81"/>
            <rFont val="Tahoma"/>
            <family val="2"/>
          </rPr>
          <t>Søren Kolind Hvid:</t>
        </r>
        <r>
          <rPr>
            <sz val="8"/>
            <color indexed="81"/>
            <rFont val="Tahoma"/>
            <family val="2"/>
          </rPr>
          <t xml:space="preserve">
mm vandingsvand</t>
        </r>
      </text>
    </comment>
    <comment ref="KZ7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78" authorId="0">
      <text>
        <r>
          <rPr>
            <b/>
            <sz val="8"/>
            <color indexed="81"/>
            <rFont val="Tahoma"/>
            <family val="2"/>
          </rPr>
          <t>Søren Kolind Hvid:</t>
        </r>
        <r>
          <rPr>
            <sz val="8"/>
            <color indexed="81"/>
            <rFont val="Tahoma"/>
            <family val="2"/>
          </rPr>
          <t xml:space="preserve">
mm vandingsvand</t>
        </r>
      </text>
    </comment>
    <comment ref="NO78" authorId="0">
      <text>
        <r>
          <rPr>
            <b/>
            <sz val="8"/>
            <color indexed="81"/>
            <rFont val="Tahoma"/>
            <family val="2"/>
          </rPr>
          <t>Søren Kolind Hvid:</t>
        </r>
        <r>
          <rPr>
            <sz val="8"/>
            <color indexed="81"/>
            <rFont val="Tahoma"/>
            <family val="2"/>
          </rPr>
          <t xml:space="preserve">
mm vandingsvand</t>
        </r>
      </text>
    </comment>
    <comment ref="NP7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8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8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8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80" authorId="0">
      <text>
        <r>
          <rPr>
            <b/>
            <sz val="8"/>
            <color indexed="81"/>
            <rFont val="Tahoma"/>
            <family val="2"/>
          </rPr>
          <t>Søren Kolind Hvid:</t>
        </r>
        <r>
          <rPr>
            <sz val="8"/>
            <color indexed="81"/>
            <rFont val="Tahoma"/>
            <family val="2"/>
          </rPr>
          <t xml:space="preserve">
mm vandingsvand</t>
        </r>
      </text>
    </comment>
    <comment ref="KY80" authorId="0">
      <text>
        <r>
          <rPr>
            <b/>
            <sz val="8"/>
            <color indexed="81"/>
            <rFont val="Tahoma"/>
            <family val="2"/>
          </rPr>
          <t>Søren Kolind Hvid:</t>
        </r>
        <r>
          <rPr>
            <sz val="8"/>
            <color indexed="81"/>
            <rFont val="Tahoma"/>
            <family val="2"/>
          </rPr>
          <t xml:space="preserve">
mm vandingsvand</t>
        </r>
      </text>
    </comment>
    <comment ref="KZ8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80" authorId="0">
      <text>
        <r>
          <rPr>
            <b/>
            <sz val="8"/>
            <color indexed="81"/>
            <rFont val="Tahoma"/>
            <family val="2"/>
          </rPr>
          <t>Søren Kolind Hvid:</t>
        </r>
        <r>
          <rPr>
            <sz val="8"/>
            <color indexed="81"/>
            <rFont val="Tahoma"/>
            <family val="2"/>
          </rPr>
          <t xml:space="preserve">
mm vandingsvand</t>
        </r>
      </text>
    </comment>
    <comment ref="NO80" authorId="0">
      <text>
        <r>
          <rPr>
            <b/>
            <sz val="8"/>
            <color indexed="81"/>
            <rFont val="Tahoma"/>
            <family val="2"/>
          </rPr>
          <t>Søren Kolind Hvid:</t>
        </r>
        <r>
          <rPr>
            <sz val="8"/>
            <color indexed="81"/>
            <rFont val="Tahoma"/>
            <family val="2"/>
          </rPr>
          <t xml:space="preserve">
mm vandingsvand</t>
        </r>
      </text>
    </comment>
    <comment ref="NP8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8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8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8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82" authorId="0">
      <text>
        <r>
          <rPr>
            <b/>
            <sz val="8"/>
            <color indexed="81"/>
            <rFont val="Tahoma"/>
            <family val="2"/>
          </rPr>
          <t>Søren Kolind Hvid:</t>
        </r>
        <r>
          <rPr>
            <sz val="8"/>
            <color indexed="81"/>
            <rFont val="Tahoma"/>
            <family val="2"/>
          </rPr>
          <t xml:space="preserve">
mm vandingsvand</t>
        </r>
      </text>
    </comment>
    <comment ref="KY82" authorId="0">
      <text>
        <r>
          <rPr>
            <b/>
            <sz val="8"/>
            <color indexed="81"/>
            <rFont val="Tahoma"/>
            <family val="2"/>
          </rPr>
          <t>Søren Kolind Hvid:</t>
        </r>
        <r>
          <rPr>
            <sz val="8"/>
            <color indexed="81"/>
            <rFont val="Tahoma"/>
            <family val="2"/>
          </rPr>
          <t xml:space="preserve">
mm vandingsvand</t>
        </r>
      </text>
    </comment>
    <comment ref="KZ8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82" authorId="0">
      <text>
        <r>
          <rPr>
            <b/>
            <sz val="8"/>
            <color indexed="81"/>
            <rFont val="Tahoma"/>
            <family val="2"/>
          </rPr>
          <t>Søren Kolind Hvid:</t>
        </r>
        <r>
          <rPr>
            <sz val="8"/>
            <color indexed="81"/>
            <rFont val="Tahoma"/>
            <family val="2"/>
          </rPr>
          <t xml:space="preserve">
mm vandingsvand</t>
        </r>
      </text>
    </comment>
    <comment ref="NO82" authorId="0">
      <text>
        <r>
          <rPr>
            <b/>
            <sz val="8"/>
            <color indexed="81"/>
            <rFont val="Tahoma"/>
            <family val="2"/>
          </rPr>
          <t>Søren Kolind Hvid:</t>
        </r>
        <r>
          <rPr>
            <sz val="8"/>
            <color indexed="81"/>
            <rFont val="Tahoma"/>
            <family val="2"/>
          </rPr>
          <t xml:space="preserve">
mm vandingsvand</t>
        </r>
      </text>
    </comment>
    <comment ref="NP8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8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8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8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84" authorId="0">
      <text>
        <r>
          <rPr>
            <b/>
            <sz val="8"/>
            <color indexed="81"/>
            <rFont val="Tahoma"/>
            <family val="2"/>
          </rPr>
          <t>Søren Kolind Hvid:</t>
        </r>
        <r>
          <rPr>
            <sz val="8"/>
            <color indexed="81"/>
            <rFont val="Tahoma"/>
            <family val="2"/>
          </rPr>
          <t xml:space="preserve">
mm vandingsvand</t>
        </r>
      </text>
    </comment>
    <comment ref="KY84" authorId="0">
      <text>
        <r>
          <rPr>
            <b/>
            <sz val="8"/>
            <color indexed="81"/>
            <rFont val="Tahoma"/>
            <family val="2"/>
          </rPr>
          <t>Søren Kolind Hvid:</t>
        </r>
        <r>
          <rPr>
            <sz val="8"/>
            <color indexed="81"/>
            <rFont val="Tahoma"/>
            <family val="2"/>
          </rPr>
          <t xml:space="preserve">
mm vandingsvand</t>
        </r>
      </text>
    </comment>
    <comment ref="KZ8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84" authorId="0">
      <text>
        <r>
          <rPr>
            <b/>
            <sz val="8"/>
            <color indexed="81"/>
            <rFont val="Tahoma"/>
            <family val="2"/>
          </rPr>
          <t>Søren Kolind Hvid:</t>
        </r>
        <r>
          <rPr>
            <sz val="8"/>
            <color indexed="81"/>
            <rFont val="Tahoma"/>
            <family val="2"/>
          </rPr>
          <t xml:space="preserve">
mm vandingsvand</t>
        </r>
      </text>
    </comment>
    <comment ref="NO84" authorId="0">
      <text>
        <r>
          <rPr>
            <b/>
            <sz val="8"/>
            <color indexed="81"/>
            <rFont val="Tahoma"/>
            <family val="2"/>
          </rPr>
          <t>Søren Kolind Hvid:</t>
        </r>
        <r>
          <rPr>
            <sz val="8"/>
            <color indexed="81"/>
            <rFont val="Tahoma"/>
            <family val="2"/>
          </rPr>
          <t xml:space="preserve">
mm vandingsvand</t>
        </r>
      </text>
    </comment>
    <comment ref="NP8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8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8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8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86" authorId="0">
      <text>
        <r>
          <rPr>
            <b/>
            <sz val="8"/>
            <color indexed="81"/>
            <rFont val="Tahoma"/>
            <family val="2"/>
          </rPr>
          <t>Søren Kolind Hvid:</t>
        </r>
        <r>
          <rPr>
            <sz val="8"/>
            <color indexed="81"/>
            <rFont val="Tahoma"/>
            <family val="2"/>
          </rPr>
          <t xml:space="preserve">
mm vandingsvand</t>
        </r>
      </text>
    </comment>
    <comment ref="KY86" authorId="0">
      <text>
        <r>
          <rPr>
            <b/>
            <sz val="8"/>
            <color indexed="81"/>
            <rFont val="Tahoma"/>
            <family val="2"/>
          </rPr>
          <t>Søren Kolind Hvid:</t>
        </r>
        <r>
          <rPr>
            <sz val="8"/>
            <color indexed="81"/>
            <rFont val="Tahoma"/>
            <family val="2"/>
          </rPr>
          <t xml:space="preserve">
mm vandingsvand</t>
        </r>
      </text>
    </comment>
    <comment ref="KZ8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86" authorId="0">
      <text>
        <r>
          <rPr>
            <b/>
            <sz val="8"/>
            <color indexed="81"/>
            <rFont val="Tahoma"/>
            <family val="2"/>
          </rPr>
          <t>Søren Kolind Hvid:</t>
        </r>
        <r>
          <rPr>
            <sz val="8"/>
            <color indexed="81"/>
            <rFont val="Tahoma"/>
            <family val="2"/>
          </rPr>
          <t xml:space="preserve">
mm vandingsvand</t>
        </r>
      </text>
    </comment>
    <comment ref="NO86" authorId="0">
      <text>
        <r>
          <rPr>
            <b/>
            <sz val="8"/>
            <color indexed="81"/>
            <rFont val="Tahoma"/>
            <family val="2"/>
          </rPr>
          <t>Søren Kolind Hvid:</t>
        </r>
        <r>
          <rPr>
            <sz val="8"/>
            <color indexed="81"/>
            <rFont val="Tahoma"/>
            <family val="2"/>
          </rPr>
          <t xml:space="preserve">
mm vandingsvand</t>
        </r>
      </text>
    </comment>
    <comment ref="NP8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8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8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8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88" authorId="0">
      <text>
        <r>
          <rPr>
            <b/>
            <sz val="8"/>
            <color indexed="81"/>
            <rFont val="Tahoma"/>
            <family val="2"/>
          </rPr>
          <t>Søren Kolind Hvid:</t>
        </r>
        <r>
          <rPr>
            <sz val="8"/>
            <color indexed="81"/>
            <rFont val="Tahoma"/>
            <family val="2"/>
          </rPr>
          <t xml:space="preserve">
mm vandingsvand</t>
        </r>
      </text>
    </comment>
    <comment ref="KY88" authorId="0">
      <text>
        <r>
          <rPr>
            <b/>
            <sz val="8"/>
            <color indexed="81"/>
            <rFont val="Tahoma"/>
            <family val="2"/>
          </rPr>
          <t>Søren Kolind Hvid:</t>
        </r>
        <r>
          <rPr>
            <sz val="8"/>
            <color indexed="81"/>
            <rFont val="Tahoma"/>
            <family val="2"/>
          </rPr>
          <t xml:space="preserve">
mm vandingsvand</t>
        </r>
      </text>
    </comment>
    <comment ref="KZ8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88" authorId="0">
      <text>
        <r>
          <rPr>
            <b/>
            <sz val="8"/>
            <color indexed="81"/>
            <rFont val="Tahoma"/>
            <family val="2"/>
          </rPr>
          <t>Søren Kolind Hvid:</t>
        </r>
        <r>
          <rPr>
            <sz val="8"/>
            <color indexed="81"/>
            <rFont val="Tahoma"/>
            <family val="2"/>
          </rPr>
          <t xml:space="preserve">
mm vandingsvand</t>
        </r>
      </text>
    </comment>
    <comment ref="NO88" authorId="0">
      <text>
        <r>
          <rPr>
            <b/>
            <sz val="8"/>
            <color indexed="81"/>
            <rFont val="Tahoma"/>
            <family val="2"/>
          </rPr>
          <t>Søren Kolind Hvid:</t>
        </r>
        <r>
          <rPr>
            <sz val="8"/>
            <color indexed="81"/>
            <rFont val="Tahoma"/>
            <family val="2"/>
          </rPr>
          <t xml:space="preserve">
mm vandingsvand</t>
        </r>
      </text>
    </comment>
    <comment ref="NP8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9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9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9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90" authorId="0">
      <text>
        <r>
          <rPr>
            <b/>
            <sz val="8"/>
            <color indexed="81"/>
            <rFont val="Tahoma"/>
            <family val="2"/>
          </rPr>
          <t>Søren Kolind Hvid:</t>
        </r>
        <r>
          <rPr>
            <sz val="8"/>
            <color indexed="81"/>
            <rFont val="Tahoma"/>
            <family val="2"/>
          </rPr>
          <t xml:space="preserve">
mm vandingsvand</t>
        </r>
      </text>
    </comment>
    <comment ref="KY90" authorId="0">
      <text>
        <r>
          <rPr>
            <b/>
            <sz val="8"/>
            <color indexed="81"/>
            <rFont val="Tahoma"/>
            <family val="2"/>
          </rPr>
          <t>Søren Kolind Hvid:</t>
        </r>
        <r>
          <rPr>
            <sz val="8"/>
            <color indexed="81"/>
            <rFont val="Tahoma"/>
            <family val="2"/>
          </rPr>
          <t xml:space="preserve">
mm vandingsvand</t>
        </r>
      </text>
    </comment>
    <comment ref="KZ9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90" authorId="0">
      <text>
        <r>
          <rPr>
            <b/>
            <sz val="8"/>
            <color indexed="81"/>
            <rFont val="Tahoma"/>
            <family val="2"/>
          </rPr>
          <t>Søren Kolind Hvid:</t>
        </r>
        <r>
          <rPr>
            <sz val="8"/>
            <color indexed="81"/>
            <rFont val="Tahoma"/>
            <family val="2"/>
          </rPr>
          <t xml:space="preserve">
mm vandingsvand</t>
        </r>
      </text>
    </comment>
    <comment ref="NO90" authorId="0">
      <text>
        <r>
          <rPr>
            <b/>
            <sz val="8"/>
            <color indexed="81"/>
            <rFont val="Tahoma"/>
            <family val="2"/>
          </rPr>
          <t>Søren Kolind Hvid:</t>
        </r>
        <r>
          <rPr>
            <sz val="8"/>
            <color indexed="81"/>
            <rFont val="Tahoma"/>
            <family val="2"/>
          </rPr>
          <t xml:space="preserve">
mm vandingsvand</t>
        </r>
      </text>
    </comment>
    <comment ref="NP9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9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9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9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92" authorId="0">
      <text>
        <r>
          <rPr>
            <b/>
            <sz val="8"/>
            <color indexed="81"/>
            <rFont val="Tahoma"/>
            <family val="2"/>
          </rPr>
          <t>Søren Kolind Hvid:</t>
        </r>
        <r>
          <rPr>
            <sz val="8"/>
            <color indexed="81"/>
            <rFont val="Tahoma"/>
            <family val="2"/>
          </rPr>
          <t xml:space="preserve">
mm vandingsvand</t>
        </r>
      </text>
    </comment>
    <comment ref="KY92" authorId="0">
      <text>
        <r>
          <rPr>
            <b/>
            <sz val="8"/>
            <color indexed="81"/>
            <rFont val="Tahoma"/>
            <family val="2"/>
          </rPr>
          <t>Søren Kolind Hvid:</t>
        </r>
        <r>
          <rPr>
            <sz val="8"/>
            <color indexed="81"/>
            <rFont val="Tahoma"/>
            <family val="2"/>
          </rPr>
          <t xml:space="preserve">
mm vandingsvand</t>
        </r>
      </text>
    </comment>
    <comment ref="KZ9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92" authorId="0">
      <text>
        <r>
          <rPr>
            <b/>
            <sz val="8"/>
            <color indexed="81"/>
            <rFont val="Tahoma"/>
            <family val="2"/>
          </rPr>
          <t>Søren Kolind Hvid:</t>
        </r>
        <r>
          <rPr>
            <sz val="8"/>
            <color indexed="81"/>
            <rFont val="Tahoma"/>
            <family val="2"/>
          </rPr>
          <t xml:space="preserve">
mm vandingsvand</t>
        </r>
      </text>
    </comment>
    <comment ref="NO92" authorId="0">
      <text>
        <r>
          <rPr>
            <b/>
            <sz val="8"/>
            <color indexed="81"/>
            <rFont val="Tahoma"/>
            <family val="2"/>
          </rPr>
          <t>Søren Kolind Hvid:</t>
        </r>
        <r>
          <rPr>
            <sz val="8"/>
            <color indexed="81"/>
            <rFont val="Tahoma"/>
            <family val="2"/>
          </rPr>
          <t xml:space="preserve">
mm vandingsvand</t>
        </r>
      </text>
    </comment>
    <comment ref="NP9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9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9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9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94" authorId="0">
      <text>
        <r>
          <rPr>
            <b/>
            <sz val="8"/>
            <color indexed="81"/>
            <rFont val="Tahoma"/>
            <family val="2"/>
          </rPr>
          <t>Søren Kolind Hvid:</t>
        </r>
        <r>
          <rPr>
            <sz val="8"/>
            <color indexed="81"/>
            <rFont val="Tahoma"/>
            <family val="2"/>
          </rPr>
          <t xml:space="preserve">
mm vandingsvand</t>
        </r>
      </text>
    </comment>
    <comment ref="KY94" authorId="0">
      <text>
        <r>
          <rPr>
            <b/>
            <sz val="8"/>
            <color indexed="81"/>
            <rFont val="Tahoma"/>
            <family val="2"/>
          </rPr>
          <t>Søren Kolind Hvid:</t>
        </r>
        <r>
          <rPr>
            <sz val="8"/>
            <color indexed="81"/>
            <rFont val="Tahoma"/>
            <family val="2"/>
          </rPr>
          <t xml:space="preserve">
mm vandingsvand</t>
        </r>
      </text>
    </comment>
    <comment ref="KZ9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94" authorId="0">
      <text>
        <r>
          <rPr>
            <b/>
            <sz val="8"/>
            <color indexed="81"/>
            <rFont val="Tahoma"/>
            <family val="2"/>
          </rPr>
          <t>Søren Kolind Hvid:</t>
        </r>
        <r>
          <rPr>
            <sz val="8"/>
            <color indexed="81"/>
            <rFont val="Tahoma"/>
            <family val="2"/>
          </rPr>
          <t xml:space="preserve">
mm vandingsvand</t>
        </r>
      </text>
    </comment>
    <comment ref="NO94" authorId="0">
      <text>
        <r>
          <rPr>
            <b/>
            <sz val="8"/>
            <color indexed="81"/>
            <rFont val="Tahoma"/>
            <family val="2"/>
          </rPr>
          <t>Søren Kolind Hvid:</t>
        </r>
        <r>
          <rPr>
            <sz val="8"/>
            <color indexed="81"/>
            <rFont val="Tahoma"/>
            <family val="2"/>
          </rPr>
          <t xml:space="preserve">
mm vandingsvand</t>
        </r>
      </text>
    </comment>
    <comment ref="NP9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9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9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9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96" authorId="0">
      <text>
        <r>
          <rPr>
            <b/>
            <sz val="8"/>
            <color indexed="81"/>
            <rFont val="Tahoma"/>
            <family val="2"/>
          </rPr>
          <t>Søren Kolind Hvid:</t>
        </r>
        <r>
          <rPr>
            <sz val="8"/>
            <color indexed="81"/>
            <rFont val="Tahoma"/>
            <family val="2"/>
          </rPr>
          <t xml:space="preserve">
mm vandingsvand</t>
        </r>
      </text>
    </comment>
    <comment ref="KY96" authorId="0">
      <text>
        <r>
          <rPr>
            <b/>
            <sz val="8"/>
            <color indexed="81"/>
            <rFont val="Tahoma"/>
            <family val="2"/>
          </rPr>
          <t>Søren Kolind Hvid:</t>
        </r>
        <r>
          <rPr>
            <sz val="8"/>
            <color indexed="81"/>
            <rFont val="Tahoma"/>
            <family val="2"/>
          </rPr>
          <t xml:space="preserve">
mm vandingsvand</t>
        </r>
      </text>
    </comment>
    <comment ref="KZ9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96" authorId="0">
      <text>
        <r>
          <rPr>
            <b/>
            <sz val="8"/>
            <color indexed="81"/>
            <rFont val="Tahoma"/>
            <family val="2"/>
          </rPr>
          <t>Søren Kolind Hvid:</t>
        </r>
        <r>
          <rPr>
            <sz val="8"/>
            <color indexed="81"/>
            <rFont val="Tahoma"/>
            <family val="2"/>
          </rPr>
          <t xml:space="preserve">
mm vandingsvand</t>
        </r>
      </text>
    </comment>
    <comment ref="NO96" authorId="0">
      <text>
        <r>
          <rPr>
            <b/>
            <sz val="8"/>
            <color indexed="81"/>
            <rFont val="Tahoma"/>
            <family val="2"/>
          </rPr>
          <t>Søren Kolind Hvid:</t>
        </r>
        <r>
          <rPr>
            <sz val="8"/>
            <color indexed="81"/>
            <rFont val="Tahoma"/>
            <family val="2"/>
          </rPr>
          <t xml:space="preserve">
mm vandingsvand</t>
        </r>
      </text>
    </comment>
    <comment ref="NP9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9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9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9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98" authorId="0">
      <text>
        <r>
          <rPr>
            <b/>
            <sz val="8"/>
            <color indexed="81"/>
            <rFont val="Tahoma"/>
            <family val="2"/>
          </rPr>
          <t>Søren Kolind Hvid:</t>
        </r>
        <r>
          <rPr>
            <sz val="8"/>
            <color indexed="81"/>
            <rFont val="Tahoma"/>
            <family val="2"/>
          </rPr>
          <t xml:space="preserve">
mm vandingsvand</t>
        </r>
      </text>
    </comment>
    <comment ref="KY98" authorId="0">
      <text>
        <r>
          <rPr>
            <b/>
            <sz val="8"/>
            <color indexed="81"/>
            <rFont val="Tahoma"/>
            <family val="2"/>
          </rPr>
          <t>Søren Kolind Hvid:</t>
        </r>
        <r>
          <rPr>
            <sz val="8"/>
            <color indexed="81"/>
            <rFont val="Tahoma"/>
            <family val="2"/>
          </rPr>
          <t xml:space="preserve">
mm vandingsvand</t>
        </r>
      </text>
    </comment>
    <comment ref="KZ9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98" authorId="0">
      <text>
        <r>
          <rPr>
            <b/>
            <sz val="8"/>
            <color indexed="81"/>
            <rFont val="Tahoma"/>
            <family val="2"/>
          </rPr>
          <t>Søren Kolind Hvid:</t>
        </r>
        <r>
          <rPr>
            <sz val="8"/>
            <color indexed="81"/>
            <rFont val="Tahoma"/>
            <family val="2"/>
          </rPr>
          <t xml:space="preserve">
mm vandingsvand</t>
        </r>
      </text>
    </comment>
    <comment ref="NO98" authorId="0">
      <text>
        <r>
          <rPr>
            <b/>
            <sz val="8"/>
            <color indexed="81"/>
            <rFont val="Tahoma"/>
            <family val="2"/>
          </rPr>
          <t>Søren Kolind Hvid:</t>
        </r>
        <r>
          <rPr>
            <sz val="8"/>
            <color indexed="81"/>
            <rFont val="Tahoma"/>
            <family val="2"/>
          </rPr>
          <t xml:space="preserve">
mm vandingsvand</t>
        </r>
      </text>
    </comment>
    <comment ref="NP9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10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10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10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100" authorId="0">
      <text>
        <r>
          <rPr>
            <b/>
            <sz val="8"/>
            <color indexed="81"/>
            <rFont val="Tahoma"/>
            <family val="2"/>
          </rPr>
          <t>Søren Kolind Hvid:</t>
        </r>
        <r>
          <rPr>
            <sz val="8"/>
            <color indexed="81"/>
            <rFont val="Tahoma"/>
            <family val="2"/>
          </rPr>
          <t xml:space="preserve">
mm vandingsvand</t>
        </r>
      </text>
    </comment>
    <comment ref="KY100" authorId="0">
      <text>
        <r>
          <rPr>
            <b/>
            <sz val="8"/>
            <color indexed="81"/>
            <rFont val="Tahoma"/>
            <family val="2"/>
          </rPr>
          <t>Søren Kolind Hvid:</t>
        </r>
        <r>
          <rPr>
            <sz val="8"/>
            <color indexed="81"/>
            <rFont val="Tahoma"/>
            <family val="2"/>
          </rPr>
          <t xml:space="preserve">
mm vandingsvand</t>
        </r>
      </text>
    </comment>
    <comment ref="KZ10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100" authorId="0">
      <text>
        <r>
          <rPr>
            <b/>
            <sz val="8"/>
            <color indexed="81"/>
            <rFont val="Tahoma"/>
            <family val="2"/>
          </rPr>
          <t>Søren Kolind Hvid:</t>
        </r>
        <r>
          <rPr>
            <sz val="8"/>
            <color indexed="81"/>
            <rFont val="Tahoma"/>
            <family val="2"/>
          </rPr>
          <t xml:space="preserve">
mm vandingsvand</t>
        </r>
      </text>
    </comment>
    <comment ref="NO100" authorId="0">
      <text>
        <r>
          <rPr>
            <b/>
            <sz val="8"/>
            <color indexed="81"/>
            <rFont val="Tahoma"/>
            <family val="2"/>
          </rPr>
          <t>Søren Kolind Hvid:</t>
        </r>
        <r>
          <rPr>
            <sz val="8"/>
            <color indexed="81"/>
            <rFont val="Tahoma"/>
            <family val="2"/>
          </rPr>
          <t xml:space="preserve">
mm vandingsvand</t>
        </r>
      </text>
    </comment>
    <comment ref="NP10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List>
</comments>
</file>

<file path=xl/comments8.xml><?xml version="1.0" encoding="utf-8"?>
<comments xmlns="http://schemas.openxmlformats.org/spreadsheetml/2006/main">
  <authors>
    <author>Søren Kolind Hvid</author>
  </authors>
  <commentList>
    <comment ref="B3" authorId="0">
      <text>
        <r>
          <rPr>
            <sz val="8"/>
            <color indexed="81"/>
            <rFont val="Tahoma"/>
            <family val="2"/>
          </rPr>
          <t>Her kan du angive, om næringsstofferne i husdyrgødningen skal værdisættes som handelsgødning. For N værdisættes kun den andel, der svarer til udnyttelseskravet.
Hvis husdyrgødningen ikke kan afsættes til en anden bedrift mod en betaling svarende til værdien af næringsstofferne, er det mest korrekt at vælge 'Nej' til værdisætning af husdyrgødningen.
Når man vælger 'Nej' vil afgrøder med et stort næringsstofbehov få en økonomisk konkurrencefordel i forhold til afgrøder med et mindre næringsstofbehov.</t>
        </r>
      </text>
    </comment>
    <comment ref="B51" authorId="0">
      <text>
        <r>
          <rPr>
            <sz val="8"/>
            <color indexed="81"/>
            <rFont val="Tahoma"/>
            <family val="2"/>
          </rPr>
          <t xml:space="preserve">Omkostning til spredning af olieræddike eller gul sennep før høst med centrifugalspreder (140 kr.).
Ved såning med centrifugalspreder på harve efter høst kan der regnes med omkostning på 180 kr.
</t>
        </r>
      </text>
    </comment>
    <comment ref="J51" authorId="0">
      <text>
        <r>
          <rPr>
            <sz val="8"/>
            <color indexed="81"/>
            <rFont val="Tahoma"/>
            <family val="2"/>
          </rPr>
          <t xml:space="preserve">Omkostning til spredning af olieræddike eller gul sennep før høst med centrifugalspreder (140 kr.).
Ved såning med centrifugalspreder på harve efter høst kan der regnes med omkostning på 180 kr.
</t>
        </r>
      </text>
    </comment>
  </commentList>
</comments>
</file>

<file path=xl/sharedStrings.xml><?xml version="1.0" encoding="utf-8"?>
<sst xmlns="http://schemas.openxmlformats.org/spreadsheetml/2006/main" count="12189" uniqueCount="2375">
  <si>
    <t>Normudbytter</t>
  </si>
  <si>
    <t>Halmudbytte, kg pr. ha</t>
  </si>
  <si>
    <t>Udsæd</t>
  </si>
  <si>
    <t>Planteværn</t>
  </si>
  <si>
    <t>Analyser</t>
  </si>
  <si>
    <t>Sum</t>
  </si>
  <si>
    <t>P-start 1</t>
  </si>
  <si>
    <t>P-start 2</t>
  </si>
  <si>
    <t>P-kerne</t>
  </si>
  <si>
    <t>P-halm</t>
  </si>
  <si>
    <t>K-start</t>
  </si>
  <si>
    <t>K-kerne</t>
  </si>
  <si>
    <t>K-halm</t>
  </si>
  <si>
    <t>Øvrig stykomk (udbytteafhængig)</t>
  </si>
  <si>
    <t>Afgrøder</t>
  </si>
  <si>
    <t>Tørring</t>
  </si>
  <si>
    <t>Eget tørreri</t>
  </si>
  <si>
    <t>Pløjning</t>
  </si>
  <si>
    <t>Såbed</t>
  </si>
  <si>
    <t>Glyphosat</t>
  </si>
  <si>
    <t>Såning</t>
  </si>
  <si>
    <t>Harvning</t>
  </si>
  <si>
    <t>Høst</t>
  </si>
  <si>
    <t>Halm</t>
  </si>
  <si>
    <t>Kartoffel-</t>
  </si>
  <si>
    <t>Roe-</t>
  </si>
  <si>
    <t>Gødskning</t>
  </si>
  <si>
    <t>Korn-</t>
  </si>
  <si>
    <t>Afgrøde</t>
  </si>
  <si>
    <t>Enhed</t>
  </si>
  <si>
    <t>Pris</t>
  </si>
  <si>
    <t>JB 1+3</t>
  </si>
  <si>
    <t>JB 2+4</t>
  </si>
  <si>
    <t>JB 1-4, vandet</t>
  </si>
  <si>
    <t>JB 5-6</t>
  </si>
  <si>
    <t>JB 7-9</t>
  </si>
  <si>
    <t>Alle JB</t>
  </si>
  <si>
    <t>FE</t>
  </si>
  <si>
    <t>1 = ja</t>
  </si>
  <si>
    <t>efter høst</t>
  </si>
  <si>
    <t>faktor</t>
  </si>
  <si>
    <t>lægning</t>
  </si>
  <si>
    <t>optagning</t>
  </si>
  <si>
    <t>Antal beh.</t>
  </si>
  <si>
    <t>type</t>
  </si>
  <si>
    <t>Alm. rajgræs 2n</t>
  </si>
  <si>
    <t>hkg</t>
  </si>
  <si>
    <t>Alm. rajgræs 4n</t>
  </si>
  <si>
    <t>Engrapgræs (mark)</t>
  </si>
  <si>
    <t>Engrapgræs (plæne)</t>
  </si>
  <si>
    <t xml:space="preserve">Havre      </t>
  </si>
  <si>
    <t>Havre</t>
  </si>
  <si>
    <t>Hybridrug</t>
  </si>
  <si>
    <t>Rug</t>
  </si>
  <si>
    <t>Lucerne (tørret)</t>
  </si>
  <si>
    <t>Læggekartofler</t>
  </si>
  <si>
    <t>Majs, biogas</t>
  </si>
  <si>
    <t>hkg ts</t>
  </si>
  <si>
    <t>Majs, helsæd</t>
  </si>
  <si>
    <t>Majs, kerne</t>
  </si>
  <si>
    <t>Majs</t>
  </si>
  <si>
    <t>Markært</t>
  </si>
  <si>
    <t>Rødsvingel</t>
  </si>
  <si>
    <t>Spisekartofler</t>
  </si>
  <si>
    <t xml:space="preserve">Triticale  </t>
  </si>
  <si>
    <t>Triticale</t>
  </si>
  <si>
    <t>Vinterbyg</t>
  </si>
  <si>
    <t>Byg</t>
  </si>
  <si>
    <t>Hvede</t>
  </si>
  <si>
    <t>Vinterraps</t>
  </si>
  <si>
    <t>Vinterrug</t>
  </si>
  <si>
    <t>Vårbyg, foder</t>
  </si>
  <si>
    <t>Vårbyg, malt</t>
  </si>
  <si>
    <t>Vårhvede</t>
  </si>
  <si>
    <t xml:space="preserve">Vårraps  </t>
  </si>
  <si>
    <t>Vårraps</t>
  </si>
  <si>
    <t>Forfrugt</t>
  </si>
  <si>
    <t>N-norm, kg N pr. ha</t>
  </si>
  <si>
    <t>Efterafgrøde</t>
  </si>
  <si>
    <t>Efterafgrøde
efter forfrugt</t>
  </si>
  <si>
    <t>Efterafgrøde efter forfrugt</t>
  </si>
  <si>
    <t>Eftervirkning</t>
  </si>
  <si>
    <t>kg N</t>
  </si>
  <si>
    <t>Næste års afgrøde</t>
  </si>
  <si>
    <t>Areal</t>
  </si>
  <si>
    <t>ha</t>
  </si>
  <si>
    <t>N-norm</t>
  </si>
  <si>
    <t>Jordtype</t>
  </si>
  <si>
    <t>Jb</t>
  </si>
  <si>
    <t>JbN</t>
  </si>
  <si>
    <t>JB 1</t>
  </si>
  <si>
    <t>JB 2</t>
  </si>
  <si>
    <t>JB 3</t>
  </si>
  <si>
    <t>JB 4</t>
  </si>
  <si>
    <t>JB 5</t>
  </si>
  <si>
    <t>JB 6</t>
  </si>
  <si>
    <t>JB 7</t>
  </si>
  <si>
    <t>JB 8</t>
  </si>
  <si>
    <t>JB 9</t>
  </si>
  <si>
    <t>JB 10</t>
  </si>
  <si>
    <t>JB 11</t>
  </si>
  <si>
    <t>JB 12</t>
  </si>
  <si>
    <t>Uden markvanding</t>
  </si>
  <si>
    <t>Med markvanding</t>
  </si>
  <si>
    <t>Markvanding</t>
  </si>
  <si>
    <t>Denitrifikation</t>
  </si>
  <si>
    <t>Massefylde (4 dyber)</t>
  </si>
  <si>
    <t>Række</t>
  </si>
  <si>
    <t>Normudb
m vand</t>
  </si>
  <si>
    <t>Halmudb
m vand</t>
  </si>
  <si>
    <t>Humus</t>
  </si>
  <si>
    <t>Ler</t>
  </si>
  <si>
    <t>Baggrund
 - lav</t>
  </si>
  <si>
    <t>Bag-
grund
kg N</t>
  </si>
  <si>
    <t>Baggrund - høj</t>
  </si>
  <si>
    <t>Handelsgødning - lav faktor</t>
  </si>
  <si>
    <t>Handels-
gødning
faktor</t>
  </si>
  <si>
    <t>Handelsgødning - høj faktor</t>
  </si>
  <si>
    <t>Husdyrgøgning - lav faktor</t>
  </si>
  <si>
    <t>Husdyr-
gødning
faktor</t>
  </si>
  <si>
    <t>Husdyrgødning - høj faktor</t>
  </si>
  <si>
    <t>Fikseret N - lav faktor</t>
  </si>
  <si>
    <t>Fikseret N
faktor</t>
  </si>
  <si>
    <t>Fikseret N - høj faktor</t>
  </si>
  <si>
    <t>0-25</t>
  </si>
  <si>
    <t>25-50</t>
  </si>
  <si>
    <t>50-75</t>
  </si>
  <si>
    <t>75-100</t>
  </si>
  <si>
    <t>i jorddata
tabel</t>
  </si>
  <si>
    <t>Normudbytte</t>
  </si>
  <si>
    <t>N-norm u vanding</t>
  </si>
  <si>
    <t>N-norm m vanding</t>
  </si>
  <si>
    <t>N-norm beregning</t>
  </si>
  <si>
    <t>Basisnorm</t>
  </si>
  <si>
    <t>Forfrugtsvirkning</t>
  </si>
  <si>
    <t>Efterafgr e forfrugt</t>
  </si>
  <si>
    <t>&lt; 0,8 DE</t>
  </si>
  <si>
    <t>&gt; 0,8 DE</t>
  </si>
  <si>
    <t>Husdyrgødning</t>
  </si>
  <si>
    <t>DE/ha</t>
  </si>
  <si>
    <t>Ingen</t>
  </si>
  <si>
    <t>0,1 DE svin</t>
  </si>
  <si>
    <t>0,1 DE kvæg</t>
  </si>
  <si>
    <t>0,2 DE svin</t>
  </si>
  <si>
    <t>0,2 DE kvæg</t>
  </si>
  <si>
    <t>0,3 DE svin</t>
  </si>
  <si>
    <t>0,3 DE kvæg</t>
  </si>
  <si>
    <t>0,4 DE svin</t>
  </si>
  <si>
    <t>0,4 DE kvæg</t>
  </si>
  <si>
    <t>0,5 DE svin</t>
  </si>
  <si>
    <t>0,5 DE kvæg</t>
  </si>
  <si>
    <t>0,6 DE svin</t>
  </si>
  <si>
    <t>0,6 DE kvæg</t>
  </si>
  <si>
    <t>0,7 DE svin</t>
  </si>
  <si>
    <t>0,7 DE kvæg</t>
  </si>
  <si>
    <t>0,8 DE svin</t>
  </si>
  <si>
    <t>0,8 DE kvæg</t>
  </si>
  <si>
    <t>0,9 DE svin</t>
  </si>
  <si>
    <t>0,9 DE kvæg</t>
  </si>
  <si>
    <t>1,0 DE svin</t>
  </si>
  <si>
    <t>1,0 DE kvæg</t>
  </si>
  <si>
    <t>1,1 DE svin</t>
  </si>
  <si>
    <t>1,1 DE kvæg</t>
  </si>
  <si>
    <t>1,2 DE svin</t>
  </si>
  <si>
    <t>1,2 DE kvæg</t>
  </si>
  <si>
    <t>1,3 DE svin</t>
  </si>
  <si>
    <t>1,3 DE kvæg</t>
  </si>
  <si>
    <t>1,4 DE svin</t>
  </si>
  <si>
    <t>1,4 DE kvæg</t>
  </si>
  <si>
    <t>1,5 DE kvæg</t>
  </si>
  <si>
    <t>1,6 DE kvæg</t>
  </si>
  <si>
    <t>1,7 DE kvæg</t>
  </si>
  <si>
    <t>1,8 DE kvæg</t>
  </si>
  <si>
    <t>1,9 DE kvæg</t>
  </si>
  <si>
    <t>2,0 DE kvæg</t>
  </si>
  <si>
    <t>2,1 DE kvæg</t>
  </si>
  <si>
    <t>2,2 DE kvæg</t>
  </si>
  <si>
    <t>2,3 DE kvæg</t>
  </si>
  <si>
    <t>Udbytte</t>
  </si>
  <si>
    <t>Eftervirkning N</t>
  </si>
  <si>
    <t>Eftervirkning udb</t>
  </si>
  <si>
    <t>Sandjord</t>
  </si>
  <si>
    <t>Lerjord</t>
  </si>
  <si>
    <t>Udbyttenorm</t>
  </si>
  <si>
    <t>Afgrødepris</t>
  </si>
  <si>
    <t>Afgrødeprisberegning</t>
  </si>
  <si>
    <t>Basispris</t>
  </si>
  <si>
    <t>Pris korr.</t>
  </si>
  <si>
    <t>kr.</t>
  </si>
  <si>
    <t>Halmudbytte</t>
  </si>
  <si>
    <t>Halmudbyttenberegning</t>
  </si>
  <si>
    <t>Basisudbytte</t>
  </si>
  <si>
    <t>kg</t>
  </si>
  <si>
    <t>Udb korr</t>
  </si>
  <si>
    <t>Halmanvendelse</t>
  </si>
  <si>
    <t>Bjærget</t>
  </si>
  <si>
    <t>Nedmuldet</t>
  </si>
  <si>
    <t>Halm bjærget</t>
  </si>
  <si>
    <t>Halmpris</t>
  </si>
  <si>
    <t>Halmpris korr.</t>
  </si>
  <si>
    <t>Protein i afgrøde</t>
  </si>
  <si>
    <t>% af ts</t>
  </si>
  <si>
    <t>Basisprot.</t>
  </si>
  <si>
    <t>Ts-halm</t>
  </si>
  <si>
    <t>Protein halm</t>
  </si>
  <si>
    <t>%</t>
  </si>
  <si>
    <t>Protein i halm</t>
  </si>
  <si>
    <t>Tørstof</t>
  </si>
  <si>
    <t>Protein%</t>
  </si>
  <si>
    <t>Kg ts/FE</t>
  </si>
  <si>
    <t>Ts-afgrøde</t>
  </si>
  <si>
    <t>Protein afgrøde</t>
  </si>
  <si>
    <t>Tørstof%</t>
  </si>
  <si>
    <t>Tørstof% halm</t>
  </si>
  <si>
    <t>Kg protein i kerne</t>
  </si>
  <si>
    <t>Kg protein i halm bjærget</t>
  </si>
  <si>
    <t>Udbytteberegning (hovedafgrøde)</t>
  </si>
  <si>
    <t>Halmprisberegning</t>
  </si>
  <si>
    <t>Efterslætudbytteberegning</t>
  </si>
  <si>
    <t>Efterslætudbytte</t>
  </si>
  <si>
    <t>Kvælstof-fiksering</t>
  </si>
  <si>
    <t>Bælgsæd</t>
  </si>
  <si>
    <t>Kløverfrø</t>
  </si>
  <si>
    <t>Grøn-
afgrøder</t>
  </si>
  <si>
    <t>Bygært
helsæd</t>
  </si>
  <si>
    <t>Kløver-
græs</t>
  </si>
  <si>
    <t>Afstrøm</t>
  </si>
  <si>
    <t>Nles_afg_kode</t>
  </si>
  <si>
    <t>Nles_ff_kode</t>
  </si>
  <si>
    <t>Nles_ff</t>
  </si>
  <si>
    <t>Nles_efteraar_kode</t>
  </si>
  <si>
    <t>Nles_afg_efter_græs</t>
  </si>
  <si>
    <t>Nfix</t>
  </si>
  <si>
    <t>Fix andel</t>
  </si>
  <si>
    <t>N-faktor</t>
  </si>
  <si>
    <t>Bælgplanteandel</t>
  </si>
  <si>
    <t>Fiksering</t>
  </si>
  <si>
    <t>Behandlingsindex</t>
  </si>
  <si>
    <t>NH3</t>
  </si>
  <si>
    <t>kode</t>
  </si>
  <si>
    <t>Ukrudt</t>
  </si>
  <si>
    <t>Sygdomme</t>
  </si>
  <si>
    <t>Skadedyr</t>
  </si>
  <si>
    <t>Vækstreg</t>
  </si>
  <si>
    <t>Andet</t>
  </si>
  <si>
    <t>Kartofler</t>
  </si>
  <si>
    <t>Fabriksroer</t>
  </si>
  <si>
    <t>Helsæd, byg/ært</t>
  </si>
  <si>
    <t>Helsæd</t>
  </si>
  <si>
    <t>Helsæd, vårbyg</t>
  </si>
  <si>
    <t>Helsæd, ært</t>
  </si>
  <si>
    <t>Vårbyg</t>
  </si>
  <si>
    <t>Omregn</t>
  </si>
  <si>
    <t>Basisudbytte FE</t>
  </si>
  <si>
    <t>Udbytte korr FE</t>
  </si>
  <si>
    <t>kg tørstof</t>
  </si>
  <si>
    <t>Hovedafgrøde</t>
  </si>
  <si>
    <t>Protein i efterslæt, % af ts</t>
  </si>
  <si>
    <t>N i kerne, kg</t>
  </si>
  <si>
    <t>N i halm høstet, kg</t>
  </si>
  <si>
    <t>N i efterslæt høstet, kg</t>
  </si>
  <si>
    <t>Deposition</t>
  </si>
  <si>
    <t>Tabellægge Deposition i postnummertabellen</t>
  </si>
  <si>
    <t>Tilført i alt</t>
  </si>
  <si>
    <t>Bortført i alt</t>
  </si>
  <si>
    <t>N-less III</t>
  </si>
  <si>
    <t>N-niveau</t>
  </si>
  <si>
    <t xml:space="preserve">B1 </t>
  </si>
  <si>
    <t>N-efteråret før</t>
  </si>
  <si>
    <t>N-forår</t>
  </si>
  <si>
    <t>B2</t>
  </si>
  <si>
    <t>N-udbinding</t>
  </si>
  <si>
    <t xml:space="preserve">B3 </t>
  </si>
  <si>
    <t>N-efterår</t>
  </si>
  <si>
    <t>N-fjernet</t>
  </si>
  <si>
    <t xml:space="preserve">R </t>
  </si>
  <si>
    <t>Y_afgrøde</t>
  </si>
  <si>
    <t>L-forfrugt</t>
  </si>
  <si>
    <t>T</t>
  </si>
  <si>
    <t>B0 Afskæring</t>
  </si>
  <si>
    <t>Æ1</t>
  </si>
  <si>
    <t>år</t>
  </si>
  <si>
    <t>Æ2</t>
  </si>
  <si>
    <t>Æ?</t>
  </si>
  <si>
    <t>U</t>
  </si>
  <si>
    <t>V</t>
  </si>
  <si>
    <t>L1</t>
  </si>
  <si>
    <t>Afstrøming i året</t>
  </si>
  <si>
    <t>Afstrøming sidste år</t>
  </si>
  <si>
    <t>Skævhed</t>
  </si>
  <si>
    <t>Udvaskning</t>
  </si>
  <si>
    <t>Input</t>
  </si>
  <si>
    <t>Parameter</t>
  </si>
  <si>
    <t>Beregning</t>
  </si>
  <si>
    <t>Param.</t>
  </si>
  <si>
    <t>Bergning</t>
  </si>
  <si>
    <t>Parmeter</t>
  </si>
  <si>
    <t>Parameterr</t>
  </si>
  <si>
    <t>kg pr. ha</t>
  </si>
  <si>
    <t>ens for alle marker</t>
  </si>
  <si>
    <t>Regneark</t>
  </si>
  <si>
    <t>sandjord / lerjord</t>
  </si>
  <si>
    <t>N-les
afgr kode</t>
  </si>
  <si>
    <t>N-les efterår kode</t>
  </si>
  <si>
    <t>Opslag</t>
  </si>
  <si>
    <t>NLES_forfr</t>
  </si>
  <si>
    <t>Ens for alle marker</t>
  </si>
  <si>
    <t>Opslag eller indtastet, mm</t>
  </si>
  <si>
    <t>Ud fra jordtype som i SIMIIIb</t>
  </si>
  <si>
    <t>Beregnes som gennemsnit for delsædskiftet</t>
  </si>
  <si>
    <t>kg ts</t>
  </si>
  <si>
    <t>Spildkorn</t>
  </si>
  <si>
    <t>N-les konstanter</t>
  </si>
  <si>
    <t>NLES_afg</t>
  </si>
  <si>
    <t>Korn/bar jord</t>
  </si>
  <si>
    <t>Korn/vinterkorn</t>
  </si>
  <si>
    <t>Korn/udlæg + Korn/efterafgrøde + Korn/vinterraps</t>
  </si>
  <si>
    <t>Vinterraps/vinterkorn + Ærter</t>
  </si>
  <si>
    <t>Græs-brak/vinterkorn + Roer + Vårraps</t>
  </si>
  <si>
    <t>Kartofler + Majs</t>
  </si>
  <si>
    <t>Frøgræs + græs</t>
  </si>
  <si>
    <t>NLES_ff</t>
  </si>
  <si>
    <t>Korn/udlæg, Korn/vinterkorn, Korn/bar jord</t>
  </si>
  <si>
    <t>Korn/efterafgrøde, Korn/vinterraps</t>
  </si>
  <si>
    <t>Frøgræs, 1. års græs, Majs, Vinterraps, vårraps</t>
  </si>
  <si>
    <t>2. og 3. års græs</t>
  </si>
  <si>
    <t>Roer, Ærter</t>
  </si>
  <si>
    <t>Check om rigtig</t>
  </si>
  <si>
    <t>Stykomkostninger (hovedafgrøden)</t>
  </si>
  <si>
    <t>Stykomkostninger (efter-og mellemafgrøde)</t>
  </si>
  <si>
    <t>Stykomkostninger</t>
  </si>
  <si>
    <t>Stykomkostninger (efter- og mellemafgrøde)</t>
  </si>
  <si>
    <t>Diverse styk. (analyser, rensning, fragt og sortering)</t>
  </si>
  <si>
    <t>Beregning af pris per behandling</t>
  </si>
  <si>
    <t>Standardværdier fra budgetkalkuler</t>
  </si>
  <si>
    <t>Behandling</t>
  </si>
  <si>
    <t>Pris, kr / behandling</t>
  </si>
  <si>
    <t>Stubharvning/efterharvning</t>
  </si>
  <si>
    <t>Såbedsharvning</t>
  </si>
  <si>
    <t>Komb. harvning og såning</t>
  </si>
  <si>
    <t>Såning, græs</t>
  </si>
  <si>
    <t>Såning, roer</t>
  </si>
  <si>
    <t>Såning m. plac. gødn.</t>
  </si>
  <si>
    <t>Tromling</t>
  </si>
  <si>
    <t>Sprøjtning</t>
  </si>
  <si>
    <t>Tørring, hvede, kr / hkg, - 3 %</t>
  </si>
  <si>
    <t>Tørring, byg, kr / hkg, - 3 %</t>
  </si>
  <si>
    <t>Hegning</t>
  </si>
  <si>
    <t>Maskin- og arbejdsomkostninger</t>
  </si>
  <si>
    <t>Korrektion af maskinomkostninger for jordtype</t>
  </si>
  <si>
    <t>Pløjning, stubharvning</t>
  </si>
  <si>
    <t>JB 1-4</t>
  </si>
  <si>
    <t>Såning og harvning</t>
  </si>
  <si>
    <t>Stubharvning</t>
  </si>
  <si>
    <t>Kombiharvesåning</t>
  </si>
  <si>
    <t>Såning m. gødn. Placering</t>
  </si>
  <si>
    <t>Såning græs</t>
  </si>
  <si>
    <t>Såning roer</t>
  </si>
  <si>
    <t>Såning m gødn plac</t>
  </si>
  <si>
    <t>Såning og såbedsharvning i alt</t>
  </si>
  <si>
    <t>Pløjning/harvning</t>
  </si>
  <si>
    <t>Pløjning og harvning i alt</t>
  </si>
  <si>
    <t xml:space="preserve">kr. </t>
  </si>
  <si>
    <t>Såning/såbedsharvning</t>
  </si>
  <si>
    <t>Gødningsspredning</t>
  </si>
  <si>
    <t>Marksprøjtning</t>
  </si>
  <si>
    <t>Mejetærskning, korn, raps og ærter</t>
  </si>
  <si>
    <t>Halmsnitning</t>
  </si>
  <si>
    <t>Høst, tillæg</t>
  </si>
  <si>
    <t>Høsttillæg, frø og markært</t>
  </si>
  <si>
    <t>Aftopning, kartofler</t>
  </si>
  <si>
    <t>Basishøstpris</t>
  </si>
  <si>
    <t>Optagning, fabriks- og læggekartofler</t>
  </si>
  <si>
    <t>Optagning, spisekartofler</t>
  </si>
  <si>
    <t>Foderroer</t>
  </si>
  <si>
    <t>Optagning, roer incl. top</t>
  </si>
  <si>
    <t>Optagning, roer ekskl. top</t>
  </si>
  <si>
    <t>Høst, antal gange</t>
  </si>
  <si>
    <t>Kløvergræs, 4 slæt</t>
  </si>
  <si>
    <t>Skårlægning, græs</t>
  </si>
  <si>
    <t>Sammenrivning, græs</t>
  </si>
  <si>
    <t>Snitning, hjemkørsel + indl.</t>
  </si>
  <si>
    <t>Græs u kløver, 4 slæt</t>
  </si>
  <si>
    <t>Høst, majshelsæd inkl. hjemkørsle og indlægning</t>
  </si>
  <si>
    <t>Høst, helsæd inkl. hjemkørsel og indlægning</t>
  </si>
  <si>
    <t>Høst, kernemajs mejetærsking</t>
  </si>
  <si>
    <t>Kernemajs, hjemkørsel, indlægning, crimpning, syre og plastik</t>
  </si>
  <si>
    <t>Høstomkostninger</t>
  </si>
  <si>
    <t>Høst, alle afgrøder</t>
  </si>
  <si>
    <t>Nedmuldning</t>
  </si>
  <si>
    <t>Hjemkørsel + evt. indlægning</t>
  </si>
  <si>
    <t>Basispris, kr.</t>
  </si>
  <si>
    <t>Hjemkørsel, korn, frø, markært</t>
  </si>
  <si>
    <t>Hjemkørsel,kartofler</t>
  </si>
  <si>
    <t>Hjemkørsel, roer incl. top</t>
  </si>
  <si>
    <t>Hjemkørsel, roer u top</t>
  </si>
  <si>
    <t>Halmpresning</t>
  </si>
  <si>
    <t>Hjemkørsel halm</t>
  </si>
  <si>
    <t>Halmpresning, korn</t>
  </si>
  <si>
    <t>Halm, presning</t>
  </si>
  <si>
    <t>Halm, hjemkørsel</t>
  </si>
  <si>
    <t>Hjemkørsel, halm</t>
  </si>
  <si>
    <t>Høst i alt</t>
  </si>
  <si>
    <t>Halm i alt</t>
  </si>
  <si>
    <t>Høst i alt korr.</t>
  </si>
  <si>
    <t>Kr.</t>
  </si>
  <si>
    <t>Halm i alt korr.</t>
  </si>
  <si>
    <t>Afpudsning, frøgræs</t>
  </si>
  <si>
    <t>Tørring, korn 3%</t>
  </si>
  <si>
    <t>Tørring, markært 3%</t>
  </si>
  <si>
    <t>Tørring, vårraps 5 %</t>
  </si>
  <si>
    <t>Tørring, vinterraps 3 %</t>
  </si>
  <si>
    <t>Tørring, frø 12 %</t>
  </si>
  <si>
    <t>Tørring korr.</t>
  </si>
  <si>
    <t>Udsæd (efterafgrøde)</t>
  </si>
  <si>
    <t>Diverse stykomk.</t>
  </si>
  <si>
    <t>Efter- og mellemafgrøder</t>
  </si>
  <si>
    <t>Maskin- og arbejdsomkostninger (efter- og mellemafgrøder)</t>
  </si>
  <si>
    <t>antal gange</t>
  </si>
  <si>
    <t>Antal gange</t>
  </si>
  <si>
    <t>Hjemkørsel, indlægning</t>
  </si>
  <si>
    <t>Tillæg</t>
  </si>
  <si>
    <t>Efter- og mellemafgrøde behandling</t>
  </si>
  <si>
    <t>Ingen behandling</t>
  </si>
  <si>
    <t>Glyphosat behandling</t>
  </si>
  <si>
    <t>Glyphosat sprøjt.</t>
  </si>
  <si>
    <t>Efterafgrøde behandling</t>
  </si>
  <si>
    <t>Nedmuldning efter- og mellemafgrøde</t>
  </si>
  <si>
    <t>Både sprøjtemiddel og sprøjtning</t>
  </si>
  <si>
    <t>Nedmuldning el. glyphosat sprøjt.</t>
  </si>
  <si>
    <t>Råvarefaktor</t>
  </si>
  <si>
    <t>Tørring, løntørring</t>
  </si>
  <si>
    <t>Tørring, eget tørreri</t>
  </si>
  <si>
    <t>Løntørring</t>
  </si>
  <si>
    <t>Ingen tørring</t>
  </si>
  <si>
    <t>Tørring (salgsafgrøder)</t>
  </si>
  <si>
    <t>kr./hkg råvare</t>
  </si>
  <si>
    <t>N-optimum</t>
  </si>
  <si>
    <t>Beregnet</t>
  </si>
  <si>
    <t>Afgrødepris udbytteberegning</t>
  </si>
  <si>
    <t>kr./hkg</t>
  </si>
  <si>
    <t>AfvigelseK1</t>
  </si>
  <si>
    <t>AfvigelseK2</t>
  </si>
  <si>
    <t>K1</t>
  </si>
  <si>
    <t>K2</t>
  </si>
  <si>
    <t>Standardpris N, udbytteberegning</t>
  </si>
  <si>
    <t>Nmax</t>
  </si>
  <si>
    <t>Nopt korr</t>
  </si>
  <si>
    <t>UDBopt</t>
  </si>
  <si>
    <t>UDBmax</t>
  </si>
  <si>
    <t>Afvigelse K1</t>
  </si>
  <si>
    <t>Afvigelse K2</t>
  </si>
  <si>
    <t>N beregning</t>
  </si>
  <si>
    <t>N-norm 
tilpasset</t>
  </si>
  <si>
    <t>Aktuelt 
udbytte</t>
  </si>
  <si>
    <t>Udbytte aktuel</t>
  </si>
  <si>
    <t>N-tilførsel</t>
  </si>
  <si>
    <t>Hovedafgrøden</t>
  </si>
  <si>
    <t>Efterafgrøden</t>
  </si>
  <si>
    <t>N-optimum, omregningsfaktor</t>
  </si>
  <si>
    <t>Indhold i husdyrgødning</t>
  </si>
  <si>
    <t>N pr. DE svin</t>
  </si>
  <si>
    <t>N pr. DE kvæg</t>
  </si>
  <si>
    <t>P pr. DE svin</t>
  </si>
  <si>
    <t>P pr. DE kvæg</t>
  </si>
  <si>
    <t>K pr. DE svin</t>
  </si>
  <si>
    <t>K pr. DE kvæg</t>
  </si>
  <si>
    <t>Udnyttelseskrav</t>
  </si>
  <si>
    <t>Dyretæthed</t>
  </si>
  <si>
    <t>Kg N/ha</t>
  </si>
  <si>
    <t>Kg P/ha</t>
  </si>
  <si>
    <t>Kg K/ha</t>
  </si>
  <si>
    <t>N-norm tilpasset anvendes som fordelingsnøgle mellem afgrøder</t>
  </si>
  <si>
    <t>Harmoniareal</t>
  </si>
  <si>
    <t>N-norm
tilpasset
i alt</t>
  </si>
  <si>
    <t>Kg N i alt i husdyrgødning</t>
  </si>
  <si>
    <t>Husdyrgødning
(total N)</t>
  </si>
  <si>
    <t>Indtastet
pr. ha</t>
  </si>
  <si>
    <t>Indtastet i alt</t>
  </si>
  <si>
    <t>Automatisk fordelt i alt</t>
  </si>
  <si>
    <t>Autoamtisk fordelt
pr. ha</t>
  </si>
  <si>
    <t>Hdg tilførsel pr. ha</t>
  </si>
  <si>
    <t>Sum af indtastet i alt fratrækkes den mængde, der skal fordeles)</t>
  </si>
  <si>
    <t>N-norm tilpasset i alt med i fordeling</t>
  </si>
  <si>
    <t>UdnytKrav</t>
  </si>
  <si>
    <t>Hdg effektiv N</t>
  </si>
  <si>
    <t>skal vi evt. korrigere udbytte af efterafgrøde for N??</t>
  </si>
  <si>
    <t>Andel N i hdg v afgræsning</t>
  </si>
  <si>
    <t>Husdyrgødning merbidrag</t>
  </si>
  <si>
    <t>N i hovedafgrøde</t>
  </si>
  <si>
    <t>N i halm</t>
  </si>
  <si>
    <t>N i efterslæt</t>
  </si>
  <si>
    <t>P i hovedafgrøde</t>
  </si>
  <si>
    <t>Høstet P</t>
  </si>
  <si>
    <t>P i halm</t>
  </si>
  <si>
    <t>Værdisætning husdyrgødning</t>
  </si>
  <si>
    <t>Nej</t>
  </si>
  <si>
    <t>Ja</t>
  </si>
  <si>
    <t>Værdisætning af husdyrgødning</t>
  </si>
  <si>
    <t>Værdisætning</t>
  </si>
  <si>
    <t>P i efterslæt</t>
  </si>
  <si>
    <t>Næringsstofbortførsel</t>
  </si>
  <si>
    <t>K i hovedafgrøde</t>
  </si>
  <si>
    <t>Høstet K</t>
  </si>
  <si>
    <t>K i halm</t>
  </si>
  <si>
    <t>K i efterslæt</t>
  </si>
  <si>
    <t>N-gødning</t>
  </si>
  <si>
    <t>Kvælstofpris</t>
  </si>
  <si>
    <t>Fosforpris</t>
  </si>
  <si>
    <t>Kaliumpris</t>
  </si>
  <si>
    <t>P-bortførsel</t>
  </si>
  <si>
    <t>P i husdyrøgødning</t>
  </si>
  <si>
    <t>NPforholdSvin</t>
  </si>
  <si>
    <t>NPforholdKvaeg</t>
  </si>
  <si>
    <t>NKforholdSvin</t>
  </si>
  <si>
    <t>NkforholdKvaeg</t>
  </si>
  <si>
    <t>P omkostning</t>
  </si>
  <si>
    <t>K-udvaskning</t>
  </si>
  <si>
    <t>Kudvask</t>
  </si>
  <si>
    <t>K-bortførsel</t>
  </si>
  <si>
    <t>K-husdyrgødning</t>
  </si>
  <si>
    <t>K omkostning</t>
  </si>
  <si>
    <t>Gødning i alt</t>
  </si>
  <si>
    <t>Gødning</t>
  </si>
  <si>
    <t>N i gødning</t>
  </si>
  <si>
    <t>N-norm
tilpasset</t>
  </si>
  <si>
    <t>N-norm
tilpasset i alt</t>
  </si>
  <si>
    <t>Vises ikke i markplan</t>
  </si>
  <si>
    <t>g/kg ts</t>
  </si>
  <si>
    <t>Høstet</t>
  </si>
  <si>
    <t>K i husdyrøgødning</t>
  </si>
  <si>
    <t>mm</t>
  </si>
  <si>
    <t>Vandingsmaskine, forrentning og afskriv (indtræksmaskine)</t>
  </si>
  <si>
    <t>Vandingsvand pr. gang</t>
  </si>
  <si>
    <t>Flytning af vandingsmaskine pr. gang</t>
  </si>
  <si>
    <t>Markvanding, el og vedligehold pr. mm</t>
  </si>
  <si>
    <t>kr. pr. mm</t>
  </si>
  <si>
    <t>kr. pr. gang</t>
  </si>
  <si>
    <t>mm pr. gang</t>
  </si>
  <si>
    <t>Kløvergræs</t>
  </si>
  <si>
    <t>Nfix type</t>
  </si>
  <si>
    <t>N fix type</t>
  </si>
  <si>
    <t>N mængde til Klgræs beregn</t>
  </si>
  <si>
    <t>Afsat under afgræsning total</t>
  </si>
  <si>
    <t>Afsat under afgræsning effektiv</t>
  </si>
  <si>
    <t>Fiksering i alt</t>
  </si>
  <si>
    <t>Sum hovedafgr og efterafgr</t>
  </si>
  <si>
    <t>Næringsstofbalance (hovedafgrøde + efterafgrøde)</t>
  </si>
  <si>
    <t>N-norm tilpasset</t>
  </si>
  <si>
    <t>Efterafgrøde eller vinterraps efter forfrugt</t>
  </si>
  <si>
    <t>Roer</t>
  </si>
  <si>
    <t>Græs</t>
  </si>
  <si>
    <t>Vinterhvede</t>
  </si>
  <si>
    <t>post_code</t>
  </si>
  <si>
    <t>JB1</t>
  </si>
  <si>
    <t>København K</t>
  </si>
  <si>
    <t>København V</t>
  </si>
  <si>
    <t>Frederiksberg C</t>
  </si>
  <si>
    <t>Frederiksberg</t>
  </si>
  <si>
    <t>København Ø</t>
  </si>
  <si>
    <t>København N</t>
  </si>
  <si>
    <t>København S</t>
  </si>
  <si>
    <t>København NV</t>
  </si>
  <si>
    <t>København SV</t>
  </si>
  <si>
    <t>Valby</t>
  </si>
  <si>
    <t>Glostrup</t>
  </si>
  <si>
    <t>Brøndby</t>
  </si>
  <si>
    <t>Rødovre</t>
  </si>
  <si>
    <t>Albertslund</t>
  </si>
  <si>
    <t>Vallensbæk</t>
  </si>
  <si>
    <t>Taastrup</t>
  </si>
  <si>
    <t>Ishøj</t>
  </si>
  <si>
    <t>Hedehusene</t>
  </si>
  <si>
    <t>Hvidovre</t>
  </si>
  <si>
    <t>Brøndby Strand</t>
  </si>
  <si>
    <t>Vallensbæk Str</t>
  </si>
  <si>
    <t>Greve</t>
  </si>
  <si>
    <t>Solrød Strand</t>
  </si>
  <si>
    <t>Karlslunde</t>
  </si>
  <si>
    <t>Brønshøj</t>
  </si>
  <si>
    <t>Vanløse</t>
  </si>
  <si>
    <t>Herlev</t>
  </si>
  <si>
    <t>Skovlunde</t>
  </si>
  <si>
    <t>Ballerup</t>
  </si>
  <si>
    <t>Måløv</t>
  </si>
  <si>
    <t>Smørum</t>
  </si>
  <si>
    <t>Kastrup</t>
  </si>
  <si>
    <t>Dragør</t>
  </si>
  <si>
    <t>Lyngby</t>
  </si>
  <si>
    <t>Gentofte</t>
  </si>
  <si>
    <t>Virum</t>
  </si>
  <si>
    <t>Holte</t>
  </si>
  <si>
    <t>Nærum</t>
  </si>
  <si>
    <t>Søborg</t>
  </si>
  <si>
    <t>Bagsværd</t>
  </si>
  <si>
    <t>Hellerup</t>
  </si>
  <si>
    <t>Charlottenlund</t>
  </si>
  <si>
    <t>Klampenborg</t>
  </si>
  <si>
    <t>Skodsborg</t>
  </si>
  <si>
    <t>Vedbæk</t>
  </si>
  <si>
    <t>Rungsted Kyst</t>
  </si>
  <si>
    <t>Hørsholm</t>
  </si>
  <si>
    <t>Kokkedal</t>
  </si>
  <si>
    <t>Nivå</t>
  </si>
  <si>
    <t>Helsingør</t>
  </si>
  <si>
    <t>Humlebæk</t>
  </si>
  <si>
    <t>Espergærde</t>
  </si>
  <si>
    <t>Snekkersten</t>
  </si>
  <si>
    <t>Tikøb</t>
  </si>
  <si>
    <t>Hornbæk</t>
  </si>
  <si>
    <t>Dronningmølle</t>
  </si>
  <si>
    <t>Ålsgårde</t>
  </si>
  <si>
    <t>Hellebæk</t>
  </si>
  <si>
    <t>Helsinge</t>
  </si>
  <si>
    <t>Vejby</t>
  </si>
  <si>
    <t>Tisvildeleje</t>
  </si>
  <si>
    <t>Græsted</t>
  </si>
  <si>
    <t>Gilleleje</t>
  </si>
  <si>
    <t>Frederiksværk</t>
  </si>
  <si>
    <t>Ølsted</t>
  </si>
  <si>
    <t>Skævinge</t>
  </si>
  <si>
    <t>Gørløse</t>
  </si>
  <si>
    <t>Liseleje</t>
  </si>
  <si>
    <t>Melby</t>
  </si>
  <si>
    <t>Hundested</t>
  </si>
  <si>
    <t>Hillerød</t>
  </si>
  <si>
    <t>Allerød</t>
  </si>
  <si>
    <t>Birkerød</t>
  </si>
  <si>
    <t>Fredensborg</t>
  </si>
  <si>
    <t>Kvistgård</t>
  </si>
  <si>
    <t>Værløse</t>
  </si>
  <si>
    <t>Farum</t>
  </si>
  <si>
    <t>Lynge</t>
  </si>
  <si>
    <t>Slangerup</t>
  </si>
  <si>
    <t>Frederikssund</t>
  </si>
  <si>
    <t>Jægerspris</t>
  </si>
  <si>
    <t>Ølstykke</t>
  </si>
  <si>
    <t>Stenløse</t>
  </si>
  <si>
    <t>Veksø Sjælland</t>
  </si>
  <si>
    <t>Rønne</t>
  </si>
  <si>
    <t>Åkirkeby</t>
  </si>
  <si>
    <t>Neksø</t>
  </si>
  <si>
    <t>Svaneke</t>
  </si>
  <si>
    <t>Østermarie</t>
  </si>
  <si>
    <t>Gudhjem</t>
  </si>
  <si>
    <t>Allinge</t>
  </si>
  <si>
    <t>Klemensker</t>
  </si>
  <si>
    <t>Hasle</t>
  </si>
  <si>
    <t>Roskilde</t>
  </si>
  <si>
    <t>Jyllinge</t>
  </si>
  <si>
    <t>Skibby</t>
  </si>
  <si>
    <t>Kirke Såby</t>
  </si>
  <si>
    <t>Kirke Hyllinge</t>
  </si>
  <si>
    <t>Ringsted</t>
  </si>
  <si>
    <t>Viby Sjælland</t>
  </si>
  <si>
    <t>Borup</t>
  </si>
  <si>
    <t>Herlufmagle</t>
  </si>
  <si>
    <t>Glumsø</t>
  </si>
  <si>
    <t>Fjenneslev</t>
  </si>
  <si>
    <t>Jystrup Midtsj</t>
  </si>
  <si>
    <t>Sorø</t>
  </si>
  <si>
    <t>Munke Bjergby</t>
  </si>
  <si>
    <t>Slagelse</t>
  </si>
  <si>
    <t>Korsør</t>
  </si>
  <si>
    <t>Skælskør</t>
  </si>
  <si>
    <t>Vemmelev</t>
  </si>
  <si>
    <t>Boeslunde</t>
  </si>
  <si>
    <t>Rude</t>
  </si>
  <si>
    <t>Fuglebjerg</t>
  </si>
  <si>
    <t>Dalmose</t>
  </si>
  <si>
    <t>Høng</t>
  </si>
  <si>
    <t>Gørlev</t>
  </si>
  <si>
    <t>Ruds Vedby</t>
  </si>
  <si>
    <t>Dianalund</t>
  </si>
  <si>
    <t>Stenlille</t>
  </si>
  <si>
    <t>Nyrup</t>
  </si>
  <si>
    <t>Holbæk</t>
  </si>
  <si>
    <t>Lejre</t>
  </si>
  <si>
    <t>Hvalsø</t>
  </si>
  <si>
    <t>Tølløse</t>
  </si>
  <si>
    <t>Ugerløse</t>
  </si>
  <si>
    <t>Kr Eskilstrup</t>
  </si>
  <si>
    <t>Store Merløse</t>
  </si>
  <si>
    <t>Vipperød</t>
  </si>
  <si>
    <t>Kalundborg</t>
  </si>
  <si>
    <t>Regstrup</t>
  </si>
  <si>
    <t>Mørkøv</t>
  </si>
  <si>
    <t>Jyderup</t>
  </si>
  <si>
    <t>Snertinge</t>
  </si>
  <si>
    <t>Svebølle</t>
  </si>
  <si>
    <t>Store Fuglede</t>
  </si>
  <si>
    <t>Jerslev Sj</t>
  </si>
  <si>
    <t>Nykøbing Sj</t>
  </si>
  <si>
    <t>Svinninge</t>
  </si>
  <si>
    <t>Gislinge</t>
  </si>
  <si>
    <t>Hørve</t>
  </si>
  <si>
    <t>Fårevejle</t>
  </si>
  <si>
    <t>Asnæs</t>
  </si>
  <si>
    <t>Vig</t>
  </si>
  <si>
    <t>Grevinge</t>
  </si>
  <si>
    <t>Nørre Asmindrup</t>
  </si>
  <si>
    <t>Højby</t>
  </si>
  <si>
    <t>Rørvig</t>
  </si>
  <si>
    <t>Sjællands Odde</t>
  </si>
  <si>
    <t>Føllenslev</t>
  </si>
  <si>
    <t>Sejerø</t>
  </si>
  <si>
    <t>Eskebjerg</t>
  </si>
  <si>
    <t>Køge</t>
  </si>
  <si>
    <t>Gadstrup</t>
  </si>
  <si>
    <t>Havdrup</t>
  </si>
  <si>
    <t>Lille Skensved</t>
  </si>
  <si>
    <t>Bjæverskov</t>
  </si>
  <si>
    <t>Fakse</t>
  </si>
  <si>
    <t>Hårlev</t>
  </si>
  <si>
    <t>Karise</t>
  </si>
  <si>
    <t>Fakse Ladeplads</t>
  </si>
  <si>
    <t>Store Heddinge</t>
  </si>
  <si>
    <t>Strøby</t>
  </si>
  <si>
    <t>Klippinge</t>
  </si>
  <si>
    <t>Rødvig Stevns</t>
  </si>
  <si>
    <t>Herfølge</t>
  </si>
  <si>
    <t>Tureby</t>
  </si>
  <si>
    <t>Rønnede</t>
  </si>
  <si>
    <t>Holme-Olstrup</t>
  </si>
  <si>
    <t>Haslev</t>
  </si>
  <si>
    <t>Næstved</t>
  </si>
  <si>
    <t>Præstø</t>
  </si>
  <si>
    <t>Tappernøje</t>
  </si>
  <si>
    <t>Mern</t>
  </si>
  <si>
    <t>Karrebæksminde</t>
  </si>
  <si>
    <t>Lundby</t>
  </si>
  <si>
    <t>Vordingborg</t>
  </si>
  <si>
    <t>Kalvehave</t>
  </si>
  <si>
    <t>Langebæk</t>
  </si>
  <si>
    <t>Stensved</t>
  </si>
  <si>
    <t>Stege</t>
  </si>
  <si>
    <t>Borre</t>
  </si>
  <si>
    <t>Askeby</t>
  </si>
  <si>
    <t>Bogø By</t>
  </si>
  <si>
    <t>Nykøbing F</t>
  </si>
  <si>
    <t>Nørre Alslev</t>
  </si>
  <si>
    <t>Stubbekøbing</t>
  </si>
  <si>
    <t>Guldborg</t>
  </si>
  <si>
    <t>Eskilstrup</t>
  </si>
  <si>
    <t>Horbelev</t>
  </si>
  <si>
    <t>Idestrup</t>
  </si>
  <si>
    <t>Væggerløse</t>
  </si>
  <si>
    <t>Gedser</t>
  </si>
  <si>
    <t>Nysted</t>
  </si>
  <si>
    <t>Toreby L</t>
  </si>
  <si>
    <t>Kettinge</t>
  </si>
  <si>
    <t>Øster Ulslev</t>
  </si>
  <si>
    <t>Errindlev</t>
  </si>
  <si>
    <t>Nakskov</t>
  </si>
  <si>
    <t>Harpelunde</t>
  </si>
  <si>
    <t>Horslunde</t>
  </si>
  <si>
    <t>Søllested</t>
  </si>
  <si>
    <t>Maribo</t>
  </si>
  <si>
    <t>Bandholm</t>
  </si>
  <si>
    <t>Torrig L</t>
  </si>
  <si>
    <t>Fejø</t>
  </si>
  <si>
    <t>Nørreballe</t>
  </si>
  <si>
    <t>Stokkemarke</t>
  </si>
  <si>
    <t>Vesterborg</t>
  </si>
  <si>
    <t>Holeby</t>
  </si>
  <si>
    <t>Rødby</t>
  </si>
  <si>
    <t>Dannemare</t>
  </si>
  <si>
    <t>Sakskøbing</t>
  </si>
  <si>
    <t>Odense C</t>
  </si>
  <si>
    <t>Odense V</t>
  </si>
  <si>
    <t>Odense NV</t>
  </si>
  <si>
    <t>Odense SØ</t>
  </si>
  <si>
    <t>Odense M</t>
  </si>
  <si>
    <t>Odense NØ</t>
  </si>
  <si>
    <t>Odense SV</t>
  </si>
  <si>
    <t>Odense S</t>
  </si>
  <si>
    <t>Odense N</t>
  </si>
  <si>
    <t>Marslev</t>
  </si>
  <si>
    <t>Kerteminde</t>
  </si>
  <si>
    <t>Agedrup</t>
  </si>
  <si>
    <t>Munkebo</t>
  </si>
  <si>
    <t>Rynkeby</t>
  </si>
  <si>
    <t>Mesinge</t>
  </si>
  <si>
    <t>Dalby</t>
  </si>
  <si>
    <t>Martofte</t>
  </si>
  <si>
    <t>Bogense</t>
  </si>
  <si>
    <t>Otterup</t>
  </si>
  <si>
    <t>Morud</t>
  </si>
  <si>
    <t>Harndrup</t>
  </si>
  <si>
    <t>Brenderup Fyn</t>
  </si>
  <si>
    <t>Asperup</t>
  </si>
  <si>
    <t>Søndersø</t>
  </si>
  <si>
    <t>Veflinge</t>
  </si>
  <si>
    <t>Skamby</t>
  </si>
  <si>
    <t>Blommenslyst</t>
  </si>
  <si>
    <t>Vissenbjerg</t>
  </si>
  <si>
    <t>Middelfart</t>
  </si>
  <si>
    <t>Ullerslev</t>
  </si>
  <si>
    <t>Langeskov</t>
  </si>
  <si>
    <t>Aarup</t>
  </si>
  <si>
    <t>Nørre Aaby</t>
  </si>
  <si>
    <t>Gelsted</t>
  </si>
  <si>
    <t>Ejby</t>
  </si>
  <si>
    <t>Faaborg</t>
  </si>
  <si>
    <t>Assens</t>
  </si>
  <si>
    <t>Glamsbjerg</t>
  </si>
  <si>
    <t>Ebberup</t>
  </si>
  <si>
    <t>Millinge</t>
  </si>
  <si>
    <t>Broby</t>
  </si>
  <si>
    <t>Hårby</t>
  </si>
  <si>
    <t>Tommerup</t>
  </si>
  <si>
    <t>Svendborg</t>
  </si>
  <si>
    <t>Ringe</t>
  </si>
  <si>
    <t>V Skerninge</t>
  </si>
  <si>
    <t>Stenstrup</t>
  </si>
  <si>
    <t>Kværndrup</t>
  </si>
  <si>
    <t>Årslev</t>
  </si>
  <si>
    <t>Nyborg</t>
  </si>
  <si>
    <t>Ørbæk</t>
  </si>
  <si>
    <t>Gislev</t>
  </si>
  <si>
    <t>Ryslinge</t>
  </si>
  <si>
    <t>Ferritslev Fyn</t>
  </si>
  <si>
    <t>Frørup</t>
  </si>
  <si>
    <t>Hesselager</t>
  </si>
  <si>
    <t>Skårup Fyn</t>
  </si>
  <si>
    <t>Vejstrup</t>
  </si>
  <si>
    <t>Oure</t>
  </si>
  <si>
    <t>Gudme</t>
  </si>
  <si>
    <t>Gudbjerg Sydfyn</t>
  </si>
  <si>
    <t>Rudkøbing</t>
  </si>
  <si>
    <t>Humble</t>
  </si>
  <si>
    <t>Bagenkop</t>
  </si>
  <si>
    <t>Tranekær</t>
  </si>
  <si>
    <t>Marstal</t>
  </si>
  <si>
    <t>Ærøskøbing</t>
  </si>
  <si>
    <t>Søby Ærø</t>
  </si>
  <si>
    <t>Kolding</t>
  </si>
  <si>
    <t>Egtved</t>
  </si>
  <si>
    <t>Almind</t>
  </si>
  <si>
    <t>Viuf</t>
  </si>
  <si>
    <t>Jordrup</t>
  </si>
  <si>
    <t>Christiansfeld</t>
  </si>
  <si>
    <t>Bjert</t>
  </si>
  <si>
    <t>Varmark</t>
  </si>
  <si>
    <t>Sjølund</t>
  </si>
  <si>
    <t>Hejls</t>
  </si>
  <si>
    <t>Haderslev</t>
  </si>
  <si>
    <t>Aabenraa</t>
  </si>
  <si>
    <t>Rødekro</t>
  </si>
  <si>
    <t>Løgumkloster</t>
  </si>
  <si>
    <t>Bredebro</t>
  </si>
  <si>
    <t>Tønder</t>
  </si>
  <si>
    <t>Højer</t>
  </si>
  <si>
    <t>Gråsten</t>
  </si>
  <si>
    <t>Broager</t>
  </si>
  <si>
    <t>Egernsund</t>
  </si>
  <si>
    <t>Padborg</t>
  </si>
  <si>
    <t>Kruså</t>
  </si>
  <si>
    <t>Tinglev</t>
  </si>
  <si>
    <t>Bylderup-Bov</t>
  </si>
  <si>
    <t>Bolderslev</t>
  </si>
  <si>
    <t>Sønderborg</t>
  </si>
  <si>
    <t>Nordborg</t>
  </si>
  <si>
    <t>Augustenborg</t>
  </si>
  <si>
    <t>Sydals</t>
  </si>
  <si>
    <t>Vojens</t>
  </si>
  <si>
    <t>Gram</t>
  </si>
  <si>
    <t>Toftlund</t>
  </si>
  <si>
    <t>Agerskov</t>
  </si>
  <si>
    <t>Branderup J</t>
  </si>
  <si>
    <t>Bevtoft</t>
  </si>
  <si>
    <t>Sommersted</t>
  </si>
  <si>
    <t>Vamdrup</t>
  </si>
  <si>
    <t>Vejen</t>
  </si>
  <si>
    <t>Gesten</t>
  </si>
  <si>
    <t>Bække</t>
  </si>
  <si>
    <t>Vorbasse</t>
  </si>
  <si>
    <t>Rødding</t>
  </si>
  <si>
    <t>Lunderskov</t>
  </si>
  <si>
    <t>Brørup</t>
  </si>
  <si>
    <t>Lintrup</t>
  </si>
  <si>
    <t>Holsted</t>
  </si>
  <si>
    <t>Hovborg</t>
  </si>
  <si>
    <t>Føvling</t>
  </si>
  <si>
    <t>Gørding</t>
  </si>
  <si>
    <t>Esbjerg</t>
  </si>
  <si>
    <t>Esbjerg Ø</t>
  </si>
  <si>
    <t>Esbjerg V</t>
  </si>
  <si>
    <t>Esbjerg N</t>
  </si>
  <si>
    <t>Fanø</t>
  </si>
  <si>
    <t>Tjæreborg</t>
  </si>
  <si>
    <t>Bramming</t>
  </si>
  <si>
    <t>Glejbjerg</t>
  </si>
  <si>
    <t>Agerbæk</t>
  </si>
  <si>
    <t>Ribe</t>
  </si>
  <si>
    <t>Gredstedbro</t>
  </si>
  <si>
    <t>Skærbæk</t>
  </si>
  <si>
    <t>Rømø</t>
  </si>
  <si>
    <t>Varde</t>
  </si>
  <si>
    <t>Årre</t>
  </si>
  <si>
    <t>Ansager</t>
  </si>
  <si>
    <t>Nørre-Nebel</t>
  </si>
  <si>
    <t>Oksbøl</t>
  </si>
  <si>
    <t>Janderup Vestj</t>
  </si>
  <si>
    <t>Billum</t>
  </si>
  <si>
    <t>Henne</t>
  </si>
  <si>
    <t>Ovtrup</t>
  </si>
  <si>
    <t>Blåvand</t>
  </si>
  <si>
    <t>Tistrup</t>
  </si>
  <si>
    <t>Ølgod</t>
  </si>
  <si>
    <t>Tarm</t>
  </si>
  <si>
    <t>Hemmet</t>
  </si>
  <si>
    <t>Skjern</t>
  </si>
  <si>
    <t>Videbæk</t>
  </si>
  <si>
    <t>Kibæk</t>
  </si>
  <si>
    <t>Lem St</t>
  </si>
  <si>
    <t>Ringkøbing</t>
  </si>
  <si>
    <t>Hvide Sande</t>
  </si>
  <si>
    <t>Spjald</t>
  </si>
  <si>
    <t>Ørnhøj</t>
  </si>
  <si>
    <t>Tim</t>
  </si>
  <si>
    <t>Ulfborg</t>
  </si>
  <si>
    <t>Fredericia</t>
  </si>
  <si>
    <t>Børkop</t>
  </si>
  <si>
    <t>Vejle</t>
  </si>
  <si>
    <t>Vejle Øst</t>
  </si>
  <si>
    <t>Juelsminde</t>
  </si>
  <si>
    <t>Stouby</t>
  </si>
  <si>
    <t>Barrit</t>
  </si>
  <si>
    <t>Uldum</t>
  </si>
  <si>
    <t>Vonge</t>
  </si>
  <si>
    <t>Bredsten</t>
  </si>
  <si>
    <t>Randbøl</t>
  </si>
  <si>
    <t>Vandel</t>
  </si>
  <si>
    <t>Billund</t>
  </si>
  <si>
    <t>Grindsted</t>
  </si>
  <si>
    <t>Hejnsvig</t>
  </si>
  <si>
    <t>Sønder-Omme</t>
  </si>
  <si>
    <t>Stakroge</t>
  </si>
  <si>
    <t>Sønder-Felding</t>
  </si>
  <si>
    <t>Jelling</t>
  </si>
  <si>
    <t>Gadbjerg</t>
  </si>
  <si>
    <t>Give</t>
  </si>
  <si>
    <t>Brande</t>
  </si>
  <si>
    <t>Ejstrupholm</t>
  </si>
  <si>
    <t>Hampen</t>
  </si>
  <si>
    <t>Herning</t>
  </si>
  <si>
    <t>Ikast</t>
  </si>
  <si>
    <t>Bording</t>
  </si>
  <si>
    <t>Engesvang</t>
  </si>
  <si>
    <t>Sunds</t>
  </si>
  <si>
    <t>Karup J</t>
  </si>
  <si>
    <t>Vildbjerg</t>
  </si>
  <si>
    <t>Avlum</t>
  </si>
  <si>
    <t>Holstebro</t>
  </si>
  <si>
    <t>Haderup</t>
  </si>
  <si>
    <t>Sørvad</t>
  </si>
  <si>
    <t>Hjerm</t>
  </si>
  <si>
    <t>Vemb</t>
  </si>
  <si>
    <t>Struer</t>
  </si>
  <si>
    <t>Lemvig</t>
  </si>
  <si>
    <t>Bøvlingbjerg</t>
  </si>
  <si>
    <t>Bækmarksbro</t>
  </si>
  <si>
    <t>Harboør</t>
  </si>
  <si>
    <t>Thyborøn Havn</t>
  </si>
  <si>
    <t>Thisted</t>
  </si>
  <si>
    <t>Hanstholm</t>
  </si>
  <si>
    <t>Frøstrup</t>
  </si>
  <si>
    <t>Vesløs</t>
  </si>
  <si>
    <t>Snedsted</t>
  </si>
  <si>
    <t>Bedsted Thy</t>
  </si>
  <si>
    <t>Hurup Thy</t>
  </si>
  <si>
    <t>Vestervig</t>
  </si>
  <si>
    <t>Thyholm</t>
  </si>
  <si>
    <t>Skive</t>
  </si>
  <si>
    <t>Vinderup</t>
  </si>
  <si>
    <t>Højslev</t>
  </si>
  <si>
    <t>Stoholm Jyll</t>
  </si>
  <si>
    <t>Spøttrup</t>
  </si>
  <si>
    <t>Roslev</t>
  </si>
  <si>
    <t>Fur</t>
  </si>
  <si>
    <t>Nykøbing M</t>
  </si>
  <si>
    <t>Erslev</t>
  </si>
  <si>
    <t>Karby</t>
  </si>
  <si>
    <t>Redsted M</t>
  </si>
  <si>
    <t>Vils</t>
  </si>
  <si>
    <t>Øster-Assels</t>
  </si>
  <si>
    <t>Århus C</t>
  </si>
  <si>
    <t>Århus N</t>
  </si>
  <si>
    <t>Århus V</t>
  </si>
  <si>
    <t>Brabrand</t>
  </si>
  <si>
    <t>Åbyhøj</t>
  </si>
  <si>
    <t>Risskov</t>
  </si>
  <si>
    <t>Egå</t>
  </si>
  <si>
    <t>Viby J</t>
  </si>
  <si>
    <t>Højbjerg</t>
  </si>
  <si>
    <t>Odder</t>
  </si>
  <si>
    <t>Samsø</t>
  </si>
  <si>
    <t>Tranbjerg J</t>
  </si>
  <si>
    <t>Mårslet</t>
  </si>
  <si>
    <t>Beder</t>
  </si>
  <si>
    <t>Malling</t>
  </si>
  <si>
    <t>Hundslund</t>
  </si>
  <si>
    <t>Solbjerg</t>
  </si>
  <si>
    <t>Hasselager</t>
  </si>
  <si>
    <t>Hørning</t>
  </si>
  <si>
    <t>Hadsten</t>
  </si>
  <si>
    <t>Trige</t>
  </si>
  <si>
    <t>Mundelstrup</t>
  </si>
  <si>
    <t>Hinnerup</t>
  </si>
  <si>
    <t>Ebeltoft</t>
  </si>
  <si>
    <t>Rønde</t>
  </si>
  <si>
    <t>Knebel</t>
  </si>
  <si>
    <t>Balle</t>
  </si>
  <si>
    <t>Hammel</t>
  </si>
  <si>
    <t>Harlev J</t>
  </si>
  <si>
    <t>Galten</t>
  </si>
  <si>
    <t>Sabro</t>
  </si>
  <si>
    <t>Sporup</t>
  </si>
  <si>
    <t>Grenaa</t>
  </si>
  <si>
    <t>Lystrup</t>
  </si>
  <si>
    <t>Hjortshøj</t>
  </si>
  <si>
    <t>Skødstrup</t>
  </si>
  <si>
    <t>Hornslet</t>
  </si>
  <si>
    <t>Mørke</t>
  </si>
  <si>
    <t>Ryomgård</t>
  </si>
  <si>
    <t>Kolind</t>
  </si>
  <si>
    <t>Trustrup</t>
  </si>
  <si>
    <t>Nimtofte</t>
  </si>
  <si>
    <t>Glesborg</t>
  </si>
  <si>
    <t>Ørum Djurs</t>
  </si>
  <si>
    <t>Anholt</t>
  </si>
  <si>
    <t>Silkeborg</t>
  </si>
  <si>
    <t>Kjellerup</t>
  </si>
  <si>
    <t>Lemming</t>
  </si>
  <si>
    <t>Sorring</t>
  </si>
  <si>
    <t>Ans By</t>
  </si>
  <si>
    <t>Them</t>
  </si>
  <si>
    <t>Bryrup</t>
  </si>
  <si>
    <t>Skanderborg</t>
  </si>
  <si>
    <t>Låsby</t>
  </si>
  <si>
    <t>Ry</t>
  </si>
  <si>
    <t>Horsens</t>
  </si>
  <si>
    <t>Daugård</t>
  </si>
  <si>
    <t>Hedensted</t>
  </si>
  <si>
    <t>Løsning</t>
  </si>
  <si>
    <t>Hovedgård</t>
  </si>
  <si>
    <t>Brædstrup</t>
  </si>
  <si>
    <t>Gedved</t>
  </si>
  <si>
    <t>Østbirk</t>
  </si>
  <si>
    <t>Flemming</t>
  </si>
  <si>
    <t>Rask Mølle</t>
  </si>
  <si>
    <t>Klovborg</t>
  </si>
  <si>
    <t>Nørre-Snede</t>
  </si>
  <si>
    <t>Stenderup</t>
  </si>
  <si>
    <t>Hornsyld</t>
  </si>
  <si>
    <t>Viborg</t>
  </si>
  <si>
    <t>Tjele</t>
  </si>
  <si>
    <t>Løgstrup</t>
  </si>
  <si>
    <t>Skals</t>
  </si>
  <si>
    <t>Rødkærsbro</t>
  </si>
  <si>
    <t>Bjerringbro</t>
  </si>
  <si>
    <t>Ulstrup</t>
  </si>
  <si>
    <t>Langå</t>
  </si>
  <si>
    <t>Thorsø</t>
  </si>
  <si>
    <t>Fårvang</t>
  </si>
  <si>
    <t>Gjern</t>
  </si>
  <si>
    <t>Randers</t>
  </si>
  <si>
    <t>Ørsted</t>
  </si>
  <si>
    <t>Allingåbro</t>
  </si>
  <si>
    <t>Auning</t>
  </si>
  <si>
    <t>Havndal</t>
  </si>
  <si>
    <t>Spentrup</t>
  </si>
  <si>
    <t>Gjerlev J</t>
  </si>
  <si>
    <t>Fårup</t>
  </si>
  <si>
    <t>Aalborg</t>
  </si>
  <si>
    <t>Aalborg SV</t>
  </si>
  <si>
    <t>Aalborg SØ</t>
  </si>
  <si>
    <t>Aalborg Øst</t>
  </si>
  <si>
    <t>Svenstrup J</t>
  </si>
  <si>
    <t>Nibe</t>
  </si>
  <si>
    <t>Gistrup</t>
  </si>
  <si>
    <t>Klarup</t>
  </si>
  <si>
    <t>Storvorde</t>
  </si>
  <si>
    <t>Kongerslev</t>
  </si>
  <si>
    <t>Sæby</t>
  </si>
  <si>
    <t>Vodskov</t>
  </si>
  <si>
    <t>Hjallerup</t>
  </si>
  <si>
    <t>Dronninglund</t>
  </si>
  <si>
    <t>Aså</t>
  </si>
  <si>
    <t>Dybvad</t>
  </si>
  <si>
    <t>Gandrup</t>
  </si>
  <si>
    <t>Hals</t>
  </si>
  <si>
    <t>Vestbjerg</t>
  </si>
  <si>
    <t>Tylstrup</t>
  </si>
  <si>
    <t>Nørresundby</t>
  </si>
  <si>
    <t>Vadum</t>
  </si>
  <si>
    <t>Åbybro</t>
  </si>
  <si>
    <t>Brovst</t>
  </si>
  <si>
    <t>Løkken</t>
  </si>
  <si>
    <t>Pandrup</t>
  </si>
  <si>
    <t>Blokhus</t>
  </si>
  <si>
    <t>Saltum</t>
  </si>
  <si>
    <t>Hobro</t>
  </si>
  <si>
    <t>Arden</t>
  </si>
  <si>
    <t>Skørping</t>
  </si>
  <si>
    <t>Støvring</t>
  </si>
  <si>
    <t>Suldrup</t>
  </si>
  <si>
    <t>Mariager</t>
  </si>
  <si>
    <t>Hadsund</t>
  </si>
  <si>
    <t>Bælum</t>
  </si>
  <si>
    <t>Terndrup</t>
  </si>
  <si>
    <t>Aars</t>
  </si>
  <si>
    <t>Nørager</t>
  </si>
  <si>
    <t>Ålestrup</t>
  </si>
  <si>
    <t>Gedsted</t>
  </si>
  <si>
    <t>Møldrup</t>
  </si>
  <si>
    <t>Farsø</t>
  </si>
  <si>
    <t>Løgstør</t>
  </si>
  <si>
    <t>Ranum</t>
  </si>
  <si>
    <t>Fjerritslev</t>
  </si>
  <si>
    <t>Brønderslev</t>
  </si>
  <si>
    <t>Jerslev J</t>
  </si>
  <si>
    <t>Øster-Vrå</t>
  </si>
  <si>
    <t>Vrå</t>
  </si>
  <si>
    <t>Hjørring</t>
  </si>
  <si>
    <t>Tårs</t>
  </si>
  <si>
    <t>Hirtshals</t>
  </si>
  <si>
    <t>Sindal</t>
  </si>
  <si>
    <t>Bindslev</t>
  </si>
  <si>
    <t>Frederikshavn</t>
  </si>
  <si>
    <t>Byrum</t>
  </si>
  <si>
    <t>Vesterø Havn</t>
  </si>
  <si>
    <t>Østerby Havn</t>
  </si>
  <si>
    <t>Strandby</t>
  </si>
  <si>
    <t>Jerup</t>
  </si>
  <si>
    <t>Ålbæk</t>
  </si>
  <si>
    <t>Skagen</t>
  </si>
  <si>
    <t>Postnr.</t>
  </si>
  <si>
    <t>Protein korr</t>
  </si>
  <si>
    <t>Pctenhed pr kg N</t>
  </si>
  <si>
    <t>Protein korr for N-tilpasset</t>
  </si>
  <si>
    <t>Protein (evt. korr for indtastet)</t>
  </si>
  <si>
    <t>FE pr. hkg</t>
  </si>
  <si>
    <t>Efterafgrødegrundareal</t>
  </si>
  <si>
    <t>Nej = -1</t>
  </si>
  <si>
    <t>Ja = 1</t>
  </si>
  <si>
    <t>Areal, ha</t>
  </si>
  <si>
    <t>Efter forfrugt</t>
  </si>
  <si>
    <t>Pligtige og frivillige efterafgrødeareal</t>
  </si>
  <si>
    <t>Pligtig efterafgrøde (kan tælle med)</t>
  </si>
  <si>
    <t>Udlægsafgrøde for pligtig efterafgrøde</t>
  </si>
  <si>
    <t>Afgrøde efter pligtig efterafgrøde</t>
  </si>
  <si>
    <t>Pligtig efterafgrøde</t>
  </si>
  <si>
    <t>Udlægsafgrøde OK</t>
  </si>
  <si>
    <t>Næste afgrøde OK</t>
  </si>
  <si>
    <t>Pligtig efterafgrøde OK</t>
  </si>
  <si>
    <t>Areal pligtig efterafgrøde</t>
  </si>
  <si>
    <t>Mellemafgrøde</t>
  </si>
  <si>
    <t>Efter aktuel afgrøde</t>
  </si>
  <si>
    <t>Med N-eftervirkning</t>
  </si>
  <si>
    <t>Mellemafgrødeareal</t>
  </si>
  <si>
    <t>Aktuel afgrøde</t>
  </si>
  <si>
    <t>1 = OK</t>
  </si>
  <si>
    <t>Afgrøde efter mellemafgrøde</t>
  </si>
  <si>
    <t>Mellemafgrøde 0,5 = ja</t>
  </si>
  <si>
    <t>Areal mellemafgrøde x 0,5</t>
  </si>
  <si>
    <t>Permanent græs</t>
  </si>
  <si>
    <t>Permanent græs (0N)</t>
  </si>
  <si>
    <t>Randzone</t>
  </si>
  <si>
    <t>Vådområde</t>
  </si>
  <si>
    <t>Forfrugt
1 = Ja</t>
  </si>
  <si>
    <t>Afgrøde
1 = ja</t>
  </si>
  <si>
    <t>Foderproduktion</t>
  </si>
  <si>
    <t>Andel i kornration (vægtpct.)</t>
  </si>
  <si>
    <t>Hkg af hver kornart</t>
  </si>
  <si>
    <t>Besætning</t>
  </si>
  <si>
    <t xml:space="preserve"> Foderforbrug</t>
  </si>
  <si>
    <t>Kornandel af Fesv</t>
  </si>
  <si>
    <t>Foderforbrug_FE</t>
  </si>
  <si>
    <t>Korn-FE</t>
  </si>
  <si>
    <t>Gns FE/kg korn</t>
  </si>
  <si>
    <t>hkg korn</t>
  </si>
  <si>
    <t>Søer m. smågrise</t>
  </si>
  <si>
    <t>årssøer</t>
  </si>
  <si>
    <t>Smågrise</t>
  </si>
  <si>
    <t>stk.</t>
  </si>
  <si>
    <t xml:space="preserve">Fra </t>
  </si>
  <si>
    <t>kg   Til</t>
  </si>
  <si>
    <t>Fesv</t>
  </si>
  <si>
    <t>Slagtesvin</t>
  </si>
  <si>
    <t>Ydelse</t>
  </si>
  <si>
    <t>Vårbyg, valset</t>
  </si>
  <si>
    <t>Klgræs ens</t>
  </si>
  <si>
    <t>Majshelsæd</t>
  </si>
  <si>
    <t>Jersey</t>
  </si>
  <si>
    <t>Tung race (Majs + græs)</t>
  </si>
  <si>
    <t>Tung race (Græs + majs)</t>
  </si>
  <si>
    <t>Jersey (Majs + græs)</t>
  </si>
  <si>
    <t>Jersey (Græs + majs)</t>
  </si>
  <si>
    <t>Foderbehov til kvæg afhængig af ydelse</t>
  </si>
  <si>
    <t>Race</t>
  </si>
  <si>
    <t>Kvægrace</t>
  </si>
  <si>
    <t>Tung</t>
  </si>
  <si>
    <t>kg EKM</t>
  </si>
  <si>
    <t>Foderplan</t>
  </si>
  <si>
    <t>Majshelsæd + græs</t>
  </si>
  <si>
    <t>Græsens. + majshelsæd</t>
  </si>
  <si>
    <t>Kløvergræsensilage</t>
  </si>
  <si>
    <t>Kolonne i tabel Foderbehov</t>
  </si>
  <si>
    <t>Pr årsko</t>
  </si>
  <si>
    <t>I alt</t>
  </si>
  <si>
    <t>Mælkeydelse</t>
  </si>
  <si>
    <t>Antal</t>
  </si>
  <si>
    <t>Korr.</t>
  </si>
  <si>
    <t>årskøer inkl. opdræt</t>
  </si>
  <si>
    <t>% af standardnorm</t>
  </si>
  <si>
    <t>N-norm korr til N-niveau</t>
  </si>
  <si>
    <t>Hdg i alt</t>
  </si>
  <si>
    <t>Aktuelt udbytte i alt</t>
  </si>
  <si>
    <t>Udb i alt</t>
  </si>
  <si>
    <t>Udbytte i alt</t>
  </si>
  <si>
    <t>Korrektion for N</t>
  </si>
  <si>
    <t>N i kerne i alt</t>
  </si>
  <si>
    <t>P høstet i alt</t>
  </si>
  <si>
    <t>K høstet i alt</t>
  </si>
  <si>
    <t>N i halm i alt</t>
  </si>
  <si>
    <t>P i halm i alt</t>
  </si>
  <si>
    <t>K i halm i alt</t>
  </si>
  <si>
    <t>N i efterslæt i alt</t>
  </si>
  <si>
    <t>Tilført i alt pr ha</t>
  </si>
  <si>
    <t>N-overskud pr ha</t>
  </si>
  <si>
    <t>Bortført i alt pr. ha</t>
  </si>
  <si>
    <t>N-overskud i alt</t>
  </si>
  <si>
    <t>Udvask i alt</t>
  </si>
  <si>
    <t>i alt</t>
  </si>
  <si>
    <t>I alt pr. ha</t>
  </si>
  <si>
    <t>Til svin</t>
  </si>
  <si>
    <t>Foderkorn til svin</t>
  </si>
  <si>
    <t>Foderværdi til svin</t>
  </si>
  <si>
    <t>Foderværdi af korn til kvæg</t>
  </si>
  <si>
    <t>Byg/korn til kvæg</t>
  </si>
  <si>
    <t>Udledning</t>
  </si>
  <si>
    <t>Udledning i alt</t>
  </si>
  <si>
    <t>Græsfoder</t>
  </si>
  <si>
    <t>majshesæd</t>
  </si>
  <si>
    <t>Kornhelsæd</t>
  </si>
  <si>
    <t>% af efterafgrødegrundareal</t>
  </si>
  <si>
    <t>Maskiner og arbejde</t>
  </si>
  <si>
    <t>Kløvergræs, slæt+afgr.</t>
  </si>
  <si>
    <t>Astrømning</t>
  </si>
  <si>
    <t>l pr. ha (1 mm = 1 l pr. m2)</t>
  </si>
  <si>
    <t>Afstrømning i alt</t>
  </si>
  <si>
    <t>Nitrat-N koncentration</t>
  </si>
  <si>
    <t>mg NO3_N pr. l</t>
  </si>
  <si>
    <t>Havre til svin</t>
  </si>
  <si>
    <t>FEsv i alt</t>
  </si>
  <si>
    <t>Heraf</t>
  </si>
  <si>
    <t>Jordtype2</t>
  </si>
  <si>
    <t>Jordtype1</t>
  </si>
  <si>
    <t>Markvand1</t>
  </si>
  <si>
    <t>Markvand2</t>
  </si>
  <si>
    <t>EftervirkningUdb1</t>
  </si>
  <si>
    <t>NormudbKolonneNr1</t>
  </si>
  <si>
    <t>NnormKolonneNr1</t>
  </si>
  <si>
    <t>HalmudbKolonneNr1</t>
  </si>
  <si>
    <t>PlojJB1</t>
  </si>
  <si>
    <t>SaaJB1</t>
  </si>
  <si>
    <t>NnormKolonneEfgr1</t>
  </si>
  <si>
    <t>NormudbKolonneNrEfgr1</t>
  </si>
  <si>
    <t>NormudbKolonneNr2</t>
  </si>
  <si>
    <t>NnormKolonneNr2</t>
  </si>
  <si>
    <t>HalmudbKolonneNr2</t>
  </si>
  <si>
    <t>EftervirkningUdb2</t>
  </si>
  <si>
    <t>PlojJB2</t>
  </si>
  <si>
    <t>SaaJB2</t>
  </si>
  <si>
    <t>NormudbKolonneNrEfgr2</t>
  </si>
  <si>
    <t>NnormKolonneEfgr2</t>
  </si>
  <si>
    <t>NniveauDelsaedsk2</t>
  </si>
  <si>
    <t>NniveauDelsaedsk1</t>
  </si>
  <si>
    <t>Sum delsædskifte 1</t>
  </si>
  <si>
    <t>Sum delsædskifte 2</t>
  </si>
  <si>
    <t>Sum scenarie 1</t>
  </si>
  <si>
    <t>EfgrGrundareal12</t>
  </si>
  <si>
    <t>Dyrket areal i alt</t>
  </si>
  <si>
    <t>Efterafgrødekrav i alt</t>
  </si>
  <si>
    <t>DyrkAreal12</t>
  </si>
  <si>
    <t>Efterafgrødekrav</t>
  </si>
  <si>
    <t>Areal og dyretæthed</t>
  </si>
  <si>
    <t>Miljøgodkendelse</t>
  </si>
  <si>
    <t>Heraf med N-eftervirkning</t>
  </si>
  <si>
    <t>Vandplankrav</t>
  </si>
  <si>
    <t>Efterafgrødekrav som følge af vandplan</t>
  </si>
  <si>
    <t>Harmoniareal12</t>
  </si>
  <si>
    <t>Opfyldelse af krav til efterafgrøder</t>
  </si>
  <si>
    <t>Mellemafgrøder</t>
  </si>
  <si>
    <t>Energiafgrøder</t>
  </si>
  <si>
    <t>Overført til anden bedrift</t>
  </si>
  <si>
    <t>EfgrAreal12</t>
  </si>
  <si>
    <t>EfgrArealFf12</t>
  </si>
  <si>
    <t>MellemafgrAreal12</t>
  </si>
  <si>
    <t>MellemafgrArealFf12</t>
  </si>
  <si>
    <t>HarmoniarealFf12</t>
  </si>
  <si>
    <t>Energipil --&gt; 2010</t>
  </si>
  <si>
    <t>Energipil 2011--&gt;</t>
  </si>
  <si>
    <t>Energiafgr kan erstatte efterafgr</t>
  </si>
  <si>
    <t>Energiafgrødeareal</t>
  </si>
  <si>
    <t>EnergiafgrArealFf12</t>
  </si>
  <si>
    <t>EnergiafgrAreal12</t>
  </si>
  <si>
    <t>Efgrkonst</t>
  </si>
  <si>
    <t>Mlafgrkonst</t>
  </si>
  <si>
    <t>Tæller</t>
  </si>
  <si>
    <t>Efterafgrødeareal overført til anden bedrift</t>
  </si>
  <si>
    <t>KvoteredukUnder08DE</t>
  </si>
  <si>
    <t>KvoteredukOver08DE</t>
  </si>
  <si>
    <t>N-norm i alt</t>
  </si>
  <si>
    <t>NnormIalt12</t>
  </si>
  <si>
    <t>NnormTilpasIalt12</t>
  </si>
  <si>
    <t>Stivelseskartofler</t>
  </si>
  <si>
    <t>kg N/hkg</t>
  </si>
  <si>
    <t>Bagekartofler, andre k.</t>
  </si>
  <si>
    <t>Mernormudbytte pga forfrugt</t>
  </si>
  <si>
    <t>Korr af N-norm for udbytte</t>
  </si>
  <si>
    <t>Halmudb u vanding</t>
  </si>
  <si>
    <t>Merudb pga ff u vanding</t>
  </si>
  <si>
    <t>Merudb pga ff m vanding</t>
  </si>
  <si>
    <t>MerudbKolonneNr1</t>
  </si>
  <si>
    <t>MerudbKolonneNr2</t>
  </si>
  <si>
    <t>Grønne marker</t>
  </si>
  <si>
    <t>Grønne marker (2010 regler)</t>
  </si>
  <si>
    <t>Afgrøde eller udlæg tæller som grøn mark</t>
  </si>
  <si>
    <t>Areal grøn mark</t>
  </si>
  <si>
    <t>GronMarkAreal12</t>
  </si>
  <si>
    <t>GronMarkPct</t>
  </si>
  <si>
    <t>Kravberegning 2011:</t>
  </si>
  <si>
    <t>Kravberegning 2010:</t>
  </si>
  <si>
    <t>EfgrKrav2010Ialt12</t>
  </si>
  <si>
    <t>Tilskud</t>
  </si>
  <si>
    <t>kr pr ha</t>
  </si>
  <si>
    <t>Tilskud, randzome</t>
  </si>
  <si>
    <t>Tilskud, vådområde</t>
  </si>
  <si>
    <t>Tilskud, energipil</t>
  </si>
  <si>
    <t>Basistilskud</t>
  </si>
  <si>
    <t>Tilskud korr</t>
  </si>
  <si>
    <t>Tilskud i alt</t>
  </si>
  <si>
    <t>KvoteTillaegUnder08DE</t>
  </si>
  <si>
    <t>KvoteTillaegOver08DE</t>
  </si>
  <si>
    <t>Efterafgrøder erstattet af kvotereduktion</t>
  </si>
  <si>
    <t>Ekstra efterafgrøder for højere N-kvote</t>
  </si>
  <si>
    <t>Heraf frivillige efterafgrøder uden N-eftervirkning</t>
  </si>
  <si>
    <t>Frivillig</t>
  </si>
  <si>
    <t>Heraf frivillige ekstra efterafgrøder</t>
  </si>
  <si>
    <t>Frivillig uden N-eftervirkning</t>
  </si>
  <si>
    <t>EfgrArealFrivillig12</t>
  </si>
  <si>
    <t>Scenarie 2</t>
  </si>
  <si>
    <t>Navn</t>
  </si>
  <si>
    <t>Forskel</t>
  </si>
  <si>
    <t>Bruttoudbytte (hovedafgrøde)</t>
  </si>
  <si>
    <t>Bruttoudbytte (hovedafgr.)</t>
  </si>
  <si>
    <t>BruttoudbAfgr12</t>
  </si>
  <si>
    <t>TilskudIalt12</t>
  </si>
  <si>
    <t>BruttoudbHalm12</t>
  </si>
  <si>
    <t>Efterslaetpris</t>
  </si>
  <si>
    <t>kr. pr. FE</t>
  </si>
  <si>
    <t>Hovedafgrøder</t>
  </si>
  <si>
    <t>Efterslæt</t>
  </si>
  <si>
    <t>Bruttoudbytte i alt</t>
  </si>
  <si>
    <t>BruttoudbEfterslaet12</t>
  </si>
  <si>
    <t>Diverse</t>
  </si>
  <si>
    <t>Stykomkostninger i alt</t>
  </si>
  <si>
    <t>Udsaed12</t>
  </si>
  <si>
    <t>Godning12</t>
  </si>
  <si>
    <t>Plantevaern12</t>
  </si>
  <si>
    <t>Diverse12</t>
  </si>
  <si>
    <t>PlojHarv12</t>
  </si>
  <si>
    <t>Saaning12</t>
  </si>
  <si>
    <t>Godnspred12</t>
  </si>
  <si>
    <t>Marksprojt12</t>
  </si>
  <si>
    <t>Markvand12</t>
  </si>
  <si>
    <t>Host12</t>
  </si>
  <si>
    <t>Hjemkorsel12</t>
  </si>
  <si>
    <t>Torring12</t>
  </si>
  <si>
    <t>UdsaedEfgr12</t>
  </si>
  <si>
    <t>GodningEfgr12</t>
  </si>
  <si>
    <t>PlantevaernEfgr12</t>
  </si>
  <si>
    <t>DiverseEfgr12</t>
  </si>
  <si>
    <t>SaaningEfgr12</t>
  </si>
  <si>
    <t>GodnspredEfgr12</t>
  </si>
  <si>
    <t>MarksprojtEfgr12</t>
  </si>
  <si>
    <t>MarkvandEfgr12</t>
  </si>
  <si>
    <t>HostEfgr12</t>
  </si>
  <si>
    <t>Nedmuldning12</t>
  </si>
  <si>
    <t>Pløjning/Harvning</t>
  </si>
  <si>
    <t>Dækningsbidrag</t>
  </si>
  <si>
    <t>Variable/faste maskin- og arbejdsomkostninger</t>
  </si>
  <si>
    <t>Inkl. arbejdsløn</t>
  </si>
  <si>
    <t>Ekskl. arbejdsløn</t>
  </si>
  <si>
    <t>Variable</t>
  </si>
  <si>
    <t>Faste maskin- og arbejdsomk</t>
  </si>
  <si>
    <t>Variable maskinomkostninger</t>
  </si>
  <si>
    <t>Faste maskinomkostninger</t>
  </si>
  <si>
    <t>Resultat efter var. maskinomk.</t>
  </si>
  <si>
    <t>Resultat</t>
  </si>
  <si>
    <t>EfgrKravIaltPct12</t>
  </si>
  <si>
    <t>EfgrKravIaltHa12</t>
  </si>
  <si>
    <t>Heraf frivillige efterafgrøder</t>
  </si>
  <si>
    <t>Scenarie 1</t>
  </si>
  <si>
    <t>Kvælstofkvote (uden reduktion/tillæg)</t>
  </si>
  <si>
    <t>Kvælstofkvote efter reduktion/tillæg</t>
  </si>
  <si>
    <t>Reduktion i kvælstofkvote</t>
  </si>
  <si>
    <t>Reduktion i kvote i stedet for efterafgrøder</t>
  </si>
  <si>
    <t>Tillæg til kvote for frivillige efterafgrøder</t>
  </si>
  <si>
    <t>N-niveau tilpasning</t>
  </si>
  <si>
    <t>NtilpasMetode12</t>
  </si>
  <si>
    <t>Nniveau12</t>
  </si>
  <si>
    <t>NnormIaltFordel12</t>
  </si>
  <si>
    <t>HdgNindtastetIalt12</t>
  </si>
  <si>
    <t>HdgNTilFordeling12</t>
  </si>
  <si>
    <t>Randzonekrav</t>
  </si>
  <si>
    <t>Randzoneareal</t>
  </si>
  <si>
    <t>1 = randzone</t>
  </si>
  <si>
    <t>Vådområdeareal</t>
  </si>
  <si>
    <t>1 = vådområde</t>
  </si>
  <si>
    <t>Areal, Ha</t>
  </si>
  <si>
    <t>Randzoneareal12</t>
  </si>
  <si>
    <t>Vadomradeareal12</t>
  </si>
  <si>
    <t>Dog max 3%</t>
  </si>
  <si>
    <t>FEsv</t>
  </si>
  <si>
    <t>FEs</t>
  </si>
  <si>
    <t>Foderkorn i alt</t>
  </si>
  <si>
    <t>Foderkorn til svin i alt</t>
  </si>
  <si>
    <t>Malkekvæg</t>
  </si>
  <si>
    <t>Grovfoderbehov i alt</t>
  </si>
  <si>
    <t>Vårbyg, valset til kvæg</t>
  </si>
  <si>
    <t>Grovfoder</t>
  </si>
  <si>
    <t>Besætning og foderbehov (korn/grovfoder)</t>
  </si>
  <si>
    <t>Grovfoder i alt</t>
  </si>
  <si>
    <t>GrovfoderIalt12</t>
  </si>
  <si>
    <t>FoderkornIalt12</t>
  </si>
  <si>
    <t>BygvalsetIalt12</t>
  </si>
  <si>
    <t>Indkøb af foderkorn/grovfoder</t>
  </si>
  <si>
    <t>Handelsomkostninger til indkøb af foderkorn/grovfoder</t>
  </si>
  <si>
    <t>Handelomkfoderkorn</t>
  </si>
  <si>
    <t>Handelomkgrovfoder</t>
  </si>
  <si>
    <t>Handelomkbygvalset</t>
  </si>
  <si>
    <t>Protein i foderkorn</t>
  </si>
  <si>
    <t>Vårbyg til svin</t>
  </si>
  <si>
    <t>Vinterbyg til svin</t>
  </si>
  <si>
    <t>Fesv i alt</t>
  </si>
  <si>
    <t>kg protein basis</t>
  </si>
  <si>
    <t>Kg protein basis foderkorn</t>
  </si>
  <si>
    <t>Kg protein i foderkorn</t>
  </si>
  <si>
    <t>ProtFoderkornBasisKg12</t>
  </si>
  <si>
    <t>ProtFoderKornKorrKg12</t>
  </si>
  <si>
    <t>ProtVaerdiKg</t>
  </si>
  <si>
    <t>kr</t>
  </si>
  <si>
    <t>Protein i foderkorn (basis), kg</t>
  </si>
  <si>
    <t>Protein i foderkorn (aktuel), kg</t>
  </si>
  <si>
    <t>Mindreudbytte af protein i foderkorn, kg</t>
  </si>
  <si>
    <t>Tab pga. mindre protein i foderkorn</t>
  </si>
  <si>
    <t>Dyretæthed, DE/ha</t>
  </si>
  <si>
    <t>Type husdyrgødning</t>
  </si>
  <si>
    <t>DE egen besætning</t>
  </si>
  <si>
    <t>DE husdyrgødning på eget areal</t>
  </si>
  <si>
    <t>DE i afsat husdyrgødning</t>
  </si>
  <si>
    <t>DE i modtaget husdyrgødning</t>
  </si>
  <si>
    <t>Kvæg</t>
  </si>
  <si>
    <t>Svin</t>
  </si>
  <si>
    <t>Husdyrgødningstype</t>
  </si>
  <si>
    <t>DE</t>
  </si>
  <si>
    <t>HdgDyreart</t>
  </si>
  <si>
    <t>N pr. DE</t>
  </si>
  <si>
    <t>P pr. DE</t>
  </si>
  <si>
    <t>K pr. DE</t>
  </si>
  <si>
    <t>Er også tildelt navne</t>
  </si>
  <si>
    <t>Retention (N)</t>
  </si>
  <si>
    <t>Olieræddike M</t>
  </si>
  <si>
    <t>Olieræddike E</t>
  </si>
  <si>
    <t>Gul sennep M</t>
  </si>
  <si>
    <t>Gul sennep E</t>
  </si>
  <si>
    <t>Kvælstofoverskud</t>
  </si>
  <si>
    <t>Fosforoverskud</t>
  </si>
  <si>
    <t>Kvælstofudvaskning</t>
  </si>
  <si>
    <t>Retention (vægtet)</t>
  </si>
  <si>
    <t>Kvælstofudledning</t>
  </si>
  <si>
    <t>Kvælstofudvaskning pr. ha</t>
  </si>
  <si>
    <t>Afstrømning, mm</t>
  </si>
  <si>
    <t>Nitratkonc., mg N pr. l</t>
  </si>
  <si>
    <t>Kvælstofudledning pr. ha</t>
  </si>
  <si>
    <t>Noverskud12</t>
  </si>
  <si>
    <t>P i husdyrgdn, kg</t>
  </si>
  <si>
    <t>P i handelsgdn, kg</t>
  </si>
  <si>
    <t>K i handelsgdn, kg</t>
  </si>
  <si>
    <t>Fosfor</t>
  </si>
  <si>
    <t>Tilført pr. ha</t>
  </si>
  <si>
    <t>Bortført pr. ha</t>
  </si>
  <si>
    <t>P-overskud pr. ha</t>
  </si>
  <si>
    <t>P-overskud i alt</t>
  </si>
  <si>
    <t>K i husdyrgdn, kg</t>
  </si>
  <si>
    <t>Kalium</t>
  </si>
  <si>
    <t>K-overskud pr. ha</t>
  </si>
  <si>
    <t>K-overskud i alt</t>
  </si>
  <si>
    <t>Poverskud12</t>
  </si>
  <si>
    <t>Koverskud12</t>
  </si>
  <si>
    <t>kg P</t>
  </si>
  <si>
    <t>Nudvaskning12</t>
  </si>
  <si>
    <t>Nudledning12</t>
  </si>
  <si>
    <t>Afstrømning12</t>
  </si>
  <si>
    <t>liter i alt</t>
  </si>
  <si>
    <t>Nitrat12</t>
  </si>
  <si>
    <t>DyrkAreal2</t>
  </si>
  <si>
    <t>DyrkAreal1</t>
  </si>
  <si>
    <t xml:space="preserve"> kg N</t>
  </si>
  <si>
    <t>Græs E</t>
  </si>
  <si>
    <t>Frøgræs E</t>
  </si>
  <si>
    <t>Forfrugtsværdi, kg N</t>
  </si>
  <si>
    <t>Anvendes pt. ikke i dette regneark</t>
  </si>
  <si>
    <t>fordampning fra afgrøde</t>
  </si>
  <si>
    <t>Sprøjtning
kørsler</t>
  </si>
  <si>
    <t>Græsudl. e. grønk.</t>
  </si>
  <si>
    <t>Græsudl. e. korn</t>
  </si>
  <si>
    <t>Kl.græsudl. e. grønk.</t>
  </si>
  <si>
    <t>Kl.græsudl. e. korn</t>
  </si>
  <si>
    <t>Græsudl. e. hels.</t>
  </si>
  <si>
    <t>Kl.græsudl. e. hels.</t>
  </si>
  <si>
    <t>Klgraespris</t>
  </si>
  <si>
    <t>Majspris</t>
  </si>
  <si>
    <t>Bygvalsetpris</t>
  </si>
  <si>
    <t>Kornhelsaedpris</t>
  </si>
  <si>
    <t>Budgetkalkuler 2011</t>
  </si>
  <si>
    <t>FE/kg</t>
  </si>
  <si>
    <t>kr./FE</t>
  </si>
  <si>
    <t>FE*pris</t>
  </si>
  <si>
    <t>GnsFEpris</t>
  </si>
  <si>
    <t>kr./FE i gns</t>
  </si>
  <si>
    <t>Kvælstofkvoteniveau</t>
  </si>
  <si>
    <t>Tilpas N-kvote automatisk</t>
  </si>
  <si>
    <t>Tilpas N-kvote manuelt</t>
  </si>
  <si>
    <t>Vandløbsstrækning med randzone</t>
  </si>
  <si>
    <t>Efterafgrøder erstattet af reduceret N-kvote</t>
  </si>
  <si>
    <t>P-afgrøde indhold</t>
  </si>
  <si>
    <t>K-afgrøde indhold</t>
  </si>
  <si>
    <t>Perm. græs, lavt udb.</t>
  </si>
  <si>
    <t>Efterafgrøde E
Mellemafgrøde M</t>
  </si>
  <si>
    <t>Korrigeret 
til N-niveau</t>
  </si>
  <si>
    <t>Krav til
N-udnyt.</t>
  </si>
  <si>
    <t>Husdyrgdn.
effektiv N</t>
  </si>
  <si>
    <t>Halm- 
anvendelse</t>
  </si>
  <si>
    <t>Behandling
efterafgrøde</t>
  </si>
  <si>
    <t>Diverse
(analyser, rensning mv.)</t>
  </si>
  <si>
    <t>Høst inkl.
hjemkørsel/indlægning</t>
  </si>
  <si>
    <t>Halmbjærgning 
inkl. hjemkørsel</t>
  </si>
  <si>
    <t>Høst inkl. 
hjemkørsel/indlægning</t>
  </si>
  <si>
    <t>Nedmuldning 
el. glyphosat beh.</t>
  </si>
  <si>
    <t>Afstrømning</t>
  </si>
  <si>
    <t>Regler</t>
  </si>
  <si>
    <t xml:space="preserve"> --&gt; 2010 regler</t>
  </si>
  <si>
    <t>2011 regler --&gt;</t>
  </si>
  <si>
    <t>Tekst</t>
  </si>
  <si>
    <t>Regler12</t>
  </si>
  <si>
    <t>Jordtype3</t>
  </si>
  <si>
    <t>Markvand3</t>
  </si>
  <si>
    <t>DEprHa12</t>
  </si>
  <si>
    <t>DEprHa34</t>
  </si>
  <si>
    <t>DE08prHa12</t>
  </si>
  <si>
    <t>DE08prHa34</t>
  </si>
  <si>
    <t>NormudbKolonneNr3</t>
  </si>
  <si>
    <t>MerudbKolonneNr3</t>
  </si>
  <si>
    <t>NnormKolonneNr3</t>
  </si>
  <si>
    <t>HalmudbKolonneNr3</t>
  </si>
  <si>
    <t>EftervirkningUdb3</t>
  </si>
  <si>
    <t>PlojJB3</t>
  </si>
  <si>
    <t>SaaJB3</t>
  </si>
  <si>
    <t>NormudbKolonneNrEfgr3</t>
  </si>
  <si>
    <t>NnormKolonneEfgr3</t>
  </si>
  <si>
    <t>NtilpasMetode34</t>
  </si>
  <si>
    <t>Nniveau34</t>
  </si>
  <si>
    <t>HdgNTilFordeling34</t>
  </si>
  <si>
    <t>Vælges i Husdyr (fælles for 1 og 2):</t>
  </si>
  <si>
    <t>Prisjustering (vælges i Normer og fælles for scenarie 1 og 2):</t>
  </si>
  <si>
    <t>KvoteredukHa12</t>
  </si>
  <si>
    <t>KvoteTillaegHa12</t>
  </si>
  <si>
    <t>Regler34</t>
  </si>
  <si>
    <t>KvoteredukHa34</t>
  </si>
  <si>
    <t>KvoteTillaegHa34</t>
  </si>
  <si>
    <t>DyrkAreal3</t>
  </si>
  <si>
    <t>NniveauDelsaedsk3</t>
  </si>
  <si>
    <t>Jordtype4</t>
  </si>
  <si>
    <t>Markvand4</t>
  </si>
  <si>
    <t>NormudbKolonneNr4</t>
  </si>
  <si>
    <t>MerudbKolonneNr4</t>
  </si>
  <si>
    <t>NnormKolonneNr4</t>
  </si>
  <si>
    <t>HalmudbKolonneNr4</t>
  </si>
  <si>
    <t>EftervirkningUdb4</t>
  </si>
  <si>
    <t>PlojJB4</t>
  </si>
  <si>
    <t>SaaJB4</t>
  </si>
  <si>
    <t>NormudbKolonneNrEfgr4</t>
  </si>
  <si>
    <t>NnormKolonneEfgr4</t>
  </si>
  <si>
    <t>DyrkAreal4</t>
  </si>
  <si>
    <t>DyrkAreal34</t>
  </si>
  <si>
    <t>NnormIalt34</t>
  </si>
  <si>
    <t>NnormTilpasIalt34</t>
  </si>
  <si>
    <t>NnormIaltFordel34</t>
  </si>
  <si>
    <t>HdgNindtastetIalt34</t>
  </si>
  <si>
    <t>BruttoudbAfgr34</t>
  </si>
  <si>
    <t>TilskudIalt34</t>
  </si>
  <si>
    <t>BruttoudbHalm34</t>
  </si>
  <si>
    <t>BruttoudbEfterslaet34</t>
  </si>
  <si>
    <t>ProtFoderkornBasisKg34</t>
  </si>
  <si>
    <t>ProtFoderKornKorrKg34</t>
  </si>
  <si>
    <t>Noverskud34</t>
  </si>
  <si>
    <t>Poverskud34</t>
  </si>
  <si>
    <t>Koverskud34</t>
  </si>
  <si>
    <t>NniveauDelsaedsk4</t>
  </si>
  <si>
    <t>Nudvaskning34</t>
  </si>
  <si>
    <t>Nudledning34</t>
  </si>
  <si>
    <t>Afstrømning34</t>
  </si>
  <si>
    <t>Nitrat34</t>
  </si>
  <si>
    <t>Udsaed34</t>
  </si>
  <si>
    <t>Godning34</t>
  </si>
  <si>
    <t>Plantevaern34</t>
  </si>
  <si>
    <t>Diverse34</t>
  </si>
  <si>
    <t>PlojHarv34</t>
  </si>
  <si>
    <t>Saaning34</t>
  </si>
  <si>
    <t>Godnspred34</t>
  </si>
  <si>
    <t>Marksprojt34</t>
  </si>
  <si>
    <t>Markvand34</t>
  </si>
  <si>
    <t>Host34</t>
  </si>
  <si>
    <t>Hjemkorsel34</t>
  </si>
  <si>
    <t>Torring34</t>
  </si>
  <si>
    <t>UdsaedEfgr34</t>
  </si>
  <si>
    <t>GodningEfgr34</t>
  </si>
  <si>
    <t>PlantevaernEfgr34</t>
  </si>
  <si>
    <t>DiverseEfgr34</t>
  </si>
  <si>
    <t>SaaningEfgr34</t>
  </si>
  <si>
    <t>GodnspredEfgr34</t>
  </si>
  <si>
    <t>MarksprojtEfgr34</t>
  </si>
  <si>
    <t>MarkvandEfgr34</t>
  </si>
  <si>
    <t>HostEfgr34</t>
  </si>
  <si>
    <t>Nedmuldning34</t>
  </si>
  <si>
    <t>EfgrGrundareal34</t>
  </si>
  <si>
    <t>EfgrArealFf34</t>
  </si>
  <si>
    <t>EfgrArealFrivillig34</t>
  </si>
  <si>
    <t>EfgrAreal34</t>
  </si>
  <si>
    <t>MellemafgrArealFf34</t>
  </si>
  <si>
    <t>MellemafgrAreal34</t>
  </si>
  <si>
    <t>EnergiafgrArealFf34</t>
  </si>
  <si>
    <t>EnergiafgrAreal34</t>
  </si>
  <si>
    <t>GronMarkAreal34</t>
  </si>
  <si>
    <t>HarmoniarealFf34</t>
  </si>
  <si>
    <t>Harmoniareal34</t>
  </si>
  <si>
    <t>Randzoneareal34</t>
  </si>
  <si>
    <t>Vadomradeareal34</t>
  </si>
  <si>
    <t>BygvalsetIalt34</t>
  </si>
  <si>
    <t>GrovfoderIalt34</t>
  </si>
  <si>
    <t>FoderkornIalt34</t>
  </si>
  <si>
    <t>EfgrKravIaltPct34</t>
  </si>
  <si>
    <t>EfgrKravIaltHa34</t>
  </si>
  <si>
    <t>EfgrKrav2010Ialt34</t>
  </si>
  <si>
    <t>Kalkule Mark</t>
  </si>
  <si>
    <t>Efterafgrødekrav fra miljøgodkendelse</t>
  </si>
  <si>
    <t>kræver mindst</t>
  </si>
  <si>
    <t>ha harmoniareal</t>
  </si>
  <si>
    <t>Max DE/ha</t>
  </si>
  <si>
    <t>kan højst aftage</t>
  </si>
  <si>
    <t>DE i husdyrgødning</t>
  </si>
  <si>
    <t>DE husdyrgødning på eget areal (fra 'Husdyr')</t>
  </si>
  <si>
    <t>ha harmoniareal ekstra</t>
  </si>
  <si>
    <t>Dækningsbidrag (efter var. maskinomk.)</t>
  </si>
  <si>
    <t>km</t>
  </si>
  <si>
    <t>kr. i alt</t>
  </si>
  <si>
    <t>Jordleje netto (forpagtningsafgift - tilskud):</t>
  </si>
  <si>
    <t>Ekstra afsætning af husdyrgødning</t>
  </si>
  <si>
    <t>HdgDEIaltKorr12</t>
  </si>
  <si>
    <t>HdgNIalt12</t>
  </si>
  <si>
    <t>HdgDEIaltKorr34</t>
  </si>
  <si>
    <t>HdgNIalt34</t>
  </si>
  <si>
    <t>Ton pr. De</t>
  </si>
  <si>
    <t>Transport gylle</t>
  </si>
  <si>
    <t>kr. pr. ton pr. km</t>
  </si>
  <si>
    <t>Ren transport uden omrøring eller påfyldning</t>
  </si>
  <si>
    <t>Fra Michael artikel "Gylle er guld - men kan købes for dyrt"</t>
  </si>
  <si>
    <t>Ekstra transportafstand for husdyrgødning</t>
  </si>
  <si>
    <t>Ekstra transportomkostninger scenarie 1</t>
  </si>
  <si>
    <t>Tilbagekørsel er medregnet, så 1 km transport er 2 km kørsel</t>
  </si>
  <si>
    <t>Ekstra transportomkostninger scenarie 2</t>
  </si>
  <si>
    <t>Transport  til/fra mark</t>
  </si>
  <si>
    <t>pr. time til traktor og mand</t>
  </si>
  <si>
    <t>km pr. time</t>
  </si>
  <si>
    <t>kr. pr. km</t>
  </si>
  <si>
    <t>kr pr. time</t>
  </si>
  <si>
    <t>ton/læs</t>
  </si>
  <si>
    <t>kr./time</t>
  </si>
  <si>
    <t>km/time</t>
  </si>
  <si>
    <t>kr./ton/km</t>
  </si>
  <si>
    <t>Gylletransport</t>
  </si>
  <si>
    <t>eksklusiv transport af husdyrgødning (se nedenfor)</t>
  </si>
  <si>
    <t>Omkostninger til transport af overskydende husdyrgødning:</t>
  </si>
  <si>
    <t>Omkostninger til  eventuel leje af manglende harmonieareal:</t>
  </si>
  <si>
    <t>Ekstra transportafstand til forpagtet areal</t>
  </si>
  <si>
    <t>Transportomkostning gylle scenarie 1</t>
  </si>
  <si>
    <t>Transportomkostning gylle scenarie 2</t>
  </si>
  <si>
    <t>Meromkostning pga. jordleje scenarie 1</t>
  </si>
  <si>
    <t>Meromkostning pga. jordleje scenarie 2</t>
  </si>
  <si>
    <t>Overskydende husdyrgødning scenarie 1</t>
  </si>
  <si>
    <t>Overskydende husdyrgødning scenarie 2</t>
  </si>
  <si>
    <t>Harmoniareal scenarie 1</t>
  </si>
  <si>
    <t>Harmoniareal scenarie 2</t>
  </si>
  <si>
    <t>Eventuel betaling for overskydende husdyrgødning:</t>
  </si>
  <si>
    <t>Pris pr. ton gylle</t>
  </si>
  <si>
    <t>kr./ton</t>
  </si>
  <si>
    <t>Betaling for overskydende gylle scenarie 1</t>
  </si>
  <si>
    <t>Betaling for overskydende gylle scenarie 2</t>
  </si>
  <si>
    <t>Tab på grund af reduceret harmoniareal</t>
  </si>
  <si>
    <t>Meromkostninger pga. jordleje</t>
  </si>
  <si>
    <t>Meromkostninger til gylletransport</t>
  </si>
  <si>
    <t>Tab pga. manglende harmoniareal</t>
  </si>
  <si>
    <t>kr./kg N</t>
  </si>
  <si>
    <t>Foderbehov til svin (foderkorn)</t>
  </si>
  <si>
    <t>Foderbehov til malkekvæg (grovfoder og byg)</t>
  </si>
  <si>
    <t>Foderkorn, hkg</t>
  </si>
  <si>
    <t xml:space="preserve">     FEsv i foderkorn</t>
  </si>
  <si>
    <t>FE i grovfoder</t>
  </si>
  <si>
    <t>Pris pr. FE</t>
  </si>
  <si>
    <t>FoderkornHkgIalt12</t>
  </si>
  <si>
    <t>FoderkornHkgIalt34</t>
  </si>
  <si>
    <t>kr/hkg</t>
  </si>
  <si>
    <t>Foderkorn til svin (merpris)</t>
  </si>
  <si>
    <t>Vårbyg, valset til kvæg (merpris)</t>
  </si>
  <si>
    <t>Harmoniareal og husdyrgødning</t>
  </si>
  <si>
    <t>Nøgletal pr. ha</t>
  </si>
  <si>
    <t>Kvælstofkvote</t>
  </si>
  <si>
    <t>Manglende/overskydende efterafgrøder</t>
  </si>
  <si>
    <t>Omkostning pr. kg N i reduceret udledning</t>
  </si>
  <si>
    <t>Afsætning af husdyrgødning (ekstra)</t>
  </si>
  <si>
    <t>Heraf randzone</t>
  </si>
  <si>
    <t>Heraf vådområde</t>
  </si>
  <si>
    <t>Efterafgrøder</t>
  </si>
  <si>
    <t>HdgEfgrAnvendtIalt34</t>
  </si>
  <si>
    <t>HdgEfgrAnvendtIalt12</t>
  </si>
  <si>
    <t>HdgAnvendtIalt12</t>
  </si>
  <si>
    <t>HdgAnvendtIalt34</t>
  </si>
  <si>
    <t>Opfyldelse af efterafgrødekrav</t>
  </si>
  <si>
    <t>EfgrKrav2010Ialtha12</t>
  </si>
  <si>
    <t>EfgrKrav2010Ialtha34</t>
  </si>
  <si>
    <t>g/kgts</t>
  </si>
  <si>
    <t>N-norm efterafgrøde</t>
  </si>
  <si>
    <t>Husdyrgødning efterafgrøde</t>
  </si>
  <si>
    <t>kg ts/FE</t>
  </si>
  <si>
    <t>kg (alle JB)</t>
  </si>
  <si>
    <t>kg (JB1+3 og vandet)</t>
  </si>
  <si>
    <t>Vinterhvede (brød)</t>
  </si>
  <si>
    <t>Kopieret fra anden afgrøde</t>
  </si>
  <si>
    <t>Kvælstoffiksering</t>
  </si>
  <si>
    <t>Udbytteresponsberegning</t>
  </si>
  <si>
    <t>Normer</t>
  </si>
  <si>
    <t>Udsæd, prisjustering</t>
  </si>
  <si>
    <t>Planteværn, prisjustering</t>
  </si>
  <si>
    <t>Handelsomk., foderkorn</t>
  </si>
  <si>
    <t>Maskiner og arbejde, prisjust.</t>
  </si>
  <si>
    <t>Anvendt
Pris</t>
  </si>
  <si>
    <t>Budgetk.
Pris</t>
  </si>
  <si>
    <t>Vinterhvede, salgspris</t>
  </si>
  <si>
    <t>Vinterbyg, salgspris</t>
  </si>
  <si>
    <t>Triticale, salgspris</t>
  </si>
  <si>
    <t>Vinterrug, salgspris</t>
  </si>
  <si>
    <t>Vinterraps, salgspris</t>
  </si>
  <si>
    <t>Havre, salgspris</t>
  </si>
  <si>
    <t>Alm. rajgræs 2n, salgspris</t>
  </si>
  <si>
    <t>Alm. rajgræs 4n, salgspris</t>
  </si>
  <si>
    <t>Engrapgræs (mark), salgspris</t>
  </si>
  <si>
    <t>Engrapgræs (plæne), salgspris</t>
  </si>
  <si>
    <t>Spisekartofler, salgspris</t>
  </si>
  <si>
    <t>Stivelseskartofler,salgspris</t>
  </si>
  <si>
    <t>Læggekartofler, salgspris</t>
  </si>
  <si>
    <t>Fabriksroer, salgspris</t>
  </si>
  <si>
    <t>Lucerne (fabrik), salgspris</t>
  </si>
  <si>
    <t>Vårbyg foder, salgpris</t>
  </si>
  <si>
    <t>Vårbyg malt, salgspris</t>
  </si>
  <si>
    <t>Vinterhvede (brød), salgspris</t>
  </si>
  <si>
    <t>Markært, salgspris</t>
  </si>
  <si>
    <t>ArbejdslonRaekke</t>
  </si>
  <si>
    <t>Rødsvingel, salgspris</t>
  </si>
  <si>
    <t>kr./hkg ts</t>
  </si>
  <si>
    <t>Majs (kerne), salgspris</t>
  </si>
  <si>
    <t>Værdi af protein i foderkorn</t>
  </si>
  <si>
    <t>kr./pct.</t>
  </si>
  <si>
    <t>P i svinegylle fra 1 DE</t>
  </si>
  <si>
    <t>K i svinegylle fra 1 DE</t>
  </si>
  <si>
    <t>N i svinegylle fra 1 DE (total-N)</t>
  </si>
  <si>
    <t>N i kvæggylle fra 1 DE (total-N)</t>
  </si>
  <si>
    <t>P i kvæggylle fra 1 DE</t>
  </si>
  <si>
    <t>K i kvæggylle fra 1 DE</t>
  </si>
  <si>
    <t>kg K</t>
  </si>
  <si>
    <t>Anvendt</t>
  </si>
  <si>
    <t>Standard</t>
  </si>
  <si>
    <t>Olieræddike, udsæd</t>
  </si>
  <si>
    <t>Gul sennep, udsæd</t>
  </si>
  <si>
    <t>Græs efterafgrøde, udsæd</t>
  </si>
  <si>
    <t>Nedmuldning efterafgrøde</t>
  </si>
  <si>
    <t>Glyphosat behandling efterafg.</t>
  </si>
  <si>
    <t>Nedmuldning/nedvisning</t>
  </si>
  <si>
    <t>Omkostninger til pligtige efterafgrøder/mellemafgrøder</t>
  </si>
  <si>
    <t>1 = Ja</t>
  </si>
  <si>
    <t>Efterafgr el mellemafgr</t>
  </si>
  <si>
    <t>Nedmuldning el nedvisning</t>
  </si>
  <si>
    <t>SaaningMiljoEfgr12</t>
  </si>
  <si>
    <t>PlantevMiljoEfgr12</t>
  </si>
  <si>
    <t>NedmuldMiljoEfgr12</t>
  </si>
  <si>
    <t>PlantevMiljoEfgr34</t>
  </si>
  <si>
    <t>SaaningMiljoEfgr34</t>
  </si>
  <si>
    <t>NedmuldMiljoEfgr34</t>
  </si>
  <si>
    <t>Omkostninger i alt</t>
  </si>
  <si>
    <t>UdsaedMiljoEfgr34</t>
  </si>
  <si>
    <t>UdsaedMiljoEfgr12</t>
  </si>
  <si>
    <t>Sædskiftekalkule</t>
  </si>
  <si>
    <t>Scenarie A</t>
  </si>
  <si>
    <t>Sædskifte 1</t>
  </si>
  <si>
    <t>Sædskifte 2</t>
  </si>
  <si>
    <t>Scenarie B</t>
  </si>
  <si>
    <t>Nøgletal scenarie A</t>
  </si>
  <si>
    <t>Nøgletal scenarie B</t>
  </si>
  <si>
    <t>Bedriften</t>
  </si>
  <si>
    <t>Adresse</t>
  </si>
  <si>
    <t>Energipil, salgspris (fliset)</t>
  </si>
  <si>
    <t>Majs til biogas, salgspris</t>
  </si>
  <si>
    <t>Kartoffellægning</t>
  </si>
  <si>
    <t>Stenstrenglægning + lægning + gødn. Placering</t>
  </si>
  <si>
    <t>Harvning
antal gange</t>
  </si>
  <si>
    <t>Såbedharvning</t>
  </si>
  <si>
    <t>antal</t>
  </si>
  <si>
    <t>Maskin- og arbejdsopgaver</t>
  </si>
  <si>
    <t>Øvrig stykomk, f.eks. Plastik (udbytteafhængig)</t>
  </si>
  <si>
    <t>pr. hkg el. FE</t>
  </si>
  <si>
    <t>Høst/hjemkørsel (hovedafgr.)</t>
  </si>
  <si>
    <t>Høst/hjemkørsel (efterslæt)</t>
  </si>
  <si>
    <t>Halm bjærgning/hjemkørsel</t>
  </si>
  <si>
    <t>for efterafgrøder</t>
  </si>
  <si>
    <t>Grovfoder, intern pris</t>
  </si>
  <si>
    <t>Halm, salgspris</t>
  </si>
  <si>
    <t>kr./kg</t>
  </si>
  <si>
    <t>Reduceret N-kvote</t>
  </si>
  <si>
    <t>Efter afgrøde</t>
  </si>
  <si>
    <t>Frivillige efterafgrøder for større kvælstofkvote</t>
  </si>
  <si>
    <t>Efterafgrøde/mellemafgrøde</t>
  </si>
  <si>
    <t>meter</t>
  </si>
  <si>
    <t>Tab/gevinst pga. jordleje</t>
  </si>
  <si>
    <t>kr./ha</t>
  </si>
  <si>
    <t>Areal og husdyrgødning</t>
  </si>
  <si>
    <t>Samlede omkostninger ved scenarie A og B</t>
  </si>
  <si>
    <t>Miljønøgletal</t>
  </si>
  <si>
    <t>Handelsomkostninger foder</t>
  </si>
  <si>
    <t>Efterafgrøde E
Mellemafgr. M</t>
  </si>
  <si>
    <t>Dæknings-
bidrag</t>
  </si>
  <si>
    <t>Udbytte
pr. ha</t>
  </si>
  <si>
    <t>Bruttoudbytte (hovedafgrøde) i alt</t>
  </si>
  <si>
    <t>Bruttoudb pr. ha</t>
  </si>
  <si>
    <t>Bruttoudbytte halm i alt</t>
  </si>
  <si>
    <t>Bruttoudb halm pr. ha</t>
  </si>
  <si>
    <t>Halm bjærget i alt</t>
  </si>
  <si>
    <t>Halm bjærget pr. ha</t>
  </si>
  <si>
    <t>Bruttoudb efterslæt i alt</t>
  </si>
  <si>
    <t>Bruttoudb efterslæt pr. ha</t>
  </si>
  <si>
    <t>Bruttoudb i alt pr. ha</t>
  </si>
  <si>
    <t>Bruttoudbytte</t>
  </si>
  <si>
    <t>Stykomk i alt pr. ha</t>
  </si>
  <si>
    <t>Stykomk efgr i alt pr. ha</t>
  </si>
  <si>
    <t>Dækningsbidrag (hovedagr. + efterafgrøde)</t>
  </si>
  <si>
    <t>DB pr. ha</t>
  </si>
  <si>
    <t>DB i alt</t>
  </si>
  <si>
    <t>Gns. DB</t>
  </si>
  <si>
    <t>DBIalt1</t>
  </si>
  <si>
    <t>DBgns1</t>
  </si>
  <si>
    <t>DBIalt4</t>
  </si>
  <si>
    <t>DBgns4</t>
  </si>
  <si>
    <t>DBIalt3</t>
  </si>
  <si>
    <t>DBgns3</t>
  </si>
  <si>
    <t>DBIalt2</t>
  </si>
  <si>
    <t>DBgns2</t>
  </si>
  <si>
    <t>Scenarie A:</t>
  </si>
  <si>
    <t>Sædskifte 1:</t>
  </si>
  <si>
    <t>Scenarie B:</t>
  </si>
  <si>
    <t>Sædskifter og dækningsbidrag</t>
  </si>
  <si>
    <t>A1</t>
  </si>
  <si>
    <t>A2</t>
  </si>
  <si>
    <t>Marg. Opt.</t>
  </si>
  <si>
    <t>Skaleret
areal</t>
  </si>
  <si>
    <t>Skaleret areal</t>
  </si>
  <si>
    <t>Areal indtastet</t>
  </si>
  <si>
    <t>Pantafgift</t>
  </si>
  <si>
    <t>Pantfaktor</t>
  </si>
  <si>
    <t>Nafvpant</t>
  </si>
  <si>
    <t>Margopt</t>
  </si>
  <si>
    <t>Noptpant</t>
  </si>
  <si>
    <t>N-normer</t>
  </si>
  <si>
    <t>Pantmodel</t>
  </si>
  <si>
    <t>Nmodel</t>
  </si>
  <si>
    <t>Nmodel12</t>
  </si>
  <si>
    <t>Nmodel34</t>
  </si>
  <si>
    <t>SandLer1</t>
  </si>
  <si>
    <t>SandLer2</t>
  </si>
  <si>
    <t>SandLer3</t>
  </si>
  <si>
    <t>SandLer4</t>
  </si>
  <si>
    <t>Pantfaktor (tilbageførsel)</t>
  </si>
  <si>
    <t>x</t>
  </si>
  <si>
    <t>Pantafgift på kvælstof</t>
  </si>
  <si>
    <t>Marg. Opt</t>
  </si>
  <si>
    <t>Marg.opt</t>
  </si>
  <si>
    <t>JB1+3</t>
  </si>
  <si>
    <t>JB2+4</t>
  </si>
  <si>
    <t>JB5-6</t>
  </si>
  <si>
    <t>JB7-8</t>
  </si>
  <si>
    <t>Udbytte (evt. korrigeret/evt. pantmodel)</t>
  </si>
  <si>
    <t>Basisudb korr for ff og efgr</t>
  </si>
  <si>
    <t>Basis korr for udb i afgrøde</t>
  </si>
  <si>
    <t>Korrektion for N (også for pantmodel)</t>
  </si>
  <si>
    <t>Protein i halm (korr som proteinafv i kerne)</t>
  </si>
  <si>
    <t>NnormTilpasIaltEfgr12</t>
  </si>
  <si>
    <t>NnormTilpasIaltEfgr34</t>
  </si>
  <si>
    <t>NnormEfgrIalt12</t>
  </si>
  <si>
    <t>NnormEfgrIalt34</t>
  </si>
  <si>
    <t>Handelsgødning (N)</t>
  </si>
  <si>
    <t>Husdyrgødning (total N)</t>
  </si>
  <si>
    <t>Kvælstof anvendt i alt</t>
  </si>
  <si>
    <t>Afgift og tilbageførsel</t>
  </si>
  <si>
    <t>Kvælstofkvote (normsystemet)</t>
  </si>
  <si>
    <t>Anvendt N i alt (normsystem/pantmodel)</t>
  </si>
  <si>
    <t>Heraf husdyrgødning (total N)</t>
  </si>
  <si>
    <t>Handelsgødning anvendt i alt</t>
  </si>
  <si>
    <t>Solgt N i afgrøder</t>
  </si>
  <si>
    <t>NBortfort12</t>
  </si>
  <si>
    <t>NBortfort34</t>
  </si>
  <si>
    <t>Pantafgift, kr. pr. kg N</t>
  </si>
  <si>
    <t>Pantafgift i alt, kr.</t>
  </si>
  <si>
    <t>Tilbageførsel</t>
  </si>
  <si>
    <t>Nettoafgift</t>
  </si>
  <si>
    <t>Kg protein basis foderkorn i alt</t>
  </si>
  <si>
    <t>NormudbEfgr u vanding</t>
  </si>
  <si>
    <t>Normudb Efgr m vanding</t>
  </si>
  <si>
    <t>Her kan man  beregne de meromkostninger, som nogle bedrifter får, fordi randzoner/vådområder giver et mindre harmoniareal på bedriften.</t>
  </si>
  <si>
    <t xml:space="preserve"> Hvis pantmodel, så tast 2</t>
  </si>
  <si>
    <t>Scenarie1</t>
  </si>
  <si>
    <t>Sædskifte 1 med efterafgrøde</t>
  </si>
  <si>
    <t>Kopier sædskifte</t>
  </si>
  <si>
    <t>Sædskifte 1 med mellemafgrøde</t>
  </si>
  <si>
    <t>Tomt sædskifte (ryd)</t>
  </si>
  <si>
    <t>Ryd sædskifte</t>
  </si>
  <si>
    <t>Nix pille!</t>
  </si>
  <si>
    <t>Dette ark er kun til beregninger. Ingen indtastning.</t>
  </si>
  <si>
    <t>Mellemafgr korrektion</t>
  </si>
  <si>
    <t>kg N i udvaskning</t>
  </si>
  <si>
    <t>Velkommen til regnearket Kalkule Mark</t>
  </si>
  <si>
    <t>Man kan også regne på økonomien i alternativer til efterafgrøder.</t>
  </si>
  <si>
    <t>af vandplanerne.</t>
  </si>
  <si>
    <t>Ellers starter man i arket "Mark".</t>
  </si>
  <si>
    <t>Udgiver:</t>
  </si>
  <si>
    <t>Planteproduktion</t>
  </si>
  <si>
    <t>Udgivelsesdato:</t>
  </si>
  <si>
    <t>Forfatter:</t>
  </si>
  <si>
    <t>Søren Kolind Hvid</t>
  </si>
  <si>
    <t>Version:</t>
  </si>
  <si>
    <t>Datagrundlag:</t>
  </si>
  <si>
    <t>Dokument:</t>
  </si>
  <si>
    <t>Meddelelse</t>
  </si>
  <si>
    <t>Ansvar:</t>
  </si>
  <si>
    <t>Videncentret for Landbrug</t>
  </si>
  <si>
    <t>Hvis det er en husdyrbedrift, kan man starte i arket "Husdyr".</t>
  </si>
  <si>
    <t>I Kalkule Mark kan man  regne på økonomien i sædskifter med efterafgrøder.</t>
  </si>
  <si>
    <t>Kalkule Mark kan også beregne de økonomiske konsekvenser på bedriftsniveau</t>
  </si>
  <si>
    <t>Nniveaukons</t>
  </si>
  <si>
    <t>Nforaarkons</t>
  </si>
  <si>
    <t>Nudbindingkons</t>
  </si>
  <si>
    <t>Nefteraarsandkons</t>
  </si>
  <si>
    <t>Nefteraarlerkons</t>
  </si>
  <si>
    <t>Nfjernetkons</t>
  </si>
  <si>
    <t>NlesAfskaering</t>
  </si>
  <si>
    <t>Teknologi1</t>
  </si>
  <si>
    <t>Teknologi2</t>
  </si>
  <si>
    <t>Tandel</t>
  </si>
  <si>
    <t>MlafgrNUdvask</t>
  </si>
  <si>
    <t>Vilkår</t>
  </si>
  <si>
    <t>Foderkorn til svin (egen besætning)</t>
  </si>
  <si>
    <t>Tab eller gevinst i alt</t>
  </si>
  <si>
    <t>UDBtab ved norm</t>
  </si>
  <si>
    <t>UDBtab aktuel</t>
  </si>
  <si>
    <t>UDB afvigelse</t>
  </si>
  <si>
    <t>Sum scenarie 2</t>
  </si>
  <si>
    <t>Ha</t>
  </si>
  <si>
    <t>Korr af afgrødens udbytte for forfrugt</t>
  </si>
  <si>
    <t>Indregning af forfrugtsværdi i afgrødens N-norm</t>
  </si>
  <si>
    <t>G 1 med efterafgrøde</t>
  </si>
  <si>
    <t>K1 med efterafgrøde</t>
  </si>
  <si>
    <t>Udlæg til frø</t>
  </si>
  <si>
    <t>F1 med frøgræs som efterafgrøde</t>
  </si>
  <si>
    <r>
      <t>mg NO</t>
    </r>
    <r>
      <rPr>
        <vertAlign val="subscript"/>
        <sz val="10"/>
        <color theme="1"/>
        <rFont val="Arial"/>
        <family val="2"/>
      </rPr>
      <t>3</t>
    </r>
    <r>
      <rPr>
        <sz val="10"/>
        <color theme="1"/>
        <rFont val="Arial"/>
        <family val="2"/>
      </rPr>
      <t>-N/l</t>
    </r>
  </si>
  <si>
    <t>Nyeste version?</t>
  </si>
  <si>
    <t>Kalkule Mark bliver løbende opdateret. Tjek derfor regelmæssigt, om du</t>
  </si>
  <si>
    <t>Nyeste version</t>
  </si>
  <si>
    <t>arbejder med den nyeste version. Log dig først på LandbrugsInfo og klik</t>
  </si>
  <si>
    <t>så på dette link for at se om der er en nyere version:</t>
  </si>
  <si>
    <t>* Omkostninger til såning af efterafgrøder:</t>
  </si>
  <si>
    <t>Centrifugalspreder + harvning</t>
  </si>
  <si>
    <t>Radsåning som udlæg</t>
  </si>
  <si>
    <t>Grovfoderpris</t>
  </si>
  <si>
    <t>Denne beregning er skjult, fordi vi i stedet beregner meromkostning til indkøb af grovfoder</t>
  </si>
  <si>
    <t>KornhelsaedIalt12</t>
  </si>
  <si>
    <t>GraesIalt12</t>
  </si>
  <si>
    <t>MajshelsaedIalt12</t>
  </si>
  <si>
    <t>GraesIalt34</t>
  </si>
  <si>
    <t>MajshelsaedIalt34</t>
  </si>
  <si>
    <t>KornhelsaedIalt34</t>
  </si>
  <si>
    <t>Der findes ikke noget datagrundlag for denne merpris, men den er sat lidt lavere end pr. FEsv i korn</t>
  </si>
  <si>
    <t>Handelsomk., grovfoder</t>
  </si>
  <si>
    <t>Grovfoder (merpris)</t>
  </si>
  <si>
    <t>NnormIaltFordelEfgr34</t>
  </si>
  <si>
    <t>NnormIaltFordelEfgr12</t>
  </si>
  <si>
    <t>HdgNindtastetIaltEfgr12</t>
  </si>
  <si>
    <t>HdgNindtastetIaltEfgr34</t>
  </si>
  <si>
    <t>Rettelse 01.03.2011</t>
  </si>
  <si>
    <t>Rettet så værdien ikke kan blive mindre end 0</t>
  </si>
  <si>
    <t>Rettet 09-03-2011 i version 1.04</t>
  </si>
  <si>
    <t>Rettet 22.03.11</t>
  </si>
  <si>
    <t>Rettet 5.5.2001</t>
  </si>
  <si>
    <t>Basis-norm
i alt</t>
  </si>
  <si>
    <t>Majs/efterafgrøde</t>
  </si>
  <si>
    <t>Findes ikke i oprindelig N-les model. Er beregnet som 28,8-98,6; så der er samme forskel som i korn med og uden efterafgrøde</t>
  </si>
  <si>
    <t>Rettet igen 19-05-2011, så vi kan håndtere efterafgrøder efter majs</t>
  </si>
  <si>
    <t>POSTNR</t>
  </si>
  <si>
    <t>ANSOEGT_AREAL</t>
  </si>
  <si>
    <t>AFGROEDE_KODE</t>
  </si>
  <si>
    <t>JB</t>
  </si>
  <si>
    <t>Juletræer</t>
  </si>
  <si>
    <t>Frøgræs</t>
  </si>
  <si>
    <t>F_609</t>
  </si>
  <si>
    <t>F_610</t>
  </si>
  <si>
    <t>F_706</t>
  </si>
  <si>
    <t>F_501</t>
  </si>
  <si>
    <t>F_901</t>
  </si>
  <si>
    <t>F_105</t>
  </si>
  <si>
    <t>Hestebønne</t>
  </si>
  <si>
    <t>Andre arter</t>
  </si>
  <si>
    <t>Efterårsudlagt</t>
  </si>
  <si>
    <t>Ital. Rajgræs</t>
  </si>
  <si>
    <t>Timothe</t>
  </si>
  <si>
    <t>Engsvingel</t>
  </si>
  <si>
    <t>Rajsvingel</t>
  </si>
  <si>
    <t>Strandsvingel</t>
  </si>
  <si>
    <t>Hvene</t>
  </si>
  <si>
    <t>Spinat</t>
  </si>
  <si>
    <t>Mangler</t>
  </si>
  <si>
    <t>N i husdyrgødning forbrugt, total N</t>
  </si>
  <si>
    <t>Kolonnenr</t>
  </si>
  <si>
    <t>N i husdyrgødning forbrugt, udn N</t>
  </si>
  <si>
    <t>Bedriftens samlede N-kvote</t>
  </si>
  <si>
    <t>N  handelsgødning forbrugt, kg N</t>
  </si>
  <si>
    <t>Bedriftens N-forbrug i alt</t>
  </si>
  <si>
    <t>GHI data</t>
  </si>
  <si>
    <t>GLR data</t>
  </si>
  <si>
    <t>Postnr</t>
  </si>
  <si>
    <t>Kolonnenr.</t>
  </si>
  <si>
    <t>Efter-
afgrøde</t>
  </si>
  <si>
    <t>Næste
års afgrøde</t>
  </si>
  <si>
    <t>Efter-afgrøde
efter forfrugt</t>
  </si>
  <si>
    <t>Halm-
anvendelse</t>
  </si>
  <si>
    <t>Vinterhvede efter vinterraps</t>
  </si>
  <si>
    <t>Algo-ritme</t>
  </si>
  <si>
    <t>Hvis vinterhvedeareal er større end vinterrapsareal, så er Areal lig vinterrapsareal, ellers lig vinterhvedeareal</t>
  </si>
  <si>
    <t>Vinterhvede efter frøgræs</t>
  </si>
  <si>
    <t>Vinterhvede efter ærter/hestebønne</t>
  </si>
  <si>
    <t>Hvis vinterhvedeareal minus areal efter vinterraps og markært er større end halvdelen af arealet med frøgræs, så er Areal lig halvdelen af frøgræsarealet, ellers lig vinterhvedeareal minus areal efter vinterraps og markært</t>
  </si>
  <si>
    <t>Hvis vinterhvedeareal minus areal efter vinterraps er større end markærtarealet, så er Areal lig markærtareal, ellers lig vinterhvedeareal minus vinterrapsareal</t>
  </si>
  <si>
    <t>Vinterhvede efter korn</t>
  </si>
  <si>
    <t>Areal lig vinterhvedeareal minus areal efter øvrige forfrugter</t>
  </si>
  <si>
    <t>Afgrødefølge (tekst)</t>
  </si>
  <si>
    <t>Afgrødefølge (koder)</t>
  </si>
  <si>
    <t>Areal lige vinterrapsareal</t>
  </si>
  <si>
    <t>Hvis vårbygareal er større end halvdelen af kløvergræsarealet, så er Areal lig halvdelen af kløvergræsarealet, ellers lig vårbygareal</t>
  </si>
  <si>
    <t>Hvis vårbygareal minus areal efter kløvergræs er større end roearealet, så er Areal lig roeareal, ellers lig vårbygareal minus areal efter kløvergræs</t>
  </si>
  <si>
    <t>Hvis vårbygareal minus areal efter kløvergræs og roer er større end efterafgrødekravet, så er Areal lig efterafgrødekrav, ellers lig vårbygareal minus areal efter kløvergræs og roer</t>
  </si>
  <si>
    <t>Areal lig vårbygareal minus areal efter øvrige forfrugter</t>
  </si>
  <si>
    <t>Vinterbyg før vinterraps</t>
  </si>
  <si>
    <t>Hvis vinterbygareal er større end vinterrapsareal, så er Areal lig vinterapsareal, eller lig vinterbygareal</t>
  </si>
  <si>
    <t>Area lig vinterbygareal minus areal efter øvrige forfrugter</t>
  </si>
  <si>
    <t>Vinterbyg før vinterbyg (vinterkorn)</t>
  </si>
  <si>
    <t>Silomajs</t>
  </si>
  <si>
    <t>Kløvergræs 1. år</t>
  </si>
  <si>
    <t>Kløvergræs 2. år</t>
  </si>
  <si>
    <t>Udlæg</t>
  </si>
  <si>
    <t>Halvdelen af arealet med kløvergræs</t>
  </si>
  <si>
    <t>Gælder
også</t>
  </si>
  <si>
    <t>Havre + vårhvede</t>
  </si>
  <si>
    <t>Kløvergræs til fabrik</t>
  </si>
  <si>
    <t>Areal med efterafgrøder</t>
  </si>
  <si>
    <t>Olieræddike</t>
  </si>
  <si>
    <t>Vårbyg + Efgr</t>
  </si>
  <si>
    <t>Vårbyg m udl frø</t>
  </si>
  <si>
    <t>Vårbyg m udl kl.græs</t>
  </si>
  <si>
    <t>Vårbyg m udl græs</t>
  </si>
  <si>
    <t>Udlæg frø</t>
  </si>
  <si>
    <t>Udlæg kl.græs</t>
  </si>
  <si>
    <t>Udlæg græs</t>
  </si>
  <si>
    <t>Græsfrø</t>
  </si>
  <si>
    <t>Kl.græs</t>
  </si>
  <si>
    <t>Rettet 24.06.2011</t>
  </si>
  <si>
    <t>Rettet, så afstrømning for jordtype 7 og højere er lig JB 6</t>
  </si>
  <si>
    <t>Her var blevet indskudt ekstra kolonne</t>
  </si>
  <si>
    <t>Merfordampning</t>
  </si>
  <si>
    <t>Afgflg</t>
  </si>
  <si>
    <t>Vårbyg e korn m udlæg frø</t>
  </si>
  <si>
    <t>Vårbyg e korn m udlæg klgræs</t>
  </si>
  <si>
    <t>Vårbyg e korn m udlæg græs</t>
  </si>
  <si>
    <t>Helsæd (vinterkorn)</t>
  </si>
  <si>
    <t>Våbyg e kløvergræs m efterafgr</t>
  </si>
  <si>
    <t>Vårbyg e græs, kl.græs lav udb mv. m efterafgr</t>
  </si>
  <si>
    <t>Vårbyg e kartofler m efterafgr</t>
  </si>
  <si>
    <t>Vårbyg e korn m efterafgr</t>
  </si>
  <si>
    <t>Våbyg e kløvergræs</t>
  </si>
  <si>
    <t>Vårbyg e græs, kl.græs lav udb mv.</t>
  </si>
  <si>
    <t>Vårbyg e roer</t>
  </si>
  <si>
    <t>Vårbyg e kartofler</t>
  </si>
  <si>
    <t>Vårbyg e korn</t>
  </si>
  <si>
    <t>Helsæd (vår) e klgræs m udlæg klgræs</t>
  </si>
  <si>
    <t>Grønkorn</t>
  </si>
  <si>
    <t>Helsæd (vår) e græs mv m udlæg græs</t>
  </si>
  <si>
    <t>Helsæd (vår) e korn m udlæg klgræs</t>
  </si>
  <si>
    <t>Grønkorn e klgræs m udlæg klgræs</t>
  </si>
  <si>
    <t>Grønkorn e græs mv m udlæg græs</t>
  </si>
  <si>
    <t>Grønkorn e korn m udlæg klgræs</t>
  </si>
  <si>
    <t>Korn</t>
  </si>
  <si>
    <t>Græs 1. år</t>
  </si>
  <si>
    <t>Græs 2. år</t>
  </si>
  <si>
    <t>Halvdelen af arealet med græs</t>
  </si>
  <si>
    <t>Hvedehelsæd</t>
  </si>
  <si>
    <t>Øvrige typer permanent græs skal evt. lægges i afgrødetabellen</t>
  </si>
  <si>
    <t>Reg1</t>
  </si>
  <si>
    <t>Reg2</t>
  </si>
  <si>
    <t>Reg3</t>
  </si>
  <si>
    <t>Reg4</t>
  </si>
  <si>
    <t>Reg5</t>
  </si>
  <si>
    <t>Reg6</t>
  </si>
  <si>
    <t>Reg7</t>
  </si>
  <si>
    <t>Reg8</t>
  </si>
  <si>
    <t>Reg9</t>
  </si>
  <si>
    <t>Reg10</t>
  </si>
  <si>
    <t>Reg12</t>
  </si>
  <si>
    <t>Reg11</t>
  </si>
  <si>
    <t>Andre kornarter, vårsået</t>
  </si>
  <si>
    <t>Kode i Kalkule Mark tabellen</t>
  </si>
  <si>
    <t>PDIR kode</t>
  </si>
  <si>
    <t>Kalkule Mark afgrøde</t>
  </si>
  <si>
    <t>PDIR afgrøde</t>
  </si>
  <si>
    <t>Anden bælgsæd</t>
  </si>
  <si>
    <t>Alm. rajgræs</t>
  </si>
  <si>
    <t>Hundegræs</t>
  </si>
  <si>
    <t>Stivbladet svingel</t>
  </si>
  <si>
    <t>Andre rajgræsser</t>
  </si>
  <si>
    <t>Andre svingelarter</t>
  </si>
  <si>
    <t>Rødsvingel 1. år</t>
  </si>
  <si>
    <t>Rødsvingel 2. år</t>
  </si>
  <si>
    <t>Engrapgræs 1. år</t>
  </si>
  <si>
    <t>Engrapgræs 2. år</t>
  </si>
  <si>
    <t>Engrapgræs</t>
  </si>
  <si>
    <t>Alm. rapgræs</t>
  </si>
  <si>
    <t>Kløver, hvid, rød, alsike</t>
  </si>
  <si>
    <t>Alle typer</t>
  </si>
  <si>
    <t>Helsæd, vårhvede</t>
  </si>
  <si>
    <t>Helsæd, havre</t>
  </si>
  <si>
    <t>Helsæd, blandkorn</t>
  </si>
  <si>
    <t>Vinterbyg, helsæd</t>
  </si>
  <si>
    <t>Vinterhvede, helsæd</t>
  </si>
  <si>
    <t>Vinterrug, helsæd</t>
  </si>
  <si>
    <t>Triticale, helsæd</t>
  </si>
  <si>
    <t>Blandkorn, helsæd</t>
  </si>
  <si>
    <t>vinterkorn helsød</t>
  </si>
  <si>
    <t>i afgrødetabel</t>
  </si>
  <si>
    <t>Vårkorn, grønkorn</t>
  </si>
  <si>
    <t>Korn + bælgsæd, grønkorn</t>
  </si>
  <si>
    <t>Vinterkorn, grønkorn</t>
  </si>
  <si>
    <t>Kløvergræs uder 50% kløver</t>
  </si>
  <si>
    <t>Kløvergræs over 50% kløver</t>
  </si>
  <si>
    <t>Lucerne til foder</t>
  </si>
  <si>
    <t>Græs til fabrik</t>
  </si>
  <si>
    <t>Lucerne til slæt</t>
  </si>
  <si>
    <t>Lucerne inkl. græs til slæt</t>
  </si>
  <si>
    <t>Kløver til slæt</t>
  </si>
  <si>
    <t>Græs u kløver</t>
  </si>
  <si>
    <t>Kålroer</t>
  </si>
  <si>
    <t>Fodermarvkål</t>
  </si>
  <si>
    <t>Fodergulerødder</t>
  </si>
  <si>
    <t>Energipil</t>
  </si>
  <si>
    <t>Der mangler nogle specialafgrøder</t>
  </si>
  <si>
    <t>Startrække i tabellen Afgflg (afgrødefølger) samt kolonnenr. I arket Afgfl</t>
  </si>
  <si>
    <t>GLR afgrøde kode</t>
  </si>
  <si>
    <t>Mark areal (ansøgt areal)</t>
  </si>
  <si>
    <t>Kvælstofkvoteniveau i registerdata-beregninger:</t>
  </si>
  <si>
    <t>NniveauReg</t>
  </si>
  <si>
    <t>Omdrift=1; Perm. Græs=2, energipil=3</t>
  </si>
  <si>
    <t>Retention i register-beregninger</t>
  </si>
  <si>
    <t>Retention (gns.)</t>
  </si>
  <si>
    <t>RetentionReg</t>
  </si>
  <si>
    <t>Korrektion af gennemsnitsafstrømning (korrigeres med absolut antal mm)</t>
  </si>
  <si>
    <t>Korrektion af afstrømningen i det aktuelle år</t>
  </si>
  <si>
    <t>Korrektion af afstrømningen sidste år</t>
  </si>
  <si>
    <t>AfstrømKorrDÅ</t>
  </si>
  <si>
    <t>AfstrømKorrSÅ</t>
  </si>
  <si>
    <t>Udyrket areal</t>
  </si>
  <si>
    <t>Perm græs 0N</t>
  </si>
  <si>
    <t>Der bør oprettes uddyrket areal i afgrødetabellen</t>
  </si>
  <si>
    <t>Brak</t>
  </si>
  <si>
    <t>Permanent græs uden kvote</t>
  </si>
  <si>
    <t>Brak i randzone</t>
  </si>
  <si>
    <t>Græs/kløvergræs før forårssået afgrøde</t>
  </si>
  <si>
    <t>Perm græs lavt udb</t>
  </si>
  <si>
    <t>Græs og kløvergræs uden norm</t>
  </si>
  <si>
    <t>Naturlignende areal</t>
  </si>
  <si>
    <t>Jordbundstype JB nr.</t>
  </si>
  <si>
    <t>(scenarie A)</t>
  </si>
  <si>
    <t>(scenarie B)</t>
  </si>
  <si>
    <t>Resultat e. handelsomk. og protein</t>
  </si>
  <si>
    <r>
      <t xml:space="preserve">Omkostninger til etablering af efterafgrøder </t>
    </r>
    <r>
      <rPr>
        <sz val="10"/>
        <color theme="1"/>
        <rFont val="Arial"/>
        <family val="2"/>
      </rPr>
      <t>(er også indeholdt i sædskiftekalkulen)</t>
    </r>
  </si>
  <si>
    <r>
      <t xml:space="preserve">Maskin- og arbejdsomkostninger </t>
    </r>
    <r>
      <rPr>
        <sz val="10"/>
        <color theme="1"/>
        <rFont val="Arial"/>
        <family val="2"/>
      </rPr>
      <t>(er også indeholdt i sædskiftekalkulen)</t>
    </r>
  </si>
  <si>
    <t>Hestebønne, salgspris</t>
  </si>
  <si>
    <t>Vurderet 08.09.2011</t>
  </si>
  <si>
    <t>Budgetkalkuler 2012</t>
  </si>
  <si>
    <t>Frøgræs M</t>
  </si>
  <si>
    <t>svarende til 1 kr. pr. procentenhed  pr. hkg foderkorn</t>
  </si>
  <si>
    <t>Ændret fra 0,9 i 2011 til 0,8 i 2012</t>
  </si>
  <si>
    <t>Såning græsfrø (som radsåning)</t>
  </si>
  <si>
    <t>Såning græsfrø iblandet udsæden</t>
  </si>
  <si>
    <t>Såning gul sennep og olieræddike før høst</t>
  </si>
  <si>
    <t>Såning før høst med centrifugalspreder</t>
  </si>
  <si>
    <t>Skønsmæssigt beløb - kun tidsforbrug til iblanding</t>
  </si>
  <si>
    <t>Såning olieræddike før høst</t>
  </si>
  <si>
    <t>Såning græsefterafg. iblandet udsæd</t>
  </si>
  <si>
    <t>Centrifugalspreder før høst</t>
  </si>
  <si>
    <t>1.06</t>
  </si>
  <si>
    <t>18.01.2013</t>
  </si>
  <si>
    <t>Fastholdes på 6 kr., da det passer med de afgrødepriser, der anvendes i N-responsberegningen (se kolonne DC)</t>
  </si>
  <si>
    <t>ens for alle Nbaler</t>
  </si>
  <si>
    <t>Ens for alle Nbaler</t>
  </si>
  <si>
    <t>Afgrøde eller udlæg tæller som grøn Nbal</t>
  </si>
  <si>
    <t>Mark nr.</t>
  </si>
  <si>
    <t>Handelsgødning</t>
  </si>
  <si>
    <t>N-tilførsel
(total-N)</t>
  </si>
  <si>
    <t>P-tilførsel
i alt</t>
  </si>
  <si>
    <t>K-tilførsel
i alt</t>
  </si>
  <si>
    <t>Høstår</t>
  </si>
  <si>
    <t>Afsat på græs</t>
  </si>
  <si>
    <t>N i handels- og husdyrgødning</t>
  </si>
  <si>
    <t>P i gødning</t>
  </si>
  <si>
    <t>K i gødning</t>
  </si>
  <si>
    <t>Vanding</t>
  </si>
  <si>
    <t>Indtastet areal</t>
  </si>
  <si>
    <t>Udbytter</t>
  </si>
  <si>
    <t>kg n</t>
  </si>
  <si>
    <t>Mark
gruppe</t>
  </si>
  <si>
    <t>Mark gruppe</t>
  </si>
  <si>
    <t>Omdrift 1</t>
  </si>
  <si>
    <t>Omdrift 2</t>
  </si>
  <si>
    <t>Omdrift 3</t>
  </si>
  <si>
    <t>Omdrift 4</t>
  </si>
  <si>
    <t>Ikke omdrift</t>
  </si>
  <si>
    <t>Mark-
gruppe</t>
  </si>
  <si>
    <t>Mark gruppe nr.</t>
  </si>
  <si>
    <t>N-niveau_mark_aktuel</t>
  </si>
  <si>
    <t>Beregne for marker i samme markgruppe</t>
  </si>
  <si>
    <t>Hdg udbragt
forår</t>
  </si>
  <si>
    <t>Hdg udbragt
efterår (året før)</t>
  </si>
  <si>
    <t>Hdg effektiv N udbragt
efterår (året før)</t>
  </si>
  <si>
    <t>Hdg effektiv N udbragt
efterår (næste år)</t>
  </si>
  <si>
    <t>Halmudbytteberegning</t>
  </si>
  <si>
    <t>N-niveau
N-les beregning</t>
  </si>
  <si>
    <t>Afstrømning (nettonedbør)
Sidste år</t>
  </si>
  <si>
    <t>Afstrømning (nettonedbør)
Dette år</t>
  </si>
  <si>
    <t>Kvælstofretention</t>
  </si>
  <si>
    <t>Opslag, mm</t>
  </si>
  <si>
    <t>Evt. indtastet</t>
  </si>
  <si>
    <t>Retention</t>
  </si>
  <si>
    <t>RetentionNbal</t>
  </si>
  <si>
    <t>Hagødn
forår i alt</t>
  </si>
  <si>
    <t>Hdg udbragt
forår
efterafgr</t>
  </si>
  <si>
    <t>Hdg effektiv N udbragt
forår
efterafgr</t>
  </si>
  <si>
    <t>Hagødn
forår
hovedafg</t>
  </si>
  <si>
    <t>Hagødn
efterår (året før)
hovedafg</t>
  </si>
  <si>
    <t>Hagødn
forår
efterafgr</t>
  </si>
  <si>
    <t>Hagødn efterår (næste år)</t>
  </si>
  <si>
    <t>Hdg udbragt
forår
hovedafg</t>
  </si>
  <si>
    <t>Hdg effektiv N udbragt
forår
hovedafg</t>
  </si>
  <si>
    <t>Hdg effektiv N i alt udbragt
forår</t>
  </si>
  <si>
    <t>P i hagødn</t>
  </si>
  <si>
    <t>Hagødn
hovedafg</t>
  </si>
  <si>
    <t>Hagødn
efterafgr</t>
  </si>
  <si>
    <t>Hdg
hovedafg</t>
  </si>
  <si>
    <t>Hdg
efterafgr</t>
  </si>
  <si>
    <t>P i hdg</t>
  </si>
  <si>
    <t>Anvendes pt ikke i Regn2</t>
  </si>
  <si>
    <t>K i hagødn</t>
  </si>
  <si>
    <t>K i hdg</t>
  </si>
  <si>
    <t>Anvendes pt ikke</t>
  </si>
  <si>
    <t>Mark og afgrøde</t>
  </si>
  <si>
    <t>Udvaskningsberegning</t>
  </si>
  <si>
    <t>Økonomi (hovedafgrøde)</t>
  </si>
  <si>
    <t>Økonomi (efterafgrøde)</t>
  </si>
  <si>
    <t>Næringsstofbalance</t>
  </si>
  <si>
    <t>Baggrund</t>
  </si>
  <si>
    <t>Handels-gødning</t>
  </si>
  <si>
    <t>Husdyr-gødning udbragt</t>
  </si>
  <si>
    <t>Anden organisk
gødning</t>
  </si>
  <si>
    <t>Fikseret
N</t>
  </si>
  <si>
    <t>DenitNr</t>
  </si>
  <si>
    <t>anden organisk gødning mangler</t>
  </si>
  <si>
    <t>Denitrifikation (Simden)</t>
  </si>
  <si>
    <t>Husdyr-
gødning</t>
  </si>
  <si>
    <t>Tab%
forår</t>
  </si>
  <si>
    <t>kg NH3-N
forår</t>
  </si>
  <si>
    <t>Tab kg NH3-N
forår</t>
  </si>
  <si>
    <t>Tab%</t>
  </si>
  <si>
    <t>kg NH3-N</t>
  </si>
  <si>
    <t>Kvælstof</t>
  </si>
  <si>
    <t>Udvaskningsberegning (N-les)</t>
  </si>
  <si>
    <t>Hdg udbragt
efterår
(næste år)</t>
  </si>
  <si>
    <t>Tab%
efterår
året før</t>
  </si>
  <si>
    <t>Tab kg NH3-N
efterår
året før</t>
  </si>
  <si>
    <t>Kvælstofregnskab</t>
  </si>
  <si>
    <t>Efterafgr.</t>
  </si>
  <si>
    <t>Næste års
afgrøde</t>
  </si>
  <si>
    <t>Mark
nr.</t>
  </si>
  <si>
    <t>Ammoniakfordampning</t>
  </si>
  <si>
    <t>Kvælstof-
udvaskning</t>
  </si>
  <si>
    <t>Kvælstof-
retention</t>
  </si>
  <si>
    <t>Jord-
type</t>
  </si>
  <si>
    <t>Kvælstof-udledning</t>
  </si>
  <si>
    <t>N-over-
skud</t>
  </si>
  <si>
    <t>Mark gruppe 1</t>
  </si>
  <si>
    <t>Mark gruppe 2</t>
  </si>
  <si>
    <t>Mark gruppe 3</t>
  </si>
  <si>
    <t>Mark gruppe 4</t>
  </si>
  <si>
    <t>Totaler</t>
  </si>
  <si>
    <t>Tilførsel i alt</t>
  </si>
  <si>
    <t>Halm mv.</t>
  </si>
  <si>
    <t>Bortførsel i alt</t>
  </si>
  <si>
    <t>Næringstofoverskud</t>
  </si>
  <si>
    <t>Handelsgødning til efterafgrøden</t>
  </si>
  <si>
    <t>Husdyrgødning til efterafgrøden</t>
  </si>
  <si>
    <t>Udbytte i efterafgrøden</t>
  </si>
  <si>
    <t>Ole Pedersen</t>
  </si>
  <si>
    <t>Favrgaardsvej 30</t>
  </si>
  <si>
    <t>1-0</t>
  </si>
  <si>
    <t>1-1</t>
  </si>
  <si>
    <t>3-0</t>
  </si>
  <si>
    <t>8-0</t>
  </si>
  <si>
    <t>8-1</t>
  </si>
  <si>
    <t>9-0</t>
  </si>
  <si>
    <t>11-0</t>
  </si>
  <si>
    <t>12-0</t>
  </si>
  <si>
    <t>14-0</t>
  </si>
  <si>
    <t>15-0</t>
  </si>
  <si>
    <t>16-0</t>
  </si>
  <si>
    <t>18-0</t>
  </si>
  <si>
    <t>18-1</t>
  </si>
  <si>
    <t>19-0</t>
  </si>
  <si>
    <t>20-0</t>
  </si>
  <si>
    <t>21-0</t>
  </si>
  <si>
    <t>21-1</t>
  </si>
  <si>
    <t>21-2</t>
  </si>
  <si>
    <t>22-0</t>
  </si>
  <si>
    <t>22-1</t>
  </si>
  <si>
    <t>22-2</t>
  </si>
  <si>
    <t>23-0</t>
  </si>
  <si>
    <t>31-0</t>
  </si>
  <si>
    <t>33-0</t>
  </si>
  <si>
    <t>47-0</t>
  </si>
  <si>
    <t>47-1</t>
  </si>
  <si>
    <t>49-0</t>
  </si>
  <si>
    <t>980-0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</si>
</sst>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44" x14ac:knownFonts="1">
    <font>
      <sz val="11"/>
      <color theme="1"/>
      <name val="Calibri"/>
      <family val="2"/>
      <scheme val="minor"/>
    </font>
    <font>
      <b/>
      <sz val="8"/>
      <color indexed="81"/>
      <name val="Tahoma"/>
      <family val="2"/>
    </font>
    <font>
      <sz val="8"/>
      <color indexed="81"/>
      <name val="Tahoma"/>
      <family val="2"/>
    </font>
    <font>
      <sz val="9"/>
      <name val="Arial"/>
      <family val="2"/>
    </font>
    <font>
      <b/>
      <sz val="9"/>
      <name val="Arial"/>
      <family val="2"/>
    </font>
    <font>
      <sz val="9"/>
      <color indexed="10"/>
      <name val="Arial"/>
      <family val="2"/>
    </font>
    <font>
      <b/>
      <sz val="11"/>
      <color theme="1"/>
      <name val="Calibri"/>
      <family val="2"/>
      <scheme val="minor"/>
    </font>
    <font>
      <sz val="11"/>
      <color rgb="FF000000"/>
      <name val="Calibri"/>
      <family val="2"/>
    </font>
    <font>
      <sz val="11"/>
      <color theme="1"/>
      <name val="Arial"/>
      <family val="2"/>
    </font>
    <font>
      <b/>
      <sz val="14"/>
      <color theme="1"/>
      <name val="Calibri"/>
      <family val="2"/>
      <scheme val="minor"/>
    </font>
    <font>
      <sz val="10"/>
      <color theme="1"/>
      <name val="Arial"/>
      <family val="2"/>
    </font>
    <font>
      <b/>
      <sz val="10"/>
      <color theme="1"/>
      <name val="Arial"/>
      <family val="2"/>
    </font>
    <font>
      <b/>
      <sz val="14"/>
      <color theme="1"/>
      <name val="Arial"/>
      <family val="2"/>
    </font>
    <font>
      <b/>
      <sz val="14"/>
      <name val="Calibri"/>
      <family val="2"/>
      <scheme val="minor"/>
    </font>
    <font>
      <b/>
      <sz val="11"/>
      <name val="Calibri"/>
      <family val="2"/>
      <scheme val="minor"/>
    </font>
    <font>
      <sz val="11"/>
      <name val="Calibri"/>
      <family val="2"/>
      <scheme val="minor"/>
    </font>
    <font>
      <b/>
      <sz val="18"/>
      <color theme="1"/>
      <name val="Calibri"/>
      <family val="2"/>
      <scheme val="minor"/>
    </font>
    <font>
      <b/>
      <sz val="12"/>
      <color theme="1"/>
      <name val="Arial"/>
      <family val="2"/>
    </font>
    <font>
      <sz val="8"/>
      <color theme="1"/>
      <name val="Calibri"/>
      <family val="2"/>
      <scheme val="minor"/>
    </font>
    <font>
      <sz val="8"/>
      <color theme="1"/>
      <name val="Arial"/>
      <family val="2"/>
    </font>
    <font>
      <u/>
      <sz val="11"/>
      <color theme="1"/>
      <name val="Calibri"/>
      <family val="2"/>
      <scheme val="minor"/>
    </font>
    <font>
      <b/>
      <u/>
      <sz val="10"/>
      <color theme="1"/>
      <name val="Arial"/>
      <family val="2"/>
    </font>
    <font>
      <u/>
      <sz val="10"/>
      <color theme="1"/>
      <name val="Arial"/>
      <family val="2"/>
    </font>
    <font>
      <b/>
      <sz val="16"/>
      <color theme="1"/>
      <name val="Calibri"/>
      <family val="2"/>
      <scheme val="minor"/>
    </font>
    <font>
      <sz val="16"/>
      <color theme="1"/>
      <name val="Calibri"/>
      <family val="2"/>
      <scheme val="minor"/>
    </font>
    <font>
      <b/>
      <sz val="18"/>
      <color theme="1"/>
      <name val="Arial"/>
      <family val="2"/>
    </font>
    <font>
      <u/>
      <sz val="10"/>
      <color indexed="12"/>
      <name val="Arial"/>
      <family val="2"/>
    </font>
    <font>
      <sz val="11"/>
      <name val="Arial"/>
      <family val="2"/>
    </font>
    <font>
      <u/>
      <sz val="11"/>
      <color indexed="12"/>
      <name val="Arial"/>
      <family val="2"/>
    </font>
    <font>
      <b/>
      <sz val="11"/>
      <color theme="1"/>
      <name val="Arial"/>
      <family val="2"/>
    </font>
    <font>
      <b/>
      <sz val="11"/>
      <name val="Arial"/>
      <family val="2"/>
    </font>
    <font>
      <vertAlign val="subscript"/>
      <sz val="10"/>
      <color theme="1"/>
      <name val="Arial"/>
      <family val="2"/>
    </font>
    <font>
      <b/>
      <sz val="10"/>
      <color rgb="FF000000"/>
      <name val="Calibri"/>
      <family val="2"/>
    </font>
    <font>
      <sz val="9"/>
      <color indexed="81"/>
      <name val="Tahoma"/>
      <family val="2"/>
    </font>
    <font>
      <b/>
      <sz val="9"/>
      <color indexed="81"/>
      <name val="Tahoma"/>
      <family val="2"/>
    </font>
    <font>
      <b/>
      <sz val="16"/>
      <color theme="9" tint="-0.499984740745262"/>
      <name val="Calibri"/>
      <family val="2"/>
      <scheme val="minor"/>
    </font>
    <font>
      <b/>
      <sz val="16"/>
      <color theme="8" tint="-0.499984740745262"/>
      <name val="Calibri"/>
      <family val="2"/>
      <scheme val="minor"/>
    </font>
    <font>
      <b/>
      <sz val="11"/>
      <color theme="8" tint="-0.499984740745262"/>
      <name val="Calibri"/>
      <family val="2"/>
      <scheme val="minor"/>
    </font>
    <font>
      <b/>
      <sz val="11"/>
      <color theme="9" tint="-0.499984740745262"/>
      <name val="Calibri"/>
      <family val="2"/>
      <scheme val="minor"/>
    </font>
    <font>
      <sz val="11"/>
      <color rgb="FFFF0000"/>
      <name val="Calibri"/>
      <family val="2"/>
      <scheme val="minor"/>
    </font>
    <font>
      <b/>
      <sz val="20"/>
      <color theme="1"/>
      <name val="Calibri"/>
      <family val="2"/>
      <scheme val="minor"/>
    </font>
    <font>
      <b/>
      <sz val="24"/>
      <color theme="1"/>
      <name val="Calibri"/>
      <family val="2"/>
      <scheme val="minor"/>
    </font>
    <font>
      <b/>
      <sz val="9"/>
      <color theme="1"/>
      <name val="Arial"/>
      <family val="2"/>
    </font>
    <font>
      <sz val="9"/>
      <color theme="1"/>
      <name val="Arial"/>
      <family val="2"/>
    </font>
  </fonts>
  <fills count="8">
    <fill>
      <patternFill patternType="none"/>
    </fill>
    <fill>
      <patternFill patternType="gray125"/>
    </fill>
    <fill>
      <patternFill patternType="solid">
        <fgColor rgb="FFFFFF00"/>
        <bgColor indexed="64"/>
      </patternFill>
    </fill>
    <fill>
      <patternFill patternType="solid">
        <fgColor rgb="FFCCFFCC"/>
        <bgColor indexed="64"/>
      </patternFill>
    </fill>
    <fill>
      <patternFill patternType="solid">
        <fgColor rgb="FFFFC000"/>
        <bgColor indexed="64"/>
      </patternFill>
    </fill>
    <fill>
      <patternFill patternType="solid">
        <fgColor rgb="FF99CCFF"/>
        <bgColor indexed="64"/>
      </patternFill>
    </fill>
    <fill>
      <patternFill patternType="solid">
        <fgColor rgb="FF92D050"/>
        <bgColor indexed="64"/>
      </patternFill>
    </fill>
    <fill>
      <patternFill patternType="solid">
        <fgColor rgb="FF00B0F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s>
  <cellStyleXfs count="2">
    <xf numFmtId="0" fontId="0" fillId="0" borderId="0"/>
    <xf numFmtId="0" fontId="26" fillId="0" borderId="0" applyNumberFormat="0" applyFill="0" applyBorder="0" applyAlignment="0" applyProtection="0">
      <alignment vertical="top"/>
      <protection locked="0"/>
    </xf>
  </cellStyleXfs>
  <cellXfs count="318">
    <xf numFmtId="0" fontId="0" fillId="0" borderId="0" xfId="0"/>
    <xf numFmtId="0" fontId="0" fillId="0" borderId="0" xfId="0" applyAlignment="1">
      <alignment wrapText="1"/>
    </xf>
    <xf numFmtId="3" fontId="0" fillId="0" borderId="0" xfId="0" applyNumberFormat="1"/>
    <xf numFmtId="0" fontId="6" fillId="0" borderId="0" xfId="0" applyFont="1"/>
    <xf numFmtId="0" fontId="0" fillId="2" borderId="0" xfId="0" applyFill="1"/>
    <xf numFmtId="0" fontId="6" fillId="0" borderId="0" xfId="0" applyFont="1" applyFill="1" applyAlignment="1">
      <alignment wrapText="1"/>
    </xf>
    <xf numFmtId="0" fontId="0" fillId="0" borderId="0" xfId="0" applyFill="1" applyAlignment="1">
      <alignment wrapText="1"/>
    </xf>
    <xf numFmtId="0" fontId="3" fillId="0" borderId="0" xfId="0" applyFont="1" applyFill="1" applyAlignment="1">
      <alignment wrapText="1"/>
    </xf>
    <xf numFmtId="0" fontId="4" fillId="0" borderId="0" xfId="0" applyFont="1" applyFill="1" applyAlignment="1">
      <alignment wrapText="1"/>
    </xf>
    <xf numFmtId="0" fontId="5" fillId="0" borderId="0" xfId="0" applyFont="1" applyFill="1" applyAlignment="1">
      <alignment wrapText="1"/>
    </xf>
    <xf numFmtId="0" fontId="0" fillId="0" borderId="0" xfId="0" applyFont="1" applyFill="1" applyAlignment="1">
      <alignment wrapText="1"/>
    </xf>
    <xf numFmtId="3" fontId="0" fillId="0" borderId="0" xfId="0" applyNumberFormat="1" applyFill="1" applyAlignment="1">
      <alignment wrapText="1"/>
    </xf>
    <xf numFmtId="0" fontId="0" fillId="0" borderId="0" xfId="0" applyFill="1"/>
    <xf numFmtId="0" fontId="7" fillId="0" borderId="0" xfId="0" applyFont="1" applyFill="1" applyAlignment="1">
      <alignment horizontal="right"/>
    </xf>
    <xf numFmtId="0" fontId="8" fillId="0" borderId="0" xfId="0" applyFont="1"/>
    <xf numFmtId="0" fontId="0" fillId="3" borderId="0" xfId="0" applyFill="1"/>
    <xf numFmtId="3" fontId="0" fillId="0" borderId="1" xfId="0" applyNumberFormat="1" applyFill="1" applyBorder="1" applyProtection="1">
      <protection locked="0"/>
    </xf>
    <xf numFmtId="0" fontId="0" fillId="0" borderId="1" xfId="0" applyFill="1" applyBorder="1" applyProtection="1">
      <protection locked="0"/>
    </xf>
    <xf numFmtId="0" fontId="0" fillId="3" borderId="0" xfId="0" applyFill="1" applyBorder="1"/>
    <xf numFmtId="0" fontId="0" fillId="0" borderId="0" xfId="0" applyFont="1"/>
    <xf numFmtId="1" fontId="4" fillId="0" borderId="0" xfId="0" applyNumberFormat="1" applyFont="1" applyAlignment="1">
      <alignment wrapText="1"/>
    </xf>
    <xf numFmtId="0" fontId="0" fillId="0" borderId="0" xfId="0" applyAlignment="1">
      <alignment horizontal="right"/>
    </xf>
    <xf numFmtId="0" fontId="0" fillId="0" borderId="0" xfId="0" applyBorder="1"/>
    <xf numFmtId="0" fontId="6" fillId="2" borderId="0" xfId="0" applyFont="1" applyFill="1"/>
    <xf numFmtId="0" fontId="0" fillId="2" borderId="0" xfId="0" applyFill="1" applyAlignment="1">
      <alignment wrapText="1"/>
    </xf>
    <xf numFmtId="3" fontId="0" fillId="3" borderId="0" xfId="0" applyNumberFormat="1" applyFill="1"/>
    <xf numFmtId="0" fontId="6" fillId="3" borderId="0" xfId="0" applyFont="1" applyFill="1"/>
    <xf numFmtId="0" fontId="0" fillId="3" borderId="0" xfId="0" applyFill="1" applyAlignment="1">
      <alignment horizontal="left" indent="1"/>
    </xf>
    <xf numFmtId="0" fontId="0" fillId="3" borderId="0" xfId="0" applyFill="1" applyAlignment="1">
      <alignment horizontal="right"/>
    </xf>
    <xf numFmtId="164" fontId="0" fillId="3" borderId="0" xfId="0" applyNumberFormat="1" applyFill="1"/>
    <xf numFmtId="0" fontId="6" fillId="3" borderId="0" xfId="0" applyFont="1" applyFill="1" applyAlignment="1">
      <alignment wrapText="1"/>
    </xf>
    <xf numFmtId="0" fontId="0" fillId="3" borderId="0" xfId="0" applyFill="1" applyAlignment="1">
      <alignment horizontal="center"/>
    </xf>
    <xf numFmtId="1" fontId="0" fillId="3" borderId="0" xfId="0" applyNumberFormat="1" applyFill="1"/>
    <xf numFmtId="2" fontId="0" fillId="3" borderId="0" xfId="0" applyNumberFormat="1" applyFill="1"/>
    <xf numFmtId="0" fontId="0" fillId="3" borderId="0" xfId="0" applyFill="1" applyAlignment="1">
      <alignment horizontal="left"/>
    </xf>
    <xf numFmtId="0" fontId="6" fillId="3" borderId="0" xfId="0" applyFont="1" applyFill="1" applyAlignment="1">
      <alignment horizontal="left"/>
    </xf>
    <xf numFmtId="164" fontId="0" fillId="0" borderId="1" xfId="0" applyNumberFormat="1" applyFill="1" applyBorder="1" applyProtection="1">
      <protection locked="0"/>
    </xf>
    <xf numFmtId="1" fontId="0" fillId="0" borderId="1" xfId="0" applyNumberFormat="1" applyFill="1" applyBorder="1" applyProtection="1">
      <protection locked="0"/>
    </xf>
    <xf numFmtId="2" fontId="0" fillId="0" borderId="1" xfId="0" applyNumberFormat="1" applyFill="1" applyBorder="1" applyProtection="1">
      <protection locked="0"/>
    </xf>
    <xf numFmtId="0" fontId="0" fillId="0" borderId="1" xfId="0" applyFill="1" applyBorder="1" applyAlignment="1" applyProtection="1">
      <protection locked="0"/>
    </xf>
    <xf numFmtId="0" fontId="6" fillId="3" borderId="0" xfId="0" applyFont="1" applyFill="1" applyAlignment="1">
      <alignment horizontal="left" indent="1"/>
    </xf>
    <xf numFmtId="0" fontId="6" fillId="3" borderId="0" xfId="0" applyFont="1" applyFill="1" applyAlignment="1">
      <alignment wrapText="1"/>
    </xf>
    <xf numFmtId="0" fontId="0" fillId="3" borderId="0" xfId="0" applyFill="1" applyAlignment="1"/>
    <xf numFmtId="0" fontId="0" fillId="3" borderId="0" xfId="0" applyFill="1" applyBorder="1" applyAlignment="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5" xfId="0" applyBorder="1"/>
    <xf numFmtId="0" fontId="0" fillId="0" borderId="12" xfId="0" applyBorder="1"/>
    <xf numFmtId="0" fontId="6" fillId="0" borderId="6" xfId="0" applyFont="1" applyBorder="1"/>
    <xf numFmtId="0" fontId="9" fillId="3" borderId="0" xfId="0" applyFont="1" applyFill="1"/>
    <xf numFmtId="165" fontId="0" fillId="3" borderId="0" xfId="0" applyNumberFormat="1" applyFill="1"/>
    <xf numFmtId="0" fontId="0" fillId="0" borderId="1" xfId="0" applyFill="1" applyBorder="1"/>
    <xf numFmtId="4" fontId="0" fillId="3" borderId="0" xfId="0" applyNumberFormat="1" applyFill="1"/>
    <xf numFmtId="3" fontId="0" fillId="3" borderId="0" xfId="0" applyNumberFormat="1" applyFont="1" applyFill="1" applyAlignment="1"/>
    <xf numFmtId="0" fontId="0" fillId="3" borderId="0" xfId="0" applyFont="1" applyFill="1"/>
    <xf numFmtId="0" fontId="0" fillId="0" borderId="1" xfId="0" applyFont="1" applyFill="1" applyBorder="1" applyProtection="1">
      <protection locked="0"/>
    </xf>
    <xf numFmtId="0" fontId="0" fillId="3" borderId="0" xfId="0" applyFont="1" applyFill="1" applyProtection="1">
      <protection locked="0"/>
    </xf>
    <xf numFmtId="0" fontId="13" fillId="3" borderId="0" xfId="0" applyFont="1" applyFill="1"/>
    <xf numFmtId="3" fontId="0" fillId="0" borderId="1" xfId="0" applyNumberFormat="1" applyFont="1" applyFill="1" applyBorder="1" applyProtection="1">
      <protection locked="0"/>
    </xf>
    <xf numFmtId="0" fontId="0" fillId="3" borderId="0" xfId="0" applyFont="1" applyFill="1" applyBorder="1"/>
    <xf numFmtId="3" fontId="0" fillId="3" borderId="0" xfId="0" applyNumberFormat="1" applyFont="1" applyFill="1" applyProtection="1">
      <protection locked="0"/>
    </xf>
    <xf numFmtId="0" fontId="0" fillId="3" borderId="0" xfId="0" applyFont="1" applyFill="1" applyAlignment="1"/>
    <xf numFmtId="3" fontId="0" fillId="3" borderId="0" xfId="0" applyNumberFormat="1" applyFont="1" applyFill="1"/>
    <xf numFmtId="0" fontId="6" fillId="3" borderId="0" xfId="0" applyFont="1" applyFill="1" applyAlignment="1">
      <alignment horizontal="center"/>
    </xf>
    <xf numFmtId="0" fontId="14" fillId="3" borderId="0" xfId="0" applyFont="1" applyFill="1"/>
    <xf numFmtId="0" fontId="15" fillId="3" borderId="0" xfId="0" applyFont="1" applyFill="1" applyProtection="1">
      <protection locked="0"/>
    </xf>
    <xf numFmtId="0" fontId="14" fillId="3" borderId="0" xfId="0" applyFont="1" applyFill="1" applyProtection="1">
      <protection locked="0"/>
    </xf>
    <xf numFmtId="0" fontId="15" fillId="3" borderId="0" xfId="0" applyFont="1" applyFill="1"/>
    <xf numFmtId="0" fontId="15" fillId="3" borderId="0" xfId="0" applyFont="1" applyFill="1" applyAlignment="1">
      <alignment horizontal="right"/>
    </xf>
    <xf numFmtId="0" fontId="0" fillId="3" borderId="0" xfId="0" applyFont="1" applyFill="1" applyBorder="1" applyProtection="1">
      <protection locked="0"/>
    </xf>
    <xf numFmtId="0" fontId="6" fillId="3" borderId="0" xfId="0" applyFont="1" applyFill="1" applyAlignment="1">
      <alignment horizontal="left" indent="2"/>
    </xf>
    <xf numFmtId="0" fontId="6" fillId="3" borderId="0" xfId="0" applyFont="1" applyFill="1" applyAlignment="1">
      <alignment horizontal="right" indent="2"/>
    </xf>
    <xf numFmtId="3" fontId="6" fillId="3" borderId="0" xfId="0" applyNumberFormat="1" applyFont="1" applyFill="1"/>
    <xf numFmtId="0" fontId="0" fillId="3" borderId="0" xfId="0" applyFont="1" applyFill="1" applyAlignment="1">
      <alignment horizontal="left" indent="3"/>
    </xf>
    <xf numFmtId="0" fontId="10" fillId="0" borderId="0" xfId="0" applyFont="1" applyFill="1"/>
    <xf numFmtId="0" fontId="10" fillId="3" borderId="0" xfId="0" applyFont="1" applyFill="1" applyBorder="1"/>
    <xf numFmtId="0" fontId="10" fillId="3" borderId="0" xfId="0" applyFont="1" applyFill="1"/>
    <xf numFmtId="0" fontId="11" fillId="3" borderId="0" xfId="0" applyFont="1" applyFill="1"/>
    <xf numFmtId="3" fontId="10" fillId="3" borderId="0" xfId="0" applyNumberFormat="1" applyFont="1" applyFill="1" applyAlignment="1"/>
    <xf numFmtId="0" fontId="10" fillId="0" borderId="5" xfId="0" applyFont="1" applyFill="1" applyBorder="1"/>
    <xf numFmtId="0" fontId="11" fillId="0" borderId="0" xfId="0" applyFont="1" applyFill="1"/>
    <xf numFmtId="0" fontId="10" fillId="0" borderId="0" xfId="0" applyFont="1" applyFill="1" applyAlignment="1">
      <alignment horizontal="left" indent="1"/>
    </xf>
    <xf numFmtId="0" fontId="11" fillId="0" borderId="0" xfId="0" applyFont="1" applyFill="1" applyAlignment="1"/>
    <xf numFmtId="3" fontId="11" fillId="0" borderId="0" xfId="0" applyNumberFormat="1" applyFont="1" applyFill="1" applyAlignment="1"/>
    <xf numFmtId="0" fontId="10" fillId="0" borderId="0" xfId="0" applyFont="1" applyFill="1" applyAlignment="1"/>
    <xf numFmtId="3" fontId="10" fillId="0" borderId="0" xfId="0" applyNumberFormat="1" applyFont="1" applyFill="1" applyAlignment="1"/>
    <xf numFmtId="0" fontId="10" fillId="0" borderId="0" xfId="0" applyFont="1" applyFill="1" applyBorder="1" applyAlignment="1">
      <alignment horizontal="left" indent="1"/>
    </xf>
    <xf numFmtId="0" fontId="10" fillId="0" borderId="0" xfId="0" applyFont="1" applyFill="1" applyBorder="1"/>
    <xf numFmtId="3" fontId="10" fillId="0" borderId="0" xfId="0" applyNumberFormat="1" applyFont="1" applyFill="1" applyBorder="1" applyAlignment="1"/>
    <xf numFmtId="0" fontId="11" fillId="0" borderId="0" xfId="0" quotePrefix="1" applyFont="1" applyFill="1"/>
    <xf numFmtId="3" fontId="10" fillId="0" borderId="0" xfId="0" applyNumberFormat="1" applyFont="1" applyFill="1"/>
    <xf numFmtId="0" fontId="6" fillId="0" borderId="0" xfId="0" applyFont="1" applyFill="1" applyAlignment="1"/>
    <xf numFmtId="3" fontId="6" fillId="0" borderId="0" xfId="0" applyNumberFormat="1" applyFont="1" applyFill="1" applyAlignment="1"/>
    <xf numFmtId="0" fontId="11" fillId="0" borderId="0" xfId="0" applyFont="1" applyFill="1" applyAlignment="1">
      <alignment horizontal="right"/>
    </xf>
    <xf numFmtId="165" fontId="10" fillId="0" borderId="0" xfId="0" applyNumberFormat="1" applyFont="1" applyFill="1"/>
    <xf numFmtId="165" fontId="11" fillId="0" borderId="0" xfId="0" applyNumberFormat="1" applyFont="1" applyFill="1"/>
    <xf numFmtId="0" fontId="10" fillId="0" borderId="0" xfId="0" applyFont="1" applyFill="1" applyAlignment="1">
      <alignment horizontal="left"/>
    </xf>
    <xf numFmtId="0" fontId="11" fillId="0" borderId="0" xfId="0" applyFont="1" applyFill="1" applyAlignment="1">
      <alignment horizontal="left" indent="1"/>
    </xf>
    <xf numFmtId="0" fontId="11" fillId="0" borderId="0" xfId="0" applyFont="1" applyFill="1" applyAlignment="1">
      <alignment horizontal="left" indent="2"/>
    </xf>
    <xf numFmtId="3" fontId="11" fillId="0" borderId="0" xfId="0" applyNumberFormat="1" applyFont="1" applyFill="1" applyAlignment="1"/>
    <xf numFmtId="0" fontId="11" fillId="0" borderId="0" xfId="0" applyFont="1" applyFill="1" applyAlignment="1"/>
    <xf numFmtId="0" fontId="16" fillId="3" borderId="0" xfId="0" applyFont="1" applyFill="1"/>
    <xf numFmtId="0" fontId="9" fillId="3" borderId="13" xfId="0" applyFont="1" applyFill="1" applyBorder="1"/>
    <xf numFmtId="0" fontId="0" fillId="3" borderId="13" xfId="0" applyFill="1" applyBorder="1"/>
    <xf numFmtId="0" fontId="0" fillId="3" borderId="13" xfId="0" applyFont="1" applyFill="1" applyBorder="1"/>
    <xf numFmtId="0" fontId="0" fillId="3" borderId="0" xfId="0" applyFill="1" applyAlignment="1"/>
    <xf numFmtId="0" fontId="0" fillId="4" borderId="0" xfId="0" applyFill="1"/>
    <xf numFmtId="0" fontId="7" fillId="4" borderId="0" xfId="0" applyFont="1" applyFill="1" applyAlignment="1">
      <alignment horizontal="right"/>
    </xf>
    <xf numFmtId="0" fontId="0" fillId="0" borderId="0" xfId="0" applyFill="1" applyProtection="1">
      <protection locked="0"/>
    </xf>
    <xf numFmtId="0" fontId="17" fillId="0" borderId="5" xfId="0" applyFont="1" applyFill="1" applyBorder="1" applyAlignment="1">
      <alignment horizontal="left"/>
    </xf>
    <xf numFmtId="0" fontId="17" fillId="0" borderId="5" xfId="0" applyFont="1" applyFill="1" applyBorder="1"/>
    <xf numFmtId="0" fontId="17" fillId="0" borderId="0" xfId="0" applyFont="1" applyFill="1" applyBorder="1" applyAlignment="1">
      <alignment horizontal="left"/>
    </xf>
    <xf numFmtId="0" fontId="17" fillId="0" borderId="0" xfId="0" applyFont="1" applyFill="1" applyBorder="1"/>
    <xf numFmtId="0" fontId="17" fillId="0" borderId="5" xfId="0" applyFont="1" applyFill="1" applyBorder="1" applyAlignment="1"/>
    <xf numFmtId="3" fontId="11" fillId="0" borderId="5" xfId="0" applyNumberFormat="1" applyFont="1" applyFill="1" applyBorder="1" applyAlignment="1"/>
    <xf numFmtId="0" fontId="11" fillId="0" borderId="5" xfId="0" applyFont="1" applyFill="1" applyBorder="1" applyAlignment="1"/>
    <xf numFmtId="0" fontId="11" fillId="0" borderId="5" xfId="0" applyFont="1" applyFill="1" applyBorder="1"/>
    <xf numFmtId="0" fontId="0" fillId="3" borderId="0" xfId="0" applyFill="1" applyAlignment="1">
      <alignment horizontal="right" indent="1"/>
    </xf>
    <xf numFmtId="3" fontId="10" fillId="0" borderId="0" xfId="0" applyNumberFormat="1" applyFont="1" applyFill="1" applyAlignment="1"/>
    <xf numFmtId="0" fontId="11" fillId="0" borderId="0" xfId="0" applyFont="1" applyFill="1" applyAlignment="1"/>
    <xf numFmtId="165" fontId="0" fillId="0" borderId="1" xfId="0" applyNumberFormat="1" applyFill="1" applyBorder="1" applyProtection="1">
      <protection locked="0"/>
    </xf>
    <xf numFmtId="4" fontId="0" fillId="0" borderId="1" xfId="0" applyNumberFormat="1" applyFill="1" applyBorder="1" applyProtection="1">
      <protection locked="0"/>
    </xf>
    <xf numFmtId="3" fontId="0" fillId="3" borderId="0" xfId="0" applyNumberFormat="1" applyFill="1" applyBorder="1"/>
    <xf numFmtId="0" fontId="12" fillId="0" borderId="0" xfId="0" applyFont="1" applyFill="1" applyBorder="1"/>
    <xf numFmtId="0" fontId="11" fillId="0" borderId="0" xfId="0" applyFont="1" applyFill="1" applyBorder="1" applyAlignment="1">
      <alignment horizontal="right"/>
    </xf>
    <xf numFmtId="3" fontId="10" fillId="0" borderId="5" xfId="0" applyNumberFormat="1" applyFont="1" applyFill="1" applyBorder="1" applyAlignment="1"/>
    <xf numFmtId="0" fontId="10" fillId="0" borderId="5" xfId="0" applyFont="1" applyFill="1" applyBorder="1" applyAlignment="1"/>
    <xf numFmtId="0" fontId="11" fillId="0" borderId="0" xfId="0" applyFont="1" applyFill="1" applyAlignment="1">
      <alignment horizontal="right" indent="1"/>
    </xf>
    <xf numFmtId="3" fontId="10" fillId="0" borderId="0" xfId="0" applyNumberFormat="1" applyFont="1" applyFill="1" applyAlignment="1"/>
    <xf numFmtId="0" fontId="10" fillId="0" borderId="0" xfId="0" applyFont="1" applyFill="1" applyAlignment="1"/>
    <xf numFmtId="0" fontId="18" fillId="3" borderId="0" xfId="0" applyFont="1" applyFill="1" applyAlignment="1">
      <alignment horizontal="left" indent="1"/>
    </xf>
    <xf numFmtId="0" fontId="18" fillId="3" borderId="0" xfId="0" applyFont="1" applyFill="1" applyAlignment="1">
      <alignment horizontal="left"/>
    </xf>
    <xf numFmtId="164" fontId="10" fillId="0" borderId="0" xfId="0" applyNumberFormat="1" applyFont="1" applyFill="1"/>
    <xf numFmtId="0" fontId="19" fillId="0" borderId="0" xfId="0" applyNumberFormat="1" applyFont="1" applyFill="1" applyAlignment="1"/>
    <xf numFmtId="3" fontId="11" fillId="0" borderId="0" xfId="0" applyNumberFormat="1" applyFont="1" applyFill="1" applyAlignment="1">
      <alignment horizontal="left" indent="1"/>
    </xf>
    <xf numFmtId="0" fontId="17" fillId="0" borderId="0" xfId="0" applyFont="1" applyFill="1"/>
    <xf numFmtId="0" fontId="11" fillId="0" borderId="0" xfId="0" applyFont="1" applyFill="1" applyBorder="1"/>
    <xf numFmtId="0" fontId="0" fillId="3" borderId="0" xfId="0" applyFill="1" applyAlignment="1">
      <alignment horizontal="right"/>
    </xf>
    <xf numFmtId="0" fontId="0" fillId="3" borderId="0" xfId="0" applyFill="1" applyAlignment="1">
      <alignment horizontal="left" indent="2"/>
    </xf>
    <xf numFmtId="0" fontId="20" fillId="3" borderId="13" xfId="0" applyFont="1" applyFill="1" applyBorder="1"/>
    <xf numFmtId="0" fontId="0" fillId="3" borderId="5" xfId="0" applyFill="1" applyBorder="1"/>
    <xf numFmtId="165" fontId="0" fillId="3" borderId="0" xfId="0" applyNumberFormat="1" applyFill="1" applyBorder="1" applyAlignment="1">
      <alignment vertical="top"/>
    </xf>
    <xf numFmtId="0" fontId="0" fillId="3" borderId="0" xfId="0" applyFill="1" applyBorder="1" applyAlignment="1">
      <alignment vertical="top"/>
    </xf>
    <xf numFmtId="165" fontId="0" fillId="3" borderId="0" xfId="0" applyNumberFormat="1" applyFill="1" applyAlignment="1">
      <alignment vertical="top"/>
    </xf>
    <xf numFmtId="0" fontId="0" fillId="3" borderId="0" xfId="0" applyFill="1" applyAlignment="1">
      <alignment vertical="top"/>
    </xf>
    <xf numFmtId="3" fontId="6" fillId="0" borderId="0" xfId="0" applyNumberFormat="1" applyFont="1"/>
    <xf numFmtId="1" fontId="0" fillId="0" borderId="0" xfId="0" applyNumberFormat="1" applyFill="1" applyAlignment="1">
      <alignment wrapText="1"/>
    </xf>
    <xf numFmtId="0" fontId="21" fillId="0" borderId="0" xfId="0" applyFont="1" applyFill="1"/>
    <xf numFmtId="0" fontId="22" fillId="0" borderId="0" xfId="0" applyFont="1" applyFill="1"/>
    <xf numFmtId="0" fontId="23" fillId="0" borderId="0" xfId="0" applyFont="1"/>
    <xf numFmtId="0" fontId="24" fillId="0" borderId="0" xfId="0" applyFont="1"/>
    <xf numFmtId="0" fontId="25" fillId="3" borderId="0" xfId="0" applyFont="1" applyFill="1"/>
    <xf numFmtId="0" fontId="8" fillId="3" borderId="0" xfId="0" applyFont="1" applyFill="1"/>
    <xf numFmtId="0" fontId="8" fillId="3" borderId="0" xfId="0" applyFont="1" applyFill="1" applyBorder="1"/>
    <xf numFmtId="0" fontId="27" fillId="3" borderId="0" xfId="0" applyFont="1" applyFill="1" applyBorder="1"/>
    <xf numFmtId="14" fontId="27" fillId="3" borderId="0" xfId="0" applyNumberFormat="1" applyFont="1" applyFill="1" applyBorder="1"/>
    <xf numFmtId="0" fontId="29" fillId="3" borderId="6" xfId="0" applyFont="1" applyFill="1" applyBorder="1"/>
    <xf numFmtId="0" fontId="8" fillId="3" borderId="7" xfId="0" applyFont="1" applyFill="1" applyBorder="1"/>
    <xf numFmtId="0" fontId="27" fillId="3" borderId="7" xfId="0" applyFont="1" applyFill="1" applyBorder="1"/>
    <xf numFmtId="0" fontId="8" fillId="3" borderId="8" xfId="0" applyFont="1" applyFill="1" applyBorder="1"/>
    <xf numFmtId="0" fontId="30" fillId="3" borderId="9" xfId="0" applyFont="1" applyFill="1" applyBorder="1"/>
    <xf numFmtId="0" fontId="8" fillId="3" borderId="10" xfId="0" applyFont="1" applyFill="1" applyBorder="1"/>
    <xf numFmtId="3" fontId="30" fillId="3" borderId="9" xfId="0" applyNumberFormat="1" applyFont="1" applyFill="1" applyBorder="1"/>
    <xf numFmtId="0" fontId="30" fillId="3" borderId="11" xfId="0" applyFont="1" applyFill="1" applyBorder="1"/>
    <xf numFmtId="0" fontId="8" fillId="3" borderId="5" xfId="0" applyFont="1" applyFill="1" applyBorder="1"/>
    <xf numFmtId="0" fontId="8" fillId="3" borderId="12" xfId="0" applyFont="1" applyFill="1" applyBorder="1"/>
    <xf numFmtId="0" fontId="29" fillId="3" borderId="0" xfId="0" applyFont="1" applyFill="1"/>
    <xf numFmtId="0" fontId="8" fillId="2" borderId="0" xfId="0" applyFont="1" applyFill="1"/>
    <xf numFmtId="0" fontId="0" fillId="4" borderId="1" xfId="0" applyFill="1" applyBorder="1" applyAlignment="1">
      <alignment wrapText="1"/>
    </xf>
    <xf numFmtId="0" fontId="0" fillId="2" borderId="1" xfId="0" applyFill="1" applyBorder="1" applyAlignment="1">
      <alignment wrapText="1"/>
    </xf>
    <xf numFmtId="0" fontId="0" fillId="0" borderId="0" xfId="0" applyBorder="1" applyAlignment="1">
      <alignment wrapText="1"/>
    </xf>
    <xf numFmtId="0" fontId="6" fillId="0" borderId="0" xfId="0" applyFont="1" applyBorder="1"/>
    <xf numFmtId="0" fontId="0" fillId="0" borderId="0" xfId="0" applyFill="1" applyBorder="1"/>
    <xf numFmtId="0" fontId="0" fillId="0" borderId="5" xfId="0" applyBorder="1" applyAlignment="1">
      <alignment wrapText="1"/>
    </xf>
    <xf numFmtId="0" fontId="6" fillId="0" borderId="5" xfId="0" applyFont="1" applyBorder="1"/>
    <xf numFmtId="0" fontId="6" fillId="0" borderId="5" xfId="0" applyFont="1" applyBorder="1" applyAlignment="1">
      <alignment wrapText="1"/>
    </xf>
    <xf numFmtId="0" fontId="0" fillId="2" borderId="5" xfId="0" applyFill="1" applyBorder="1"/>
    <xf numFmtId="0" fontId="0" fillId="0" borderId="5" xfId="0" applyFill="1" applyBorder="1"/>
    <xf numFmtId="0" fontId="0" fillId="0" borderId="1" xfId="0" applyBorder="1"/>
    <xf numFmtId="3" fontId="10" fillId="0" borderId="0" xfId="0" applyNumberFormat="1" applyFont="1" applyFill="1" applyAlignment="1"/>
    <xf numFmtId="0" fontId="6" fillId="5" borderId="3" xfId="0" applyFont="1" applyFill="1" applyBorder="1" applyAlignment="1">
      <alignment horizontal="center"/>
    </xf>
    <xf numFmtId="0" fontId="6" fillId="5" borderId="3" xfId="0" applyFont="1" applyFill="1" applyBorder="1"/>
    <xf numFmtId="0" fontId="35" fillId="3" borderId="13" xfId="0" applyFont="1" applyFill="1" applyBorder="1"/>
    <xf numFmtId="0" fontId="35" fillId="3" borderId="5" xfId="0" applyFont="1" applyFill="1" applyBorder="1"/>
    <xf numFmtId="0" fontId="35" fillId="3" borderId="5" xfId="0" applyFont="1" applyFill="1" applyBorder="1" applyAlignment="1">
      <alignment horizontal="left"/>
    </xf>
    <xf numFmtId="0" fontId="36" fillId="3" borderId="13" xfId="0" applyFont="1" applyFill="1" applyBorder="1"/>
    <xf numFmtId="0" fontId="36" fillId="3" borderId="5" xfId="0" applyFont="1" applyFill="1" applyBorder="1"/>
    <xf numFmtId="0" fontId="36" fillId="3" borderId="5" xfId="0" applyFont="1" applyFill="1" applyBorder="1" applyAlignment="1">
      <alignment horizontal="left"/>
    </xf>
    <xf numFmtId="0" fontId="37" fillId="3" borderId="5" xfId="0" applyFont="1" applyFill="1" applyBorder="1"/>
    <xf numFmtId="0" fontId="38" fillId="3" borderId="5" xfId="0" applyFont="1" applyFill="1" applyBorder="1"/>
    <xf numFmtId="0" fontId="39" fillId="0" borderId="0" xfId="0" applyFont="1" applyFill="1"/>
    <xf numFmtId="0" fontId="0" fillId="6" borderId="0" xfId="0" applyFill="1"/>
    <xf numFmtId="2" fontId="0" fillId="6" borderId="0" xfId="0" applyNumberFormat="1" applyFill="1"/>
    <xf numFmtId="0" fontId="0" fillId="7" borderId="0" xfId="0" applyFill="1"/>
    <xf numFmtId="2" fontId="0" fillId="7" borderId="0" xfId="0" applyNumberFormat="1" applyFill="1"/>
    <xf numFmtId="0" fontId="15" fillId="7" borderId="0" xfId="0" applyFont="1" applyFill="1"/>
    <xf numFmtId="0" fontId="8" fillId="0" borderId="0" xfId="0" applyFont="1" applyFill="1"/>
    <xf numFmtId="0" fontId="6" fillId="0" borderId="0" xfId="0" applyFont="1" applyFill="1"/>
    <xf numFmtId="0" fontId="6" fillId="3" borderId="0" xfId="0" applyFont="1" applyFill="1" applyAlignment="1"/>
    <xf numFmtId="0" fontId="6" fillId="3" borderId="0" xfId="0" applyFont="1" applyFill="1" applyAlignment="1">
      <alignment wrapText="1"/>
    </xf>
    <xf numFmtId="0" fontId="0" fillId="3" borderId="0" xfId="0" applyFill="1" applyAlignment="1"/>
    <xf numFmtId="0" fontId="0" fillId="3" borderId="0" xfId="0" applyFill="1" applyAlignment="1">
      <alignment horizontal="right"/>
    </xf>
    <xf numFmtId="0" fontId="18" fillId="3" borderId="0" xfId="0" applyFont="1" applyFill="1" applyAlignment="1">
      <alignment wrapText="1"/>
    </xf>
    <xf numFmtId="0" fontId="0" fillId="3" borderId="0" xfId="0" applyFill="1" applyAlignment="1"/>
    <xf numFmtId="0" fontId="6" fillId="3" borderId="0" xfId="0" applyFont="1" applyFill="1" applyAlignment="1"/>
    <xf numFmtId="0" fontId="0" fillId="3" borderId="0" xfId="0" applyFill="1" applyAlignment="1">
      <alignment horizontal="right"/>
    </xf>
    <xf numFmtId="0" fontId="6" fillId="3" borderId="0" xfId="0" applyFont="1" applyFill="1" applyAlignment="1">
      <alignment wrapText="1"/>
    </xf>
    <xf numFmtId="0" fontId="6" fillId="3" borderId="0" xfId="0" applyFont="1" applyFill="1" applyAlignment="1">
      <alignment vertical="center" wrapText="1"/>
    </xf>
    <xf numFmtId="1" fontId="0" fillId="0" borderId="0" xfId="0" applyNumberFormat="1"/>
    <xf numFmtId="0" fontId="0" fillId="0" borderId="0" xfId="0" applyAlignment="1">
      <alignment wrapText="1"/>
    </xf>
    <xf numFmtId="0" fontId="0" fillId="3" borderId="0" xfId="0" applyFill="1" applyAlignment="1">
      <alignment wrapText="1"/>
    </xf>
    <xf numFmtId="49" fontId="0" fillId="0" borderId="0" xfId="0" applyNumberFormat="1" applyAlignment="1">
      <alignment horizontal="center"/>
    </xf>
    <xf numFmtId="0" fontId="6" fillId="3" borderId="0" xfId="0" applyFont="1" applyFill="1" applyBorder="1"/>
    <xf numFmtId="0" fontId="0" fillId="3" borderId="0" xfId="0" applyFill="1" applyBorder="1" applyProtection="1">
      <protection locked="0"/>
    </xf>
    <xf numFmtId="0" fontId="40" fillId="3" borderId="13" xfId="0" applyFont="1" applyFill="1" applyBorder="1"/>
    <xf numFmtId="0" fontId="0" fillId="3" borderId="0" xfId="0" applyFill="1" applyAlignment="1"/>
    <xf numFmtId="0" fontId="6" fillId="3" borderId="0" xfId="0" applyFont="1" applyFill="1" applyAlignment="1"/>
    <xf numFmtId="0" fontId="0" fillId="0" borderId="0" xfId="0" applyAlignment="1">
      <alignment wrapText="1"/>
    </xf>
    <xf numFmtId="0" fontId="6" fillId="0" borderId="0" xfId="0" applyFont="1" applyAlignment="1">
      <alignment wrapText="1"/>
    </xf>
    <xf numFmtId="0" fontId="0" fillId="0" borderId="0" xfId="0" applyAlignment="1">
      <alignment wrapText="1"/>
    </xf>
    <xf numFmtId="0" fontId="38" fillId="3" borderId="13" xfId="0" applyFont="1" applyFill="1" applyBorder="1"/>
    <xf numFmtId="0" fontId="6" fillId="3" borderId="0" xfId="0" applyFont="1" applyFill="1" applyBorder="1" applyAlignment="1">
      <alignment horizontal="center"/>
    </xf>
    <xf numFmtId="0" fontId="41" fillId="3" borderId="0" xfId="0" applyFont="1" applyFill="1"/>
    <xf numFmtId="0" fontId="42" fillId="0" borderId="0" xfId="0" applyFont="1" applyFill="1" applyBorder="1"/>
    <xf numFmtId="0" fontId="43" fillId="0" borderId="0" xfId="0" applyFont="1" applyFill="1" applyBorder="1"/>
    <xf numFmtId="0" fontId="42" fillId="0" borderId="0" xfId="0" applyFont="1" applyFill="1" applyBorder="1" applyAlignment="1">
      <alignment horizontal="right"/>
    </xf>
    <xf numFmtId="0" fontId="43" fillId="0" borderId="0" xfId="0" applyFont="1" applyFill="1"/>
    <xf numFmtId="0" fontId="43" fillId="0" borderId="0" xfId="0" applyFont="1" applyFill="1" applyAlignment="1">
      <alignment horizontal="left"/>
    </xf>
    <xf numFmtId="0" fontId="43" fillId="3" borderId="0" xfId="0" applyFont="1" applyFill="1"/>
    <xf numFmtId="0" fontId="42" fillId="0" borderId="0" xfId="0" applyFont="1" applyFill="1"/>
    <xf numFmtId="49" fontId="43" fillId="0" borderId="0" xfId="0" applyNumberFormat="1" applyFont="1" applyFill="1" applyAlignment="1">
      <alignment horizontal="center"/>
    </xf>
    <xf numFmtId="164" fontId="43" fillId="0" borderId="0" xfId="0" applyNumberFormat="1" applyFont="1" applyFill="1"/>
    <xf numFmtId="3" fontId="43" fillId="0" borderId="0" xfId="0" applyNumberFormat="1" applyFont="1" applyFill="1"/>
    <xf numFmtId="1" fontId="43" fillId="0" borderId="0" xfId="0" applyNumberFormat="1" applyFont="1" applyFill="1"/>
    <xf numFmtId="0" fontId="42" fillId="0" borderId="5" xfId="0" applyFont="1" applyFill="1" applyBorder="1" applyAlignment="1">
      <alignment wrapText="1"/>
    </xf>
    <xf numFmtId="0" fontId="43" fillId="0" borderId="5" xfId="0" applyFont="1" applyFill="1" applyBorder="1"/>
    <xf numFmtId="0" fontId="42" fillId="0" borderId="5" xfId="0" applyFont="1" applyFill="1" applyBorder="1"/>
    <xf numFmtId="49" fontId="0" fillId="0" borderId="1" xfId="0" applyNumberFormat="1" applyFill="1" applyBorder="1" applyAlignment="1" applyProtection="1">
      <alignment horizontal="center"/>
      <protection locked="0"/>
    </xf>
    <xf numFmtId="0" fontId="0" fillId="0" borderId="0" xfId="0" applyAlignment="1">
      <alignment wrapText="1"/>
    </xf>
    <xf numFmtId="1" fontId="6" fillId="0" borderId="0" xfId="0" applyNumberFormat="1" applyFont="1"/>
    <xf numFmtId="1" fontId="6" fillId="0" borderId="0" xfId="0" applyNumberFormat="1" applyFont="1" applyBorder="1"/>
    <xf numFmtId="1" fontId="42" fillId="0" borderId="0" xfId="0" applyNumberFormat="1" applyFont="1" applyFill="1"/>
    <xf numFmtId="0" fontId="42" fillId="0" borderId="0" xfId="0" applyFont="1" applyFill="1" applyAlignment="1">
      <alignment horizontal="right"/>
    </xf>
    <xf numFmtId="0" fontId="42" fillId="0" borderId="0" xfId="0" applyFont="1" applyFill="1" applyAlignment="1">
      <alignment horizontal="right" indent="2"/>
    </xf>
    <xf numFmtId="0" fontId="43" fillId="0" borderId="0" xfId="0" applyFont="1" applyFill="1" applyAlignment="1">
      <alignment horizontal="right" indent="2"/>
    </xf>
    <xf numFmtId="1" fontId="43" fillId="0" borderId="0" xfId="0" applyNumberFormat="1" applyFont="1" applyFill="1" applyAlignment="1">
      <alignment horizontal="right" indent="2"/>
    </xf>
    <xf numFmtId="1" fontId="42" fillId="0" borderId="0" xfId="0" applyNumberFormat="1" applyFont="1" applyFill="1" applyAlignment="1">
      <alignment horizontal="right" indent="2"/>
    </xf>
    <xf numFmtId="0" fontId="26" fillId="3" borderId="0" xfId="1" applyFill="1" applyAlignment="1" applyProtection="1">
      <protection locked="0"/>
    </xf>
    <xf numFmtId="0" fontId="28" fillId="3" borderId="5" xfId="1" applyFont="1" applyFill="1" applyBorder="1" applyAlignment="1" applyProtection="1">
      <protection locked="0"/>
    </xf>
    <xf numFmtId="0" fontId="28" fillId="0" borderId="5" xfId="1" applyFont="1" applyBorder="1" applyAlignment="1" applyProtection="1">
      <protection locked="0"/>
    </xf>
    <xf numFmtId="0" fontId="0" fillId="0" borderId="0" xfId="0" applyAlignment="1" applyProtection="1">
      <protection locked="0"/>
    </xf>
    <xf numFmtId="165" fontId="0" fillId="0" borderId="2" xfId="0" applyNumberFormat="1" applyFill="1" applyBorder="1" applyAlignment="1" applyProtection="1">
      <protection locked="0"/>
    </xf>
    <xf numFmtId="165" fontId="0" fillId="0" borderId="4" xfId="0" applyNumberFormat="1" applyFill="1" applyBorder="1" applyAlignment="1" applyProtection="1">
      <protection locked="0"/>
    </xf>
    <xf numFmtId="0" fontId="6" fillId="5" borderId="2" xfId="0" applyFont="1" applyFill="1" applyBorder="1" applyAlignment="1">
      <alignment horizontal="left"/>
    </xf>
    <xf numFmtId="0" fontId="0" fillId="5" borderId="3" xfId="0" applyFill="1" applyBorder="1" applyAlignment="1"/>
    <xf numFmtId="0" fontId="6" fillId="5" borderId="3" xfId="0" applyFont="1" applyFill="1" applyBorder="1" applyAlignment="1">
      <alignment wrapText="1"/>
    </xf>
    <xf numFmtId="0" fontId="6" fillId="5" borderId="3" xfId="0" applyFont="1" applyFill="1" applyBorder="1" applyAlignment="1"/>
    <xf numFmtId="0" fontId="6" fillId="3" borderId="0" xfId="0" applyFont="1" applyFill="1" applyAlignment="1"/>
    <xf numFmtId="0" fontId="6" fillId="3" borderId="0" xfId="0" applyFont="1" applyFill="1" applyAlignment="1">
      <alignment wrapText="1"/>
    </xf>
    <xf numFmtId="0" fontId="0" fillId="0" borderId="0" xfId="0" applyAlignment="1"/>
    <xf numFmtId="0" fontId="0" fillId="5" borderId="4" xfId="0" applyFill="1" applyBorder="1" applyAlignment="1"/>
    <xf numFmtId="0" fontId="6" fillId="3" borderId="0" xfId="0" applyFont="1" applyFill="1" applyAlignment="1">
      <alignment horizontal="left" wrapText="1" indent="1"/>
    </xf>
    <xf numFmtId="0" fontId="0" fillId="0" borderId="0" xfId="0" applyAlignment="1">
      <alignment horizontal="left" indent="1"/>
    </xf>
    <xf numFmtId="3" fontId="0" fillId="3" borderId="0" xfId="0" applyNumberFormat="1" applyFill="1" applyAlignment="1"/>
    <xf numFmtId="0" fontId="0" fillId="3" borderId="0" xfId="0" applyFill="1" applyAlignment="1"/>
    <xf numFmtId="0" fontId="23" fillId="5" borderId="3" xfId="0" applyFont="1" applyFill="1" applyBorder="1" applyAlignment="1"/>
    <xf numFmtId="0" fontId="0" fillId="0" borderId="2" xfId="0" applyFill="1" applyBorder="1" applyAlignment="1" applyProtection="1">
      <protection locked="0"/>
    </xf>
    <xf numFmtId="0" fontId="0" fillId="0" borderId="3" xfId="0" applyFill="1" applyBorder="1" applyAlignment="1" applyProtection="1">
      <protection locked="0"/>
    </xf>
    <xf numFmtId="0" fontId="0" fillId="0" borderId="4" xfId="0" applyFill="1" applyBorder="1" applyAlignment="1" applyProtection="1">
      <protection locked="0"/>
    </xf>
    <xf numFmtId="0" fontId="0" fillId="3" borderId="0" xfId="0" applyFill="1" applyAlignment="1">
      <alignment horizontal="right"/>
    </xf>
    <xf numFmtId="0" fontId="0" fillId="0" borderId="0" xfId="0" applyAlignment="1">
      <alignment horizontal="right"/>
    </xf>
    <xf numFmtId="4" fontId="6" fillId="3" borderId="0" xfId="0" applyNumberFormat="1" applyFont="1" applyFill="1" applyAlignment="1"/>
    <xf numFmtId="0" fontId="6" fillId="0" borderId="0" xfId="0" applyFont="1" applyAlignment="1"/>
    <xf numFmtId="0" fontId="18" fillId="3" borderId="0" xfId="0" applyFont="1" applyFill="1" applyAlignment="1">
      <alignment wrapText="1"/>
    </xf>
    <xf numFmtId="3" fontId="6" fillId="3" borderId="0" xfId="0" applyNumberFormat="1" applyFont="1" applyFill="1" applyAlignment="1"/>
    <xf numFmtId="3" fontId="0" fillId="3" borderId="0" xfId="0" applyNumberFormat="1" applyFont="1" applyFill="1" applyAlignment="1"/>
    <xf numFmtId="3" fontId="6" fillId="0" borderId="0" xfId="0" applyNumberFormat="1" applyFont="1" applyAlignment="1"/>
    <xf numFmtId="0" fontId="24" fillId="5" borderId="3" xfId="0" applyFont="1" applyFill="1" applyBorder="1" applyAlignment="1"/>
    <xf numFmtId="0" fontId="0" fillId="3" borderId="0" xfId="0" applyFont="1" applyFill="1" applyAlignment="1"/>
    <xf numFmtId="3" fontId="0" fillId="0" borderId="2" xfId="0" applyNumberFormat="1" applyFont="1" applyFill="1" applyBorder="1" applyAlignment="1" applyProtection="1">
      <protection locked="0"/>
    </xf>
    <xf numFmtId="3" fontId="0" fillId="0" borderId="4" xfId="0" applyNumberFormat="1" applyFill="1" applyBorder="1" applyAlignment="1" applyProtection="1">
      <protection locked="0"/>
    </xf>
    <xf numFmtId="0" fontId="0" fillId="0" borderId="2" xfId="0" applyFont="1" applyFill="1" applyBorder="1" applyAlignment="1" applyProtection="1">
      <protection locked="0"/>
    </xf>
    <xf numFmtId="0" fontId="0" fillId="0" borderId="4" xfId="0" applyBorder="1" applyAlignment="1" applyProtection="1">
      <protection locked="0"/>
    </xf>
    <xf numFmtId="3" fontId="10" fillId="0" borderId="0" xfId="0" applyNumberFormat="1" applyFont="1" applyFill="1" applyAlignment="1"/>
    <xf numFmtId="165" fontId="10" fillId="0" borderId="0" xfId="0" applyNumberFormat="1" applyFont="1" applyFill="1" applyAlignment="1"/>
    <xf numFmtId="3" fontId="0" fillId="0" borderId="0" xfId="0" applyNumberFormat="1" applyAlignment="1"/>
    <xf numFmtId="0" fontId="10" fillId="0" borderId="0" xfId="0" applyFont="1" applyFill="1" applyAlignment="1"/>
    <xf numFmtId="3" fontId="11" fillId="0" borderId="0" xfId="0" applyNumberFormat="1" applyFont="1" applyFill="1" applyAlignment="1"/>
    <xf numFmtId="0" fontId="0" fillId="0" borderId="0" xfId="0" applyFill="1" applyAlignment="1"/>
    <xf numFmtId="3" fontId="6" fillId="0" borderId="0" xfId="0" applyNumberFormat="1" applyFont="1" applyFill="1" applyAlignment="1"/>
    <xf numFmtId="0" fontId="11" fillId="0" borderId="0" xfId="0" applyFont="1" applyFill="1" applyAlignment="1"/>
    <xf numFmtId="0" fontId="0" fillId="0" borderId="0" xfId="0" applyFont="1" applyFill="1" applyAlignment="1"/>
    <xf numFmtId="3" fontId="10" fillId="3" borderId="0" xfId="0" applyNumberFormat="1" applyFont="1" applyFill="1" applyAlignment="1"/>
    <xf numFmtId="0" fontId="0" fillId="0" borderId="0" xfId="0" applyFont="1" applyAlignment="1"/>
    <xf numFmtId="0" fontId="11" fillId="0" borderId="0" xfId="0" applyFont="1" applyFill="1" applyAlignment="1">
      <alignment horizontal="left" wrapText="1" indent="3"/>
    </xf>
    <xf numFmtId="0" fontId="0" fillId="0" borderId="0" xfId="0" applyAlignment="1">
      <alignment horizontal="left" indent="3"/>
    </xf>
    <xf numFmtId="0" fontId="11" fillId="0" borderId="0" xfId="0" applyFont="1" applyFill="1" applyAlignment="1">
      <alignment wrapText="1"/>
    </xf>
    <xf numFmtId="165" fontId="11" fillId="0" borderId="0" xfId="0" applyNumberFormat="1" applyFont="1" applyFill="1" applyAlignment="1"/>
    <xf numFmtId="165" fontId="6" fillId="0" borderId="0" xfId="0" applyNumberFormat="1" applyFont="1" applyFill="1" applyAlignment="1"/>
    <xf numFmtId="0" fontId="10" fillId="3" borderId="0" xfId="0" applyFont="1" applyFill="1" applyAlignment="1"/>
    <xf numFmtId="0" fontId="10" fillId="0" borderId="0" xfId="0" applyFont="1" applyFill="1" applyAlignment="1">
      <alignment horizontal="right"/>
    </xf>
    <xf numFmtId="3" fontId="0" fillId="0" borderId="0" xfId="0" applyNumberFormat="1" applyFill="1" applyAlignment="1"/>
    <xf numFmtId="0" fontId="0" fillId="0" borderId="0" xfId="0" applyAlignment="1">
      <alignment wrapText="1"/>
    </xf>
    <xf numFmtId="0" fontId="6" fillId="0" borderId="0" xfId="0" applyFont="1" applyAlignment="1">
      <alignment wrapText="1"/>
    </xf>
    <xf numFmtId="0" fontId="6" fillId="3" borderId="0" xfId="0" applyFont="1" applyFill="1" applyBorder="1" applyAlignment="1">
      <alignment wrapText="1"/>
    </xf>
    <xf numFmtId="0" fontId="6" fillId="3" borderId="0" xfId="0" applyFont="1" applyFill="1" applyBorder="1" applyAlignment="1"/>
    <xf numFmtId="0" fontId="0" fillId="3" borderId="0" xfId="0" applyFill="1" applyBorder="1" applyAlignment="1"/>
    <xf numFmtId="0" fontId="6" fillId="3" borderId="0" xfId="0" applyFont="1" applyFill="1" applyAlignment="1">
      <alignment horizontal="left" wrapText="1"/>
    </xf>
    <xf numFmtId="0" fontId="0" fillId="0" borderId="0" xfId="0" applyAlignment="1">
      <alignment horizontal="left" wrapText="1"/>
    </xf>
    <xf numFmtId="0" fontId="0" fillId="0" borderId="3" xfId="0" applyBorder="1" applyAlignment="1"/>
    <xf numFmtId="0" fontId="0" fillId="0" borderId="4" xfId="0" applyBorder="1" applyAlignment="1"/>
    <xf numFmtId="0" fontId="6" fillId="3" borderId="0" xfId="0" applyFont="1" applyFill="1" applyBorder="1" applyAlignment="1">
      <alignment horizontal="left"/>
    </xf>
    <xf numFmtId="0" fontId="23" fillId="3" borderId="0" xfId="0" applyFont="1" applyFill="1" applyBorder="1" applyAlignment="1"/>
    <xf numFmtId="0" fontId="42" fillId="0" borderId="5" xfId="0" applyFont="1" applyFill="1" applyBorder="1" applyAlignment="1">
      <alignment wrapText="1"/>
    </xf>
    <xf numFmtId="0" fontId="43" fillId="0" borderId="5" xfId="0" applyFont="1" applyFill="1" applyBorder="1" applyAlignment="1">
      <alignment wrapText="1"/>
    </xf>
  </cellXfs>
  <cellStyles count="2">
    <cellStyle name="Link" xfId="1" builtinId="8"/>
    <cellStyle name="Normal" xfId="0" builtinId="0"/>
  </cellStyles>
  <dxfs count="1451">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rgb="FFFF0000"/>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numFmt numFmtId="3" formatCode="#,##0"/>
    </dxf>
    <dxf>
      <font>
        <color theme="0" tint="-0.499984740745262"/>
      </font>
    </dxf>
    <dxf>
      <numFmt numFmtId="3" formatCode="#,##0"/>
    </dxf>
    <dxf>
      <font>
        <color theme="0" tint="-0.499984740745262"/>
      </font>
    </dxf>
    <dxf>
      <numFmt numFmtId="3" formatCode="#,##0"/>
    </dxf>
    <dxf>
      <font>
        <color rgb="FFFF0000"/>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s>
  <tableStyles count="0" defaultTableStyle="TableStyleMedium9" defaultPivotStyle="PivotStyleLight16"/>
  <colors>
    <mruColors>
      <color rgb="FFCCFFCC"/>
      <color rgb="FF99CCFF"/>
      <color rgb="FFCCECFF"/>
      <color rgb="FFFFCCFF"/>
      <color rgb="FFFF99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Drop" dropStyle="combo" dx="16" fmlaLink="Regn!$B$34" fmlaRange="Afgrnavn" noThreeD="1" sel="34" val="33"/>
</file>

<file path=xl/ctrlProps/ctrlProp10.xml><?xml version="1.0" encoding="utf-8"?>
<formControlPr xmlns="http://schemas.microsoft.com/office/spreadsheetml/2009/9/main" objectType="Drop" dropLines="3" dropStyle="combo" dx="16" fmlaLink="Regn!$H$34" fmlaRange="EfterafgrbehNavn" noThreeD="1" val="0"/>
</file>

<file path=xl/ctrlProps/ctrlProp100.xml><?xml version="1.0" encoding="utf-8"?>
<formControlPr xmlns="http://schemas.microsoft.com/office/spreadsheetml/2009/9/main" objectType="CheckBox" fmlaLink="Regn!$D$60" lockText="1" noThreeD="1"/>
</file>

<file path=xl/ctrlProps/ctrlProp101.xml><?xml version="1.0" encoding="utf-8"?>
<formControlPr xmlns="http://schemas.microsoft.com/office/spreadsheetml/2009/9/main" objectType="Drop" dropStyle="combo" dx="16" fmlaLink="Regn!$K60" fmlaRange="Afgrnavn" noThreeD="1" val="0"/>
</file>

<file path=xl/ctrlProps/ctrlProp102.xml><?xml version="1.0" encoding="utf-8"?>
<formControlPr xmlns="http://schemas.microsoft.com/office/spreadsheetml/2009/9/main" objectType="Drop" dropLines="2" dropStyle="combo" dx="16" fmlaLink="Regn!$F60" fmlaRange="Halmanvendelsenavn" noThreeD="1" val="0"/>
</file>

<file path=xl/ctrlProps/ctrlProp103.xml><?xml version="1.0" encoding="utf-8"?>
<formControlPr xmlns="http://schemas.microsoft.com/office/spreadsheetml/2009/9/main" objectType="Drop" dropLines="3" dropStyle="combo" dx="16" fmlaLink="Regn!$H60" fmlaRange="EfterafgrbehNavn" noThreeD="1" val="0"/>
</file>

<file path=xl/ctrlProps/ctrlProp104.xml><?xml version="1.0" encoding="utf-8"?>
<formControlPr xmlns="http://schemas.microsoft.com/office/spreadsheetml/2009/9/main" objectType="Drop" dropLines="3" dropStyle="combo" dx="16" fmlaLink="Regn!$I60" fmlaRange="TorringNavn" noThreeD="1" val="0"/>
</file>

<file path=xl/ctrlProps/ctrlProp105.xml><?xml version="1.0" encoding="utf-8"?>
<formControlPr xmlns="http://schemas.microsoft.com/office/spreadsheetml/2009/9/main" objectType="Drop" dropStyle="combo" dx="16" fmlaLink="Regn!$B62" fmlaRange="Afgrnavn" noThreeD="1" val="0"/>
</file>

<file path=xl/ctrlProps/ctrlProp106.xml><?xml version="1.0" encoding="utf-8"?>
<formControlPr xmlns="http://schemas.microsoft.com/office/spreadsheetml/2009/9/main" objectType="Drop" dropStyle="combo" dx="16" fmlaLink="Regn!$C62" fmlaRange="Efgrnavn" noThreeD="1" val="0"/>
</file>

<file path=xl/ctrlProps/ctrlProp107.xml><?xml version="1.0" encoding="utf-8"?>
<formControlPr xmlns="http://schemas.microsoft.com/office/spreadsheetml/2009/9/main" objectType="Drop" dropStyle="combo" dx="16" fmlaLink="Regn!$E62" fmlaRange="Afgrnavn" noThreeD="1" val="0"/>
</file>

<file path=xl/ctrlProps/ctrlProp108.xml><?xml version="1.0" encoding="utf-8"?>
<formControlPr xmlns="http://schemas.microsoft.com/office/spreadsheetml/2009/9/main" objectType="Drop" dropStyle="combo" dx="16" fmlaLink="Regn!$G62" fmlaRange="Efgrnavn" noThreeD="1" val="0"/>
</file>

<file path=xl/ctrlProps/ctrlProp109.xml><?xml version="1.0" encoding="utf-8"?>
<formControlPr xmlns="http://schemas.microsoft.com/office/spreadsheetml/2009/9/main" objectType="CheckBox" fmlaLink="Regn!$D$62" lockText="1" noThreeD="1"/>
</file>

<file path=xl/ctrlProps/ctrlProp11.xml><?xml version="1.0" encoding="utf-8"?>
<formControlPr xmlns="http://schemas.microsoft.com/office/spreadsheetml/2009/9/main" objectType="Drop" dropLines="3" dropStyle="combo" dx="16" fmlaLink="Regn!$I$34" fmlaRange="TorringNavn" noThreeD="1" val="0"/>
</file>

<file path=xl/ctrlProps/ctrlProp110.xml><?xml version="1.0" encoding="utf-8"?>
<formControlPr xmlns="http://schemas.microsoft.com/office/spreadsheetml/2009/9/main" objectType="Drop" dropStyle="combo" dx="16" fmlaLink="Regn!$K62" fmlaRange="Afgrnavn" noThreeD="1" val="0"/>
</file>

<file path=xl/ctrlProps/ctrlProp111.xml><?xml version="1.0" encoding="utf-8"?>
<formControlPr xmlns="http://schemas.microsoft.com/office/spreadsheetml/2009/9/main" objectType="Drop" dropLines="2" dropStyle="combo" dx="16" fmlaLink="Regn!$F62" fmlaRange="Halmanvendelsenavn" noThreeD="1" val="0"/>
</file>

<file path=xl/ctrlProps/ctrlProp112.xml><?xml version="1.0" encoding="utf-8"?>
<formControlPr xmlns="http://schemas.microsoft.com/office/spreadsheetml/2009/9/main" objectType="Drop" dropLines="3" dropStyle="combo" dx="16" fmlaLink="Regn!$H62" fmlaRange="EfterafgrbehNavn" noThreeD="1" val="0"/>
</file>

<file path=xl/ctrlProps/ctrlProp113.xml><?xml version="1.0" encoding="utf-8"?>
<formControlPr xmlns="http://schemas.microsoft.com/office/spreadsheetml/2009/9/main" objectType="Drop" dropLines="3" dropStyle="combo" dx="16" fmlaLink="Regn!$I62" fmlaRange="TorringNavn" noThreeD="1" val="0"/>
</file>

<file path=xl/ctrlProps/ctrlProp114.xml><?xml version="1.0" encoding="utf-8"?>
<formControlPr xmlns="http://schemas.microsoft.com/office/spreadsheetml/2009/9/main" objectType="Drop" dropStyle="combo" dx="16" fmlaLink="Regn!$B64" fmlaRange="Afgrnavn" noThreeD="1" val="0"/>
</file>

<file path=xl/ctrlProps/ctrlProp115.xml><?xml version="1.0" encoding="utf-8"?>
<formControlPr xmlns="http://schemas.microsoft.com/office/spreadsheetml/2009/9/main" objectType="Drop" dropStyle="combo" dx="16" fmlaLink="Regn!$C64" fmlaRange="Efgrnavn" noThreeD="1" val="0"/>
</file>

<file path=xl/ctrlProps/ctrlProp116.xml><?xml version="1.0" encoding="utf-8"?>
<formControlPr xmlns="http://schemas.microsoft.com/office/spreadsheetml/2009/9/main" objectType="Drop" dropStyle="combo" dx="16" fmlaLink="Regn!$E64" fmlaRange="Afgrnavn" noThreeD="1" val="0"/>
</file>

<file path=xl/ctrlProps/ctrlProp117.xml><?xml version="1.0" encoding="utf-8"?>
<formControlPr xmlns="http://schemas.microsoft.com/office/spreadsheetml/2009/9/main" objectType="Drop" dropStyle="combo" dx="16" fmlaLink="Regn!$G64" fmlaRange="Efgrnavn" noThreeD="1" val="0"/>
</file>

<file path=xl/ctrlProps/ctrlProp118.xml><?xml version="1.0" encoding="utf-8"?>
<formControlPr xmlns="http://schemas.microsoft.com/office/spreadsheetml/2009/9/main" objectType="CheckBox" fmlaLink="Regn!$D$64" lockText="1" noThreeD="1"/>
</file>

<file path=xl/ctrlProps/ctrlProp119.xml><?xml version="1.0" encoding="utf-8"?>
<formControlPr xmlns="http://schemas.microsoft.com/office/spreadsheetml/2009/9/main" objectType="Drop" dropStyle="combo" dx="16" fmlaLink="Regn!$K64" fmlaRange="Afgrnavn" noThreeD="1" val="0"/>
</file>

<file path=xl/ctrlProps/ctrlProp12.xml><?xml version="1.0" encoding="utf-8"?>
<formControlPr xmlns="http://schemas.microsoft.com/office/spreadsheetml/2009/9/main" objectType="Drop" dropStyle="combo" dx="16" fmlaLink="Regn!$B$52" fmlaRange="Jordtypenavn" noThreeD="1" sel="6" val="0"/>
</file>

<file path=xl/ctrlProps/ctrlProp120.xml><?xml version="1.0" encoding="utf-8"?>
<formControlPr xmlns="http://schemas.microsoft.com/office/spreadsheetml/2009/9/main" objectType="Drop" dropLines="2" dropStyle="combo" dx="16" fmlaLink="Regn!$F64" fmlaRange="Halmanvendelsenavn" noThreeD="1" val="0"/>
</file>

<file path=xl/ctrlProps/ctrlProp121.xml><?xml version="1.0" encoding="utf-8"?>
<formControlPr xmlns="http://schemas.microsoft.com/office/spreadsheetml/2009/9/main" objectType="Drop" dropLines="3" dropStyle="combo" dx="16" fmlaLink="Regn!$H64" fmlaRange="EfterafgrbehNavn" noThreeD="1" val="0"/>
</file>

<file path=xl/ctrlProps/ctrlProp122.xml><?xml version="1.0" encoding="utf-8"?>
<formControlPr xmlns="http://schemas.microsoft.com/office/spreadsheetml/2009/9/main" objectType="Drop" dropLines="3" dropStyle="combo" dx="16" fmlaLink="Regn!$I64" fmlaRange="TorringNavn" noThreeD="1" val="0"/>
</file>

<file path=xl/ctrlProps/ctrlProp123.xml><?xml version="1.0" encoding="utf-8"?>
<formControlPr xmlns="http://schemas.microsoft.com/office/spreadsheetml/2009/9/main" objectType="Drop" dropStyle="combo" dx="16" fmlaLink="Regn!$B66" fmlaRange="Afgrnavn" noThreeD="1" val="0"/>
</file>

<file path=xl/ctrlProps/ctrlProp124.xml><?xml version="1.0" encoding="utf-8"?>
<formControlPr xmlns="http://schemas.microsoft.com/office/spreadsheetml/2009/9/main" objectType="Drop" dropStyle="combo" dx="16" fmlaLink="Regn!$C66" fmlaRange="Efgrnavn" noThreeD="1" val="0"/>
</file>

<file path=xl/ctrlProps/ctrlProp125.xml><?xml version="1.0" encoding="utf-8"?>
<formControlPr xmlns="http://schemas.microsoft.com/office/spreadsheetml/2009/9/main" objectType="Drop" dropStyle="combo" dx="16" fmlaLink="Regn!$E66" fmlaRange="Afgrnavn" noThreeD="1" val="0"/>
</file>

<file path=xl/ctrlProps/ctrlProp126.xml><?xml version="1.0" encoding="utf-8"?>
<formControlPr xmlns="http://schemas.microsoft.com/office/spreadsheetml/2009/9/main" objectType="Drop" dropStyle="combo" dx="16" fmlaLink="Regn!$G66" fmlaRange="Efgrnavn" noThreeD="1" val="0"/>
</file>

<file path=xl/ctrlProps/ctrlProp127.xml><?xml version="1.0" encoding="utf-8"?>
<formControlPr xmlns="http://schemas.microsoft.com/office/spreadsheetml/2009/9/main" objectType="CheckBox" fmlaLink="Regn!$D$66" lockText="1" noThreeD="1"/>
</file>

<file path=xl/ctrlProps/ctrlProp128.xml><?xml version="1.0" encoding="utf-8"?>
<formControlPr xmlns="http://schemas.microsoft.com/office/spreadsheetml/2009/9/main" objectType="Drop" dropStyle="combo" dx="16" fmlaLink="Regn!$K66" fmlaRange="Afgrnavn" noThreeD="1" val="0"/>
</file>

<file path=xl/ctrlProps/ctrlProp129.xml><?xml version="1.0" encoding="utf-8"?>
<formControlPr xmlns="http://schemas.microsoft.com/office/spreadsheetml/2009/9/main" objectType="Drop" dropLines="2" dropStyle="combo" dx="16" fmlaLink="Regn!$F66" fmlaRange="Halmanvendelsenavn" noThreeD="1" val="0"/>
</file>

<file path=xl/ctrlProps/ctrlProp13.xml><?xml version="1.0" encoding="utf-8"?>
<formControlPr xmlns="http://schemas.microsoft.com/office/spreadsheetml/2009/9/main" objectType="Drop" dropStyle="combo" dx="16" fmlaLink="Regn!$C$52" fmlaRange="Markvandingnavn" noThreeD="1" val="0"/>
</file>

<file path=xl/ctrlProps/ctrlProp130.xml><?xml version="1.0" encoding="utf-8"?>
<formControlPr xmlns="http://schemas.microsoft.com/office/spreadsheetml/2009/9/main" objectType="Drop" dropLines="3" dropStyle="combo" dx="16" fmlaLink="Regn!$H66" fmlaRange="EfterafgrbehNavn" noThreeD="1" val="0"/>
</file>

<file path=xl/ctrlProps/ctrlProp131.xml><?xml version="1.0" encoding="utf-8"?>
<formControlPr xmlns="http://schemas.microsoft.com/office/spreadsheetml/2009/9/main" objectType="Drop" dropLines="3" dropStyle="combo" dx="16" fmlaLink="Regn!$I66" fmlaRange="TorringNavn" noThreeD="1" val="0"/>
</file>

<file path=xl/ctrlProps/ctrlProp132.xml><?xml version="1.0" encoding="utf-8"?>
<formControlPr xmlns="http://schemas.microsoft.com/office/spreadsheetml/2009/9/main" objectType="Drop" dropStyle="combo" dx="16" fmlaLink="Regn!$B68" fmlaRange="Afgrnavn" noThreeD="1" val="0"/>
</file>

<file path=xl/ctrlProps/ctrlProp133.xml><?xml version="1.0" encoding="utf-8"?>
<formControlPr xmlns="http://schemas.microsoft.com/office/spreadsheetml/2009/9/main" objectType="Drop" dropStyle="combo" dx="16" fmlaLink="Regn!$C68" fmlaRange="Efgrnavn" noThreeD="1" val="0"/>
</file>

<file path=xl/ctrlProps/ctrlProp134.xml><?xml version="1.0" encoding="utf-8"?>
<formControlPr xmlns="http://schemas.microsoft.com/office/spreadsheetml/2009/9/main" objectType="Drop" dropStyle="combo" dx="16" fmlaLink="Regn!$E68" fmlaRange="Afgrnavn" noThreeD="1" val="0"/>
</file>

<file path=xl/ctrlProps/ctrlProp135.xml><?xml version="1.0" encoding="utf-8"?>
<formControlPr xmlns="http://schemas.microsoft.com/office/spreadsheetml/2009/9/main" objectType="Drop" dropStyle="combo" dx="16" fmlaLink="Regn!$G68" fmlaRange="Efgrnavn" noThreeD="1" val="0"/>
</file>

<file path=xl/ctrlProps/ctrlProp136.xml><?xml version="1.0" encoding="utf-8"?>
<formControlPr xmlns="http://schemas.microsoft.com/office/spreadsheetml/2009/9/main" objectType="CheckBox" fmlaLink="Regn!$D$68" lockText="1" noThreeD="1"/>
</file>

<file path=xl/ctrlProps/ctrlProp137.xml><?xml version="1.0" encoding="utf-8"?>
<formControlPr xmlns="http://schemas.microsoft.com/office/spreadsheetml/2009/9/main" objectType="Drop" dropStyle="combo" dx="16" fmlaLink="Regn!$K68" fmlaRange="Afgrnavn" noThreeD="1" val="0"/>
</file>

<file path=xl/ctrlProps/ctrlProp138.xml><?xml version="1.0" encoding="utf-8"?>
<formControlPr xmlns="http://schemas.microsoft.com/office/spreadsheetml/2009/9/main" objectType="Drop" dropLines="2" dropStyle="combo" dx="16" fmlaLink="Regn!$F68" fmlaRange="Halmanvendelsenavn" noThreeD="1" val="0"/>
</file>

<file path=xl/ctrlProps/ctrlProp139.xml><?xml version="1.0" encoding="utf-8"?>
<formControlPr xmlns="http://schemas.microsoft.com/office/spreadsheetml/2009/9/main" objectType="Drop" dropLines="3" dropStyle="combo" dx="16" fmlaLink="Regn!$H68" fmlaRange="EfterafgrbehNavn" noThreeD="1" val="0"/>
</file>

<file path=xl/ctrlProps/ctrlProp14.xml><?xml version="1.0" encoding="utf-8"?>
<formControlPr xmlns="http://schemas.microsoft.com/office/spreadsheetml/2009/9/main" objectType="Drop" dropLines="2" dropStyle="combo" dx="16" fmlaLink="Regn!$W$28" fmlaRange="NTilpasMetode" noThreeD="1" val="0"/>
</file>

<file path=xl/ctrlProps/ctrlProp140.xml><?xml version="1.0" encoding="utf-8"?>
<formControlPr xmlns="http://schemas.microsoft.com/office/spreadsheetml/2009/9/main" objectType="Drop" dropLines="3" dropStyle="combo" dx="16" fmlaLink="Regn!$I68" fmlaRange="TorringNavn" noThreeD="1" val="0"/>
</file>

<file path=xl/ctrlProps/ctrlProp141.xml><?xml version="1.0" encoding="utf-8"?>
<formControlPr xmlns="http://schemas.microsoft.com/office/spreadsheetml/2009/9/main" objectType="Drop" dropStyle="combo" dx="16" fmlaLink="Regn!$B70" fmlaRange="Afgrnavn" noThreeD="1" val="31"/>
</file>

<file path=xl/ctrlProps/ctrlProp142.xml><?xml version="1.0" encoding="utf-8"?>
<formControlPr xmlns="http://schemas.microsoft.com/office/spreadsheetml/2009/9/main" objectType="Drop" dropStyle="combo" dx="16" fmlaLink="Regn!$C70" fmlaRange="Efgrnavn" noThreeD="1" val="0"/>
</file>

<file path=xl/ctrlProps/ctrlProp143.xml><?xml version="1.0" encoding="utf-8"?>
<formControlPr xmlns="http://schemas.microsoft.com/office/spreadsheetml/2009/9/main" objectType="Drop" dropStyle="combo" dx="16" fmlaLink="Regn!$E70" fmlaRange="Afgrnavn" noThreeD="1" val="31"/>
</file>

<file path=xl/ctrlProps/ctrlProp144.xml><?xml version="1.0" encoding="utf-8"?>
<formControlPr xmlns="http://schemas.microsoft.com/office/spreadsheetml/2009/9/main" objectType="Drop" dropStyle="combo" dx="16" fmlaLink="Regn!$G70" fmlaRange="Efgrnavn" noThreeD="1" val="0"/>
</file>

<file path=xl/ctrlProps/ctrlProp145.xml><?xml version="1.0" encoding="utf-8"?>
<formControlPr xmlns="http://schemas.microsoft.com/office/spreadsheetml/2009/9/main" objectType="CheckBox" fmlaLink="Regn!$D$70" lockText="1" noThreeD="1"/>
</file>

<file path=xl/ctrlProps/ctrlProp146.xml><?xml version="1.0" encoding="utf-8"?>
<formControlPr xmlns="http://schemas.microsoft.com/office/spreadsheetml/2009/9/main" objectType="Drop" dropStyle="combo" dx="16" fmlaLink="Regn!$K70" fmlaRange="Afgrnavn" noThreeD="1" val="0"/>
</file>

<file path=xl/ctrlProps/ctrlProp147.xml><?xml version="1.0" encoding="utf-8"?>
<formControlPr xmlns="http://schemas.microsoft.com/office/spreadsheetml/2009/9/main" objectType="Drop" dropLines="2" dropStyle="combo" dx="16" fmlaLink="Regn!$F70" fmlaRange="Halmanvendelsenavn" noThreeD="1" val="0"/>
</file>

<file path=xl/ctrlProps/ctrlProp148.xml><?xml version="1.0" encoding="utf-8"?>
<formControlPr xmlns="http://schemas.microsoft.com/office/spreadsheetml/2009/9/main" objectType="Drop" dropLines="3" dropStyle="combo" dx="16" fmlaLink="Regn!$H70" fmlaRange="EfterafgrbehNavn" noThreeD="1" val="0"/>
</file>

<file path=xl/ctrlProps/ctrlProp149.xml><?xml version="1.0" encoding="utf-8"?>
<formControlPr xmlns="http://schemas.microsoft.com/office/spreadsheetml/2009/9/main" objectType="Drop" dropLines="3" dropStyle="combo" dx="16" fmlaLink="Regn!$I70" fmlaRange="TorringNavn" noThreeD="1" val="0"/>
</file>

<file path=xl/ctrlProps/ctrlProp15.xml><?xml version="1.0" encoding="utf-8"?>
<formControlPr xmlns="http://schemas.microsoft.com/office/spreadsheetml/2009/9/main" objectType="Drop" dropStyle="combo" dx="16" fmlaLink="Regn!$B$36" fmlaRange="Afgrnavn" noThreeD="1" sel="37" val="34"/>
</file>

<file path=xl/ctrlProps/ctrlProp150.xml><?xml version="1.0" encoding="utf-8"?>
<formControlPr xmlns="http://schemas.microsoft.com/office/spreadsheetml/2009/9/main" objectType="Drop" dropLines="2" dropStyle="combo" dx="16" fmlaLink="Regn!$H$28" fmlaRange="ReglerNavn" noThreeD="1" sel="2" val="0"/>
</file>

<file path=xl/ctrlProps/ctrlProp151.xml><?xml version="1.0" encoding="utf-8"?>
<formControlPr xmlns="http://schemas.microsoft.com/office/spreadsheetml/2009/9/main" objectType="Drop" dropStyle="combo" dx="16" fmlaLink="Regn!$B$116" fmlaRange="Afgrnavn" noThreeD="1" val="28"/>
</file>

<file path=xl/ctrlProps/ctrlProp152.xml><?xml version="1.0" encoding="utf-8"?>
<formControlPr xmlns="http://schemas.microsoft.com/office/spreadsheetml/2009/9/main" objectType="Drop" dropStyle="combo" dx="16" fmlaLink="Regn!$C$116" fmlaRange="Efgrnavn" noThreeD="1" val="0"/>
</file>

<file path=xl/ctrlProps/ctrlProp153.xml><?xml version="1.0" encoding="utf-8"?>
<formControlPr xmlns="http://schemas.microsoft.com/office/spreadsheetml/2009/9/main" objectType="Drop" dropStyle="combo" dx="16" fmlaLink="Regn!$E$116" fmlaRange="Afgrnavn" noThreeD="1" val="0"/>
</file>

<file path=xl/ctrlProps/ctrlProp154.xml><?xml version="1.0" encoding="utf-8"?>
<formControlPr xmlns="http://schemas.microsoft.com/office/spreadsheetml/2009/9/main" objectType="Drop" dropStyle="combo" dx="16" fmlaLink="Regn!$G$116" fmlaRange="Efgrnavn" noThreeD="1" val="0"/>
</file>

<file path=xl/ctrlProps/ctrlProp155.xml><?xml version="1.0" encoding="utf-8"?>
<formControlPr xmlns="http://schemas.microsoft.com/office/spreadsheetml/2009/9/main" objectType="CheckBox" fmlaLink="Regn!$D$116" lockText="1" noThreeD="1"/>
</file>

<file path=xl/ctrlProps/ctrlProp156.xml><?xml version="1.0" encoding="utf-8"?>
<formControlPr xmlns="http://schemas.microsoft.com/office/spreadsheetml/2009/9/main" objectType="Drop" dropStyle="combo" dx="16" fmlaLink="Regn!$K$116" fmlaRange="Afgrnavn" noThreeD="1" val="32"/>
</file>

<file path=xl/ctrlProps/ctrlProp157.xml><?xml version="1.0" encoding="utf-8"?>
<formControlPr xmlns="http://schemas.microsoft.com/office/spreadsheetml/2009/9/main" objectType="Drop" dropStyle="combo" dx="16" fmlaLink="Regn!$B$110" fmlaRange="Jordtypenavn" noThreeD="1" sel="6" val="3"/>
</file>

<file path=xl/ctrlProps/ctrlProp158.xml><?xml version="1.0" encoding="utf-8"?>
<formControlPr xmlns="http://schemas.microsoft.com/office/spreadsheetml/2009/9/main" objectType="Drop" dropStyle="combo" dx="16" fmlaLink="Regn!$C$110" fmlaRange="Markvandingnavn" noThreeD="1" val="0"/>
</file>

<file path=xl/ctrlProps/ctrlProp159.xml><?xml version="1.0" encoding="utf-8"?>
<formControlPr xmlns="http://schemas.microsoft.com/office/spreadsheetml/2009/9/main" objectType="Drop" dropLines="2" dropStyle="combo" dx="16" fmlaLink="Regn!$F$116" fmlaRange="Halmanvendelsenavn" noThreeD="1" val="0"/>
</file>

<file path=xl/ctrlProps/ctrlProp16.xml><?xml version="1.0" encoding="utf-8"?>
<formControlPr xmlns="http://schemas.microsoft.com/office/spreadsheetml/2009/9/main" objectType="Drop" dropStyle="combo" dx="16" fmlaLink="Regn!$C$36" fmlaRange="Efgrnavn" noThreeD="1" val="0"/>
</file>

<file path=xl/ctrlProps/ctrlProp160.xml><?xml version="1.0" encoding="utf-8"?>
<formControlPr xmlns="http://schemas.microsoft.com/office/spreadsheetml/2009/9/main" objectType="Drop" dropLines="3" dropStyle="combo" dx="16" fmlaLink="Regn!$H$116" fmlaRange="EfterafgrbehNavn" noThreeD="1" val="0"/>
</file>

<file path=xl/ctrlProps/ctrlProp161.xml><?xml version="1.0" encoding="utf-8"?>
<formControlPr xmlns="http://schemas.microsoft.com/office/spreadsheetml/2009/9/main" objectType="Drop" dropLines="3" dropStyle="combo" dx="16" fmlaLink="Regn!$I$116" fmlaRange="TorringNavn" noThreeD="1" val="0"/>
</file>

<file path=xl/ctrlProps/ctrlProp162.xml><?xml version="1.0" encoding="utf-8"?>
<formControlPr xmlns="http://schemas.microsoft.com/office/spreadsheetml/2009/9/main" objectType="Drop" dropStyle="combo" dx="16" fmlaLink="Regn!$B$134" fmlaRange="Jordtypenavn" noThreeD="1" sel="6" val="0"/>
</file>

<file path=xl/ctrlProps/ctrlProp163.xml><?xml version="1.0" encoding="utf-8"?>
<formControlPr xmlns="http://schemas.microsoft.com/office/spreadsheetml/2009/9/main" objectType="Drop" dropStyle="combo" dx="16" fmlaLink="Regn!$C$134" fmlaRange="Markvandingnavn" noThreeD="1" val="0"/>
</file>

<file path=xl/ctrlProps/ctrlProp164.xml><?xml version="1.0" encoding="utf-8"?>
<formControlPr xmlns="http://schemas.microsoft.com/office/spreadsheetml/2009/9/main" objectType="Drop" dropLines="2" dropStyle="combo" dx="16" fmlaLink="Regn!$W$110" fmlaRange="NTilpasMetode" noThreeD="1" val="0"/>
</file>

<file path=xl/ctrlProps/ctrlProp165.xml><?xml version="1.0" encoding="utf-8"?>
<formControlPr xmlns="http://schemas.microsoft.com/office/spreadsheetml/2009/9/main" objectType="Drop" dropStyle="combo" dx="16" fmlaLink="Regn!$B$118" fmlaRange="Afgrnavn" noThreeD="1" val="0"/>
</file>

<file path=xl/ctrlProps/ctrlProp166.xml><?xml version="1.0" encoding="utf-8"?>
<formControlPr xmlns="http://schemas.microsoft.com/office/spreadsheetml/2009/9/main" objectType="Drop" dropStyle="combo" dx="16" fmlaLink="Regn!$C$118" fmlaRange="Efgrnavn" noThreeD="1" val="0"/>
</file>

<file path=xl/ctrlProps/ctrlProp167.xml><?xml version="1.0" encoding="utf-8"?>
<formControlPr xmlns="http://schemas.microsoft.com/office/spreadsheetml/2009/9/main" objectType="Drop" dropStyle="combo" dx="16" fmlaLink="Regn!$E$118" fmlaRange="Afgrnavn" noThreeD="1" val="0"/>
</file>

<file path=xl/ctrlProps/ctrlProp168.xml><?xml version="1.0" encoding="utf-8"?>
<formControlPr xmlns="http://schemas.microsoft.com/office/spreadsheetml/2009/9/main" objectType="Drop" dropStyle="combo" dx="16" fmlaLink="Regn!$G$118" fmlaRange="Efgrnavn" noThreeD="1" val="0"/>
</file>

<file path=xl/ctrlProps/ctrlProp169.xml><?xml version="1.0" encoding="utf-8"?>
<formControlPr xmlns="http://schemas.microsoft.com/office/spreadsheetml/2009/9/main" objectType="CheckBox" fmlaLink="Regn!$D$118" lockText="1" noThreeD="1"/>
</file>

<file path=xl/ctrlProps/ctrlProp17.xml><?xml version="1.0" encoding="utf-8"?>
<formControlPr xmlns="http://schemas.microsoft.com/office/spreadsheetml/2009/9/main" objectType="Drop" dropStyle="combo" dx="16" fmlaLink="Regn!$E$36" fmlaRange="Afgrnavn" noThreeD="1" sel="35" val="31"/>
</file>

<file path=xl/ctrlProps/ctrlProp170.xml><?xml version="1.0" encoding="utf-8"?>
<formControlPr xmlns="http://schemas.microsoft.com/office/spreadsheetml/2009/9/main" objectType="Drop" dropStyle="combo" dx="16" fmlaLink="Regn!$K$118" fmlaRange="Afgrnavn" noThreeD="1" val="0"/>
</file>

<file path=xl/ctrlProps/ctrlProp171.xml><?xml version="1.0" encoding="utf-8"?>
<formControlPr xmlns="http://schemas.microsoft.com/office/spreadsheetml/2009/9/main" objectType="Drop" dropLines="2" dropStyle="combo" dx="16" fmlaLink="Regn!$F$118" fmlaRange="Halmanvendelsenavn" noThreeD="1" val="0"/>
</file>

<file path=xl/ctrlProps/ctrlProp172.xml><?xml version="1.0" encoding="utf-8"?>
<formControlPr xmlns="http://schemas.microsoft.com/office/spreadsheetml/2009/9/main" objectType="Drop" dropLines="3" dropStyle="combo" dx="16" fmlaLink="Regn!$H$118" fmlaRange="EfterafgrbehNavn" noThreeD="1" val="0"/>
</file>

<file path=xl/ctrlProps/ctrlProp173.xml><?xml version="1.0" encoding="utf-8"?>
<formControlPr xmlns="http://schemas.microsoft.com/office/spreadsheetml/2009/9/main" objectType="Drop" dropLines="3" dropStyle="combo" dx="16" fmlaLink="Regn!$I$118" fmlaRange="TorringNavn" noThreeD="1" val="0"/>
</file>

<file path=xl/ctrlProps/ctrlProp174.xml><?xml version="1.0" encoding="utf-8"?>
<formControlPr xmlns="http://schemas.microsoft.com/office/spreadsheetml/2009/9/main" objectType="Drop" dropStyle="combo" dx="16" fmlaLink="Regn!$B$120" fmlaRange="Afgrnavn" noThreeD="1" val="32"/>
</file>

<file path=xl/ctrlProps/ctrlProp175.xml><?xml version="1.0" encoding="utf-8"?>
<formControlPr xmlns="http://schemas.microsoft.com/office/spreadsheetml/2009/9/main" objectType="Drop" dropStyle="combo" dx="16" fmlaLink="Regn!$C$120" fmlaRange="Efgrnavn" noThreeD="1" val="0"/>
</file>

<file path=xl/ctrlProps/ctrlProp176.xml><?xml version="1.0" encoding="utf-8"?>
<formControlPr xmlns="http://schemas.microsoft.com/office/spreadsheetml/2009/9/main" objectType="Drop" dropStyle="combo" dx="16" fmlaLink="Regn!$E$120" fmlaRange="Afgrnavn" noThreeD="1" val="34"/>
</file>

<file path=xl/ctrlProps/ctrlProp177.xml><?xml version="1.0" encoding="utf-8"?>
<formControlPr xmlns="http://schemas.microsoft.com/office/spreadsheetml/2009/9/main" objectType="Drop" dropStyle="combo" dx="16" fmlaLink="Regn!$G$120" fmlaRange="Efgrnavn" noThreeD="1" val="0"/>
</file>

<file path=xl/ctrlProps/ctrlProp178.xml><?xml version="1.0" encoding="utf-8"?>
<formControlPr xmlns="http://schemas.microsoft.com/office/spreadsheetml/2009/9/main" objectType="CheckBox" fmlaLink="Regn!$D$120" lockText="1" noThreeD="1"/>
</file>

<file path=xl/ctrlProps/ctrlProp179.xml><?xml version="1.0" encoding="utf-8"?>
<formControlPr xmlns="http://schemas.microsoft.com/office/spreadsheetml/2009/9/main" objectType="Drop" dropStyle="combo" dx="16" fmlaLink="Regn!$K$120" fmlaRange="Afgrnavn" noThreeD="1" val="0"/>
</file>

<file path=xl/ctrlProps/ctrlProp18.xml><?xml version="1.0" encoding="utf-8"?>
<formControlPr xmlns="http://schemas.microsoft.com/office/spreadsheetml/2009/9/main" objectType="Drop" dropStyle="combo" dx="16" fmlaLink="Regn!$G$36" fmlaRange="Efgrnavn" noThreeD="1" val="0"/>
</file>

<file path=xl/ctrlProps/ctrlProp180.xml><?xml version="1.0" encoding="utf-8"?>
<formControlPr xmlns="http://schemas.microsoft.com/office/spreadsheetml/2009/9/main" objectType="Drop" dropLines="2" dropStyle="combo" dx="16" fmlaLink="Regn!$F$120" fmlaRange="Halmanvendelsenavn" noThreeD="1" val="0"/>
</file>

<file path=xl/ctrlProps/ctrlProp181.xml><?xml version="1.0" encoding="utf-8"?>
<formControlPr xmlns="http://schemas.microsoft.com/office/spreadsheetml/2009/9/main" objectType="Drop" dropLines="3" dropStyle="combo" dx="16" fmlaLink="Regn!$H$120" fmlaRange="EfterafgrbehNavn" noThreeD="1" val="0"/>
</file>

<file path=xl/ctrlProps/ctrlProp182.xml><?xml version="1.0" encoding="utf-8"?>
<formControlPr xmlns="http://schemas.microsoft.com/office/spreadsheetml/2009/9/main" objectType="Drop" dropLines="3" dropStyle="combo" dx="16" fmlaLink="Regn!$I$120" fmlaRange="TorringNavn" noThreeD="1" val="0"/>
</file>

<file path=xl/ctrlProps/ctrlProp183.xml><?xml version="1.0" encoding="utf-8"?>
<formControlPr xmlns="http://schemas.microsoft.com/office/spreadsheetml/2009/9/main" objectType="Drop" dropStyle="combo" dx="16" fmlaLink="Regn!$B$122" fmlaRange="Afgrnavn" noThreeD="1" val="30"/>
</file>

<file path=xl/ctrlProps/ctrlProp184.xml><?xml version="1.0" encoding="utf-8"?>
<formControlPr xmlns="http://schemas.microsoft.com/office/spreadsheetml/2009/9/main" objectType="Drop" dropStyle="combo" dx="16" fmlaLink="Regn!$C$122" fmlaRange="Efgrnavn" noThreeD="1" val="0"/>
</file>

<file path=xl/ctrlProps/ctrlProp185.xml><?xml version="1.0" encoding="utf-8"?>
<formControlPr xmlns="http://schemas.microsoft.com/office/spreadsheetml/2009/9/main" objectType="Drop" dropStyle="combo" dx="16" fmlaLink="Regn!$E$122" fmlaRange="Afgrnavn" noThreeD="1" val="33"/>
</file>

<file path=xl/ctrlProps/ctrlProp186.xml><?xml version="1.0" encoding="utf-8"?>
<formControlPr xmlns="http://schemas.microsoft.com/office/spreadsheetml/2009/9/main" objectType="Drop" dropStyle="combo" dx="16" fmlaLink="Regn!$G$122" fmlaRange="Efgrnavn" noThreeD="1" val="0"/>
</file>

<file path=xl/ctrlProps/ctrlProp187.xml><?xml version="1.0" encoding="utf-8"?>
<formControlPr xmlns="http://schemas.microsoft.com/office/spreadsheetml/2009/9/main" objectType="CheckBox" fmlaLink="Regn!$D$122" lockText="1" noThreeD="1"/>
</file>

<file path=xl/ctrlProps/ctrlProp188.xml><?xml version="1.0" encoding="utf-8"?>
<formControlPr xmlns="http://schemas.microsoft.com/office/spreadsheetml/2009/9/main" objectType="Drop" dropStyle="combo" dx="16" fmlaLink="Regn!$K$122" fmlaRange="Afgrnavn" noThreeD="1" val="0"/>
</file>

<file path=xl/ctrlProps/ctrlProp189.xml><?xml version="1.0" encoding="utf-8"?>
<formControlPr xmlns="http://schemas.microsoft.com/office/spreadsheetml/2009/9/main" objectType="Drop" dropLines="2" dropStyle="combo" dx="16" fmlaLink="Regn!$F$122" fmlaRange="Halmanvendelsenavn" noThreeD="1" val="0"/>
</file>

<file path=xl/ctrlProps/ctrlProp19.xml><?xml version="1.0" encoding="utf-8"?>
<formControlPr xmlns="http://schemas.microsoft.com/office/spreadsheetml/2009/9/main" objectType="CheckBox" fmlaLink="Regn!$D$36" lockText="1" noThreeD="1"/>
</file>

<file path=xl/ctrlProps/ctrlProp190.xml><?xml version="1.0" encoding="utf-8"?>
<formControlPr xmlns="http://schemas.microsoft.com/office/spreadsheetml/2009/9/main" objectType="Drop" dropLines="3" dropStyle="combo" dx="16" fmlaLink="Regn!$H$122" fmlaRange="EfterafgrbehNavn" noThreeD="1" val="0"/>
</file>

<file path=xl/ctrlProps/ctrlProp191.xml><?xml version="1.0" encoding="utf-8"?>
<formControlPr xmlns="http://schemas.microsoft.com/office/spreadsheetml/2009/9/main" objectType="Drop" dropLines="3" dropStyle="combo" dx="16" fmlaLink="Regn!$I$122" fmlaRange="TorringNavn" noThreeD="1" val="0"/>
</file>

<file path=xl/ctrlProps/ctrlProp192.xml><?xml version="1.0" encoding="utf-8"?>
<formControlPr xmlns="http://schemas.microsoft.com/office/spreadsheetml/2009/9/main" objectType="Drop" dropStyle="combo" dx="16" fmlaLink="Regn!$B$124" fmlaRange="Afgrnavn" noThreeD="1" val="0"/>
</file>

<file path=xl/ctrlProps/ctrlProp193.xml><?xml version="1.0" encoding="utf-8"?>
<formControlPr xmlns="http://schemas.microsoft.com/office/spreadsheetml/2009/9/main" objectType="Drop" dropStyle="combo" dx="16" fmlaLink="Regn!$C$124" fmlaRange="Efgrnavn" noThreeD="1" val="0"/>
</file>

<file path=xl/ctrlProps/ctrlProp194.xml><?xml version="1.0" encoding="utf-8"?>
<formControlPr xmlns="http://schemas.microsoft.com/office/spreadsheetml/2009/9/main" objectType="Drop" dropStyle="combo" dx="16" fmlaLink="Regn!$E$124" fmlaRange="Afgrnavn" noThreeD="1" val="33"/>
</file>

<file path=xl/ctrlProps/ctrlProp195.xml><?xml version="1.0" encoding="utf-8"?>
<formControlPr xmlns="http://schemas.microsoft.com/office/spreadsheetml/2009/9/main" objectType="Drop" dropStyle="combo" dx="16" fmlaLink="Regn!$G$124" fmlaRange="Efgrnavn" noThreeD="1" val="0"/>
</file>

<file path=xl/ctrlProps/ctrlProp196.xml><?xml version="1.0" encoding="utf-8"?>
<formControlPr xmlns="http://schemas.microsoft.com/office/spreadsheetml/2009/9/main" objectType="CheckBox" fmlaLink="Regn!$D$124" lockText="1" noThreeD="1"/>
</file>

<file path=xl/ctrlProps/ctrlProp197.xml><?xml version="1.0" encoding="utf-8"?>
<formControlPr xmlns="http://schemas.microsoft.com/office/spreadsheetml/2009/9/main" objectType="Drop" dropStyle="combo" dx="16" fmlaLink="Regn!$K$124" fmlaRange="Afgrnavn" noThreeD="1" val="0"/>
</file>

<file path=xl/ctrlProps/ctrlProp198.xml><?xml version="1.0" encoding="utf-8"?>
<formControlPr xmlns="http://schemas.microsoft.com/office/spreadsheetml/2009/9/main" objectType="Drop" dropLines="2" dropStyle="combo" dx="16" fmlaLink="Regn!$F$124" fmlaRange="Halmanvendelsenavn" noThreeD="1" val="0"/>
</file>

<file path=xl/ctrlProps/ctrlProp199.xml><?xml version="1.0" encoding="utf-8"?>
<formControlPr xmlns="http://schemas.microsoft.com/office/spreadsheetml/2009/9/main" objectType="Drop" dropLines="3" dropStyle="combo" dx="16" fmlaLink="Regn!$H$124" fmlaRange="EfterafgrbehNavn" noThreeD="1" val="0"/>
</file>

<file path=xl/ctrlProps/ctrlProp2.xml><?xml version="1.0" encoding="utf-8"?>
<formControlPr xmlns="http://schemas.microsoft.com/office/spreadsheetml/2009/9/main" objectType="Drop" dropStyle="combo" dx="16" fmlaLink="Regn!$C$34" fmlaRange="Efgrnavn" noThreeD="1" val="0"/>
</file>

<file path=xl/ctrlProps/ctrlProp20.xml><?xml version="1.0" encoding="utf-8"?>
<formControlPr xmlns="http://schemas.microsoft.com/office/spreadsheetml/2009/9/main" objectType="Drop" dropStyle="combo" dx="16" fmlaLink="Regn!$K$36" fmlaRange="Afgrnavn" noThreeD="1" sel="35" val="34"/>
</file>

<file path=xl/ctrlProps/ctrlProp200.xml><?xml version="1.0" encoding="utf-8"?>
<formControlPr xmlns="http://schemas.microsoft.com/office/spreadsheetml/2009/9/main" objectType="Drop" dropLines="3" dropStyle="combo" dx="16" fmlaLink="Regn!$I$124" fmlaRange="TorringNavn" noThreeD="1" val="0"/>
</file>

<file path=xl/ctrlProps/ctrlProp201.xml><?xml version="1.0" encoding="utf-8"?>
<formControlPr xmlns="http://schemas.microsoft.com/office/spreadsheetml/2009/9/main" objectType="Drop" dropStyle="combo" dx="16" fmlaLink="Regn!$B$126" fmlaRange="Afgrnavn" noThreeD="1" val="0"/>
</file>

<file path=xl/ctrlProps/ctrlProp202.xml><?xml version="1.0" encoding="utf-8"?>
<formControlPr xmlns="http://schemas.microsoft.com/office/spreadsheetml/2009/9/main" objectType="Drop" dropStyle="combo" dx="16" fmlaLink="Regn!$C$126" fmlaRange="Efgrnavn" noThreeD="1" val="0"/>
</file>

<file path=xl/ctrlProps/ctrlProp203.xml><?xml version="1.0" encoding="utf-8"?>
<formControlPr xmlns="http://schemas.microsoft.com/office/spreadsheetml/2009/9/main" objectType="Drop" dropStyle="combo" dx="16" fmlaLink="Regn!$E$126" fmlaRange="Afgrnavn" noThreeD="1" val="35"/>
</file>

<file path=xl/ctrlProps/ctrlProp204.xml><?xml version="1.0" encoding="utf-8"?>
<formControlPr xmlns="http://schemas.microsoft.com/office/spreadsheetml/2009/9/main" objectType="Drop" dropStyle="combo" dx="16" fmlaLink="Regn!$G$126" fmlaRange="Efgrnavn" noThreeD="1" val="0"/>
</file>

<file path=xl/ctrlProps/ctrlProp205.xml><?xml version="1.0" encoding="utf-8"?>
<formControlPr xmlns="http://schemas.microsoft.com/office/spreadsheetml/2009/9/main" objectType="CheckBox" fmlaLink="Regn!$D$126" lockText="1" noThreeD="1"/>
</file>

<file path=xl/ctrlProps/ctrlProp206.xml><?xml version="1.0" encoding="utf-8"?>
<formControlPr xmlns="http://schemas.microsoft.com/office/spreadsheetml/2009/9/main" objectType="Drop" dropStyle="combo" dx="16" fmlaLink="Regn!$K$126" fmlaRange="Afgrnavn" noThreeD="1" val="0"/>
</file>

<file path=xl/ctrlProps/ctrlProp207.xml><?xml version="1.0" encoding="utf-8"?>
<formControlPr xmlns="http://schemas.microsoft.com/office/spreadsheetml/2009/9/main" objectType="Drop" dropLines="2" dropStyle="combo" dx="16" fmlaLink="Regn!$F$126" fmlaRange="Halmanvendelsenavn" noThreeD="1" val="0"/>
</file>

<file path=xl/ctrlProps/ctrlProp208.xml><?xml version="1.0" encoding="utf-8"?>
<formControlPr xmlns="http://schemas.microsoft.com/office/spreadsheetml/2009/9/main" objectType="Drop" dropLines="3" dropStyle="combo" dx="16" fmlaLink="Regn!$H$126" fmlaRange="EfterafgrbehNavn" noThreeD="1" val="0"/>
</file>

<file path=xl/ctrlProps/ctrlProp209.xml><?xml version="1.0" encoding="utf-8"?>
<formControlPr xmlns="http://schemas.microsoft.com/office/spreadsheetml/2009/9/main" objectType="Drop" dropLines="3" dropStyle="combo" dx="16" fmlaLink="Regn!$I$126" fmlaRange="TorringNavn" noThreeD="1" val="0"/>
</file>

<file path=xl/ctrlProps/ctrlProp21.xml><?xml version="1.0" encoding="utf-8"?>
<formControlPr xmlns="http://schemas.microsoft.com/office/spreadsheetml/2009/9/main" objectType="Drop" dropLines="2" dropStyle="combo" dx="16" fmlaLink="Regn!$F$36" fmlaRange="Halmanvendelsenavn" noThreeD="1" val="0"/>
</file>

<file path=xl/ctrlProps/ctrlProp210.xml><?xml version="1.0" encoding="utf-8"?>
<formControlPr xmlns="http://schemas.microsoft.com/office/spreadsheetml/2009/9/main" objectType="Drop" dropStyle="combo" dx="16" fmlaLink="Regn!$B$128" fmlaRange="Afgrnavn" noThreeD="1" val="0"/>
</file>

<file path=xl/ctrlProps/ctrlProp211.xml><?xml version="1.0" encoding="utf-8"?>
<formControlPr xmlns="http://schemas.microsoft.com/office/spreadsheetml/2009/9/main" objectType="Drop" dropStyle="combo" dx="16" fmlaLink="Regn!$C$128" fmlaRange="Efgrnavn" noThreeD="1" val="0"/>
</file>

<file path=xl/ctrlProps/ctrlProp212.xml><?xml version="1.0" encoding="utf-8"?>
<formControlPr xmlns="http://schemas.microsoft.com/office/spreadsheetml/2009/9/main" objectType="Drop" dropStyle="combo" dx="16" fmlaLink="Regn!$E$128" fmlaRange="Afgrnavn" noThreeD="1" val="0"/>
</file>

<file path=xl/ctrlProps/ctrlProp213.xml><?xml version="1.0" encoding="utf-8"?>
<formControlPr xmlns="http://schemas.microsoft.com/office/spreadsheetml/2009/9/main" objectType="Drop" dropStyle="combo" dx="16" fmlaLink="Regn!$G$128" fmlaRange="Efgrnavn" noThreeD="1" val="0"/>
</file>

<file path=xl/ctrlProps/ctrlProp214.xml><?xml version="1.0" encoding="utf-8"?>
<formControlPr xmlns="http://schemas.microsoft.com/office/spreadsheetml/2009/9/main" objectType="CheckBox" fmlaLink="Regn!$D$128" lockText="1" noThreeD="1"/>
</file>

<file path=xl/ctrlProps/ctrlProp215.xml><?xml version="1.0" encoding="utf-8"?>
<formControlPr xmlns="http://schemas.microsoft.com/office/spreadsheetml/2009/9/main" objectType="Drop" dropStyle="combo" dx="16" fmlaLink="Regn!$K$128" fmlaRange="Afgrnavn" noThreeD="1" val="0"/>
</file>

<file path=xl/ctrlProps/ctrlProp216.xml><?xml version="1.0" encoding="utf-8"?>
<formControlPr xmlns="http://schemas.microsoft.com/office/spreadsheetml/2009/9/main" objectType="Drop" dropLines="2" dropStyle="combo" dx="16" fmlaLink="Regn!$F$128" fmlaRange="Halmanvendelsenavn" noThreeD="1" val="0"/>
</file>

<file path=xl/ctrlProps/ctrlProp217.xml><?xml version="1.0" encoding="utf-8"?>
<formControlPr xmlns="http://schemas.microsoft.com/office/spreadsheetml/2009/9/main" objectType="Drop" dropLines="3" dropStyle="combo" dx="16" fmlaLink="Regn!$H$128" fmlaRange="EfterafgrbehNavn" noThreeD="1" val="0"/>
</file>

<file path=xl/ctrlProps/ctrlProp218.xml><?xml version="1.0" encoding="utf-8"?>
<formControlPr xmlns="http://schemas.microsoft.com/office/spreadsheetml/2009/9/main" objectType="Drop" dropLines="3" dropStyle="combo" dx="16" fmlaLink="Regn!$I$128" fmlaRange="TorringNavn" noThreeD="1" val="0"/>
</file>

<file path=xl/ctrlProps/ctrlProp219.xml><?xml version="1.0" encoding="utf-8"?>
<formControlPr xmlns="http://schemas.microsoft.com/office/spreadsheetml/2009/9/main" objectType="Drop" dropStyle="combo" dx="16" fmlaLink="Regn!$B$130" fmlaRange="Afgrnavn" noThreeD="1" val="0"/>
</file>

<file path=xl/ctrlProps/ctrlProp22.xml><?xml version="1.0" encoding="utf-8"?>
<formControlPr xmlns="http://schemas.microsoft.com/office/spreadsheetml/2009/9/main" objectType="Drop" dropLines="3" dropStyle="combo" dx="16" fmlaLink="Regn!$H$36" fmlaRange="EfterafgrbehNavn" noThreeD="1" val="0"/>
</file>

<file path=xl/ctrlProps/ctrlProp220.xml><?xml version="1.0" encoding="utf-8"?>
<formControlPr xmlns="http://schemas.microsoft.com/office/spreadsheetml/2009/9/main" objectType="Drop" dropStyle="combo" dx="16" fmlaLink="Regn!$C$130" fmlaRange="Efgrnavn" noThreeD="1" val="0"/>
</file>

<file path=xl/ctrlProps/ctrlProp221.xml><?xml version="1.0" encoding="utf-8"?>
<formControlPr xmlns="http://schemas.microsoft.com/office/spreadsheetml/2009/9/main" objectType="Drop" dropStyle="combo" dx="16" fmlaLink="Regn!$E$130" fmlaRange="Afgrnavn" noThreeD="1" val="0"/>
</file>

<file path=xl/ctrlProps/ctrlProp222.xml><?xml version="1.0" encoding="utf-8"?>
<formControlPr xmlns="http://schemas.microsoft.com/office/spreadsheetml/2009/9/main" objectType="Drop" dropStyle="combo" dx="16" fmlaLink="Regn!$G$130" fmlaRange="Efgrnavn" noThreeD="1" val="0"/>
</file>

<file path=xl/ctrlProps/ctrlProp223.xml><?xml version="1.0" encoding="utf-8"?>
<formControlPr xmlns="http://schemas.microsoft.com/office/spreadsheetml/2009/9/main" objectType="CheckBox" fmlaLink="Regn!$D$130" lockText="1" noThreeD="1"/>
</file>

<file path=xl/ctrlProps/ctrlProp224.xml><?xml version="1.0" encoding="utf-8"?>
<formControlPr xmlns="http://schemas.microsoft.com/office/spreadsheetml/2009/9/main" objectType="Drop" dropStyle="combo" dx="16" fmlaLink="Regn!$K$130" fmlaRange="Afgrnavn" noThreeD="1" val="0"/>
</file>

<file path=xl/ctrlProps/ctrlProp225.xml><?xml version="1.0" encoding="utf-8"?>
<formControlPr xmlns="http://schemas.microsoft.com/office/spreadsheetml/2009/9/main" objectType="Drop" dropLines="2" dropStyle="combo" dx="16" fmlaLink="Regn!$F$130" fmlaRange="Halmanvendelsenavn" noThreeD="1" val="0"/>
</file>

<file path=xl/ctrlProps/ctrlProp226.xml><?xml version="1.0" encoding="utf-8"?>
<formControlPr xmlns="http://schemas.microsoft.com/office/spreadsheetml/2009/9/main" objectType="Drop" dropLines="3" dropStyle="combo" dx="16" fmlaLink="Regn!$H$130" fmlaRange="EfterafgrbehNavn" noThreeD="1" val="0"/>
</file>

<file path=xl/ctrlProps/ctrlProp227.xml><?xml version="1.0" encoding="utf-8"?>
<formControlPr xmlns="http://schemas.microsoft.com/office/spreadsheetml/2009/9/main" objectType="Drop" dropLines="3" dropStyle="combo" dx="16" fmlaLink="Regn!$I$130" fmlaRange="TorringNavn" noThreeD="1" val="0"/>
</file>

<file path=xl/ctrlProps/ctrlProp228.xml><?xml version="1.0" encoding="utf-8"?>
<formControlPr xmlns="http://schemas.microsoft.com/office/spreadsheetml/2009/9/main" objectType="Drop" dropStyle="combo" dx="16" fmlaLink="Regn!$B138" fmlaRange="Afgrnavn" noThreeD="1" val="0"/>
</file>

<file path=xl/ctrlProps/ctrlProp229.xml><?xml version="1.0" encoding="utf-8"?>
<formControlPr xmlns="http://schemas.microsoft.com/office/spreadsheetml/2009/9/main" objectType="Drop" dropStyle="combo" dx="16" fmlaLink="Regn!$C138" fmlaRange="Efgrnavn" noThreeD="1" val="0"/>
</file>

<file path=xl/ctrlProps/ctrlProp23.xml><?xml version="1.0" encoding="utf-8"?>
<formControlPr xmlns="http://schemas.microsoft.com/office/spreadsheetml/2009/9/main" objectType="Drop" dropLines="3" dropStyle="combo" dx="16" fmlaLink="Regn!$I$36" fmlaRange="TorringNavn" noThreeD="1" val="0"/>
</file>

<file path=xl/ctrlProps/ctrlProp230.xml><?xml version="1.0" encoding="utf-8"?>
<formControlPr xmlns="http://schemas.microsoft.com/office/spreadsheetml/2009/9/main" objectType="Drop" dropStyle="combo" dx="16" fmlaLink="Regn!$E138" fmlaRange="Afgrnavn" noThreeD="1" val="0"/>
</file>

<file path=xl/ctrlProps/ctrlProp231.xml><?xml version="1.0" encoding="utf-8"?>
<formControlPr xmlns="http://schemas.microsoft.com/office/spreadsheetml/2009/9/main" objectType="Drop" dropStyle="combo" dx="16" fmlaLink="Regn!$G138" fmlaRange="Efgrnavn" noThreeD="1" val="0"/>
</file>

<file path=xl/ctrlProps/ctrlProp232.xml><?xml version="1.0" encoding="utf-8"?>
<formControlPr xmlns="http://schemas.microsoft.com/office/spreadsheetml/2009/9/main" objectType="CheckBox" fmlaLink="Regn!$D$138" lockText="1" noThreeD="1"/>
</file>

<file path=xl/ctrlProps/ctrlProp233.xml><?xml version="1.0" encoding="utf-8"?>
<formControlPr xmlns="http://schemas.microsoft.com/office/spreadsheetml/2009/9/main" objectType="Drop" dropStyle="combo" dx="16" fmlaLink="Regn!$K138" fmlaRange="Afgrnavn" noThreeD="1" val="0"/>
</file>

<file path=xl/ctrlProps/ctrlProp234.xml><?xml version="1.0" encoding="utf-8"?>
<formControlPr xmlns="http://schemas.microsoft.com/office/spreadsheetml/2009/9/main" objectType="Drop" dropLines="2" dropStyle="combo" dx="16" fmlaLink="Regn!$F138" fmlaRange="Halmanvendelsenavn" noThreeD="1" val="0"/>
</file>

<file path=xl/ctrlProps/ctrlProp235.xml><?xml version="1.0" encoding="utf-8"?>
<formControlPr xmlns="http://schemas.microsoft.com/office/spreadsheetml/2009/9/main" objectType="Drop" dropLines="3" dropStyle="combo" dx="16" fmlaLink="Regn!$H138" fmlaRange="EfterafgrbehNavn" noThreeD="1" val="0"/>
</file>

<file path=xl/ctrlProps/ctrlProp236.xml><?xml version="1.0" encoding="utf-8"?>
<formControlPr xmlns="http://schemas.microsoft.com/office/spreadsheetml/2009/9/main" objectType="Drop" dropLines="3" dropStyle="combo" dx="16" fmlaLink="Regn!$I138" fmlaRange="TorringNavn" noThreeD="1" val="0"/>
</file>

<file path=xl/ctrlProps/ctrlProp237.xml><?xml version="1.0" encoding="utf-8"?>
<formControlPr xmlns="http://schemas.microsoft.com/office/spreadsheetml/2009/9/main" objectType="Drop" dropStyle="combo" dx="16" fmlaLink="Regn!$B140" fmlaRange="Afgrnavn" noThreeD="1" val="0"/>
</file>

<file path=xl/ctrlProps/ctrlProp238.xml><?xml version="1.0" encoding="utf-8"?>
<formControlPr xmlns="http://schemas.microsoft.com/office/spreadsheetml/2009/9/main" objectType="Drop" dropStyle="combo" dx="16" fmlaLink="Regn!$C140" fmlaRange="Efgrnavn" noThreeD="1" val="0"/>
</file>

<file path=xl/ctrlProps/ctrlProp239.xml><?xml version="1.0" encoding="utf-8"?>
<formControlPr xmlns="http://schemas.microsoft.com/office/spreadsheetml/2009/9/main" objectType="Drop" dropStyle="combo" dx="16" fmlaLink="Regn!$E140" fmlaRange="Afgrnavn" noThreeD="1" val="0"/>
</file>

<file path=xl/ctrlProps/ctrlProp24.xml><?xml version="1.0" encoding="utf-8"?>
<formControlPr xmlns="http://schemas.microsoft.com/office/spreadsheetml/2009/9/main" objectType="Drop" dropStyle="combo" dx="16" fmlaLink="Regn!$B$38" fmlaRange="Afgrnavn" noThreeD="1" val="0"/>
</file>

<file path=xl/ctrlProps/ctrlProp240.xml><?xml version="1.0" encoding="utf-8"?>
<formControlPr xmlns="http://schemas.microsoft.com/office/spreadsheetml/2009/9/main" objectType="Drop" dropStyle="combo" dx="16" fmlaLink="Regn!$G140" fmlaRange="Efgrnavn" noThreeD="1" val="0"/>
</file>

<file path=xl/ctrlProps/ctrlProp241.xml><?xml version="1.0" encoding="utf-8"?>
<formControlPr xmlns="http://schemas.microsoft.com/office/spreadsheetml/2009/9/main" objectType="CheckBox" fmlaLink="Regn!$D$140" lockText="1" noThreeD="1"/>
</file>

<file path=xl/ctrlProps/ctrlProp242.xml><?xml version="1.0" encoding="utf-8"?>
<formControlPr xmlns="http://schemas.microsoft.com/office/spreadsheetml/2009/9/main" objectType="Drop" dropStyle="combo" dx="16" fmlaLink="Regn!$K140" fmlaRange="Afgrnavn" noThreeD="1" val="0"/>
</file>

<file path=xl/ctrlProps/ctrlProp243.xml><?xml version="1.0" encoding="utf-8"?>
<formControlPr xmlns="http://schemas.microsoft.com/office/spreadsheetml/2009/9/main" objectType="Drop" dropLines="2" dropStyle="combo" dx="16" fmlaLink="Regn!$F138" fmlaRange="Halmanvendelsenavn" noThreeD="1" val="0"/>
</file>

<file path=xl/ctrlProps/ctrlProp244.xml><?xml version="1.0" encoding="utf-8"?>
<formControlPr xmlns="http://schemas.microsoft.com/office/spreadsheetml/2009/9/main" objectType="Drop" dropLines="3" dropStyle="combo" dx="16" fmlaLink="Regn!$H140" fmlaRange="EfterafgrbehNavn" noThreeD="1" val="0"/>
</file>

<file path=xl/ctrlProps/ctrlProp245.xml><?xml version="1.0" encoding="utf-8"?>
<formControlPr xmlns="http://schemas.microsoft.com/office/spreadsheetml/2009/9/main" objectType="Drop" dropLines="3" dropStyle="combo" dx="16" fmlaLink="Regn!$I140" fmlaRange="TorringNavn" noThreeD="1" val="0"/>
</file>

<file path=xl/ctrlProps/ctrlProp246.xml><?xml version="1.0" encoding="utf-8"?>
<formControlPr xmlns="http://schemas.microsoft.com/office/spreadsheetml/2009/9/main" objectType="Drop" dropStyle="combo" dx="16" fmlaLink="Regn!$B142" fmlaRange="Afgrnavn" noThreeD="1" val="0"/>
</file>

<file path=xl/ctrlProps/ctrlProp247.xml><?xml version="1.0" encoding="utf-8"?>
<formControlPr xmlns="http://schemas.microsoft.com/office/spreadsheetml/2009/9/main" objectType="Drop" dropStyle="combo" dx="16" fmlaLink="Regn!$C142" fmlaRange="Efgrnavn" noThreeD="1" val="0"/>
</file>

<file path=xl/ctrlProps/ctrlProp248.xml><?xml version="1.0" encoding="utf-8"?>
<formControlPr xmlns="http://schemas.microsoft.com/office/spreadsheetml/2009/9/main" objectType="Drop" dropStyle="combo" dx="16" fmlaLink="Regn!$E142" fmlaRange="Afgrnavn" noThreeD="1" val="0"/>
</file>

<file path=xl/ctrlProps/ctrlProp249.xml><?xml version="1.0" encoding="utf-8"?>
<formControlPr xmlns="http://schemas.microsoft.com/office/spreadsheetml/2009/9/main" objectType="Drop" dropStyle="combo" dx="16" fmlaLink="Regn!$G142" fmlaRange="Efgrnavn" noThreeD="1" val="0"/>
</file>

<file path=xl/ctrlProps/ctrlProp25.xml><?xml version="1.0" encoding="utf-8"?>
<formControlPr xmlns="http://schemas.microsoft.com/office/spreadsheetml/2009/9/main" objectType="Drop" dropStyle="combo" dx="16" fmlaLink="Regn!$C$38" fmlaRange="Efgrnavn" noThreeD="1" val="0"/>
</file>

<file path=xl/ctrlProps/ctrlProp250.xml><?xml version="1.0" encoding="utf-8"?>
<formControlPr xmlns="http://schemas.microsoft.com/office/spreadsheetml/2009/9/main" objectType="CheckBox" fmlaLink="Regn!$D$142" lockText="1" noThreeD="1"/>
</file>

<file path=xl/ctrlProps/ctrlProp251.xml><?xml version="1.0" encoding="utf-8"?>
<formControlPr xmlns="http://schemas.microsoft.com/office/spreadsheetml/2009/9/main" objectType="Drop" dropStyle="combo" dx="16" fmlaLink="Regn!$K142" fmlaRange="Afgrnavn" noThreeD="1" val="0"/>
</file>

<file path=xl/ctrlProps/ctrlProp252.xml><?xml version="1.0" encoding="utf-8"?>
<formControlPr xmlns="http://schemas.microsoft.com/office/spreadsheetml/2009/9/main" objectType="Drop" dropLines="2" dropStyle="combo" dx="16" fmlaLink="Regn!$F140" fmlaRange="Halmanvendelsenavn" noThreeD="1" val="0"/>
</file>

<file path=xl/ctrlProps/ctrlProp253.xml><?xml version="1.0" encoding="utf-8"?>
<formControlPr xmlns="http://schemas.microsoft.com/office/spreadsheetml/2009/9/main" objectType="Drop" dropLines="3" dropStyle="combo" dx="16" fmlaLink="Regn!$H142" fmlaRange="EfterafgrbehNavn" noThreeD="1" val="0"/>
</file>

<file path=xl/ctrlProps/ctrlProp254.xml><?xml version="1.0" encoding="utf-8"?>
<formControlPr xmlns="http://schemas.microsoft.com/office/spreadsheetml/2009/9/main" objectType="Drop" dropLines="3" dropStyle="combo" dx="16" fmlaLink="Regn!$I142" fmlaRange="TorringNavn" noThreeD="1" val="0"/>
</file>

<file path=xl/ctrlProps/ctrlProp255.xml><?xml version="1.0" encoding="utf-8"?>
<formControlPr xmlns="http://schemas.microsoft.com/office/spreadsheetml/2009/9/main" objectType="Drop" dropStyle="combo" dx="16" fmlaLink="Regn!$B144" fmlaRange="Afgrnavn" noThreeD="1" val="0"/>
</file>

<file path=xl/ctrlProps/ctrlProp256.xml><?xml version="1.0" encoding="utf-8"?>
<formControlPr xmlns="http://schemas.microsoft.com/office/spreadsheetml/2009/9/main" objectType="Drop" dropStyle="combo" dx="16" fmlaLink="Regn!$C144" fmlaRange="Efgrnavn" noThreeD="1" val="0"/>
</file>

<file path=xl/ctrlProps/ctrlProp257.xml><?xml version="1.0" encoding="utf-8"?>
<formControlPr xmlns="http://schemas.microsoft.com/office/spreadsheetml/2009/9/main" objectType="Drop" dropStyle="combo" dx="16" fmlaLink="Regn!$E144" fmlaRange="Afgrnavn" noThreeD="1" val="0"/>
</file>

<file path=xl/ctrlProps/ctrlProp258.xml><?xml version="1.0" encoding="utf-8"?>
<formControlPr xmlns="http://schemas.microsoft.com/office/spreadsheetml/2009/9/main" objectType="Drop" dropStyle="combo" dx="16" fmlaLink="Regn!$G144" fmlaRange="Efgrnavn" noThreeD="1" val="0"/>
</file>

<file path=xl/ctrlProps/ctrlProp259.xml><?xml version="1.0" encoding="utf-8"?>
<formControlPr xmlns="http://schemas.microsoft.com/office/spreadsheetml/2009/9/main" objectType="CheckBox" fmlaLink="Regn!$D$144" lockText="1" noThreeD="1"/>
</file>

<file path=xl/ctrlProps/ctrlProp26.xml><?xml version="1.0" encoding="utf-8"?>
<formControlPr xmlns="http://schemas.microsoft.com/office/spreadsheetml/2009/9/main" objectType="Drop" dropStyle="combo" dx="16" fmlaLink="Regn!$E$38" fmlaRange="Afgrnavn" noThreeD="1" val="0"/>
</file>

<file path=xl/ctrlProps/ctrlProp260.xml><?xml version="1.0" encoding="utf-8"?>
<formControlPr xmlns="http://schemas.microsoft.com/office/spreadsheetml/2009/9/main" objectType="Drop" dropStyle="combo" dx="16" fmlaLink="Regn!$K144" fmlaRange="Afgrnavn" noThreeD="1" val="0"/>
</file>

<file path=xl/ctrlProps/ctrlProp261.xml><?xml version="1.0" encoding="utf-8"?>
<formControlPr xmlns="http://schemas.microsoft.com/office/spreadsheetml/2009/9/main" objectType="Drop" dropLines="2" dropStyle="combo" dx="16" fmlaLink="Regn!$F144" fmlaRange="Halmanvendelsenavn" noThreeD="1" val="0"/>
</file>

<file path=xl/ctrlProps/ctrlProp262.xml><?xml version="1.0" encoding="utf-8"?>
<formControlPr xmlns="http://schemas.microsoft.com/office/spreadsheetml/2009/9/main" objectType="Drop" dropLines="3" dropStyle="combo" dx="16" fmlaLink="Regn!$H144" fmlaRange="EfterafgrbehNavn" noThreeD="1" val="0"/>
</file>

<file path=xl/ctrlProps/ctrlProp263.xml><?xml version="1.0" encoding="utf-8"?>
<formControlPr xmlns="http://schemas.microsoft.com/office/spreadsheetml/2009/9/main" objectType="Drop" dropLines="3" dropStyle="combo" dx="16" fmlaLink="Regn!$I144" fmlaRange="TorringNavn" noThreeD="1" val="0"/>
</file>

<file path=xl/ctrlProps/ctrlProp264.xml><?xml version="1.0" encoding="utf-8"?>
<formControlPr xmlns="http://schemas.microsoft.com/office/spreadsheetml/2009/9/main" objectType="Drop" dropStyle="combo" dx="16" fmlaLink="Regn!$B146" fmlaRange="Afgrnavn" noThreeD="1" val="0"/>
</file>

<file path=xl/ctrlProps/ctrlProp265.xml><?xml version="1.0" encoding="utf-8"?>
<formControlPr xmlns="http://schemas.microsoft.com/office/spreadsheetml/2009/9/main" objectType="Drop" dropStyle="combo" dx="16" fmlaLink="Regn!$C146" fmlaRange="Efgrnavn" noThreeD="1" val="0"/>
</file>

<file path=xl/ctrlProps/ctrlProp266.xml><?xml version="1.0" encoding="utf-8"?>
<formControlPr xmlns="http://schemas.microsoft.com/office/spreadsheetml/2009/9/main" objectType="Drop" dropStyle="combo" dx="16" fmlaLink="Regn!$E146" fmlaRange="Afgrnavn" noThreeD="1" val="0"/>
</file>

<file path=xl/ctrlProps/ctrlProp267.xml><?xml version="1.0" encoding="utf-8"?>
<formControlPr xmlns="http://schemas.microsoft.com/office/spreadsheetml/2009/9/main" objectType="Drop" dropStyle="combo" dx="16" fmlaLink="Regn!$G146" fmlaRange="Efgrnavn" noThreeD="1" val="0"/>
</file>

<file path=xl/ctrlProps/ctrlProp268.xml><?xml version="1.0" encoding="utf-8"?>
<formControlPr xmlns="http://schemas.microsoft.com/office/spreadsheetml/2009/9/main" objectType="CheckBox" fmlaLink="Regn!$D$146" lockText="1" noThreeD="1"/>
</file>

<file path=xl/ctrlProps/ctrlProp269.xml><?xml version="1.0" encoding="utf-8"?>
<formControlPr xmlns="http://schemas.microsoft.com/office/spreadsheetml/2009/9/main" objectType="Drop" dropStyle="combo" dx="16" fmlaLink="Regn!$K146" fmlaRange="Afgrnavn" noThreeD="1" val="0"/>
</file>

<file path=xl/ctrlProps/ctrlProp27.xml><?xml version="1.0" encoding="utf-8"?>
<formControlPr xmlns="http://schemas.microsoft.com/office/spreadsheetml/2009/9/main" objectType="Drop" dropStyle="combo" dx="16" fmlaLink="Regn!$G$38" fmlaRange="Efgrnavn" noThreeD="1" val="0"/>
</file>

<file path=xl/ctrlProps/ctrlProp270.xml><?xml version="1.0" encoding="utf-8"?>
<formControlPr xmlns="http://schemas.microsoft.com/office/spreadsheetml/2009/9/main" objectType="Drop" dropLines="2" dropStyle="combo" dx="16" fmlaLink="Regn!$F146" fmlaRange="Halmanvendelsenavn" noThreeD="1" val="0"/>
</file>

<file path=xl/ctrlProps/ctrlProp271.xml><?xml version="1.0" encoding="utf-8"?>
<formControlPr xmlns="http://schemas.microsoft.com/office/spreadsheetml/2009/9/main" objectType="Drop" dropLines="3" dropStyle="combo" dx="16" fmlaLink="Regn!$H146" fmlaRange="EfterafgrbehNavn" noThreeD="1" val="0"/>
</file>

<file path=xl/ctrlProps/ctrlProp272.xml><?xml version="1.0" encoding="utf-8"?>
<formControlPr xmlns="http://schemas.microsoft.com/office/spreadsheetml/2009/9/main" objectType="Drop" dropLines="3" dropStyle="combo" dx="16" fmlaLink="Regn!$I146" fmlaRange="TorringNavn" noThreeD="1" val="0"/>
</file>

<file path=xl/ctrlProps/ctrlProp273.xml><?xml version="1.0" encoding="utf-8"?>
<formControlPr xmlns="http://schemas.microsoft.com/office/spreadsheetml/2009/9/main" objectType="Drop" dropStyle="combo" dx="16" fmlaLink="Regn!$B148" fmlaRange="Afgrnavn" noThreeD="1" val="0"/>
</file>

<file path=xl/ctrlProps/ctrlProp274.xml><?xml version="1.0" encoding="utf-8"?>
<formControlPr xmlns="http://schemas.microsoft.com/office/spreadsheetml/2009/9/main" objectType="Drop" dropStyle="combo" dx="16" fmlaLink="Regn!$C148" fmlaRange="Efgrnavn" noThreeD="1" val="0"/>
</file>

<file path=xl/ctrlProps/ctrlProp275.xml><?xml version="1.0" encoding="utf-8"?>
<formControlPr xmlns="http://schemas.microsoft.com/office/spreadsheetml/2009/9/main" objectType="Drop" dropStyle="combo" dx="16" fmlaLink="Regn!$E148" fmlaRange="Afgrnavn" noThreeD="1" val="0"/>
</file>

<file path=xl/ctrlProps/ctrlProp276.xml><?xml version="1.0" encoding="utf-8"?>
<formControlPr xmlns="http://schemas.microsoft.com/office/spreadsheetml/2009/9/main" objectType="Drop" dropStyle="combo" dx="16" fmlaLink="Regn!$G148" fmlaRange="Efgrnavn" noThreeD="1" val="0"/>
</file>

<file path=xl/ctrlProps/ctrlProp277.xml><?xml version="1.0" encoding="utf-8"?>
<formControlPr xmlns="http://schemas.microsoft.com/office/spreadsheetml/2009/9/main" objectType="CheckBox" fmlaLink="Regn!$D$148" lockText="1" noThreeD="1"/>
</file>

<file path=xl/ctrlProps/ctrlProp278.xml><?xml version="1.0" encoding="utf-8"?>
<formControlPr xmlns="http://schemas.microsoft.com/office/spreadsheetml/2009/9/main" objectType="Drop" dropStyle="combo" dx="16" fmlaLink="Regn!$K148" fmlaRange="Afgrnavn" noThreeD="1" val="0"/>
</file>

<file path=xl/ctrlProps/ctrlProp279.xml><?xml version="1.0" encoding="utf-8"?>
<formControlPr xmlns="http://schemas.microsoft.com/office/spreadsheetml/2009/9/main" objectType="Drop" dropLines="2" dropStyle="combo" dx="16" fmlaLink="Regn!$F148" fmlaRange="Halmanvendelsenavn" noThreeD="1" val="0"/>
</file>

<file path=xl/ctrlProps/ctrlProp28.xml><?xml version="1.0" encoding="utf-8"?>
<formControlPr xmlns="http://schemas.microsoft.com/office/spreadsheetml/2009/9/main" objectType="CheckBox" fmlaLink="Regn!$D$38" lockText="1" noThreeD="1"/>
</file>

<file path=xl/ctrlProps/ctrlProp280.xml><?xml version="1.0" encoding="utf-8"?>
<formControlPr xmlns="http://schemas.microsoft.com/office/spreadsheetml/2009/9/main" objectType="Drop" dropLines="3" dropStyle="combo" dx="16" fmlaLink="Regn!$H148" fmlaRange="EfterafgrbehNavn" noThreeD="1" val="0"/>
</file>

<file path=xl/ctrlProps/ctrlProp281.xml><?xml version="1.0" encoding="utf-8"?>
<formControlPr xmlns="http://schemas.microsoft.com/office/spreadsheetml/2009/9/main" objectType="Drop" dropLines="3" dropStyle="combo" dx="16" fmlaLink="Regn!$I148" fmlaRange="TorringNavn" noThreeD="1" val="0"/>
</file>

<file path=xl/ctrlProps/ctrlProp282.xml><?xml version="1.0" encoding="utf-8"?>
<formControlPr xmlns="http://schemas.microsoft.com/office/spreadsheetml/2009/9/main" objectType="Drop" dropStyle="combo" dx="16" fmlaLink="Regn!$B150" fmlaRange="Afgrnavn" noThreeD="1" val="0"/>
</file>

<file path=xl/ctrlProps/ctrlProp283.xml><?xml version="1.0" encoding="utf-8"?>
<formControlPr xmlns="http://schemas.microsoft.com/office/spreadsheetml/2009/9/main" objectType="Drop" dropStyle="combo" dx="16" fmlaLink="Regn!$C150" fmlaRange="Efgrnavn" noThreeD="1" val="0"/>
</file>

<file path=xl/ctrlProps/ctrlProp284.xml><?xml version="1.0" encoding="utf-8"?>
<formControlPr xmlns="http://schemas.microsoft.com/office/spreadsheetml/2009/9/main" objectType="Drop" dropStyle="combo" dx="16" fmlaLink="Regn!$E150" fmlaRange="Afgrnavn" noThreeD="1" val="0"/>
</file>

<file path=xl/ctrlProps/ctrlProp285.xml><?xml version="1.0" encoding="utf-8"?>
<formControlPr xmlns="http://schemas.microsoft.com/office/spreadsheetml/2009/9/main" objectType="Drop" dropStyle="combo" dx="16" fmlaLink="Regn!$G150" fmlaRange="Efgrnavn" noThreeD="1" val="0"/>
</file>

<file path=xl/ctrlProps/ctrlProp286.xml><?xml version="1.0" encoding="utf-8"?>
<formControlPr xmlns="http://schemas.microsoft.com/office/spreadsheetml/2009/9/main" objectType="CheckBox" fmlaLink="Regn!$D$150" lockText="1" noThreeD="1"/>
</file>

<file path=xl/ctrlProps/ctrlProp287.xml><?xml version="1.0" encoding="utf-8"?>
<formControlPr xmlns="http://schemas.microsoft.com/office/spreadsheetml/2009/9/main" objectType="Drop" dropStyle="combo" dx="16" fmlaLink="Regn!$K150" fmlaRange="Afgrnavn" noThreeD="1" val="0"/>
</file>

<file path=xl/ctrlProps/ctrlProp288.xml><?xml version="1.0" encoding="utf-8"?>
<formControlPr xmlns="http://schemas.microsoft.com/office/spreadsheetml/2009/9/main" objectType="Drop" dropLines="2" dropStyle="combo" dx="16" fmlaLink="Regn!$F150" fmlaRange="Halmanvendelsenavn" noThreeD="1" val="0"/>
</file>

<file path=xl/ctrlProps/ctrlProp289.xml><?xml version="1.0" encoding="utf-8"?>
<formControlPr xmlns="http://schemas.microsoft.com/office/spreadsheetml/2009/9/main" objectType="Drop" dropLines="3" dropStyle="combo" dx="16" fmlaLink="Regn!$H150" fmlaRange="EfterafgrbehNavn" noThreeD="1" val="0"/>
</file>

<file path=xl/ctrlProps/ctrlProp29.xml><?xml version="1.0" encoding="utf-8"?>
<formControlPr xmlns="http://schemas.microsoft.com/office/spreadsheetml/2009/9/main" objectType="Drop" dropStyle="combo" dx="16" fmlaLink="Regn!$K$38" fmlaRange="Afgrnavn" noThreeD="1" val="33"/>
</file>

<file path=xl/ctrlProps/ctrlProp290.xml><?xml version="1.0" encoding="utf-8"?>
<formControlPr xmlns="http://schemas.microsoft.com/office/spreadsheetml/2009/9/main" objectType="Drop" dropLines="3" dropStyle="combo" dx="16" fmlaLink="Regn!$I150" fmlaRange="TorringNavn" noThreeD="1" val="0"/>
</file>

<file path=xl/ctrlProps/ctrlProp291.xml><?xml version="1.0" encoding="utf-8"?>
<formControlPr xmlns="http://schemas.microsoft.com/office/spreadsheetml/2009/9/main" objectType="Drop" dropStyle="combo" dx="16" fmlaLink="Regn!$B152" fmlaRange="Afgrnavn" noThreeD="1" val="0"/>
</file>

<file path=xl/ctrlProps/ctrlProp292.xml><?xml version="1.0" encoding="utf-8"?>
<formControlPr xmlns="http://schemas.microsoft.com/office/spreadsheetml/2009/9/main" objectType="Drop" dropStyle="combo" dx="16" fmlaLink="Regn!$C152" fmlaRange="Efgrnavn" noThreeD="1" val="0"/>
</file>

<file path=xl/ctrlProps/ctrlProp293.xml><?xml version="1.0" encoding="utf-8"?>
<formControlPr xmlns="http://schemas.microsoft.com/office/spreadsheetml/2009/9/main" objectType="Drop" dropStyle="combo" dx="16" fmlaLink="Regn!$E152" fmlaRange="Afgrnavn" noThreeD="1" val="0"/>
</file>

<file path=xl/ctrlProps/ctrlProp294.xml><?xml version="1.0" encoding="utf-8"?>
<formControlPr xmlns="http://schemas.microsoft.com/office/spreadsheetml/2009/9/main" objectType="Drop" dropStyle="combo" dx="16" fmlaLink="Regn!$G152" fmlaRange="Efgrnavn" noThreeD="1" val="0"/>
</file>

<file path=xl/ctrlProps/ctrlProp295.xml><?xml version="1.0" encoding="utf-8"?>
<formControlPr xmlns="http://schemas.microsoft.com/office/spreadsheetml/2009/9/main" objectType="CheckBox" checked="Checked" fmlaLink="Regn!$D$152" lockText="1" noThreeD="1"/>
</file>

<file path=xl/ctrlProps/ctrlProp296.xml><?xml version="1.0" encoding="utf-8"?>
<formControlPr xmlns="http://schemas.microsoft.com/office/spreadsheetml/2009/9/main" objectType="Drop" dropStyle="combo" dx="16" fmlaLink="Regn!$K152" fmlaRange="Afgrnavn" noThreeD="1" val="0"/>
</file>

<file path=xl/ctrlProps/ctrlProp297.xml><?xml version="1.0" encoding="utf-8"?>
<formControlPr xmlns="http://schemas.microsoft.com/office/spreadsheetml/2009/9/main" objectType="Drop" dropLines="2" dropStyle="combo" dx="16" fmlaLink="Regn!$F152" fmlaRange="Halmanvendelsenavn" noThreeD="1" val="0"/>
</file>

<file path=xl/ctrlProps/ctrlProp298.xml><?xml version="1.0" encoding="utf-8"?>
<formControlPr xmlns="http://schemas.microsoft.com/office/spreadsheetml/2009/9/main" objectType="Drop" dropLines="3" dropStyle="combo" dx="16" fmlaLink="Regn!$H152" fmlaRange="EfterafgrbehNavn" noThreeD="1" val="0"/>
</file>

<file path=xl/ctrlProps/ctrlProp299.xml><?xml version="1.0" encoding="utf-8"?>
<formControlPr xmlns="http://schemas.microsoft.com/office/spreadsheetml/2009/9/main" objectType="Drop" dropLines="3" dropStyle="combo" dx="16" fmlaLink="Regn!$I152" fmlaRange="TorringNavn" noThreeD="1" val="0"/>
</file>

<file path=xl/ctrlProps/ctrlProp3.xml><?xml version="1.0" encoding="utf-8"?>
<formControlPr xmlns="http://schemas.microsoft.com/office/spreadsheetml/2009/9/main" objectType="Drop" dropStyle="combo" dx="16" fmlaLink="Regn!$E$34" fmlaRange="Afgrnavn" noThreeD="1" sel="37" val="33"/>
</file>

<file path=xl/ctrlProps/ctrlProp30.xml><?xml version="1.0" encoding="utf-8"?>
<formControlPr xmlns="http://schemas.microsoft.com/office/spreadsheetml/2009/9/main" objectType="Drop" dropLines="2" dropStyle="combo" dx="16" fmlaLink="Regn!$F$38" fmlaRange="Halmanvendelsenavn" noThreeD="1" val="0"/>
</file>

<file path=xl/ctrlProps/ctrlProp300.xml><?xml version="1.0" encoding="utf-8"?>
<formControlPr xmlns="http://schemas.microsoft.com/office/spreadsheetml/2009/9/main" objectType="Drop" dropLines="2" dropStyle="combo" dx="16" fmlaLink="Regn!$H$110" fmlaRange="ReglerNavn" noThreeD="1" sel="2" val="0"/>
</file>

<file path=xl/ctrlProps/ctrlProp301.xml><?xml version="1.0" encoding="utf-8"?>
<formControlPr xmlns="http://schemas.microsoft.com/office/spreadsheetml/2009/9/main" objectType="Drop" dropLines="3" dropStyle="combo" dx="16" fmlaLink="Regn!$I$118" fmlaRange="TorringNavn" noThreeD="1" val="0"/>
</file>

<file path=xl/ctrlProps/ctrlProp302.xml><?xml version="1.0" encoding="utf-8"?>
<formControlPr xmlns="http://schemas.microsoft.com/office/spreadsheetml/2009/9/main" objectType="Drop" dropLines="3" dropStyle="combo" dx="16" fmlaLink="Regn!$I$120" fmlaRange="TorringNavn" noThreeD="1" val="0"/>
</file>

<file path=xl/ctrlProps/ctrlProp303.xml><?xml version="1.0" encoding="utf-8"?>
<formControlPr xmlns="http://schemas.microsoft.com/office/spreadsheetml/2009/9/main" objectType="Drop" dropLines="3" dropStyle="combo" dx="16" fmlaLink="Regn!$I$122" fmlaRange="TorringNavn" noThreeD="1" val="0"/>
</file>

<file path=xl/ctrlProps/ctrlProp304.xml><?xml version="1.0" encoding="utf-8"?>
<formControlPr xmlns="http://schemas.microsoft.com/office/spreadsheetml/2009/9/main" objectType="Drop" dropLines="3" dropStyle="combo" dx="16" fmlaLink="Regn!$I$124" fmlaRange="TorringNavn" noThreeD="1" val="0"/>
</file>

<file path=xl/ctrlProps/ctrlProp305.xml><?xml version="1.0" encoding="utf-8"?>
<formControlPr xmlns="http://schemas.microsoft.com/office/spreadsheetml/2009/9/main" objectType="Drop" dropLines="3" dropStyle="combo" dx="16" fmlaLink="Regn!$I$126" fmlaRange="TorringNavn" noThreeD="1" val="0"/>
</file>

<file path=xl/ctrlProps/ctrlProp306.xml><?xml version="1.0" encoding="utf-8"?>
<formControlPr xmlns="http://schemas.microsoft.com/office/spreadsheetml/2009/9/main" objectType="Drop" dropLines="3" dropStyle="combo" dx="16" fmlaLink="Regn!$I$128" fmlaRange="TorringNavn" noThreeD="1" val="0"/>
</file>

<file path=xl/ctrlProps/ctrlProp307.xml><?xml version="1.0" encoding="utf-8"?>
<formControlPr xmlns="http://schemas.microsoft.com/office/spreadsheetml/2009/9/main" objectType="Drop" dropLines="3" dropStyle="combo" dx="16" fmlaLink="Regn!$I$130" fmlaRange="TorringNavn" noThreeD="1" val="0"/>
</file>

<file path=xl/ctrlProps/ctrlProp308.xml><?xml version="1.0" encoding="utf-8"?>
<formControlPr xmlns="http://schemas.microsoft.com/office/spreadsheetml/2009/9/main" objectType="Drop" dropLines="3" dropStyle="combo" dx="16" fmlaLink="Regn!$I$138" fmlaRange="TorringNavn" noThreeD="1" val="0"/>
</file>

<file path=xl/ctrlProps/ctrlProp309.xml><?xml version="1.0" encoding="utf-8"?>
<formControlPr xmlns="http://schemas.microsoft.com/office/spreadsheetml/2009/9/main" objectType="Drop" dropLines="3" dropStyle="combo" dx="16" fmlaLink="Regn!$I$140" fmlaRange="TorringNavn" noThreeD="1" val="0"/>
</file>

<file path=xl/ctrlProps/ctrlProp31.xml><?xml version="1.0" encoding="utf-8"?>
<formControlPr xmlns="http://schemas.microsoft.com/office/spreadsheetml/2009/9/main" objectType="Drop" dropLines="3" dropStyle="combo" dx="16" fmlaLink="Regn!$H$38" fmlaRange="EfterafgrbehNavn" noThreeD="1" val="0"/>
</file>

<file path=xl/ctrlProps/ctrlProp310.xml><?xml version="1.0" encoding="utf-8"?>
<formControlPr xmlns="http://schemas.microsoft.com/office/spreadsheetml/2009/9/main" objectType="Drop" dropLines="3" dropStyle="combo" dx="16" fmlaLink="Regn!$I$142" fmlaRange="TorringNavn" noThreeD="1" val="0"/>
</file>

<file path=xl/ctrlProps/ctrlProp311.xml><?xml version="1.0" encoding="utf-8"?>
<formControlPr xmlns="http://schemas.microsoft.com/office/spreadsheetml/2009/9/main" objectType="Drop" dropLines="3" dropStyle="combo" dx="16" fmlaLink="Regn!$I$144" fmlaRange="TorringNavn" noThreeD="1" val="0"/>
</file>

<file path=xl/ctrlProps/ctrlProp312.xml><?xml version="1.0" encoding="utf-8"?>
<formControlPr xmlns="http://schemas.microsoft.com/office/spreadsheetml/2009/9/main" objectType="Drop" dropLines="3" dropStyle="combo" dx="16" fmlaLink="Regn!$I$146" fmlaRange="TorringNavn" noThreeD="1" val="0"/>
</file>

<file path=xl/ctrlProps/ctrlProp313.xml><?xml version="1.0" encoding="utf-8"?>
<formControlPr xmlns="http://schemas.microsoft.com/office/spreadsheetml/2009/9/main" objectType="Drop" dropLines="3" dropStyle="combo" dx="16" fmlaLink="Regn!$I$148" fmlaRange="TorringNavn" noThreeD="1" val="0"/>
</file>

<file path=xl/ctrlProps/ctrlProp314.xml><?xml version="1.0" encoding="utf-8"?>
<formControlPr xmlns="http://schemas.microsoft.com/office/spreadsheetml/2009/9/main" objectType="Drop" dropLines="3" dropStyle="combo" dx="16" fmlaLink="Regn!$I$150" fmlaRange="TorringNavn" noThreeD="1" val="0"/>
</file>

<file path=xl/ctrlProps/ctrlProp315.xml><?xml version="1.0" encoding="utf-8"?>
<formControlPr xmlns="http://schemas.microsoft.com/office/spreadsheetml/2009/9/main" objectType="Drop" dropLines="3" dropStyle="combo" dx="16" fmlaLink="Regn!$I$152" fmlaRange="TorringNavn" noThreeD="1" val="0"/>
</file>

<file path=xl/ctrlProps/ctrlProp316.xml><?xml version="1.0" encoding="utf-8"?>
<formControlPr xmlns="http://schemas.microsoft.com/office/spreadsheetml/2009/9/main" objectType="Drop" dropLines="2" dropStyle="combo" dx="16" fmlaLink="Regn!$W$28" fmlaRange="NTilpasMetode" noThreeD="1" val="0"/>
</file>

<file path=xl/ctrlProps/ctrlProp317.xml><?xml version="1.0" encoding="utf-8"?>
<formControlPr xmlns="http://schemas.microsoft.com/office/spreadsheetml/2009/9/main" objectType="Drop" dropLines="2" dropStyle="combo" dx="16" fmlaLink="Regn!$W$110" fmlaRange="NTilpasMetode" noThreeD="1" val="0"/>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Drop" dropLines="3" dropStyle="combo" dx="16" fmlaLink="Regn!$I$38" fmlaRange="TorringNavn" noThreeD="1" val="0"/>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Drop" dropStyle="combo" dx="16" fmlaLink="Regn!$B$40" fmlaRange="Afgrnavn" noThreeD="1" val="16"/>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Drop" dropStyle="combo" dx="16" fmlaLink="Regn!$C$40" fmlaRange="Efgrnavn" noThreeD="1" val="0"/>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Drop" dropLines="2" dropStyle="combo" dx="16" fmlaLink="AJ46" fmlaRange="RaceNavn" noThreeD="1" val="0"/>
</file>

<file path=xl/ctrlProps/ctrlProp343.xml><?xml version="1.0" encoding="utf-8"?>
<formControlPr xmlns="http://schemas.microsoft.com/office/spreadsheetml/2009/9/main" objectType="Drop" dropStyle="combo" dx="16" fmlaLink="AK46" fmlaRange="Ydelse" noThreeD="1" sel="6" val="3"/>
</file>

<file path=xl/ctrlProps/ctrlProp344.xml><?xml version="1.0" encoding="utf-8"?>
<formControlPr xmlns="http://schemas.microsoft.com/office/spreadsheetml/2009/9/main" objectType="Drop" dropLines="2" dropStyle="combo" dx="16" fmlaLink="AL46" fmlaRange="FoderplanNavn" noThreeD="1" val="0"/>
</file>

<file path=xl/ctrlProps/ctrlProp345.xml><?xml version="1.0" encoding="utf-8"?>
<formControlPr xmlns="http://schemas.microsoft.com/office/spreadsheetml/2009/9/main" objectType="Drop" dropLines="2" dropStyle="combo" dx="16" fmlaLink="AJ3" fmlaRange="HdgTypeNavn" noThreeD="1" sel="2" val="0"/>
</file>

<file path=xl/ctrlProps/ctrlProp346.xml><?xml version="1.0" encoding="utf-8"?>
<formControlPr xmlns="http://schemas.microsoft.com/office/spreadsheetml/2009/9/main" objectType="Drop" dropLines="2" dropStyle="combo" dx="16" fmlaLink="Regn!$P$12" fmlaRange="VaerdiHusdyrgodning" noThreeD="1" val="0"/>
</file>

<file path=xl/ctrlProps/ctrlProp347.xml><?xml version="1.0" encoding="utf-8"?>
<formControlPr xmlns="http://schemas.microsoft.com/office/spreadsheetml/2009/9/main" objectType="Drop" dropStyle="combo" dx="16" fmlaLink="Regn2!$O$18" fmlaRange="Afgrnavn" noThreeD="1" sel="40" val="35"/>
</file>

<file path=xl/ctrlProps/ctrlProp348.xml><?xml version="1.0" encoding="utf-8"?>
<formControlPr xmlns="http://schemas.microsoft.com/office/spreadsheetml/2009/9/main" objectType="Drop" dropStyle="combo" dx="16" fmlaLink="Regn2!$P$18" fmlaRange="Efgrnavn" noThreeD="1" sel="4" val="3"/>
</file>

<file path=xl/ctrlProps/ctrlProp349.xml><?xml version="1.0" encoding="utf-8"?>
<formControlPr xmlns="http://schemas.microsoft.com/office/spreadsheetml/2009/9/main" objectType="Drop" dropStyle="combo" dx="16" fmlaLink="Regn2!$R$18" fmlaRange="Afgrnavn" noThreeD="1" sel="40" val="35"/>
</file>

<file path=xl/ctrlProps/ctrlProp35.xml><?xml version="1.0" encoding="utf-8"?>
<formControlPr xmlns="http://schemas.microsoft.com/office/spreadsheetml/2009/9/main" objectType="Drop" dropStyle="combo" dx="16" fmlaLink="Regn!$E$40" fmlaRange="Afgrnavn" noThreeD="1" val="0"/>
</file>

<file path=xl/ctrlProps/ctrlProp350.xml><?xml version="1.0" encoding="utf-8"?>
<formControlPr xmlns="http://schemas.microsoft.com/office/spreadsheetml/2009/9/main" objectType="Drop" dropStyle="combo" dx="16" fmlaLink="Regn2!$T$18" fmlaRange="Efgrnavn" noThreeD="1" sel="4" val="0"/>
</file>

<file path=xl/ctrlProps/ctrlProp351.xml><?xml version="1.0" encoding="utf-8"?>
<formControlPr xmlns="http://schemas.microsoft.com/office/spreadsheetml/2009/9/main" objectType="CheckBox" fmlaLink="Regn2!$Q$18" lockText="1" noThreeD="1"/>
</file>

<file path=xl/ctrlProps/ctrlProp352.xml><?xml version="1.0" encoding="utf-8"?>
<formControlPr xmlns="http://schemas.microsoft.com/office/spreadsheetml/2009/9/main" objectType="Drop" dropStyle="combo" dx="16" fmlaLink="Regn2!$X$18" fmlaRange="Afgrnavn" noThreeD="1" sel="40" val="35"/>
</file>

<file path=xl/ctrlProps/ctrlProp353.xml><?xml version="1.0" encoding="utf-8"?>
<formControlPr xmlns="http://schemas.microsoft.com/office/spreadsheetml/2009/9/main" objectType="Drop" dropLines="2" dropStyle="combo" dx="16" fmlaLink="Regn2!$S$18" fmlaRange="Halmanvendelsenavn" noThreeD="1" val="0"/>
</file>

<file path=xl/ctrlProps/ctrlProp354.xml><?xml version="1.0" encoding="utf-8"?>
<formControlPr xmlns="http://schemas.microsoft.com/office/spreadsheetml/2009/9/main" objectType="Drop" dropLines="3" dropStyle="combo" dx="16" fmlaLink="Regn2!$U$18" fmlaRange="EfterafgrbehNavn" noThreeD="1" sel="2" val="0"/>
</file>

<file path=xl/ctrlProps/ctrlProp355.xml><?xml version="1.0" encoding="utf-8"?>
<formControlPr xmlns="http://schemas.microsoft.com/office/spreadsheetml/2009/9/main" objectType="Drop" dropLines="3" dropStyle="combo" dx="16" fmlaLink="Regn2!$V$18" fmlaRange="TorringNavn" noThreeD="1" val="0"/>
</file>

<file path=xl/ctrlProps/ctrlProp356.xml><?xml version="1.0" encoding="utf-8"?>
<formControlPr xmlns="http://schemas.microsoft.com/office/spreadsheetml/2009/9/main" objectType="Drop" dropStyle="combo" dx="16" fmlaLink="Regn2!$B$18" fmlaRange="Jordtypenavn" noThreeD="1" sel="6" val="4"/>
</file>

<file path=xl/ctrlProps/ctrlProp357.xml><?xml version="1.0" encoding="utf-8"?>
<formControlPr xmlns="http://schemas.microsoft.com/office/spreadsheetml/2009/9/main" objectType="Drop" dropStyle="combo" dx="16" fmlaLink="Regn2!$C$18" fmlaRange="Markvandingnavn" noThreeD="1" val="0"/>
</file>

<file path=xl/ctrlProps/ctrlProp358.xml><?xml version="1.0" encoding="utf-8"?>
<formControlPr xmlns="http://schemas.microsoft.com/office/spreadsheetml/2009/9/main" objectType="Drop" dropLines="6" dropStyle="combo" dx="16" fmlaLink="Regn2!$AA$18" fmlaRange="Markgruppe" noThreeD="1" val="0"/>
</file>

<file path=xl/ctrlProps/ctrlProp359.xml><?xml version="1.0" encoding="utf-8"?>
<formControlPr xmlns="http://schemas.microsoft.com/office/spreadsheetml/2009/9/main" objectType="Drop" dropLines="2" dropStyle="combo" dx="16" fmlaLink="Regn2!$O$6" fmlaRange="VaerdiHusdyrgodning" noThreeD="1" val="0"/>
</file>

<file path=xl/ctrlProps/ctrlProp36.xml><?xml version="1.0" encoding="utf-8"?>
<formControlPr xmlns="http://schemas.microsoft.com/office/spreadsheetml/2009/9/main" objectType="Drop" dropStyle="combo" dx="16" fmlaLink="Regn!$G$40" fmlaRange="Efgrnavn" noThreeD="1" val="6"/>
</file>

<file path=xl/ctrlProps/ctrlProp360.xml><?xml version="1.0" encoding="utf-8"?>
<formControlPr xmlns="http://schemas.microsoft.com/office/spreadsheetml/2009/9/main" objectType="Drop" dropStyle="combo" dx="16" fmlaLink="Regn2!$O$20" fmlaRange="Afgrnavn" noThreeD="1" sel="26" val="23"/>
</file>

<file path=xl/ctrlProps/ctrlProp361.xml><?xml version="1.0" encoding="utf-8"?>
<formControlPr xmlns="http://schemas.microsoft.com/office/spreadsheetml/2009/9/main" objectType="Drop" dropStyle="combo" dx="16" fmlaLink="Regn2!$P$20" fmlaRange="Efgrnavn" noThreeD="1" val="0"/>
</file>

<file path=xl/ctrlProps/ctrlProp362.xml><?xml version="1.0" encoding="utf-8"?>
<formControlPr xmlns="http://schemas.microsoft.com/office/spreadsheetml/2009/9/main" objectType="Drop" dropStyle="combo" dx="16" fmlaLink="Regn2!$R$20" fmlaRange="Afgrnavn" noThreeD="1" sel="26" val="24"/>
</file>

<file path=xl/ctrlProps/ctrlProp363.xml><?xml version="1.0" encoding="utf-8"?>
<formControlPr xmlns="http://schemas.microsoft.com/office/spreadsheetml/2009/9/main" objectType="Drop" dropStyle="combo" dx="16" fmlaLink="Regn2!$T$20" fmlaRange="Efgrnavn" noThreeD="1" val="0"/>
</file>

<file path=xl/ctrlProps/ctrlProp364.xml><?xml version="1.0" encoding="utf-8"?>
<formControlPr xmlns="http://schemas.microsoft.com/office/spreadsheetml/2009/9/main" objectType="CheckBox" fmlaLink="Regn2!$Q$20" lockText="1" noThreeD="1"/>
</file>

<file path=xl/ctrlProps/ctrlProp365.xml><?xml version="1.0" encoding="utf-8"?>
<formControlPr xmlns="http://schemas.microsoft.com/office/spreadsheetml/2009/9/main" objectType="Drop" dropStyle="combo" dx="16" fmlaLink="Regn2!$X$20" fmlaRange="Afgrnavn" noThreeD="1" sel="26" val="21"/>
</file>

<file path=xl/ctrlProps/ctrlProp366.xml><?xml version="1.0" encoding="utf-8"?>
<formControlPr xmlns="http://schemas.microsoft.com/office/spreadsheetml/2009/9/main" objectType="Drop" dropLines="2" dropStyle="combo" dx="16" fmlaLink="Regn2!$S$20" fmlaRange="Halmanvendelsenavn" noThreeD="1" val="0"/>
</file>

<file path=xl/ctrlProps/ctrlProp367.xml><?xml version="1.0" encoding="utf-8"?>
<formControlPr xmlns="http://schemas.microsoft.com/office/spreadsheetml/2009/9/main" objectType="Drop" dropLines="3" dropStyle="combo" dx="16" fmlaLink="Regn2!$U$20" fmlaRange="EfterafgrbehNavn" noThreeD="1" val="0"/>
</file>

<file path=xl/ctrlProps/ctrlProp368.xml><?xml version="1.0" encoding="utf-8"?>
<formControlPr xmlns="http://schemas.microsoft.com/office/spreadsheetml/2009/9/main" objectType="Drop" dropLines="3" dropStyle="combo" dx="16" fmlaLink="Regn2!$V$20" fmlaRange="TorringNavn" noThreeD="1" val="0"/>
</file>

<file path=xl/ctrlProps/ctrlProp369.xml><?xml version="1.0" encoding="utf-8"?>
<formControlPr xmlns="http://schemas.microsoft.com/office/spreadsheetml/2009/9/main" objectType="Drop" dropStyle="combo" dx="16" fmlaLink="Regn2!$B$20" fmlaRange="Jordtypenavn" noThreeD="1" sel="6" val="0"/>
</file>

<file path=xl/ctrlProps/ctrlProp37.xml><?xml version="1.0" encoding="utf-8"?>
<formControlPr xmlns="http://schemas.microsoft.com/office/spreadsheetml/2009/9/main" objectType="CheckBox" fmlaLink="Regn!$D$40" lockText="1" noThreeD="1"/>
</file>

<file path=xl/ctrlProps/ctrlProp370.xml><?xml version="1.0" encoding="utf-8"?>
<formControlPr xmlns="http://schemas.microsoft.com/office/spreadsheetml/2009/9/main" objectType="Drop" dropStyle="combo" dx="16" fmlaLink="Regn2!$C$20" fmlaRange="Markvandingnavn" noThreeD="1" val="0"/>
</file>

<file path=xl/ctrlProps/ctrlProp371.xml><?xml version="1.0" encoding="utf-8"?>
<formControlPr xmlns="http://schemas.microsoft.com/office/spreadsheetml/2009/9/main" objectType="Drop" dropLines="6" dropStyle="combo" dx="16" fmlaLink="Regn2!$AA$20" fmlaRange="Markgruppe" noThreeD="1" sel="4" val="0"/>
</file>

<file path=xl/ctrlProps/ctrlProp372.xml><?xml version="1.0" encoding="utf-8"?>
<formControlPr xmlns="http://schemas.microsoft.com/office/spreadsheetml/2009/9/main" objectType="Drop" dropStyle="combo" dx="16" fmlaLink="Regn2!$O$22" fmlaRange="Afgrnavn" noThreeD="1" sel="23" val="19"/>
</file>

<file path=xl/ctrlProps/ctrlProp373.xml><?xml version="1.0" encoding="utf-8"?>
<formControlPr xmlns="http://schemas.microsoft.com/office/spreadsheetml/2009/9/main" objectType="Drop" dropStyle="combo" dx="16" fmlaLink="Regn2!$P$22" fmlaRange="Efgrnavn" noThreeD="1" val="0"/>
</file>

<file path=xl/ctrlProps/ctrlProp374.xml><?xml version="1.0" encoding="utf-8"?>
<formControlPr xmlns="http://schemas.microsoft.com/office/spreadsheetml/2009/9/main" objectType="Drop" dropStyle="combo" dx="16" fmlaLink="Regn2!$R$22" fmlaRange="Afgrnavn" noThreeD="1" sel="40" val="34"/>
</file>

<file path=xl/ctrlProps/ctrlProp375.xml><?xml version="1.0" encoding="utf-8"?>
<formControlPr xmlns="http://schemas.microsoft.com/office/spreadsheetml/2009/9/main" objectType="Drop" dropStyle="combo" dx="16" fmlaLink="Regn2!$T$22" fmlaRange="Efgrnavn" noThreeD="1" val="0"/>
</file>

<file path=xl/ctrlProps/ctrlProp376.xml><?xml version="1.0" encoding="utf-8"?>
<formControlPr xmlns="http://schemas.microsoft.com/office/spreadsheetml/2009/9/main" objectType="CheckBox" fmlaLink="Regn2!$Q$22" lockText="1" noThreeD="1"/>
</file>

<file path=xl/ctrlProps/ctrlProp377.xml><?xml version="1.0" encoding="utf-8"?>
<formControlPr xmlns="http://schemas.microsoft.com/office/spreadsheetml/2009/9/main" objectType="Drop" dropStyle="combo" dx="16" fmlaLink="Regn2!$X$22" fmlaRange="Afgrnavn" noThreeD="1" sel="34" val="33"/>
</file>

<file path=xl/ctrlProps/ctrlProp378.xml><?xml version="1.0" encoding="utf-8"?>
<formControlPr xmlns="http://schemas.microsoft.com/office/spreadsheetml/2009/9/main" objectType="Drop" dropLines="2" dropStyle="combo" dx="16" fmlaLink="Regn2!$S$22" fmlaRange="Halmanvendelsenavn" noThreeD="1" val="0"/>
</file>

<file path=xl/ctrlProps/ctrlProp379.xml><?xml version="1.0" encoding="utf-8"?>
<formControlPr xmlns="http://schemas.microsoft.com/office/spreadsheetml/2009/9/main" objectType="Drop" dropLines="3" dropStyle="combo" dx="16" fmlaLink="Regn2!$U$22" fmlaRange="EfterafgrbehNavn" noThreeD="1" val="0"/>
</file>

<file path=xl/ctrlProps/ctrlProp38.xml><?xml version="1.0" encoding="utf-8"?>
<formControlPr xmlns="http://schemas.microsoft.com/office/spreadsheetml/2009/9/main" objectType="Drop" dropStyle="combo" dx="16" fmlaLink="Regn!$K$40" fmlaRange="Afgrnavn" noThreeD="1" val="0"/>
</file>

<file path=xl/ctrlProps/ctrlProp380.xml><?xml version="1.0" encoding="utf-8"?>
<formControlPr xmlns="http://schemas.microsoft.com/office/spreadsheetml/2009/9/main" objectType="Drop" dropLines="3" dropStyle="combo" dx="16" fmlaLink="Regn2!$V$22" fmlaRange="TorringNavn" noThreeD="1" val="0"/>
</file>

<file path=xl/ctrlProps/ctrlProp381.xml><?xml version="1.0" encoding="utf-8"?>
<formControlPr xmlns="http://schemas.microsoft.com/office/spreadsheetml/2009/9/main" objectType="Drop" dropStyle="combo" dx="16" fmlaLink="Regn2!$B$22" fmlaRange="Jordtypenavn" noThreeD="1" sel="6" val="3"/>
</file>

<file path=xl/ctrlProps/ctrlProp382.xml><?xml version="1.0" encoding="utf-8"?>
<formControlPr xmlns="http://schemas.microsoft.com/office/spreadsheetml/2009/9/main" objectType="Drop" dropStyle="combo" dx="16" fmlaLink="Regn2!$C$22" fmlaRange="Markvandingnavn" noThreeD="1" val="0"/>
</file>

<file path=xl/ctrlProps/ctrlProp383.xml><?xml version="1.0" encoding="utf-8"?>
<formControlPr xmlns="http://schemas.microsoft.com/office/spreadsheetml/2009/9/main" objectType="Drop" dropLines="6" dropStyle="combo" dx="16" fmlaLink="Regn2!$AA$22" fmlaRange="Markgruppe" noThreeD="1" val="0"/>
</file>

<file path=xl/ctrlProps/ctrlProp384.xml><?xml version="1.0" encoding="utf-8"?>
<formControlPr xmlns="http://schemas.microsoft.com/office/spreadsheetml/2009/9/main" objectType="Drop" dropStyle="combo" dx="16" fmlaLink="Regn2!$O$24" fmlaRange="Afgrnavn" noThreeD="1" sel="40" val="34"/>
</file>

<file path=xl/ctrlProps/ctrlProp385.xml><?xml version="1.0" encoding="utf-8"?>
<formControlPr xmlns="http://schemas.microsoft.com/office/spreadsheetml/2009/9/main" objectType="Drop" dropStyle="combo" dx="16" fmlaLink="Regn2!$P$24" fmlaRange="Efgrnavn" noThreeD="1" sel="2" val="0"/>
</file>

<file path=xl/ctrlProps/ctrlProp386.xml><?xml version="1.0" encoding="utf-8"?>
<formControlPr xmlns="http://schemas.microsoft.com/office/spreadsheetml/2009/9/main" objectType="Drop" dropStyle="combo" dx="16" fmlaLink="Regn2!$R$24" fmlaRange="Afgrnavn" noThreeD="1" sel="40" val="32"/>
</file>

<file path=xl/ctrlProps/ctrlProp387.xml><?xml version="1.0" encoding="utf-8"?>
<formControlPr xmlns="http://schemas.microsoft.com/office/spreadsheetml/2009/9/main" objectType="Drop" dropStyle="combo" dx="16" fmlaLink="Regn2!$T$24" fmlaRange="Efgrnavn" noThreeD="1" val="0"/>
</file>

<file path=xl/ctrlProps/ctrlProp388.xml><?xml version="1.0" encoding="utf-8"?>
<formControlPr xmlns="http://schemas.microsoft.com/office/spreadsheetml/2009/9/main" objectType="CheckBox" fmlaLink="Regn2!$Q$24" lockText="1" noThreeD="1"/>
</file>

<file path=xl/ctrlProps/ctrlProp389.xml><?xml version="1.0" encoding="utf-8"?>
<formControlPr xmlns="http://schemas.microsoft.com/office/spreadsheetml/2009/9/main" objectType="Drop" dropStyle="combo" dx="16" fmlaLink="Regn2!$X$24" fmlaRange="Afgrnavn" noThreeD="1" sel="34" val="30"/>
</file>

<file path=xl/ctrlProps/ctrlProp39.xml><?xml version="1.0" encoding="utf-8"?>
<formControlPr xmlns="http://schemas.microsoft.com/office/spreadsheetml/2009/9/main" objectType="Drop" dropLines="2" dropStyle="combo" dx="16" fmlaLink="Regn!$F$40" fmlaRange="Halmanvendelsenavn" noThreeD="1" val="0"/>
</file>

<file path=xl/ctrlProps/ctrlProp390.xml><?xml version="1.0" encoding="utf-8"?>
<formControlPr xmlns="http://schemas.microsoft.com/office/spreadsheetml/2009/9/main" objectType="Drop" dropLines="2" dropStyle="combo" dx="16" fmlaLink="Regn2!$S$24" fmlaRange="Halmanvendelsenavn" noThreeD="1" val="0"/>
</file>

<file path=xl/ctrlProps/ctrlProp391.xml><?xml version="1.0" encoding="utf-8"?>
<formControlPr xmlns="http://schemas.microsoft.com/office/spreadsheetml/2009/9/main" objectType="Drop" dropLines="3" dropStyle="combo" dx="16" fmlaLink="Regn2!$U$24" fmlaRange="EfterafgrbehNavn" noThreeD="1" val="0"/>
</file>

<file path=xl/ctrlProps/ctrlProp392.xml><?xml version="1.0" encoding="utf-8"?>
<formControlPr xmlns="http://schemas.microsoft.com/office/spreadsheetml/2009/9/main" objectType="Drop" dropLines="3" dropStyle="combo" dx="16" fmlaLink="Regn2!$V$24" fmlaRange="TorringNavn" noThreeD="1" val="0"/>
</file>

<file path=xl/ctrlProps/ctrlProp393.xml><?xml version="1.0" encoding="utf-8"?>
<formControlPr xmlns="http://schemas.microsoft.com/office/spreadsheetml/2009/9/main" objectType="Drop" dropStyle="combo" dx="16" fmlaLink="Regn2!$B$24" fmlaRange="Jordtypenavn" noThreeD="1" sel="6" val="3"/>
</file>

<file path=xl/ctrlProps/ctrlProp394.xml><?xml version="1.0" encoding="utf-8"?>
<formControlPr xmlns="http://schemas.microsoft.com/office/spreadsheetml/2009/9/main" objectType="Drop" dropStyle="combo" dx="16" fmlaLink="Regn2!$C$24" fmlaRange="Markvandingnavn" noThreeD="1" val="0"/>
</file>

<file path=xl/ctrlProps/ctrlProp395.xml><?xml version="1.0" encoding="utf-8"?>
<formControlPr xmlns="http://schemas.microsoft.com/office/spreadsheetml/2009/9/main" objectType="Drop" dropLines="6" dropStyle="combo" dx="16" fmlaLink="Regn2!$AA$24" fmlaRange="Markgruppe" noThreeD="1" val="0"/>
</file>

<file path=xl/ctrlProps/ctrlProp396.xml><?xml version="1.0" encoding="utf-8"?>
<formControlPr xmlns="http://schemas.microsoft.com/office/spreadsheetml/2009/9/main" objectType="Drop" dropStyle="combo" dx="16" fmlaLink="Regn2!$O$26" fmlaRange="Afgrnavn" noThreeD="1" sel="19" val="14"/>
</file>

<file path=xl/ctrlProps/ctrlProp397.xml><?xml version="1.0" encoding="utf-8"?>
<formControlPr xmlns="http://schemas.microsoft.com/office/spreadsheetml/2009/9/main" objectType="Drop" dropStyle="combo" dx="16" fmlaLink="Regn2!$P$26" fmlaRange="Efgrnavn" noThreeD="1" val="0"/>
</file>

<file path=xl/ctrlProps/ctrlProp398.xml><?xml version="1.0" encoding="utf-8"?>
<formControlPr xmlns="http://schemas.microsoft.com/office/spreadsheetml/2009/9/main" objectType="Drop" dropStyle="combo" dx="16" fmlaLink="Regn2!$R$26" fmlaRange="Afgrnavn" noThreeD="1" sel="40" val="35"/>
</file>

<file path=xl/ctrlProps/ctrlProp399.xml><?xml version="1.0" encoding="utf-8"?>
<formControlPr xmlns="http://schemas.microsoft.com/office/spreadsheetml/2009/9/main" objectType="Drop" dropStyle="combo" dx="16" fmlaLink="Regn2!$T$26" fmlaRange="Efgrnavn" noThreeD="1" val="0"/>
</file>

<file path=xl/ctrlProps/ctrlProp4.xml><?xml version="1.0" encoding="utf-8"?>
<formControlPr xmlns="http://schemas.microsoft.com/office/spreadsheetml/2009/9/main" objectType="Drop" dropStyle="combo" dx="16" fmlaLink="Regn!$G$34" fmlaRange="Efgrnavn" noThreeD="1" val="0"/>
</file>

<file path=xl/ctrlProps/ctrlProp40.xml><?xml version="1.0" encoding="utf-8"?>
<formControlPr xmlns="http://schemas.microsoft.com/office/spreadsheetml/2009/9/main" objectType="Drop" dropLines="3" dropStyle="combo" dx="16" fmlaLink="Regn!$H$40" fmlaRange="EfterafgrbehNavn" noThreeD="1" val="0"/>
</file>

<file path=xl/ctrlProps/ctrlProp400.xml><?xml version="1.0" encoding="utf-8"?>
<formControlPr xmlns="http://schemas.microsoft.com/office/spreadsheetml/2009/9/main" objectType="CheckBox" fmlaLink="Regn2!$Q$26" lockText="1" noThreeD="1"/>
</file>

<file path=xl/ctrlProps/ctrlProp401.xml><?xml version="1.0" encoding="utf-8"?>
<formControlPr xmlns="http://schemas.microsoft.com/office/spreadsheetml/2009/9/main" objectType="Drop" dropStyle="combo" dx="16" fmlaLink="Regn2!$X$26" fmlaRange="Afgrnavn" noThreeD="1" sel="34" val="27"/>
</file>

<file path=xl/ctrlProps/ctrlProp402.xml><?xml version="1.0" encoding="utf-8"?>
<formControlPr xmlns="http://schemas.microsoft.com/office/spreadsheetml/2009/9/main" objectType="Drop" dropLines="2" dropStyle="combo" dx="16" fmlaLink="Regn2!$S$26" fmlaRange="Halmanvendelsenavn" noThreeD="1" val="0"/>
</file>

<file path=xl/ctrlProps/ctrlProp403.xml><?xml version="1.0" encoding="utf-8"?>
<formControlPr xmlns="http://schemas.microsoft.com/office/spreadsheetml/2009/9/main" objectType="Drop" dropLines="3" dropStyle="combo" dx="16" fmlaLink="Regn2!$U$26" fmlaRange="EfterafgrbehNavn" noThreeD="1" val="0"/>
</file>

<file path=xl/ctrlProps/ctrlProp404.xml><?xml version="1.0" encoding="utf-8"?>
<formControlPr xmlns="http://schemas.microsoft.com/office/spreadsheetml/2009/9/main" objectType="Drop" dropLines="3" dropStyle="combo" dx="16" fmlaLink="Regn2!$V$26" fmlaRange="TorringNavn" noThreeD="1" val="0"/>
</file>

<file path=xl/ctrlProps/ctrlProp405.xml><?xml version="1.0" encoding="utf-8"?>
<formControlPr xmlns="http://schemas.microsoft.com/office/spreadsheetml/2009/9/main" objectType="Drop" dropStyle="combo" dx="16" fmlaLink="Regn2!$B$26" fmlaRange="Jordtypenavn" noThreeD="1" sel="6" val="3"/>
</file>

<file path=xl/ctrlProps/ctrlProp406.xml><?xml version="1.0" encoding="utf-8"?>
<formControlPr xmlns="http://schemas.microsoft.com/office/spreadsheetml/2009/9/main" objectType="Drop" dropStyle="combo" dx="16" fmlaLink="Regn2!$C$26" fmlaRange="Markvandingnavn" noThreeD="1" val="0"/>
</file>

<file path=xl/ctrlProps/ctrlProp407.xml><?xml version="1.0" encoding="utf-8"?>
<formControlPr xmlns="http://schemas.microsoft.com/office/spreadsheetml/2009/9/main" objectType="Drop" dropLines="6" dropStyle="combo" dx="16" fmlaLink="Regn2!$AA$26" fmlaRange="Markgruppe" noThreeD="1" val="0"/>
</file>

<file path=xl/ctrlProps/ctrlProp408.xml><?xml version="1.0" encoding="utf-8"?>
<formControlPr xmlns="http://schemas.microsoft.com/office/spreadsheetml/2009/9/main" objectType="Drop" dropStyle="combo" dx="16" fmlaLink="Regn2!$O$28" fmlaRange="Afgrnavn" noThreeD="1" sel="26" val="23"/>
</file>

<file path=xl/ctrlProps/ctrlProp409.xml><?xml version="1.0" encoding="utf-8"?>
<formControlPr xmlns="http://schemas.microsoft.com/office/spreadsheetml/2009/9/main" objectType="Drop" dropStyle="combo" dx="16" fmlaLink="Regn2!$P$28" fmlaRange="Efgrnavn" noThreeD="1" val="0"/>
</file>

<file path=xl/ctrlProps/ctrlProp41.xml><?xml version="1.0" encoding="utf-8"?>
<formControlPr xmlns="http://schemas.microsoft.com/office/spreadsheetml/2009/9/main" objectType="Drop" dropLines="3" dropStyle="combo" dx="16" fmlaLink="Regn!$I$40" fmlaRange="TorringNavn" noThreeD="1" val="0"/>
</file>

<file path=xl/ctrlProps/ctrlProp410.xml><?xml version="1.0" encoding="utf-8"?>
<formControlPr xmlns="http://schemas.microsoft.com/office/spreadsheetml/2009/9/main" objectType="Drop" dropStyle="combo" dx="16" fmlaLink="Regn2!$R$28" fmlaRange="Afgrnavn" noThreeD="1" sel="26" val="20"/>
</file>

<file path=xl/ctrlProps/ctrlProp411.xml><?xml version="1.0" encoding="utf-8"?>
<formControlPr xmlns="http://schemas.microsoft.com/office/spreadsheetml/2009/9/main" objectType="Drop" dropStyle="combo" dx="16" fmlaLink="Regn2!$T$28" fmlaRange="Efgrnavn" noThreeD="1" val="0"/>
</file>

<file path=xl/ctrlProps/ctrlProp412.xml><?xml version="1.0" encoding="utf-8"?>
<formControlPr xmlns="http://schemas.microsoft.com/office/spreadsheetml/2009/9/main" objectType="CheckBox" fmlaLink="Regn2!$Q$28" lockText="1" noThreeD="1"/>
</file>

<file path=xl/ctrlProps/ctrlProp413.xml><?xml version="1.0" encoding="utf-8"?>
<formControlPr xmlns="http://schemas.microsoft.com/office/spreadsheetml/2009/9/main" objectType="Drop" dropStyle="combo" dx="16" fmlaLink="Regn2!$X$28" fmlaRange="Afgrnavn" noThreeD="1" sel="26" val="19"/>
</file>

<file path=xl/ctrlProps/ctrlProp414.xml><?xml version="1.0" encoding="utf-8"?>
<formControlPr xmlns="http://schemas.microsoft.com/office/spreadsheetml/2009/9/main" objectType="Drop" dropLines="2" dropStyle="combo" dx="16" fmlaLink="Regn2!$S$28" fmlaRange="Halmanvendelsenavn" noThreeD="1" val="0"/>
</file>

<file path=xl/ctrlProps/ctrlProp415.xml><?xml version="1.0" encoding="utf-8"?>
<formControlPr xmlns="http://schemas.microsoft.com/office/spreadsheetml/2009/9/main" objectType="Drop" dropLines="3" dropStyle="combo" dx="16" fmlaLink="Regn2!$U$28" fmlaRange="EfterafgrbehNavn" noThreeD="1" val="0"/>
</file>

<file path=xl/ctrlProps/ctrlProp416.xml><?xml version="1.0" encoding="utf-8"?>
<formControlPr xmlns="http://schemas.microsoft.com/office/spreadsheetml/2009/9/main" objectType="Drop" dropLines="3" dropStyle="combo" dx="16" fmlaLink="Regn2!$V$28" fmlaRange="TorringNavn" noThreeD="1" val="0"/>
</file>

<file path=xl/ctrlProps/ctrlProp417.xml><?xml version="1.0" encoding="utf-8"?>
<formControlPr xmlns="http://schemas.microsoft.com/office/spreadsheetml/2009/9/main" objectType="Drop" dropStyle="combo" dx="16" fmlaLink="Regn2!$B$28" fmlaRange="Jordtypenavn" noThreeD="1" sel="6" val="3"/>
</file>

<file path=xl/ctrlProps/ctrlProp418.xml><?xml version="1.0" encoding="utf-8"?>
<formControlPr xmlns="http://schemas.microsoft.com/office/spreadsheetml/2009/9/main" objectType="Drop" dropStyle="combo" dx="16" fmlaLink="Regn2!$C$28" fmlaRange="Markvandingnavn" noThreeD="1" val="0"/>
</file>

<file path=xl/ctrlProps/ctrlProp419.xml><?xml version="1.0" encoding="utf-8"?>
<formControlPr xmlns="http://schemas.microsoft.com/office/spreadsheetml/2009/9/main" objectType="Drop" dropLines="6" dropStyle="combo" dx="16" fmlaLink="Regn2!$AA$28" fmlaRange="Markgruppe" noThreeD="1" sel="4" val="0"/>
</file>

<file path=xl/ctrlProps/ctrlProp42.xml><?xml version="1.0" encoding="utf-8"?>
<formControlPr xmlns="http://schemas.microsoft.com/office/spreadsheetml/2009/9/main" objectType="Drop" dropStyle="combo" dx="16" fmlaLink="Regn!$B$42" fmlaRange="Afgrnavn" noThreeD="1" val="34"/>
</file>

<file path=xl/ctrlProps/ctrlProp420.xml><?xml version="1.0" encoding="utf-8"?>
<formControlPr xmlns="http://schemas.microsoft.com/office/spreadsheetml/2009/9/main" objectType="Drop" dropStyle="combo" dx="16" fmlaLink="Regn2!$O$30" fmlaRange="Afgrnavn" noThreeD="1" sel="40" val="32"/>
</file>

<file path=xl/ctrlProps/ctrlProp421.xml><?xml version="1.0" encoding="utf-8"?>
<formControlPr xmlns="http://schemas.microsoft.com/office/spreadsheetml/2009/9/main" objectType="Drop" dropStyle="combo" dx="16" fmlaLink="Regn2!$P$30" fmlaRange="Efgrnavn" noThreeD="1" val="0"/>
</file>

<file path=xl/ctrlProps/ctrlProp422.xml><?xml version="1.0" encoding="utf-8"?>
<formControlPr xmlns="http://schemas.microsoft.com/office/spreadsheetml/2009/9/main" objectType="Drop" dropStyle="combo" dx="16" fmlaLink="Regn2!$R$30" fmlaRange="Afgrnavn" noThreeD="1" sel="35" val="29"/>
</file>

<file path=xl/ctrlProps/ctrlProp423.xml><?xml version="1.0" encoding="utf-8"?>
<formControlPr xmlns="http://schemas.microsoft.com/office/spreadsheetml/2009/9/main" objectType="Drop" dropStyle="combo" dx="16" fmlaLink="Regn2!$T$30" fmlaRange="Efgrnavn" noThreeD="1" val="0"/>
</file>

<file path=xl/ctrlProps/ctrlProp424.xml><?xml version="1.0" encoding="utf-8"?>
<formControlPr xmlns="http://schemas.microsoft.com/office/spreadsheetml/2009/9/main" objectType="CheckBox" fmlaLink="Regn2!$Q$30" lockText="1" noThreeD="1"/>
</file>

<file path=xl/ctrlProps/ctrlProp425.xml><?xml version="1.0" encoding="utf-8"?>
<formControlPr xmlns="http://schemas.microsoft.com/office/spreadsheetml/2009/9/main" objectType="Drop" dropStyle="combo" dx="16" fmlaLink="Regn2!$X$30" fmlaRange="Afgrnavn" noThreeD="1" sel="35" val="29"/>
</file>

<file path=xl/ctrlProps/ctrlProp426.xml><?xml version="1.0" encoding="utf-8"?>
<formControlPr xmlns="http://schemas.microsoft.com/office/spreadsheetml/2009/9/main" objectType="Drop" dropLines="2" dropStyle="combo" dx="16" fmlaLink="Regn2!$S$30" fmlaRange="Halmanvendelsenavn" noThreeD="1" val="0"/>
</file>

<file path=xl/ctrlProps/ctrlProp427.xml><?xml version="1.0" encoding="utf-8"?>
<formControlPr xmlns="http://schemas.microsoft.com/office/spreadsheetml/2009/9/main" objectType="Drop" dropLines="3" dropStyle="combo" dx="16" fmlaLink="Regn2!$U$30" fmlaRange="EfterafgrbehNavn" noThreeD="1" val="0"/>
</file>

<file path=xl/ctrlProps/ctrlProp428.xml><?xml version="1.0" encoding="utf-8"?>
<formControlPr xmlns="http://schemas.microsoft.com/office/spreadsheetml/2009/9/main" objectType="Drop" dropLines="3" dropStyle="combo" dx="16" fmlaLink="Regn2!$V$30" fmlaRange="TorringNavn" noThreeD="1" val="0"/>
</file>

<file path=xl/ctrlProps/ctrlProp429.xml><?xml version="1.0" encoding="utf-8"?>
<formControlPr xmlns="http://schemas.microsoft.com/office/spreadsheetml/2009/9/main" objectType="Drop" dropStyle="combo" dx="16" fmlaLink="Regn2!$B$30" fmlaRange="Jordtypenavn" noThreeD="1" sel="6" val="3"/>
</file>

<file path=xl/ctrlProps/ctrlProp43.xml><?xml version="1.0" encoding="utf-8"?>
<formControlPr xmlns="http://schemas.microsoft.com/office/spreadsheetml/2009/9/main" objectType="Drop" dropStyle="combo" dx="16" fmlaLink="Regn!$C$42" fmlaRange="Efgrnavn" noThreeD="1" val="6"/>
</file>

<file path=xl/ctrlProps/ctrlProp430.xml><?xml version="1.0" encoding="utf-8"?>
<formControlPr xmlns="http://schemas.microsoft.com/office/spreadsheetml/2009/9/main" objectType="Drop" dropStyle="combo" dx="16" fmlaLink="Regn2!$C$30" fmlaRange="Markvandingnavn" noThreeD="1" val="0"/>
</file>

<file path=xl/ctrlProps/ctrlProp431.xml><?xml version="1.0" encoding="utf-8"?>
<formControlPr xmlns="http://schemas.microsoft.com/office/spreadsheetml/2009/9/main" objectType="Drop" dropLines="6" dropStyle="combo" dx="16" fmlaLink="Regn2!$AA$30" fmlaRange="Markgruppe" noThreeD="1" val="0"/>
</file>

<file path=xl/ctrlProps/ctrlProp432.xml><?xml version="1.0" encoding="utf-8"?>
<formControlPr xmlns="http://schemas.microsoft.com/office/spreadsheetml/2009/9/main" objectType="Drop" dropStyle="combo" dx="16" fmlaLink="Regn2!$O$32" fmlaRange="Afgrnavn" noThreeD="1" sel="40" val="35"/>
</file>

<file path=xl/ctrlProps/ctrlProp433.xml><?xml version="1.0" encoding="utf-8"?>
<formControlPr xmlns="http://schemas.microsoft.com/office/spreadsheetml/2009/9/main" objectType="Drop" dropStyle="combo" dx="16" fmlaLink="Regn2!$P$32" fmlaRange="Efgrnavn" noThreeD="1" val="0"/>
</file>

<file path=xl/ctrlProps/ctrlProp434.xml><?xml version="1.0" encoding="utf-8"?>
<formControlPr xmlns="http://schemas.microsoft.com/office/spreadsheetml/2009/9/main" objectType="Drop" dropStyle="combo" dx="16" fmlaLink="Regn2!$R$32" fmlaRange="Afgrnavn" noThreeD="1" sel="35" val="30"/>
</file>

<file path=xl/ctrlProps/ctrlProp435.xml><?xml version="1.0" encoding="utf-8"?>
<formControlPr xmlns="http://schemas.microsoft.com/office/spreadsheetml/2009/9/main" objectType="Drop" dropStyle="combo" dx="16" fmlaLink="Regn2!$T$32" fmlaRange="Efgrnavn" noThreeD="1" val="0"/>
</file>

<file path=xl/ctrlProps/ctrlProp436.xml><?xml version="1.0" encoding="utf-8"?>
<formControlPr xmlns="http://schemas.microsoft.com/office/spreadsheetml/2009/9/main" objectType="CheckBox" fmlaLink="Regn2!$Q$32" lockText="1" noThreeD="1"/>
</file>

<file path=xl/ctrlProps/ctrlProp437.xml><?xml version="1.0" encoding="utf-8"?>
<formControlPr xmlns="http://schemas.microsoft.com/office/spreadsheetml/2009/9/main" objectType="Drop" dropStyle="combo" dx="16" fmlaLink="Regn2!$X$32" fmlaRange="Afgrnavn" noThreeD="1" sel="35" val="30"/>
</file>

<file path=xl/ctrlProps/ctrlProp438.xml><?xml version="1.0" encoding="utf-8"?>
<formControlPr xmlns="http://schemas.microsoft.com/office/spreadsheetml/2009/9/main" objectType="Drop" dropLines="2" dropStyle="combo" dx="16" fmlaLink="Regn2!$S$32" fmlaRange="Halmanvendelsenavn" noThreeD="1" val="0"/>
</file>

<file path=xl/ctrlProps/ctrlProp439.xml><?xml version="1.0" encoding="utf-8"?>
<formControlPr xmlns="http://schemas.microsoft.com/office/spreadsheetml/2009/9/main" objectType="Drop" dropLines="3" dropStyle="combo" dx="16" fmlaLink="Regn2!$U$32" fmlaRange="EfterafgrbehNavn" noThreeD="1" val="0"/>
</file>

<file path=xl/ctrlProps/ctrlProp44.xml><?xml version="1.0" encoding="utf-8"?>
<formControlPr xmlns="http://schemas.microsoft.com/office/spreadsheetml/2009/9/main" objectType="Drop" dropStyle="combo" dx="16" fmlaLink="Regn!$E$42" fmlaRange="Afgrnavn" noThreeD="1" val="0"/>
</file>

<file path=xl/ctrlProps/ctrlProp440.xml><?xml version="1.0" encoding="utf-8"?>
<formControlPr xmlns="http://schemas.microsoft.com/office/spreadsheetml/2009/9/main" objectType="Drop" dropLines="3" dropStyle="combo" dx="16" fmlaLink="Regn2!$V$32" fmlaRange="TorringNavn" noThreeD="1" val="0"/>
</file>

<file path=xl/ctrlProps/ctrlProp441.xml><?xml version="1.0" encoding="utf-8"?>
<formControlPr xmlns="http://schemas.microsoft.com/office/spreadsheetml/2009/9/main" objectType="Drop" dropStyle="combo" dx="16" fmlaLink="Regn2!$B$32" fmlaRange="Jordtypenavn" noThreeD="1" sel="6" val="3"/>
</file>

<file path=xl/ctrlProps/ctrlProp442.xml><?xml version="1.0" encoding="utf-8"?>
<formControlPr xmlns="http://schemas.microsoft.com/office/spreadsheetml/2009/9/main" objectType="Drop" dropStyle="combo" dx="16" fmlaLink="Regn2!$C$32" fmlaRange="Markvandingnavn" noThreeD="1" val="0"/>
</file>

<file path=xl/ctrlProps/ctrlProp443.xml><?xml version="1.0" encoding="utf-8"?>
<formControlPr xmlns="http://schemas.microsoft.com/office/spreadsheetml/2009/9/main" objectType="Drop" dropLines="6" dropStyle="combo" dx="16" fmlaLink="Regn2!$AA$32" fmlaRange="Markgruppe" noThreeD="1" val="0"/>
</file>

<file path=xl/ctrlProps/ctrlProp444.xml><?xml version="1.0" encoding="utf-8"?>
<formControlPr xmlns="http://schemas.microsoft.com/office/spreadsheetml/2009/9/main" objectType="Drop" dropStyle="combo" dx="16" fmlaLink="Regn2!$O$34" fmlaRange="Afgrnavn" noThreeD="1" sel="40" val="35"/>
</file>

<file path=xl/ctrlProps/ctrlProp445.xml><?xml version="1.0" encoding="utf-8"?>
<formControlPr xmlns="http://schemas.microsoft.com/office/spreadsheetml/2009/9/main" objectType="Drop" dropStyle="combo" dx="16" fmlaLink="Regn2!$P$34" fmlaRange="Efgrnavn" noThreeD="1" val="0"/>
</file>

<file path=xl/ctrlProps/ctrlProp446.xml><?xml version="1.0" encoding="utf-8"?>
<formControlPr xmlns="http://schemas.microsoft.com/office/spreadsheetml/2009/9/main" objectType="Drop" dropStyle="combo" dx="16" fmlaLink="Regn2!$R$34" fmlaRange="Afgrnavn" noThreeD="1" sel="35" val="29"/>
</file>

<file path=xl/ctrlProps/ctrlProp447.xml><?xml version="1.0" encoding="utf-8"?>
<formControlPr xmlns="http://schemas.microsoft.com/office/spreadsheetml/2009/9/main" objectType="Drop" dropStyle="combo" dx="16" fmlaLink="Regn2!$T$34" fmlaRange="Efgrnavn" noThreeD="1" val="0"/>
</file>

<file path=xl/ctrlProps/ctrlProp448.xml><?xml version="1.0" encoding="utf-8"?>
<formControlPr xmlns="http://schemas.microsoft.com/office/spreadsheetml/2009/9/main" objectType="CheckBox" fmlaLink="Regn2!$Q$34" lockText="1" noThreeD="1"/>
</file>

<file path=xl/ctrlProps/ctrlProp449.xml><?xml version="1.0" encoding="utf-8"?>
<formControlPr xmlns="http://schemas.microsoft.com/office/spreadsheetml/2009/9/main" objectType="Drop" dropStyle="combo" dx="16" fmlaLink="Regn2!$X$34" fmlaRange="Afgrnavn" noThreeD="1" sel="35" val="31"/>
</file>

<file path=xl/ctrlProps/ctrlProp45.xml><?xml version="1.0" encoding="utf-8"?>
<formControlPr xmlns="http://schemas.microsoft.com/office/spreadsheetml/2009/9/main" objectType="Drop" dropStyle="combo" dx="16" fmlaLink="Regn!$G$42" fmlaRange="Efgrnavn" noThreeD="1" val="0"/>
</file>

<file path=xl/ctrlProps/ctrlProp450.xml><?xml version="1.0" encoding="utf-8"?>
<formControlPr xmlns="http://schemas.microsoft.com/office/spreadsheetml/2009/9/main" objectType="Drop" dropLines="2" dropStyle="combo" dx="16" fmlaLink="Regn2!$S$34" fmlaRange="Halmanvendelsenavn" noThreeD="1" val="0"/>
</file>

<file path=xl/ctrlProps/ctrlProp451.xml><?xml version="1.0" encoding="utf-8"?>
<formControlPr xmlns="http://schemas.microsoft.com/office/spreadsheetml/2009/9/main" objectType="Drop" dropLines="3" dropStyle="combo" dx="16" fmlaLink="Regn2!$U$34" fmlaRange="EfterafgrbehNavn" noThreeD="1" val="0"/>
</file>

<file path=xl/ctrlProps/ctrlProp452.xml><?xml version="1.0" encoding="utf-8"?>
<formControlPr xmlns="http://schemas.microsoft.com/office/spreadsheetml/2009/9/main" objectType="Drop" dropLines="3" dropStyle="combo" dx="16" fmlaLink="Regn2!$V$34" fmlaRange="TorringNavn" noThreeD="1" val="0"/>
</file>

<file path=xl/ctrlProps/ctrlProp453.xml><?xml version="1.0" encoding="utf-8"?>
<formControlPr xmlns="http://schemas.microsoft.com/office/spreadsheetml/2009/9/main" objectType="Drop" dropStyle="combo" dx="16" fmlaLink="Regn2!$B$34" fmlaRange="Jordtypenavn" noThreeD="1" sel="6" val="3"/>
</file>

<file path=xl/ctrlProps/ctrlProp454.xml><?xml version="1.0" encoding="utf-8"?>
<formControlPr xmlns="http://schemas.microsoft.com/office/spreadsheetml/2009/9/main" objectType="Drop" dropStyle="combo" dx="16" fmlaLink="Regn2!$C$34" fmlaRange="Markvandingnavn" noThreeD="1" val="0"/>
</file>

<file path=xl/ctrlProps/ctrlProp455.xml><?xml version="1.0" encoding="utf-8"?>
<formControlPr xmlns="http://schemas.microsoft.com/office/spreadsheetml/2009/9/main" objectType="Drop" dropLines="6" dropStyle="combo" dx="16" fmlaLink="Regn2!$AA$34" fmlaRange="Markgruppe" noThreeD="1" val="0"/>
</file>

<file path=xl/ctrlProps/ctrlProp456.xml><?xml version="1.0" encoding="utf-8"?>
<formControlPr xmlns="http://schemas.microsoft.com/office/spreadsheetml/2009/9/main" objectType="Drop" dropStyle="combo" dx="16" fmlaLink="Regn2!$O$36" fmlaRange="Afgrnavn" noThreeD="1" sel="40" val="35"/>
</file>

<file path=xl/ctrlProps/ctrlProp457.xml><?xml version="1.0" encoding="utf-8"?>
<formControlPr xmlns="http://schemas.microsoft.com/office/spreadsheetml/2009/9/main" objectType="Drop" dropStyle="combo" dx="16" fmlaLink="Regn2!$P$36" fmlaRange="Efgrnavn" noThreeD="1" val="0"/>
</file>

<file path=xl/ctrlProps/ctrlProp458.xml><?xml version="1.0" encoding="utf-8"?>
<formControlPr xmlns="http://schemas.microsoft.com/office/spreadsheetml/2009/9/main" objectType="Drop" dropStyle="combo" dx="16" fmlaLink="Regn2!$R$36" fmlaRange="Afgrnavn" noThreeD="1" sel="35" val="31"/>
</file>

<file path=xl/ctrlProps/ctrlProp459.xml><?xml version="1.0" encoding="utf-8"?>
<formControlPr xmlns="http://schemas.microsoft.com/office/spreadsheetml/2009/9/main" objectType="Drop" dropStyle="combo" dx="16" fmlaLink="Regn2!$T$36" fmlaRange="Efgrnavn" noThreeD="1" val="0"/>
</file>

<file path=xl/ctrlProps/ctrlProp46.xml><?xml version="1.0" encoding="utf-8"?>
<formControlPr xmlns="http://schemas.microsoft.com/office/spreadsheetml/2009/9/main" objectType="CheckBox" fmlaLink="Regn!$D$42" lockText="1" noThreeD="1"/>
</file>

<file path=xl/ctrlProps/ctrlProp460.xml><?xml version="1.0" encoding="utf-8"?>
<formControlPr xmlns="http://schemas.microsoft.com/office/spreadsheetml/2009/9/main" objectType="CheckBox" fmlaLink="Regn2!$Q$36" lockText="1" noThreeD="1"/>
</file>

<file path=xl/ctrlProps/ctrlProp461.xml><?xml version="1.0" encoding="utf-8"?>
<formControlPr xmlns="http://schemas.microsoft.com/office/spreadsheetml/2009/9/main" objectType="Drop" dropStyle="combo" dx="16" fmlaLink="Regn2!$X$36" fmlaRange="Afgrnavn" noThreeD="1" sel="35" val="31"/>
</file>

<file path=xl/ctrlProps/ctrlProp462.xml><?xml version="1.0" encoding="utf-8"?>
<formControlPr xmlns="http://schemas.microsoft.com/office/spreadsheetml/2009/9/main" objectType="Drop" dropLines="2" dropStyle="combo" dx="16" fmlaLink="Regn2!$S$36" fmlaRange="Halmanvendelsenavn" noThreeD="1" val="0"/>
</file>

<file path=xl/ctrlProps/ctrlProp463.xml><?xml version="1.0" encoding="utf-8"?>
<formControlPr xmlns="http://schemas.microsoft.com/office/spreadsheetml/2009/9/main" objectType="Drop" dropLines="3" dropStyle="combo" dx="16" fmlaLink="Regn2!$U$36" fmlaRange="EfterafgrbehNavn" noThreeD="1" val="0"/>
</file>

<file path=xl/ctrlProps/ctrlProp464.xml><?xml version="1.0" encoding="utf-8"?>
<formControlPr xmlns="http://schemas.microsoft.com/office/spreadsheetml/2009/9/main" objectType="Drop" dropLines="3" dropStyle="combo" dx="16" fmlaLink="Regn2!$V$36" fmlaRange="TorringNavn" noThreeD="1" val="0"/>
</file>

<file path=xl/ctrlProps/ctrlProp465.xml><?xml version="1.0" encoding="utf-8"?>
<formControlPr xmlns="http://schemas.microsoft.com/office/spreadsheetml/2009/9/main" objectType="Drop" dropStyle="combo" dx="16" fmlaLink="Regn2!$B$36" fmlaRange="Jordtypenavn" noThreeD="1" sel="6" val="4"/>
</file>

<file path=xl/ctrlProps/ctrlProp466.xml><?xml version="1.0" encoding="utf-8"?>
<formControlPr xmlns="http://schemas.microsoft.com/office/spreadsheetml/2009/9/main" objectType="Drop" dropStyle="combo" dx="16" fmlaLink="Regn2!$C$36" fmlaRange="Markvandingnavn" noThreeD="1" val="0"/>
</file>

<file path=xl/ctrlProps/ctrlProp467.xml><?xml version="1.0" encoding="utf-8"?>
<formControlPr xmlns="http://schemas.microsoft.com/office/spreadsheetml/2009/9/main" objectType="Drop" dropLines="6" dropStyle="combo" dx="16" fmlaLink="Regn2!$AA$36" fmlaRange="Markgruppe" noThreeD="1" val="0"/>
</file>

<file path=xl/ctrlProps/ctrlProp468.xml><?xml version="1.0" encoding="utf-8"?>
<formControlPr xmlns="http://schemas.microsoft.com/office/spreadsheetml/2009/9/main" objectType="Drop" dropStyle="combo" dx="16" fmlaLink="Regn2!$O$38" fmlaRange="Afgrnavn" noThreeD="1" sel="40" val="33"/>
</file>

<file path=xl/ctrlProps/ctrlProp469.xml><?xml version="1.0" encoding="utf-8"?>
<formControlPr xmlns="http://schemas.microsoft.com/office/spreadsheetml/2009/9/main" objectType="Drop" dropStyle="combo" dx="16" fmlaLink="Regn2!$P$38" fmlaRange="Efgrnavn" noThreeD="1" sel="4" val="0"/>
</file>

<file path=xl/ctrlProps/ctrlProp47.xml><?xml version="1.0" encoding="utf-8"?>
<formControlPr xmlns="http://schemas.microsoft.com/office/spreadsheetml/2009/9/main" objectType="Drop" dropStyle="combo" dx="16" fmlaLink="Regn!$K$42" fmlaRange="Afgrnavn" noThreeD="1" val="30"/>
</file>

<file path=xl/ctrlProps/ctrlProp470.xml><?xml version="1.0" encoding="utf-8"?>
<formControlPr xmlns="http://schemas.microsoft.com/office/spreadsheetml/2009/9/main" objectType="Drop" dropStyle="combo" dx="16" fmlaLink="Regn2!$R$38" fmlaRange="Afgrnavn" noThreeD="1" sel="40" val="35"/>
</file>

<file path=xl/ctrlProps/ctrlProp471.xml><?xml version="1.0" encoding="utf-8"?>
<formControlPr xmlns="http://schemas.microsoft.com/office/spreadsheetml/2009/9/main" objectType="Drop" dropStyle="combo" dx="16" fmlaLink="Regn2!$T$38" fmlaRange="Efgrnavn" noThreeD="1" sel="4" val="0"/>
</file>

<file path=xl/ctrlProps/ctrlProp472.xml><?xml version="1.0" encoding="utf-8"?>
<formControlPr xmlns="http://schemas.microsoft.com/office/spreadsheetml/2009/9/main" objectType="CheckBox" fmlaLink="Regn2!$Q$38" lockText="1" noThreeD="1"/>
</file>

<file path=xl/ctrlProps/ctrlProp473.xml><?xml version="1.0" encoding="utf-8"?>
<formControlPr xmlns="http://schemas.microsoft.com/office/spreadsheetml/2009/9/main" objectType="Drop" dropStyle="combo" dx="16" fmlaLink="Regn2!$X$38" fmlaRange="Afgrnavn" noThreeD="1" sel="40" val="35"/>
</file>

<file path=xl/ctrlProps/ctrlProp474.xml><?xml version="1.0" encoding="utf-8"?>
<formControlPr xmlns="http://schemas.microsoft.com/office/spreadsheetml/2009/9/main" objectType="Drop" dropLines="2" dropStyle="combo" dx="16" fmlaLink="Regn2!$S$38" fmlaRange="Halmanvendelsenavn" noThreeD="1" sel="2" val="0"/>
</file>

<file path=xl/ctrlProps/ctrlProp475.xml><?xml version="1.0" encoding="utf-8"?>
<formControlPr xmlns="http://schemas.microsoft.com/office/spreadsheetml/2009/9/main" objectType="Drop" dropLines="3" dropStyle="combo" dx="16" fmlaLink="Regn2!$U$38" fmlaRange="EfterafgrbehNavn" noThreeD="1" sel="2" val="0"/>
</file>

<file path=xl/ctrlProps/ctrlProp476.xml><?xml version="1.0" encoding="utf-8"?>
<formControlPr xmlns="http://schemas.microsoft.com/office/spreadsheetml/2009/9/main" objectType="Drop" dropLines="3" dropStyle="combo" dx="16" fmlaLink="Regn2!$V$38" fmlaRange="TorringNavn" noThreeD="1" val="0"/>
</file>

<file path=xl/ctrlProps/ctrlProp477.xml><?xml version="1.0" encoding="utf-8"?>
<formControlPr xmlns="http://schemas.microsoft.com/office/spreadsheetml/2009/9/main" objectType="Drop" dropStyle="combo" dx="16" fmlaLink="Regn2!$B$38" fmlaRange="Jordtypenavn" noThreeD="1" sel="6" val="0"/>
</file>

<file path=xl/ctrlProps/ctrlProp478.xml><?xml version="1.0" encoding="utf-8"?>
<formControlPr xmlns="http://schemas.microsoft.com/office/spreadsheetml/2009/9/main" objectType="Drop" dropStyle="combo" dx="16" fmlaLink="Regn2!$C$38" fmlaRange="Markvandingnavn" noThreeD="1" val="0"/>
</file>

<file path=xl/ctrlProps/ctrlProp479.xml><?xml version="1.0" encoding="utf-8"?>
<formControlPr xmlns="http://schemas.microsoft.com/office/spreadsheetml/2009/9/main" objectType="Drop" dropLines="6" dropStyle="combo" dx="16" fmlaLink="Regn2!$AA$38" fmlaRange="Markgruppe" noThreeD="1" val="0"/>
</file>

<file path=xl/ctrlProps/ctrlProp48.xml><?xml version="1.0" encoding="utf-8"?>
<formControlPr xmlns="http://schemas.microsoft.com/office/spreadsheetml/2009/9/main" objectType="Drop" dropLines="2" dropStyle="combo" dx="16" fmlaLink="Regn!$F$42" fmlaRange="Halmanvendelsenavn" noThreeD="1" val="0"/>
</file>

<file path=xl/ctrlProps/ctrlProp480.xml><?xml version="1.0" encoding="utf-8"?>
<formControlPr xmlns="http://schemas.microsoft.com/office/spreadsheetml/2009/9/main" objectType="Drop" dropStyle="combo" dx="16" fmlaLink="Regn2!$O$40" fmlaRange="Afgrnavn" noThreeD="1" sel="26" val="21"/>
</file>

<file path=xl/ctrlProps/ctrlProp481.xml><?xml version="1.0" encoding="utf-8"?>
<formControlPr xmlns="http://schemas.microsoft.com/office/spreadsheetml/2009/9/main" objectType="Drop" dropStyle="combo" dx="16" fmlaLink="Regn2!$P$40" fmlaRange="Efgrnavn" noThreeD="1" val="0"/>
</file>

<file path=xl/ctrlProps/ctrlProp482.xml><?xml version="1.0" encoding="utf-8"?>
<formControlPr xmlns="http://schemas.microsoft.com/office/spreadsheetml/2009/9/main" objectType="Drop" dropStyle="combo" dx="16" fmlaLink="Regn2!$R$40" fmlaRange="Afgrnavn" noThreeD="1" sel="26" val="23"/>
</file>

<file path=xl/ctrlProps/ctrlProp483.xml><?xml version="1.0" encoding="utf-8"?>
<formControlPr xmlns="http://schemas.microsoft.com/office/spreadsheetml/2009/9/main" objectType="Drop" dropStyle="combo" dx="16" fmlaLink="Regn2!$T$40" fmlaRange="Efgrnavn" noThreeD="1" val="0"/>
</file>

<file path=xl/ctrlProps/ctrlProp484.xml><?xml version="1.0" encoding="utf-8"?>
<formControlPr xmlns="http://schemas.microsoft.com/office/spreadsheetml/2009/9/main" objectType="CheckBox" fmlaLink="Regn2!$Q$40" lockText="1" noThreeD="1"/>
</file>

<file path=xl/ctrlProps/ctrlProp485.xml><?xml version="1.0" encoding="utf-8"?>
<formControlPr xmlns="http://schemas.microsoft.com/office/spreadsheetml/2009/9/main" objectType="Drop" dropStyle="combo" dx="16" fmlaLink="Regn2!$X$40" fmlaRange="Afgrnavn" noThreeD="1" sel="26" val="24"/>
</file>

<file path=xl/ctrlProps/ctrlProp486.xml><?xml version="1.0" encoding="utf-8"?>
<formControlPr xmlns="http://schemas.microsoft.com/office/spreadsheetml/2009/9/main" objectType="Drop" dropLines="2" dropStyle="combo" dx="16" fmlaLink="Regn2!$S$40" fmlaRange="Halmanvendelsenavn" noThreeD="1" val="0"/>
</file>

<file path=xl/ctrlProps/ctrlProp487.xml><?xml version="1.0" encoding="utf-8"?>
<formControlPr xmlns="http://schemas.microsoft.com/office/spreadsheetml/2009/9/main" objectType="Drop" dropLines="3" dropStyle="combo" dx="16" fmlaLink="Regn2!$U$40" fmlaRange="EfterafgrbehNavn" noThreeD="1" val="0"/>
</file>

<file path=xl/ctrlProps/ctrlProp488.xml><?xml version="1.0" encoding="utf-8"?>
<formControlPr xmlns="http://schemas.microsoft.com/office/spreadsheetml/2009/9/main" objectType="Drop" dropLines="3" dropStyle="combo" dx="16" fmlaLink="Regn2!$V$40" fmlaRange="TorringNavn" noThreeD="1" val="0"/>
</file>

<file path=xl/ctrlProps/ctrlProp489.xml><?xml version="1.0" encoding="utf-8"?>
<formControlPr xmlns="http://schemas.microsoft.com/office/spreadsheetml/2009/9/main" objectType="Drop" dropStyle="combo" dx="16" fmlaLink="Regn2!$B$40" fmlaRange="Jordtypenavn" noThreeD="1" sel="11" val="4"/>
</file>

<file path=xl/ctrlProps/ctrlProp49.xml><?xml version="1.0" encoding="utf-8"?>
<formControlPr xmlns="http://schemas.microsoft.com/office/spreadsheetml/2009/9/main" objectType="Drop" dropLines="3" dropStyle="combo" dx="16" fmlaLink="Regn!$H$42" fmlaRange="EfterafgrbehNavn" noThreeD="1" val="0"/>
</file>

<file path=xl/ctrlProps/ctrlProp490.xml><?xml version="1.0" encoding="utf-8"?>
<formControlPr xmlns="http://schemas.microsoft.com/office/spreadsheetml/2009/9/main" objectType="Drop" dropStyle="combo" dx="16" fmlaLink="Regn2!$C$40" fmlaRange="Markvandingnavn" noThreeD="1" val="0"/>
</file>

<file path=xl/ctrlProps/ctrlProp491.xml><?xml version="1.0" encoding="utf-8"?>
<formControlPr xmlns="http://schemas.microsoft.com/office/spreadsheetml/2009/9/main" objectType="Drop" dropLines="6" dropStyle="combo" dx="16" fmlaLink="Regn2!$AA$40" fmlaRange="Markgruppe" noThreeD="1" sel="4" val="0"/>
</file>

<file path=xl/ctrlProps/ctrlProp492.xml><?xml version="1.0" encoding="utf-8"?>
<formControlPr xmlns="http://schemas.microsoft.com/office/spreadsheetml/2009/9/main" objectType="Drop" dropStyle="combo" dx="16" fmlaLink="Regn2!$O$42" fmlaRange="Afgrnavn" noThreeD="1" sel="26" val="20"/>
</file>

<file path=xl/ctrlProps/ctrlProp493.xml><?xml version="1.0" encoding="utf-8"?>
<formControlPr xmlns="http://schemas.microsoft.com/office/spreadsheetml/2009/9/main" objectType="Drop" dropStyle="combo" dx="16" fmlaLink="Regn2!$P$42" fmlaRange="Efgrnavn" noThreeD="1" val="0"/>
</file>

<file path=xl/ctrlProps/ctrlProp494.xml><?xml version="1.0" encoding="utf-8"?>
<formControlPr xmlns="http://schemas.microsoft.com/office/spreadsheetml/2009/9/main" objectType="Drop" dropStyle="combo" dx="16" fmlaLink="Regn2!$R$42" fmlaRange="Afgrnavn" noThreeD="1" sel="26" val="22"/>
</file>

<file path=xl/ctrlProps/ctrlProp495.xml><?xml version="1.0" encoding="utf-8"?>
<formControlPr xmlns="http://schemas.microsoft.com/office/spreadsheetml/2009/9/main" objectType="Drop" dropStyle="combo" dx="16" fmlaLink="Regn2!$S$42" fmlaRange="Efgrnavn" noThreeD="1" val="0"/>
</file>

<file path=xl/ctrlProps/ctrlProp496.xml><?xml version="1.0" encoding="utf-8"?>
<formControlPr xmlns="http://schemas.microsoft.com/office/spreadsheetml/2009/9/main" objectType="CheckBox" fmlaLink="Regn2!$Q$42" lockText="1" noThreeD="1"/>
</file>

<file path=xl/ctrlProps/ctrlProp497.xml><?xml version="1.0" encoding="utf-8"?>
<formControlPr xmlns="http://schemas.microsoft.com/office/spreadsheetml/2009/9/main" objectType="Drop" dropStyle="combo" dx="16" fmlaLink="Regn2!$X$42" fmlaRange="Afgrnavn" noThreeD="1" sel="26" val="23"/>
</file>

<file path=xl/ctrlProps/ctrlProp498.xml><?xml version="1.0" encoding="utf-8"?>
<formControlPr xmlns="http://schemas.microsoft.com/office/spreadsheetml/2009/9/main" objectType="Drop" dropLines="2" dropStyle="combo" dx="16" fmlaLink="Regn2!$S$42" fmlaRange="Halmanvendelsenavn" noThreeD="1" val="0"/>
</file>

<file path=xl/ctrlProps/ctrlProp499.xml><?xml version="1.0" encoding="utf-8"?>
<formControlPr xmlns="http://schemas.microsoft.com/office/spreadsheetml/2009/9/main" objectType="Drop" dropLines="3" dropStyle="combo" dx="16" fmlaLink="Regn2!$U$42" fmlaRange="EfterafgrbehNavn" noThreeD="1" val="0"/>
</file>

<file path=xl/ctrlProps/ctrlProp5.xml><?xml version="1.0" encoding="utf-8"?>
<formControlPr xmlns="http://schemas.microsoft.com/office/spreadsheetml/2009/9/main" objectType="CheckBox" checked="Checked" fmlaLink="Regn!$D$34" lockText="1" noThreeD="1"/>
</file>

<file path=xl/ctrlProps/ctrlProp50.xml><?xml version="1.0" encoding="utf-8"?>
<formControlPr xmlns="http://schemas.microsoft.com/office/spreadsheetml/2009/9/main" objectType="Drop" dropLines="3" dropStyle="combo" dx="16" fmlaLink="Regn!$I$42" fmlaRange="TorringNavn" noThreeD="1" val="0"/>
</file>

<file path=xl/ctrlProps/ctrlProp500.xml><?xml version="1.0" encoding="utf-8"?>
<formControlPr xmlns="http://schemas.microsoft.com/office/spreadsheetml/2009/9/main" objectType="Drop" dropLines="3" dropStyle="combo" dx="16" fmlaLink="Regn2!$V$42" fmlaRange="TorringNavn" noThreeD="1" val="0"/>
</file>

<file path=xl/ctrlProps/ctrlProp501.xml><?xml version="1.0" encoding="utf-8"?>
<formControlPr xmlns="http://schemas.microsoft.com/office/spreadsheetml/2009/9/main" objectType="Drop" dropStyle="combo" dx="16" fmlaLink="Regn2!$B$42" fmlaRange="Jordtypenavn" noThreeD="1" sel="11" val="4"/>
</file>

<file path=xl/ctrlProps/ctrlProp502.xml><?xml version="1.0" encoding="utf-8"?>
<formControlPr xmlns="http://schemas.microsoft.com/office/spreadsheetml/2009/9/main" objectType="Drop" dropStyle="combo" dx="16" fmlaLink="Regn2!$C$42" fmlaRange="Markvandingnavn" noThreeD="1" val="0"/>
</file>

<file path=xl/ctrlProps/ctrlProp503.xml><?xml version="1.0" encoding="utf-8"?>
<formControlPr xmlns="http://schemas.microsoft.com/office/spreadsheetml/2009/9/main" objectType="Drop" dropLines="6" dropStyle="combo" dx="16" fmlaLink="Regn2!$AA$42" fmlaRange="Markgruppe" noThreeD="1" sel="4" val="0"/>
</file>

<file path=xl/ctrlProps/ctrlProp504.xml><?xml version="1.0" encoding="utf-8"?>
<formControlPr xmlns="http://schemas.microsoft.com/office/spreadsheetml/2009/9/main" objectType="Drop" dropStyle="combo" dx="16" fmlaLink="Regn2!$O$44" fmlaRange="Afgrnavn" noThreeD="1" sel="26" val="23"/>
</file>

<file path=xl/ctrlProps/ctrlProp505.xml><?xml version="1.0" encoding="utf-8"?>
<formControlPr xmlns="http://schemas.microsoft.com/office/spreadsheetml/2009/9/main" objectType="Drop" dropStyle="combo" dx="16" fmlaLink="Regn2!$P$44" fmlaRange="Efgrnavn" noThreeD="1" val="0"/>
</file>

<file path=xl/ctrlProps/ctrlProp506.xml><?xml version="1.0" encoding="utf-8"?>
<formControlPr xmlns="http://schemas.microsoft.com/office/spreadsheetml/2009/9/main" objectType="Drop" dropStyle="combo" dx="16" fmlaLink="Regn2!$R$44" fmlaRange="Afgrnavn" noThreeD="1" sel="26" val="21"/>
</file>

<file path=xl/ctrlProps/ctrlProp507.xml><?xml version="1.0" encoding="utf-8"?>
<formControlPr xmlns="http://schemas.microsoft.com/office/spreadsheetml/2009/9/main" objectType="Drop" dropStyle="combo" dx="16" fmlaLink="Regn2!$T$44" fmlaRange="Efgrnavn" noThreeD="1" val="0"/>
</file>

<file path=xl/ctrlProps/ctrlProp508.xml><?xml version="1.0" encoding="utf-8"?>
<formControlPr xmlns="http://schemas.microsoft.com/office/spreadsheetml/2009/9/main" objectType="CheckBox" fmlaLink="Regn2!$Q$44" lockText="1" noThreeD="1"/>
</file>

<file path=xl/ctrlProps/ctrlProp509.xml><?xml version="1.0" encoding="utf-8"?>
<formControlPr xmlns="http://schemas.microsoft.com/office/spreadsheetml/2009/9/main" objectType="Drop" dropStyle="combo" dx="16" fmlaLink="Regn2!$X$44" fmlaRange="Afgrnavn" noThreeD="1" sel="26" val="21"/>
</file>

<file path=xl/ctrlProps/ctrlProp51.xml><?xml version="1.0" encoding="utf-8"?>
<formControlPr xmlns="http://schemas.microsoft.com/office/spreadsheetml/2009/9/main" objectType="Drop" dropStyle="combo" dx="16" fmlaLink="Regn!$B$44" fmlaRange="Afgrnavn" noThreeD="1" val="34"/>
</file>

<file path=xl/ctrlProps/ctrlProp510.xml><?xml version="1.0" encoding="utf-8"?>
<formControlPr xmlns="http://schemas.microsoft.com/office/spreadsheetml/2009/9/main" objectType="Drop" dropLines="2" dropStyle="combo" dx="16" fmlaLink="Regn2!$S$44" fmlaRange="Halmanvendelsenavn" noThreeD="1" val="0"/>
</file>

<file path=xl/ctrlProps/ctrlProp511.xml><?xml version="1.0" encoding="utf-8"?>
<formControlPr xmlns="http://schemas.microsoft.com/office/spreadsheetml/2009/9/main" objectType="Drop" dropLines="3" dropStyle="combo" dx="16" fmlaLink="Regn2!$U$44" fmlaRange="EfterafgrbehNavn" noThreeD="1" val="0"/>
</file>

<file path=xl/ctrlProps/ctrlProp512.xml><?xml version="1.0" encoding="utf-8"?>
<formControlPr xmlns="http://schemas.microsoft.com/office/spreadsheetml/2009/9/main" objectType="Drop" dropLines="3" dropStyle="combo" dx="16" fmlaLink="Regn2!$V$44" fmlaRange="TorringNavn" noThreeD="1" val="0"/>
</file>

<file path=xl/ctrlProps/ctrlProp513.xml><?xml version="1.0" encoding="utf-8"?>
<formControlPr xmlns="http://schemas.microsoft.com/office/spreadsheetml/2009/9/main" objectType="Drop" dropStyle="combo" dx="16" fmlaLink="Regn2!$B$44" fmlaRange="Jordtypenavn" noThreeD="1" sel="11" val="4"/>
</file>

<file path=xl/ctrlProps/ctrlProp514.xml><?xml version="1.0" encoding="utf-8"?>
<formControlPr xmlns="http://schemas.microsoft.com/office/spreadsheetml/2009/9/main" objectType="Drop" dropStyle="combo" dx="16" fmlaLink="Regn2!$C$44" fmlaRange="Markvandingnavn" noThreeD="1" val="0"/>
</file>

<file path=xl/ctrlProps/ctrlProp515.xml><?xml version="1.0" encoding="utf-8"?>
<formControlPr xmlns="http://schemas.microsoft.com/office/spreadsheetml/2009/9/main" objectType="Drop" dropLines="6" dropStyle="combo" dx="16" fmlaLink="Regn2!$AA$44" fmlaRange="Markgruppe" noThreeD="1" sel="4" val="0"/>
</file>

<file path=xl/ctrlProps/ctrlProp516.xml><?xml version="1.0" encoding="utf-8"?>
<formControlPr xmlns="http://schemas.microsoft.com/office/spreadsheetml/2009/9/main" objectType="Drop" dropStyle="combo" dx="16" fmlaLink="Regn2!$O$46" fmlaRange="Afgrnavn" noThreeD="1" sel="40" val="33"/>
</file>

<file path=xl/ctrlProps/ctrlProp517.xml><?xml version="1.0" encoding="utf-8"?>
<formControlPr xmlns="http://schemas.microsoft.com/office/spreadsheetml/2009/9/main" objectType="Drop" dropStyle="combo" dx="16" fmlaLink="Regn2!$P$46" fmlaRange="Efgrnavn" noThreeD="1" val="0"/>
</file>

<file path=xl/ctrlProps/ctrlProp518.xml><?xml version="1.0" encoding="utf-8"?>
<formControlPr xmlns="http://schemas.microsoft.com/office/spreadsheetml/2009/9/main" objectType="Drop" dropStyle="combo" dx="16" fmlaLink="Regn2!$R$46" fmlaRange="Afgrnavn" noThreeD="1" sel="35" val="31"/>
</file>

<file path=xl/ctrlProps/ctrlProp519.xml><?xml version="1.0" encoding="utf-8"?>
<formControlPr xmlns="http://schemas.microsoft.com/office/spreadsheetml/2009/9/main" objectType="Drop" dropStyle="combo" dx="16" fmlaLink="Regn2!$T$46" fmlaRange="Efgrnavn" noThreeD="1" val="0"/>
</file>

<file path=xl/ctrlProps/ctrlProp52.xml><?xml version="1.0" encoding="utf-8"?>
<formControlPr xmlns="http://schemas.microsoft.com/office/spreadsheetml/2009/9/main" objectType="Drop" dropStyle="combo" dx="16" fmlaLink="Regn!$C$44" fmlaRange="Efgrnavn" noThreeD="1" val="6"/>
</file>

<file path=xl/ctrlProps/ctrlProp520.xml><?xml version="1.0" encoding="utf-8"?>
<formControlPr xmlns="http://schemas.microsoft.com/office/spreadsheetml/2009/9/main" objectType="CheckBox" fmlaLink="Regn2!$Q$46" lockText="1" noThreeD="1"/>
</file>

<file path=xl/ctrlProps/ctrlProp521.xml><?xml version="1.0" encoding="utf-8"?>
<formControlPr xmlns="http://schemas.microsoft.com/office/spreadsheetml/2009/9/main" objectType="Drop" dropStyle="combo" dx="16" fmlaLink="Regn2!$X$46" fmlaRange="Afgrnavn" noThreeD="1" sel="35" val="30"/>
</file>

<file path=xl/ctrlProps/ctrlProp522.xml><?xml version="1.0" encoding="utf-8"?>
<formControlPr xmlns="http://schemas.microsoft.com/office/spreadsheetml/2009/9/main" objectType="Drop" dropLines="2" dropStyle="combo" dx="16" fmlaLink="Regn2!$S$46" fmlaRange="Halmanvendelsenavn" noThreeD="1" val="0"/>
</file>

<file path=xl/ctrlProps/ctrlProp523.xml><?xml version="1.0" encoding="utf-8"?>
<formControlPr xmlns="http://schemas.microsoft.com/office/spreadsheetml/2009/9/main" objectType="Drop" dropLines="3" dropStyle="combo" dx="16" fmlaLink="Regn2!$U$46" fmlaRange="EfterafgrbehNavn" noThreeD="1" val="0"/>
</file>

<file path=xl/ctrlProps/ctrlProp524.xml><?xml version="1.0" encoding="utf-8"?>
<formControlPr xmlns="http://schemas.microsoft.com/office/spreadsheetml/2009/9/main" objectType="Drop" dropLines="3" dropStyle="combo" dx="16" fmlaLink="Regn2!$V$46" fmlaRange="TorringNavn" noThreeD="1" val="0"/>
</file>

<file path=xl/ctrlProps/ctrlProp525.xml><?xml version="1.0" encoding="utf-8"?>
<formControlPr xmlns="http://schemas.microsoft.com/office/spreadsheetml/2009/9/main" objectType="Drop" dropStyle="combo" dx="16" fmlaLink="Regn2!$B$46" fmlaRange="Jordtypenavn" noThreeD="1" sel="11" val="4"/>
</file>

<file path=xl/ctrlProps/ctrlProp526.xml><?xml version="1.0" encoding="utf-8"?>
<formControlPr xmlns="http://schemas.microsoft.com/office/spreadsheetml/2009/9/main" objectType="Drop" dropStyle="combo" dx="16" fmlaLink="Regn2!$C$46" fmlaRange="Markvandingnavn" noThreeD="1" val="0"/>
</file>

<file path=xl/ctrlProps/ctrlProp527.xml><?xml version="1.0" encoding="utf-8"?>
<formControlPr xmlns="http://schemas.microsoft.com/office/spreadsheetml/2009/9/main" objectType="Drop" dropLines="6" dropStyle="combo" dx="16" fmlaLink="Regn2!$AA$46" fmlaRange="Markgruppe" noThreeD="1" val="0"/>
</file>

<file path=xl/ctrlProps/ctrlProp528.xml><?xml version="1.0" encoding="utf-8"?>
<formControlPr xmlns="http://schemas.microsoft.com/office/spreadsheetml/2009/9/main" objectType="Drop" dropStyle="combo" dx="16" fmlaLink="Regn2!$O$48" fmlaRange="Afgrnavn" noThreeD="1" sel="19" val="13"/>
</file>

<file path=xl/ctrlProps/ctrlProp529.xml><?xml version="1.0" encoding="utf-8"?>
<formControlPr xmlns="http://schemas.microsoft.com/office/spreadsheetml/2009/9/main" objectType="Drop" dropStyle="combo" dx="16" fmlaLink="Regn2!$P$48" fmlaRange="Efgrnavn" noThreeD="1" val="0"/>
</file>

<file path=xl/ctrlProps/ctrlProp53.xml><?xml version="1.0" encoding="utf-8"?>
<formControlPr xmlns="http://schemas.microsoft.com/office/spreadsheetml/2009/9/main" objectType="Drop" dropStyle="combo" dx="16" fmlaLink="Regn!$E$44" fmlaRange="Afgrnavn" noThreeD="1" val="0"/>
</file>

<file path=xl/ctrlProps/ctrlProp530.xml><?xml version="1.0" encoding="utf-8"?>
<formControlPr xmlns="http://schemas.microsoft.com/office/spreadsheetml/2009/9/main" objectType="Drop" dropStyle="combo" dx="16" fmlaLink="Regn2!$R$48" fmlaRange="Afgrnavn" noThreeD="1" sel="19" val="16"/>
</file>

<file path=xl/ctrlProps/ctrlProp531.xml><?xml version="1.0" encoding="utf-8"?>
<formControlPr xmlns="http://schemas.microsoft.com/office/spreadsheetml/2009/9/main" objectType="Drop" dropStyle="combo" dx="16" fmlaLink="Regn2!$T$48" fmlaRange="Efgrnavn" noThreeD="1" val="0"/>
</file>

<file path=xl/ctrlProps/ctrlProp532.xml><?xml version="1.0" encoding="utf-8"?>
<formControlPr xmlns="http://schemas.microsoft.com/office/spreadsheetml/2009/9/main" objectType="CheckBox" fmlaLink="Regn2!$Q$48" lockText="1" noThreeD="1"/>
</file>

<file path=xl/ctrlProps/ctrlProp533.xml><?xml version="1.0" encoding="utf-8"?>
<formControlPr xmlns="http://schemas.microsoft.com/office/spreadsheetml/2009/9/main" objectType="Drop" dropStyle="combo" dx="16" fmlaLink="Regn2!$X$48" fmlaRange="Afgrnavn" noThreeD="1" sel="19" val="15"/>
</file>

<file path=xl/ctrlProps/ctrlProp534.xml><?xml version="1.0" encoding="utf-8"?>
<formControlPr xmlns="http://schemas.microsoft.com/office/spreadsheetml/2009/9/main" objectType="Drop" dropLines="2" dropStyle="combo" dx="16" fmlaLink="Regn2!$S$48" fmlaRange="Halmanvendelsenavn" noThreeD="1" val="0"/>
</file>

<file path=xl/ctrlProps/ctrlProp535.xml><?xml version="1.0" encoding="utf-8"?>
<formControlPr xmlns="http://schemas.microsoft.com/office/spreadsheetml/2009/9/main" objectType="Drop" dropLines="3" dropStyle="combo" dx="16" fmlaLink="Regn2!$U$48" fmlaRange="EfterafgrbehNavn" noThreeD="1" val="0"/>
</file>

<file path=xl/ctrlProps/ctrlProp536.xml><?xml version="1.0" encoding="utf-8"?>
<formControlPr xmlns="http://schemas.microsoft.com/office/spreadsheetml/2009/9/main" objectType="Drop" dropLines="3" dropStyle="combo" dx="16" fmlaLink="Regn2!$V$48" fmlaRange="TorringNavn" noThreeD="1" val="0"/>
</file>

<file path=xl/ctrlProps/ctrlProp537.xml><?xml version="1.0" encoding="utf-8"?>
<formControlPr xmlns="http://schemas.microsoft.com/office/spreadsheetml/2009/9/main" objectType="Drop" dropStyle="combo" dx="16" fmlaLink="Regn2!$B$48" fmlaRange="Jordtypenavn" noThreeD="1" sel="11" val="4"/>
</file>

<file path=xl/ctrlProps/ctrlProp538.xml><?xml version="1.0" encoding="utf-8"?>
<formControlPr xmlns="http://schemas.microsoft.com/office/spreadsheetml/2009/9/main" objectType="Drop" dropStyle="combo" dx="16" fmlaLink="Regn2!$C$48" fmlaRange="Markvandingnavn" noThreeD="1" val="0"/>
</file>

<file path=xl/ctrlProps/ctrlProp539.xml><?xml version="1.0" encoding="utf-8"?>
<formControlPr xmlns="http://schemas.microsoft.com/office/spreadsheetml/2009/9/main" objectType="Drop" dropLines="6" dropStyle="combo" dx="16" fmlaLink="Regn2!$AA$48" fmlaRange="Markgruppe" noThreeD="1" val="0"/>
</file>

<file path=xl/ctrlProps/ctrlProp54.xml><?xml version="1.0" encoding="utf-8"?>
<formControlPr xmlns="http://schemas.microsoft.com/office/spreadsheetml/2009/9/main" objectType="Drop" dropStyle="combo" dx="16" fmlaLink="Regn!$G$44" fmlaRange="Efgrnavn" noThreeD="1" val="0"/>
</file>

<file path=xl/ctrlProps/ctrlProp540.xml><?xml version="1.0" encoding="utf-8"?>
<formControlPr xmlns="http://schemas.microsoft.com/office/spreadsheetml/2009/9/main" objectType="Drop" dropStyle="combo" dx="16" fmlaLink="Regn2!$O$50" fmlaRange="Afgrnavn" noThreeD="1" sel="26" val="22"/>
</file>

<file path=xl/ctrlProps/ctrlProp541.xml><?xml version="1.0" encoding="utf-8"?>
<formControlPr xmlns="http://schemas.microsoft.com/office/spreadsheetml/2009/9/main" objectType="Drop" dropStyle="combo" dx="16" fmlaLink="Regn2!$P$50" fmlaRange="Efgrnavn" noThreeD="1" val="0"/>
</file>

<file path=xl/ctrlProps/ctrlProp542.xml><?xml version="1.0" encoding="utf-8"?>
<formControlPr xmlns="http://schemas.microsoft.com/office/spreadsheetml/2009/9/main" objectType="Drop" dropStyle="combo" dx="16" fmlaLink="Regn2!$R$50" fmlaRange="Afgrnavn" noThreeD="1" sel="28" val="24"/>
</file>

<file path=xl/ctrlProps/ctrlProp543.xml><?xml version="1.0" encoding="utf-8"?>
<formControlPr xmlns="http://schemas.microsoft.com/office/spreadsheetml/2009/9/main" objectType="Drop" dropStyle="combo" dx="16" fmlaLink="Regn2!$T$50" fmlaRange="Efgrnavn" noThreeD="1" val="0"/>
</file>

<file path=xl/ctrlProps/ctrlProp544.xml><?xml version="1.0" encoding="utf-8"?>
<formControlPr xmlns="http://schemas.microsoft.com/office/spreadsheetml/2009/9/main" objectType="CheckBox" fmlaLink="Regn2!$Q$50" lockText="1" noThreeD="1"/>
</file>

<file path=xl/ctrlProps/ctrlProp545.xml><?xml version="1.0" encoding="utf-8"?>
<formControlPr xmlns="http://schemas.microsoft.com/office/spreadsheetml/2009/9/main" objectType="Drop" dropStyle="combo" dx="16" fmlaLink="Regn2!$X$50" fmlaRange="Afgrnavn" noThreeD="1" sel="28" val="20"/>
</file>

<file path=xl/ctrlProps/ctrlProp546.xml><?xml version="1.0" encoding="utf-8"?>
<formControlPr xmlns="http://schemas.microsoft.com/office/spreadsheetml/2009/9/main" objectType="Drop" dropLines="2" dropStyle="combo" dx="16" fmlaLink="Regn2!$S$50" fmlaRange="Halmanvendelsenavn" noThreeD="1" val="0"/>
</file>

<file path=xl/ctrlProps/ctrlProp547.xml><?xml version="1.0" encoding="utf-8"?>
<formControlPr xmlns="http://schemas.microsoft.com/office/spreadsheetml/2009/9/main" objectType="Drop" dropLines="3" dropStyle="combo" dx="16" fmlaLink="Regn2!$U$50" fmlaRange="EfterafgrbehNavn" noThreeD="1" val="0"/>
</file>

<file path=xl/ctrlProps/ctrlProp548.xml><?xml version="1.0" encoding="utf-8"?>
<formControlPr xmlns="http://schemas.microsoft.com/office/spreadsheetml/2009/9/main" objectType="Drop" dropLines="3" dropStyle="combo" dx="16" fmlaLink="Regn2!$V$50" fmlaRange="TorringNavn" noThreeD="1" val="0"/>
</file>

<file path=xl/ctrlProps/ctrlProp549.xml><?xml version="1.0" encoding="utf-8"?>
<formControlPr xmlns="http://schemas.microsoft.com/office/spreadsheetml/2009/9/main" objectType="Drop" dropStyle="combo" dx="16" fmlaLink="Regn2!$B$50" fmlaRange="Jordtypenavn" noThreeD="1" sel="11" val="4"/>
</file>

<file path=xl/ctrlProps/ctrlProp55.xml><?xml version="1.0" encoding="utf-8"?>
<formControlPr xmlns="http://schemas.microsoft.com/office/spreadsheetml/2009/9/main" objectType="CheckBox" fmlaLink="Regn!$D$44" lockText="1" noThreeD="1"/>
</file>

<file path=xl/ctrlProps/ctrlProp550.xml><?xml version="1.0" encoding="utf-8"?>
<formControlPr xmlns="http://schemas.microsoft.com/office/spreadsheetml/2009/9/main" objectType="Drop" dropStyle="combo" dx="16" fmlaLink="Regn2!$C$50" fmlaRange="Markvandingnavn" noThreeD="1" val="0"/>
</file>

<file path=xl/ctrlProps/ctrlProp551.xml><?xml version="1.0" encoding="utf-8"?>
<formControlPr xmlns="http://schemas.microsoft.com/office/spreadsheetml/2009/9/main" objectType="Drop" dropLines="6" dropStyle="combo" dx="16" fmlaLink="Regn2!$AA$50" fmlaRange="Markgruppe" noThreeD="1" sel="4" val="0"/>
</file>

<file path=xl/ctrlProps/ctrlProp552.xml><?xml version="1.0" encoding="utf-8"?>
<formControlPr xmlns="http://schemas.microsoft.com/office/spreadsheetml/2009/9/main" objectType="Drop" dropStyle="combo" dx="16" fmlaLink="Regn2!$O$52" fmlaRange="Afgrnavn" noThreeD="1" sel="40" val="33"/>
</file>

<file path=xl/ctrlProps/ctrlProp553.xml><?xml version="1.0" encoding="utf-8"?>
<formControlPr xmlns="http://schemas.microsoft.com/office/spreadsheetml/2009/9/main" objectType="Drop" dropStyle="combo" dx="16" fmlaLink="Regn2!$P$52" fmlaRange="Efgrnavn" noThreeD="1" val="0"/>
</file>

<file path=xl/ctrlProps/ctrlProp554.xml><?xml version="1.0" encoding="utf-8"?>
<formControlPr xmlns="http://schemas.microsoft.com/office/spreadsheetml/2009/9/main" objectType="Drop" dropStyle="combo" dx="16" fmlaLink="Regn2!$R$52" fmlaRange="Afgrnavn" noThreeD="1" sel="35" val="27"/>
</file>

<file path=xl/ctrlProps/ctrlProp555.xml><?xml version="1.0" encoding="utf-8"?>
<formControlPr xmlns="http://schemas.microsoft.com/office/spreadsheetml/2009/9/main" objectType="Drop" dropStyle="combo" dx="16" fmlaLink="Regn2!$T$52" fmlaRange="Efgrnavn" noThreeD="1" val="0"/>
</file>

<file path=xl/ctrlProps/ctrlProp556.xml><?xml version="1.0" encoding="utf-8"?>
<formControlPr xmlns="http://schemas.microsoft.com/office/spreadsheetml/2009/9/main" objectType="CheckBox" fmlaLink="Regn2!$Q$52" lockText="1" noThreeD="1"/>
</file>

<file path=xl/ctrlProps/ctrlProp557.xml><?xml version="1.0" encoding="utf-8"?>
<formControlPr xmlns="http://schemas.microsoft.com/office/spreadsheetml/2009/9/main" objectType="Drop" dropStyle="combo" dx="16" fmlaLink="Regn2!$X$52" fmlaRange="Afgrnavn" noThreeD="1" sel="35" val="29"/>
</file>

<file path=xl/ctrlProps/ctrlProp558.xml><?xml version="1.0" encoding="utf-8"?>
<formControlPr xmlns="http://schemas.microsoft.com/office/spreadsheetml/2009/9/main" objectType="Drop" dropLines="2" dropStyle="combo" dx="16" fmlaLink="Regn2!$S$52" fmlaRange="Halmanvendelsenavn" noThreeD="1" val="0"/>
</file>

<file path=xl/ctrlProps/ctrlProp559.xml><?xml version="1.0" encoding="utf-8"?>
<formControlPr xmlns="http://schemas.microsoft.com/office/spreadsheetml/2009/9/main" objectType="Drop" dropLines="3" dropStyle="combo" dx="16" fmlaLink="Regn2!$U$52" fmlaRange="EfterafgrbehNavn" noThreeD="1" val="0"/>
</file>

<file path=xl/ctrlProps/ctrlProp56.xml><?xml version="1.0" encoding="utf-8"?>
<formControlPr xmlns="http://schemas.microsoft.com/office/spreadsheetml/2009/9/main" objectType="Drop" dropStyle="combo" dx="16" fmlaLink="Regn!$K$44" fmlaRange="Afgrnavn" noThreeD="1" val="34"/>
</file>

<file path=xl/ctrlProps/ctrlProp560.xml><?xml version="1.0" encoding="utf-8"?>
<formControlPr xmlns="http://schemas.microsoft.com/office/spreadsheetml/2009/9/main" objectType="Drop" dropLines="3" dropStyle="combo" dx="16" fmlaLink="Regn2!$V$52" fmlaRange="TorringNavn" noThreeD="1" val="0"/>
</file>

<file path=xl/ctrlProps/ctrlProp561.xml><?xml version="1.0" encoding="utf-8"?>
<formControlPr xmlns="http://schemas.microsoft.com/office/spreadsheetml/2009/9/main" objectType="Drop" dropStyle="combo" dx="16" fmlaLink="Regn2!$B$52" fmlaRange="Jordtypenavn" noThreeD="1" sel="11" val="4"/>
</file>

<file path=xl/ctrlProps/ctrlProp562.xml><?xml version="1.0" encoding="utf-8"?>
<formControlPr xmlns="http://schemas.microsoft.com/office/spreadsheetml/2009/9/main" objectType="Drop" dropStyle="combo" dx="16" fmlaLink="Regn2!$C$52" fmlaRange="Markvandingnavn" noThreeD="1" val="0"/>
</file>

<file path=xl/ctrlProps/ctrlProp563.xml><?xml version="1.0" encoding="utf-8"?>
<formControlPr xmlns="http://schemas.microsoft.com/office/spreadsheetml/2009/9/main" objectType="Drop" dropLines="6" dropStyle="combo" dx="16" fmlaLink="Regn2!$AA$52" fmlaRange="Markgruppe" noThreeD="1" val="0"/>
</file>

<file path=xl/ctrlProps/ctrlProp564.xml><?xml version="1.0" encoding="utf-8"?>
<formControlPr xmlns="http://schemas.microsoft.com/office/spreadsheetml/2009/9/main" objectType="Drop" dropStyle="combo" dx="16" fmlaLink="Regn2!$O$54" fmlaRange="Afgrnavn" noThreeD="1" sel="26" val="20"/>
</file>

<file path=xl/ctrlProps/ctrlProp565.xml><?xml version="1.0" encoding="utf-8"?>
<formControlPr xmlns="http://schemas.microsoft.com/office/spreadsheetml/2009/9/main" objectType="Drop" dropStyle="combo" dx="16" fmlaLink="Regn2!$P$54" fmlaRange="Efgrnavn" noThreeD="1" val="0"/>
</file>

<file path=xl/ctrlProps/ctrlProp566.xml><?xml version="1.0" encoding="utf-8"?>
<formControlPr xmlns="http://schemas.microsoft.com/office/spreadsheetml/2009/9/main" objectType="Drop" dropStyle="combo" dx="16" fmlaLink="Regn2!$R$54" fmlaRange="Afgrnavn" noThreeD="1" sel="26" val="23"/>
</file>

<file path=xl/ctrlProps/ctrlProp567.xml><?xml version="1.0" encoding="utf-8"?>
<formControlPr xmlns="http://schemas.microsoft.com/office/spreadsheetml/2009/9/main" objectType="Drop" dropStyle="combo" dx="16" fmlaLink="Regn2!$T$54" fmlaRange="Efgrnavn" noThreeD="1" val="0"/>
</file>

<file path=xl/ctrlProps/ctrlProp568.xml><?xml version="1.0" encoding="utf-8"?>
<formControlPr xmlns="http://schemas.microsoft.com/office/spreadsheetml/2009/9/main" objectType="CheckBox" fmlaLink="Regn2!$Q$54" lockText="1" noThreeD="1"/>
</file>

<file path=xl/ctrlProps/ctrlProp569.xml><?xml version="1.0" encoding="utf-8"?>
<formControlPr xmlns="http://schemas.microsoft.com/office/spreadsheetml/2009/9/main" objectType="Drop" dropStyle="combo" dx="16" fmlaLink="Regn2!$X$54" fmlaRange="Afgrnavn" noThreeD="1" sel="26" val="20"/>
</file>

<file path=xl/ctrlProps/ctrlProp57.xml><?xml version="1.0" encoding="utf-8"?>
<formControlPr xmlns="http://schemas.microsoft.com/office/spreadsheetml/2009/9/main" objectType="Drop" dropLines="2" dropStyle="combo" dx="16" fmlaLink="Regn!$F$44" fmlaRange="Halmanvendelsenavn" noThreeD="1" val="0"/>
</file>

<file path=xl/ctrlProps/ctrlProp570.xml><?xml version="1.0" encoding="utf-8"?>
<formControlPr xmlns="http://schemas.microsoft.com/office/spreadsheetml/2009/9/main" objectType="Drop" dropLines="2" dropStyle="combo" dx="16" fmlaLink="Regn2!$S$54" fmlaRange="Halmanvendelsenavn" noThreeD="1" val="0"/>
</file>

<file path=xl/ctrlProps/ctrlProp571.xml><?xml version="1.0" encoding="utf-8"?>
<formControlPr xmlns="http://schemas.microsoft.com/office/spreadsheetml/2009/9/main" objectType="Drop" dropLines="3" dropStyle="combo" dx="16" fmlaLink="Regn2!$U$54" fmlaRange="EfterafgrbehNavn" noThreeD="1" val="0"/>
</file>

<file path=xl/ctrlProps/ctrlProp572.xml><?xml version="1.0" encoding="utf-8"?>
<formControlPr xmlns="http://schemas.microsoft.com/office/spreadsheetml/2009/9/main" objectType="Drop" dropLines="3" dropStyle="combo" dx="16" fmlaLink="Regn2!$V$54" fmlaRange="TorringNavn" noThreeD="1" val="0"/>
</file>

<file path=xl/ctrlProps/ctrlProp573.xml><?xml version="1.0" encoding="utf-8"?>
<formControlPr xmlns="http://schemas.microsoft.com/office/spreadsheetml/2009/9/main" objectType="Drop" dropStyle="combo" dx="16" fmlaLink="Regn2!$B$54" fmlaRange="Jordtypenavn" noThreeD="1" sel="11" val="4"/>
</file>

<file path=xl/ctrlProps/ctrlProp574.xml><?xml version="1.0" encoding="utf-8"?>
<formControlPr xmlns="http://schemas.microsoft.com/office/spreadsheetml/2009/9/main" objectType="Drop" dropStyle="combo" dx="16" fmlaLink="Regn2!$C$54" fmlaRange="Markvandingnavn" noThreeD="1" val="0"/>
</file>

<file path=xl/ctrlProps/ctrlProp575.xml><?xml version="1.0" encoding="utf-8"?>
<formControlPr xmlns="http://schemas.microsoft.com/office/spreadsheetml/2009/9/main" objectType="Drop" dropLines="6" dropStyle="combo" dx="16" fmlaLink="Regn2!$AA$54" fmlaRange="Markgruppe" noThreeD="1" sel="4" val="0"/>
</file>

<file path=xl/ctrlProps/ctrlProp576.xml><?xml version="1.0" encoding="utf-8"?>
<formControlPr xmlns="http://schemas.microsoft.com/office/spreadsheetml/2009/9/main" objectType="Drop" dropStyle="combo" dx="16" fmlaLink="Regn2!$O$56" fmlaRange="Afgrnavn" noThreeD="1" sel="26" val="23"/>
</file>

<file path=xl/ctrlProps/ctrlProp577.xml><?xml version="1.0" encoding="utf-8"?>
<formControlPr xmlns="http://schemas.microsoft.com/office/spreadsheetml/2009/9/main" objectType="Drop" dropStyle="combo" dx="16" fmlaLink="Regn2!$P$56" fmlaRange="Efgrnavn" noThreeD="1" val="0"/>
</file>

<file path=xl/ctrlProps/ctrlProp578.xml><?xml version="1.0" encoding="utf-8"?>
<formControlPr xmlns="http://schemas.microsoft.com/office/spreadsheetml/2009/9/main" objectType="Drop" dropStyle="combo" dx="16" fmlaLink="Regn2!$R$56" fmlaRange="Afgrnavn" noThreeD="1" sel="26" val="21"/>
</file>

<file path=xl/ctrlProps/ctrlProp579.xml><?xml version="1.0" encoding="utf-8"?>
<formControlPr xmlns="http://schemas.microsoft.com/office/spreadsheetml/2009/9/main" objectType="Drop" dropStyle="combo" dx="16" fmlaLink="Regn2!$T$56" fmlaRange="Efgrnavn" noThreeD="1" val="0"/>
</file>

<file path=xl/ctrlProps/ctrlProp58.xml><?xml version="1.0" encoding="utf-8"?>
<formControlPr xmlns="http://schemas.microsoft.com/office/spreadsheetml/2009/9/main" objectType="Drop" dropLines="3" dropStyle="combo" dx="16" fmlaLink="Regn!$H$44" fmlaRange="EfterafgrbehNavn" noThreeD="1" val="0"/>
</file>

<file path=xl/ctrlProps/ctrlProp580.xml><?xml version="1.0" encoding="utf-8"?>
<formControlPr xmlns="http://schemas.microsoft.com/office/spreadsheetml/2009/9/main" objectType="CheckBox" fmlaLink="Regn2!$Q$56" lockText="1" noThreeD="1"/>
</file>

<file path=xl/ctrlProps/ctrlProp581.xml><?xml version="1.0" encoding="utf-8"?>
<formControlPr xmlns="http://schemas.microsoft.com/office/spreadsheetml/2009/9/main" objectType="Drop" dropStyle="combo" dx="16" fmlaLink="Regn2!$X$56" fmlaRange="Afgrnavn" noThreeD="1" sel="26" val="21"/>
</file>

<file path=xl/ctrlProps/ctrlProp582.xml><?xml version="1.0" encoding="utf-8"?>
<formControlPr xmlns="http://schemas.microsoft.com/office/spreadsheetml/2009/9/main" objectType="Drop" dropLines="2" dropStyle="combo" dx="16" fmlaLink="Regn2!$S$56" fmlaRange="Halmanvendelsenavn" noThreeD="1" val="0"/>
</file>

<file path=xl/ctrlProps/ctrlProp583.xml><?xml version="1.0" encoding="utf-8"?>
<formControlPr xmlns="http://schemas.microsoft.com/office/spreadsheetml/2009/9/main" objectType="Drop" dropLines="3" dropStyle="combo" dx="16" fmlaLink="Regn2!$U$56" fmlaRange="EfterafgrbehNavn" noThreeD="1" val="0"/>
</file>

<file path=xl/ctrlProps/ctrlProp584.xml><?xml version="1.0" encoding="utf-8"?>
<formControlPr xmlns="http://schemas.microsoft.com/office/spreadsheetml/2009/9/main" objectType="Drop" dropLines="3" dropStyle="combo" dx="16" fmlaLink="Regn2!$V$56" fmlaRange="TorringNavn" noThreeD="1" val="0"/>
</file>

<file path=xl/ctrlProps/ctrlProp585.xml><?xml version="1.0" encoding="utf-8"?>
<formControlPr xmlns="http://schemas.microsoft.com/office/spreadsheetml/2009/9/main" objectType="Drop" dropStyle="combo" dx="16" fmlaLink="Regn2!$B$56" fmlaRange="Jordtypenavn" noThreeD="1" sel="11" val="4"/>
</file>

<file path=xl/ctrlProps/ctrlProp586.xml><?xml version="1.0" encoding="utf-8"?>
<formControlPr xmlns="http://schemas.microsoft.com/office/spreadsheetml/2009/9/main" objectType="Drop" dropStyle="combo" dx="16" fmlaLink="Regn2!$C$56" fmlaRange="Markvandingnavn" noThreeD="1" val="0"/>
</file>

<file path=xl/ctrlProps/ctrlProp587.xml><?xml version="1.0" encoding="utf-8"?>
<formControlPr xmlns="http://schemas.microsoft.com/office/spreadsheetml/2009/9/main" objectType="Drop" dropLines="6" dropStyle="combo" dx="16" fmlaLink="Regn2!$AA$56" fmlaRange="Markgruppe" noThreeD="1" sel="4" val="0"/>
</file>

<file path=xl/ctrlProps/ctrlProp588.xml><?xml version="1.0" encoding="utf-8"?>
<formControlPr xmlns="http://schemas.microsoft.com/office/spreadsheetml/2009/9/main" objectType="Drop" dropStyle="combo" dx="16" fmlaLink="Regn2!$O$58" fmlaRange="Afgrnavn" noThreeD="1" sel="26" val="23"/>
</file>

<file path=xl/ctrlProps/ctrlProp589.xml><?xml version="1.0" encoding="utf-8"?>
<formControlPr xmlns="http://schemas.microsoft.com/office/spreadsheetml/2009/9/main" objectType="Drop" dropStyle="combo" dx="16" fmlaLink="Regn2!$P$58" fmlaRange="Efgrnavn" noThreeD="1" val="0"/>
</file>

<file path=xl/ctrlProps/ctrlProp59.xml><?xml version="1.0" encoding="utf-8"?>
<formControlPr xmlns="http://schemas.microsoft.com/office/spreadsheetml/2009/9/main" objectType="Drop" dropLines="3" dropStyle="combo" dx="16" fmlaLink="Regn!$I$44" fmlaRange="TorringNavn" noThreeD="1" val="0"/>
</file>

<file path=xl/ctrlProps/ctrlProp590.xml><?xml version="1.0" encoding="utf-8"?>
<formControlPr xmlns="http://schemas.microsoft.com/office/spreadsheetml/2009/9/main" objectType="Drop" dropStyle="combo" dx="16" fmlaLink="Regn2!$R$58" fmlaRange="Afgrnavn" noThreeD="1" sel="26" val="25"/>
</file>

<file path=xl/ctrlProps/ctrlProp591.xml><?xml version="1.0" encoding="utf-8"?>
<formControlPr xmlns="http://schemas.microsoft.com/office/spreadsheetml/2009/9/main" objectType="Drop" dropStyle="combo" dx="16" fmlaLink="Regn2!$T$58" fmlaRange="Efgrnavn" noThreeD="1" val="0"/>
</file>

<file path=xl/ctrlProps/ctrlProp592.xml><?xml version="1.0" encoding="utf-8"?>
<formControlPr xmlns="http://schemas.microsoft.com/office/spreadsheetml/2009/9/main" objectType="CheckBox" fmlaLink="Regn2!$Q$58" lockText="1" noThreeD="1"/>
</file>

<file path=xl/ctrlProps/ctrlProp593.xml><?xml version="1.0" encoding="utf-8"?>
<formControlPr xmlns="http://schemas.microsoft.com/office/spreadsheetml/2009/9/main" objectType="Drop" dropStyle="combo" dx="16" fmlaLink="Regn2!$X$58" fmlaRange="Afgrnavn" noThreeD="1" sel="26" val="23"/>
</file>

<file path=xl/ctrlProps/ctrlProp594.xml><?xml version="1.0" encoding="utf-8"?>
<formControlPr xmlns="http://schemas.microsoft.com/office/spreadsheetml/2009/9/main" objectType="Drop" dropLines="2" dropStyle="combo" dx="16" fmlaLink="Regn2!$S$58" fmlaRange="Halmanvendelsenavn" noThreeD="1" val="0"/>
</file>

<file path=xl/ctrlProps/ctrlProp595.xml><?xml version="1.0" encoding="utf-8"?>
<formControlPr xmlns="http://schemas.microsoft.com/office/spreadsheetml/2009/9/main" objectType="Drop" dropLines="3" dropStyle="combo" dx="16" fmlaLink="Regn2!$U$58" fmlaRange="EfterafgrbehNavn" noThreeD="1" val="0"/>
</file>

<file path=xl/ctrlProps/ctrlProp596.xml><?xml version="1.0" encoding="utf-8"?>
<formControlPr xmlns="http://schemas.microsoft.com/office/spreadsheetml/2009/9/main" objectType="Drop" dropLines="3" dropStyle="combo" dx="16" fmlaLink="Regn2!$V$58" fmlaRange="TorringNavn" noThreeD="1" val="0"/>
</file>

<file path=xl/ctrlProps/ctrlProp597.xml><?xml version="1.0" encoding="utf-8"?>
<formControlPr xmlns="http://schemas.microsoft.com/office/spreadsheetml/2009/9/main" objectType="Drop" dropStyle="combo" dx="16" fmlaLink="Regn2!$B$58" fmlaRange="Jordtypenavn" noThreeD="1" sel="11" val="4"/>
</file>

<file path=xl/ctrlProps/ctrlProp598.xml><?xml version="1.0" encoding="utf-8"?>
<formControlPr xmlns="http://schemas.microsoft.com/office/spreadsheetml/2009/9/main" objectType="Drop" dropStyle="combo" dx="16" fmlaLink="Regn2!$C$58" fmlaRange="Markvandingnavn" noThreeD="1" val="0"/>
</file>

<file path=xl/ctrlProps/ctrlProp599.xml><?xml version="1.0" encoding="utf-8"?>
<formControlPr xmlns="http://schemas.microsoft.com/office/spreadsheetml/2009/9/main" objectType="Drop" dropLines="6" dropStyle="combo" dx="16" fmlaLink="Regn2!$AA$58" fmlaRange="Markgruppe" noThreeD="1" sel="4" val="0"/>
</file>

<file path=xl/ctrlProps/ctrlProp6.xml><?xml version="1.0" encoding="utf-8"?>
<formControlPr xmlns="http://schemas.microsoft.com/office/spreadsheetml/2009/9/main" objectType="Drop" dropStyle="combo" dx="16" fmlaLink="Regn!$K$34" fmlaRange="Afgrnavn" noThreeD="1" sel="35" val="30"/>
</file>

<file path=xl/ctrlProps/ctrlProp60.xml><?xml version="1.0" encoding="utf-8"?>
<formControlPr xmlns="http://schemas.microsoft.com/office/spreadsheetml/2009/9/main" objectType="Drop" dropStyle="combo" dx="16" fmlaLink="Regn!$B$46" fmlaRange="Afgrnavn" noThreeD="1" val="0"/>
</file>

<file path=xl/ctrlProps/ctrlProp600.xml><?xml version="1.0" encoding="utf-8"?>
<formControlPr xmlns="http://schemas.microsoft.com/office/spreadsheetml/2009/9/main" objectType="Drop" dropStyle="combo" dx="16" fmlaLink="Regn2!$O$60" fmlaRange="Afgrnavn" noThreeD="1" sel="19" val="18"/>
</file>

<file path=xl/ctrlProps/ctrlProp601.xml><?xml version="1.0" encoding="utf-8"?>
<formControlPr xmlns="http://schemas.microsoft.com/office/spreadsheetml/2009/9/main" objectType="Drop" dropStyle="combo" dx="16" fmlaLink="Regn2!$P$60" fmlaRange="Efgrnavn" noThreeD="1" val="0"/>
</file>

<file path=xl/ctrlProps/ctrlProp602.xml><?xml version="1.0" encoding="utf-8"?>
<formControlPr xmlns="http://schemas.microsoft.com/office/spreadsheetml/2009/9/main" objectType="Drop" dropStyle="combo" dx="16" fmlaLink="Regn2!$R$60" fmlaRange="Afgrnavn" noThreeD="1" sel="19" val="13"/>
</file>

<file path=xl/ctrlProps/ctrlProp603.xml><?xml version="1.0" encoding="utf-8"?>
<formControlPr xmlns="http://schemas.microsoft.com/office/spreadsheetml/2009/9/main" objectType="Drop" dropStyle="combo" dx="16" fmlaLink="Regn2!$T$60" fmlaRange="Efgrnavn" noThreeD="1" val="0"/>
</file>

<file path=xl/ctrlProps/ctrlProp604.xml><?xml version="1.0" encoding="utf-8"?>
<formControlPr xmlns="http://schemas.microsoft.com/office/spreadsheetml/2009/9/main" objectType="CheckBox" fmlaLink="Regn2!$Q$60" lockText="1" noThreeD="1"/>
</file>

<file path=xl/ctrlProps/ctrlProp605.xml><?xml version="1.0" encoding="utf-8"?>
<formControlPr xmlns="http://schemas.microsoft.com/office/spreadsheetml/2009/9/main" objectType="Drop" dropStyle="combo" dx="16" fmlaLink="Regn2!$X$60" fmlaRange="Afgrnavn" noThreeD="1" sel="19" val="14"/>
</file>

<file path=xl/ctrlProps/ctrlProp606.xml><?xml version="1.0" encoding="utf-8"?>
<formControlPr xmlns="http://schemas.microsoft.com/office/spreadsheetml/2009/9/main" objectType="Drop" dropLines="2" dropStyle="combo" dx="16" fmlaLink="Regn2!$S$60" fmlaRange="Halmanvendelsenavn" noThreeD="1" val="0"/>
</file>

<file path=xl/ctrlProps/ctrlProp607.xml><?xml version="1.0" encoding="utf-8"?>
<formControlPr xmlns="http://schemas.microsoft.com/office/spreadsheetml/2009/9/main" objectType="Drop" dropLines="3" dropStyle="combo" dx="16" fmlaLink="Regn2!$U$60" fmlaRange="EfterafgrbehNavn" noThreeD="1" val="0"/>
</file>

<file path=xl/ctrlProps/ctrlProp608.xml><?xml version="1.0" encoding="utf-8"?>
<formControlPr xmlns="http://schemas.microsoft.com/office/spreadsheetml/2009/9/main" objectType="Drop" dropLines="3" dropStyle="combo" dx="16" fmlaLink="Regn2!$V$60" fmlaRange="TorringNavn" noThreeD="1" val="0"/>
</file>

<file path=xl/ctrlProps/ctrlProp609.xml><?xml version="1.0" encoding="utf-8"?>
<formControlPr xmlns="http://schemas.microsoft.com/office/spreadsheetml/2009/9/main" objectType="Drop" dropStyle="combo" dx="16" fmlaLink="Regn2!$B$60" fmlaRange="Jordtypenavn" noThreeD="1" sel="11" val="4"/>
</file>

<file path=xl/ctrlProps/ctrlProp61.xml><?xml version="1.0" encoding="utf-8"?>
<formControlPr xmlns="http://schemas.microsoft.com/office/spreadsheetml/2009/9/main" objectType="Drop" dropStyle="combo" dx="16" fmlaLink="Regn!$C$46" fmlaRange="Efgrnavn" noThreeD="1" val="0"/>
</file>

<file path=xl/ctrlProps/ctrlProp610.xml><?xml version="1.0" encoding="utf-8"?>
<formControlPr xmlns="http://schemas.microsoft.com/office/spreadsheetml/2009/9/main" objectType="Drop" dropStyle="combo" dx="16" fmlaLink="Regn2!$C$60" fmlaRange="Markvandingnavn" noThreeD="1" val="0"/>
</file>

<file path=xl/ctrlProps/ctrlProp611.xml><?xml version="1.0" encoding="utf-8"?>
<formControlPr xmlns="http://schemas.microsoft.com/office/spreadsheetml/2009/9/main" objectType="Drop" dropLines="6" dropStyle="combo" dx="16" fmlaLink="Regn2!$AA$60" fmlaRange="Markgruppe" noThreeD="1" val="0"/>
</file>

<file path=xl/ctrlProps/ctrlProp612.xml><?xml version="1.0" encoding="utf-8"?>
<formControlPr xmlns="http://schemas.microsoft.com/office/spreadsheetml/2009/9/main" objectType="Drop" dropStyle="combo" dx="16" fmlaLink="Regn2!$O$62" fmlaRange="Afgrnavn" noThreeD="1" sel="35" val="29"/>
</file>

<file path=xl/ctrlProps/ctrlProp613.xml><?xml version="1.0" encoding="utf-8"?>
<formControlPr xmlns="http://schemas.microsoft.com/office/spreadsheetml/2009/9/main" objectType="Drop" dropStyle="combo" dx="16" fmlaLink="Regn2!$P$62" fmlaRange="Efgrnavn" noThreeD="1" val="0"/>
</file>

<file path=xl/ctrlProps/ctrlProp614.xml><?xml version="1.0" encoding="utf-8"?>
<formControlPr xmlns="http://schemas.microsoft.com/office/spreadsheetml/2009/9/main" objectType="Drop" dropStyle="combo" dx="16" fmlaLink="Regn2!$R$62" fmlaRange="Afgrnavn" noThreeD="1" sel="40" val="33"/>
</file>

<file path=xl/ctrlProps/ctrlProp615.xml><?xml version="1.0" encoding="utf-8"?>
<formControlPr xmlns="http://schemas.microsoft.com/office/spreadsheetml/2009/9/main" objectType="Drop" dropStyle="combo" dx="16" fmlaLink="Regn2!$T$62" fmlaRange="Efgrnavn" noThreeD="1" val="0"/>
</file>

<file path=xl/ctrlProps/ctrlProp616.xml><?xml version="1.0" encoding="utf-8"?>
<formControlPr xmlns="http://schemas.microsoft.com/office/spreadsheetml/2009/9/main" objectType="CheckBox" fmlaLink="Regn2!$Q$62" lockText="1" noThreeD="1"/>
</file>

<file path=xl/ctrlProps/ctrlProp617.xml><?xml version="1.0" encoding="utf-8"?>
<formControlPr xmlns="http://schemas.microsoft.com/office/spreadsheetml/2009/9/main" objectType="Drop" dropStyle="combo" dx="16" fmlaLink="Regn2!$X$62" fmlaRange="Afgrnavn" noThreeD="1" sel="35" val="32"/>
</file>

<file path=xl/ctrlProps/ctrlProp618.xml><?xml version="1.0" encoding="utf-8"?>
<formControlPr xmlns="http://schemas.microsoft.com/office/spreadsheetml/2009/9/main" objectType="Drop" dropLines="2" dropStyle="combo" dx="16" fmlaLink="Regn2!$S$62" fmlaRange="Halmanvendelsenavn" noThreeD="1" sel="2" val="0"/>
</file>

<file path=xl/ctrlProps/ctrlProp619.xml><?xml version="1.0" encoding="utf-8"?>
<formControlPr xmlns="http://schemas.microsoft.com/office/spreadsheetml/2009/9/main" objectType="Drop" dropLines="3" dropStyle="combo" dx="16" fmlaLink="Regn2!$U$62" fmlaRange="EfterafgrbehNavn" noThreeD="1" val="0"/>
</file>

<file path=xl/ctrlProps/ctrlProp62.xml><?xml version="1.0" encoding="utf-8"?>
<formControlPr xmlns="http://schemas.microsoft.com/office/spreadsheetml/2009/9/main" objectType="Drop" dropStyle="combo" dx="16" fmlaLink="Regn!$E$46" fmlaRange="Afgrnavn" noThreeD="1" val="32"/>
</file>

<file path=xl/ctrlProps/ctrlProp620.xml><?xml version="1.0" encoding="utf-8"?>
<formControlPr xmlns="http://schemas.microsoft.com/office/spreadsheetml/2009/9/main" objectType="Drop" dropLines="3" dropStyle="combo" dx="16" fmlaLink="Regn2!$V$62" fmlaRange="TorringNavn" noThreeD="1" val="0"/>
</file>

<file path=xl/ctrlProps/ctrlProp621.xml><?xml version="1.0" encoding="utf-8"?>
<formControlPr xmlns="http://schemas.microsoft.com/office/spreadsheetml/2009/9/main" objectType="Drop" dropStyle="combo" dx="16" fmlaLink="Regn2!$B$62" fmlaRange="Jordtypenavn" noThreeD="1" sel="6" val="3"/>
</file>

<file path=xl/ctrlProps/ctrlProp622.xml><?xml version="1.0" encoding="utf-8"?>
<formControlPr xmlns="http://schemas.microsoft.com/office/spreadsheetml/2009/9/main" objectType="Drop" dropStyle="combo" dx="16" fmlaLink="Regn2!$C$62" fmlaRange="Markvandingnavn" noThreeD="1" val="0"/>
</file>

<file path=xl/ctrlProps/ctrlProp623.xml><?xml version="1.0" encoding="utf-8"?>
<formControlPr xmlns="http://schemas.microsoft.com/office/spreadsheetml/2009/9/main" objectType="Drop" dropLines="6" dropStyle="combo" dx="16" fmlaLink="Regn2!$AA$62" fmlaRange="Markgruppe" noThreeD="1" val="0"/>
</file>

<file path=xl/ctrlProps/ctrlProp624.xml><?xml version="1.0" encoding="utf-8"?>
<formControlPr xmlns="http://schemas.microsoft.com/office/spreadsheetml/2009/9/main" objectType="Drop" dropStyle="combo" dx="16" fmlaLink="Regn2!$O$64" fmlaRange="Afgrnavn" noThreeD="1" sel="19" val="14"/>
</file>

<file path=xl/ctrlProps/ctrlProp625.xml><?xml version="1.0" encoding="utf-8"?>
<formControlPr xmlns="http://schemas.microsoft.com/office/spreadsheetml/2009/9/main" objectType="Drop" dropStyle="combo" dx="16" fmlaLink="Regn2!$P$64" fmlaRange="Efgrnavn" noThreeD="1" val="0"/>
</file>

<file path=xl/ctrlProps/ctrlProp626.xml><?xml version="1.0" encoding="utf-8"?>
<formControlPr xmlns="http://schemas.microsoft.com/office/spreadsheetml/2009/9/main" objectType="Drop" dropStyle="combo" dx="16" fmlaLink="Regn2!$R$64" fmlaRange="Afgrnavn" noThreeD="1" sel="19" val="16"/>
</file>

<file path=xl/ctrlProps/ctrlProp627.xml><?xml version="1.0" encoding="utf-8"?>
<formControlPr xmlns="http://schemas.microsoft.com/office/spreadsheetml/2009/9/main" objectType="Drop" dropStyle="combo" dx="16" fmlaLink="Regn2!$T$64" fmlaRange="Efgrnavn" noThreeD="1" val="0"/>
</file>

<file path=xl/ctrlProps/ctrlProp628.xml><?xml version="1.0" encoding="utf-8"?>
<formControlPr xmlns="http://schemas.microsoft.com/office/spreadsheetml/2009/9/main" objectType="CheckBox" fmlaLink="Regn2!$Q$64" lockText="1" noThreeD="1"/>
</file>

<file path=xl/ctrlProps/ctrlProp629.xml><?xml version="1.0" encoding="utf-8"?>
<formControlPr xmlns="http://schemas.microsoft.com/office/spreadsheetml/2009/9/main" objectType="Drop" dropStyle="combo" dx="16" fmlaLink="Regn2!$X$64" fmlaRange="Afgrnavn" noThreeD="1" sel="19" val="17"/>
</file>

<file path=xl/ctrlProps/ctrlProp63.xml><?xml version="1.0" encoding="utf-8"?>
<formControlPr xmlns="http://schemas.microsoft.com/office/spreadsheetml/2009/9/main" objectType="Drop" dropStyle="combo" dx="16" fmlaLink="Regn!$G$46" fmlaRange="Efgrnavn" noThreeD="1" val="0"/>
</file>

<file path=xl/ctrlProps/ctrlProp630.xml><?xml version="1.0" encoding="utf-8"?>
<formControlPr xmlns="http://schemas.microsoft.com/office/spreadsheetml/2009/9/main" objectType="Drop" dropLines="2" dropStyle="combo" dx="16" fmlaLink="Regn2!$S$64" fmlaRange="Halmanvendelsenavn" noThreeD="1" val="0"/>
</file>

<file path=xl/ctrlProps/ctrlProp631.xml><?xml version="1.0" encoding="utf-8"?>
<formControlPr xmlns="http://schemas.microsoft.com/office/spreadsheetml/2009/9/main" objectType="Drop" dropLines="3" dropStyle="combo" dx="16" fmlaLink="Regn2!$U$64" fmlaRange="EfterafgrbehNavn" noThreeD="1" val="0"/>
</file>

<file path=xl/ctrlProps/ctrlProp632.xml><?xml version="1.0" encoding="utf-8"?>
<formControlPr xmlns="http://schemas.microsoft.com/office/spreadsheetml/2009/9/main" objectType="Drop" dropLines="3" dropStyle="combo" dx="16" fmlaLink="Regn2!$V$64" fmlaRange="TorringNavn" noThreeD="1" val="0"/>
</file>

<file path=xl/ctrlProps/ctrlProp633.xml><?xml version="1.0" encoding="utf-8"?>
<formControlPr xmlns="http://schemas.microsoft.com/office/spreadsheetml/2009/9/main" objectType="Drop" dropStyle="combo" dx="16" fmlaLink="Regn2!$B$64" fmlaRange="Jordtypenavn" noThreeD="1" sel="11" val="4"/>
</file>

<file path=xl/ctrlProps/ctrlProp634.xml><?xml version="1.0" encoding="utf-8"?>
<formControlPr xmlns="http://schemas.microsoft.com/office/spreadsheetml/2009/9/main" objectType="Drop" dropStyle="combo" dx="16" fmlaLink="Regn2!$C$64" fmlaRange="Markvandingnavn" noThreeD="1" val="0"/>
</file>

<file path=xl/ctrlProps/ctrlProp635.xml><?xml version="1.0" encoding="utf-8"?>
<formControlPr xmlns="http://schemas.microsoft.com/office/spreadsheetml/2009/9/main" objectType="Drop" dropLines="6" dropStyle="combo" dx="16" fmlaLink="Regn2!$AA$64" fmlaRange="Markgruppe" noThreeD="1" val="0"/>
</file>

<file path=xl/ctrlProps/ctrlProp636.xml><?xml version="1.0" encoding="utf-8"?>
<formControlPr xmlns="http://schemas.microsoft.com/office/spreadsheetml/2009/9/main" objectType="Drop" dropStyle="combo" dx="16" fmlaLink="Regn2!$O$66" fmlaRange="Afgrnavn" noThreeD="1" sel="19" val="14"/>
</file>

<file path=xl/ctrlProps/ctrlProp637.xml><?xml version="1.0" encoding="utf-8"?>
<formControlPr xmlns="http://schemas.microsoft.com/office/spreadsheetml/2009/9/main" objectType="Drop" dropStyle="combo" dx="16" fmlaLink="Regn2!$P$66" fmlaRange="Efgrnavn" noThreeD="1" val="0"/>
</file>

<file path=xl/ctrlProps/ctrlProp638.xml><?xml version="1.0" encoding="utf-8"?>
<formControlPr xmlns="http://schemas.microsoft.com/office/spreadsheetml/2009/9/main" objectType="Drop" dropStyle="combo" dx="16" fmlaLink="Regn2!$R$66" fmlaRange="Afgrnavn" noThreeD="1" sel="40" val="34"/>
</file>

<file path=xl/ctrlProps/ctrlProp639.xml><?xml version="1.0" encoding="utf-8"?>
<formControlPr xmlns="http://schemas.microsoft.com/office/spreadsheetml/2009/9/main" objectType="Drop" dropStyle="combo" dx="16" fmlaLink="Regn2!$T$66" fmlaRange="Efgrnavn" noThreeD="1" sel="4" val="0"/>
</file>

<file path=xl/ctrlProps/ctrlProp64.xml><?xml version="1.0" encoding="utf-8"?>
<formControlPr xmlns="http://schemas.microsoft.com/office/spreadsheetml/2009/9/main" objectType="CheckBox" fmlaLink="Regn!$D$46" lockText="1" noThreeD="1"/>
</file>

<file path=xl/ctrlProps/ctrlProp640.xml><?xml version="1.0" encoding="utf-8"?>
<formControlPr xmlns="http://schemas.microsoft.com/office/spreadsheetml/2009/9/main" objectType="CheckBox" fmlaLink="Regn2!$Q$66" lockText="1" noThreeD="1"/>
</file>

<file path=xl/ctrlProps/ctrlProp641.xml><?xml version="1.0" encoding="utf-8"?>
<formControlPr xmlns="http://schemas.microsoft.com/office/spreadsheetml/2009/9/main" objectType="Drop" dropStyle="combo" dx="16" fmlaLink="Regn2!$X$66" fmlaRange="Afgrnavn" noThreeD="1" sel="40" val="35"/>
</file>

<file path=xl/ctrlProps/ctrlProp642.xml><?xml version="1.0" encoding="utf-8"?>
<formControlPr xmlns="http://schemas.microsoft.com/office/spreadsheetml/2009/9/main" objectType="Drop" dropLines="2" dropStyle="combo" dx="16" fmlaLink="Regn2!$S$66" fmlaRange="Halmanvendelsenavn" noThreeD="1" val="0"/>
</file>

<file path=xl/ctrlProps/ctrlProp643.xml><?xml version="1.0" encoding="utf-8"?>
<formControlPr xmlns="http://schemas.microsoft.com/office/spreadsheetml/2009/9/main" objectType="Drop" dropLines="3" dropStyle="combo" dx="16" fmlaLink="Regn2!$U$66" fmlaRange="EfterafgrbehNavn" noThreeD="1" sel="3" val="0"/>
</file>

<file path=xl/ctrlProps/ctrlProp644.xml><?xml version="1.0" encoding="utf-8"?>
<formControlPr xmlns="http://schemas.microsoft.com/office/spreadsheetml/2009/9/main" objectType="Drop" dropLines="3" dropStyle="combo" dx="16" fmlaLink="Regn2!$V$66" fmlaRange="TorringNavn" noThreeD="1" val="0"/>
</file>

<file path=xl/ctrlProps/ctrlProp645.xml><?xml version="1.0" encoding="utf-8"?>
<formControlPr xmlns="http://schemas.microsoft.com/office/spreadsheetml/2009/9/main" objectType="Drop" dropStyle="combo" dx="16" fmlaLink="Regn2!$B$66" fmlaRange="Jordtypenavn" noThreeD="1" sel="6" val="3"/>
</file>

<file path=xl/ctrlProps/ctrlProp646.xml><?xml version="1.0" encoding="utf-8"?>
<formControlPr xmlns="http://schemas.microsoft.com/office/spreadsheetml/2009/9/main" objectType="Drop" dropStyle="combo" dx="16" fmlaLink="Regn2!$C$66" fmlaRange="Markvandingnavn" noThreeD="1" val="0"/>
</file>

<file path=xl/ctrlProps/ctrlProp647.xml><?xml version="1.0" encoding="utf-8"?>
<formControlPr xmlns="http://schemas.microsoft.com/office/spreadsheetml/2009/9/main" objectType="Drop" dropLines="6" dropStyle="combo" dx="16" fmlaLink="Regn2!$AA$66" fmlaRange="Markgruppe" noThreeD="1" val="0"/>
</file>

<file path=xl/ctrlProps/ctrlProp648.xml><?xml version="1.0" encoding="utf-8"?>
<formControlPr xmlns="http://schemas.microsoft.com/office/spreadsheetml/2009/9/main" objectType="Drop" dropStyle="combo" dx="16" fmlaLink="Regn2!$O$68" fmlaRange="Afgrnavn" noThreeD="1" sel="40" val="34"/>
</file>

<file path=xl/ctrlProps/ctrlProp649.xml><?xml version="1.0" encoding="utf-8"?>
<formControlPr xmlns="http://schemas.microsoft.com/office/spreadsheetml/2009/9/main" objectType="Drop" dropStyle="combo" dx="16" fmlaLink="Regn2!$P$68" fmlaRange="Efgrnavn" noThreeD="1" sel="2" val="0"/>
</file>

<file path=xl/ctrlProps/ctrlProp65.xml><?xml version="1.0" encoding="utf-8"?>
<formControlPr xmlns="http://schemas.microsoft.com/office/spreadsheetml/2009/9/main" objectType="Drop" dropStyle="combo" dx="16" fmlaLink="Regn!$K$46" fmlaRange="Afgrnavn" noThreeD="1" val="28"/>
</file>

<file path=xl/ctrlProps/ctrlProp650.xml><?xml version="1.0" encoding="utf-8"?>
<formControlPr xmlns="http://schemas.microsoft.com/office/spreadsheetml/2009/9/main" objectType="Drop" dropStyle="combo" dx="16" fmlaLink="Regn2!$R$68" fmlaRange="Afgrnavn" noThreeD="1" sel="40" val="33"/>
</file>

<file path=xl/ctrlProps/ctrlProp651.xml><?xml version="1.0" encoding="utf-8"?>
<formControlPr xmlns="http://schemas.microsoft.com/office/spreadsheetml/2009/9/main" objectType="Drop" dropStyle="combo" dx="16" fmlaLink="Regn2!$T$68" fmlaRange="Efgrnavn" noThreeD="1" sel="4" val="0"/>
</file>

<file path=xl/ctrlProps/ctrlProp652.xml><?xml version="1.0" encoding="utf-8"?>
<formControlPr xmlns="http://schemas.microsoft.com/office/spreadsheetml/2009/9/main" objectType="CheckBox" fmlaLink="Regn2!$Q$68" lockText="1" noThreeD="1"/>
</file>

<file path=xl/ctrlProps/ctrlProp653.xml><?xml version="1.0" encoding="utf-8"?>
<formControlPr xmlns="http://schemas.microsoft.com/office/spreadsheetml/2009/9/main" objectType="Drop" dropStyle="combo" dx="16" fmlaLink="Regn2!$X$68" fmlaRange="Afgrnavn" noThreeD="1" sel="40" val="35"/>
</file>

<file path=xl/ctrlProps/ctrlProp654.xml><?xml version="1.0" encoding="utf-8"?>
<formControlPr xmlns="http://schemas.microsoft.com/office/spreadsheetml/2009/9/main" objectType="Drop" dropLines="2" dropStyle="combo" dx="16" fmlaLink="Regn2!$S$68" fmlaRange="Halmanvendelsenavn" noThreeD="1" val="0"/>
</file>

<file path=xl/ctrlProps/ctrlProp655.xml><?xml version="1.0" encoding="utf-8"?>
<formControlPr xmlns="http://schemas.microsoft.com/office/spreadsheetml/2009/9/main" objectType="Drop" dropLines="3" dropStyle="combo" dx="16" fmlaLink="Regn2!$U$68" fmlaRange="EfterafgrbehNavn" noThreeD="1" sel="3" val="0"/>
</file>

<file path=xl/ctrlProps/ctrlProp656.xml><?xml version="1.0" encoding="utf-8"?>
<formControlPr xmlns="http://schemas.microsoft.com/office/spreadsheetml/2009/9/main" objectType="Drop" dropLines="3" dropStyle="combo" dx="16" fmlaLink="Regn2!$V$68" fmlaRange="TorringNavn" noThreeD="1" val="0"/>
</file>

<file path=xl/ctrlProps/ctrlProp657.xml><?xml version="1.0" encoding="utf-8"?>
<formControlPr xmlns="http://schemas.microsoft.com/office/spreadsheetml/2009/9/main" objectType="Drop" dropStyle="combo" dx="16" fmlaLink="Regn2!$B$68" fmlaRange="Jordtypenavn" noThreeD="1" sel="6" val="3"/>
</file>

<file path=xl/ctrlProps/ctrlProp658.xml><?xml version="1.0" encoding="utf-8"?>
<formControlPr xmlns="http://schemas.microsoft.com/office/spreadsheetml/2009/9/main" objectType="Drop" dropStyle="combo" dx="16" fmlaLink="Regn2!$C$68" fmlaRange="Markvandingnavn" noThreeD="1" val="0"/>
</file>

<file path=xl/ctrlProps/ctrlProp659.xml><?xml version="1.0" encoding="utf-8"?>
<formControlPr xmlns="http://schemas.microsoft.com/office/spreadsheetml/2009/9/main" objectType="Drop" dropLines="6" dropStyle="combo" dx="16" fmlaLink="Regn2!$AA$68" fmlaRange="Markgruppe" noThreeD="1" val="0"/>
</file>

<file path=xl/ctrlProps/ctrlProp66.xml><?xml version="1.0" encoding="utf-8"?>
<formControlPr xmlns="http://schemas.microsoft.com/office/spreadsheetml/2009/9/main" objectType="Drop" dropLines="2" dropStyle="combo" dx="16" fmlaLink="Regn!$F$46" fmlaRange="Halmanvendelsenavn" noThreeD="1" val="0"/>
</file>

<file path=xl/ctrlProps/ctrlProp660.xml><?xml version="1.0" encoding="utf-8"?>
<formControlPr xmlns="http://schemas.microsoft.com/office/spreadsheetml/2009/9/main" objectType="Drop" dropStyle="combo" dx="16" fmlaLink="Regn2!$O$70" fmlaRange="Afgrnavn" noThreeD="1" sel="40" val="35"/>
</file>

<file path=xl/ctrlProps/ctrlProp661.xml><?xml version="1.0" encoding="utf-8"?>
<formControlPr xmlns="http://schemas.microsoft.com/office/spreadsheetml/2009/9/main" objectType="Drop" dropStyle="combo" dx="16" fmlaLink="Regn2!$P$70" fmlaRange="Efgrnavn" noThreeD="1" sel="2" val="0"/>
</file>

<file path=xl/ctrlProps/ctrlProp662.xml><?xml version="1.0" encoding="utf-8"?>
<formControlPr xmlns="http://schemas.microsoft.com/office/spreadsheetml/2009/9/main" objectType="Drop" dropStyle="combo" dx="16" fmlaLink="Regn2!$R$70" fmlaRange="Afgrnavn" noThreeD="1" sel="40" val="32"/>
</file>

<file path=xl/ctrlProps/ctrlProp663.xml><?xml version="1.0" encoding="utf-8"?>
<formControlPr xmlns="http://schemas.microsoft.com/office/spreadsheetml/2009/9/main" objectType="Drop" dropStyle="combo" dx="16" fmlaLink="Regn2!$T$70" fmlaRange="Efgrnavn" noThreeD="1" sel="4" val="0"/>
</file>

<file path=xl/ctrlProps/ctrlProp664.xml><?xml version="1.0" encoding="utf-8"?>
<formControlPr xmlns="http://schemas.microsoft.com/office/spreadsheetml/2009/9/main" objectType="CheckBox" fmlaLink="Regn2!$Q$70" lockText="1" noThreeD="1"/>
</file>

<file path=xl/ctrlProps/ctrlProp665.xml><?xml version="1.0" encoding="utf-8"?>
<formControlPr xmlns="http://schemas.microsoft.com/office/spreadsheetml/2009/9/main" objectType="Drop" dropStyle="combo" dx="16" fmlaLink="Regn2!$X$70" fmlaRange="Afgrnavn" noThreeD="1" sel="40" val="34"/>
</file>

<file path=xl/ctrlProps/ctrlProp666.xml><?xml version="1.0" encoding="utf-8"?>
<formControlPr xmlns="http://schemas.microsoft.com/office/spreadsheetml/2009/9/main" objectType="Drop" dropLines="2" dropStyle="combo" dx="16" fmlaLink="Regn2!$S$70" fmlaRange="Halmanvendelsenavn" noThreeD="1" val="0"/>
</file>

<file path=xl/ctrlProps/ctrlProp667.xml><?xml version="1.0" encoding="utf-8"?>
<formControlPr xmlns="http://schemas.microsoft.com/office/spreadsheetml/2009/9/main" objectType="Drop" dropLines="3" dropStyle="combo" dx="16" fmlaLink="Regn2!$U$70" fmlaRange="EfterafgrbehNavn" noThreeD="1" sel="3" val="0"/>
</file>

<file path=xl/ctrlProps/ctrlProp668.xml><?xml version="1.0" encoding="utf-8"?>
<formControlPr xmlns="http://schemas.microsoft.com/office/spreadsheetml/2009/9/main" objectType="Drop" dropLines="3" dropStyle="combo" dx="16" fmlaLink="Regn2!$V$70" fmlaRange="TorringNavn" noThreeD="1" val="0"/>
</file>

<file path=xl/ctrlProps/ctrlProp669.xml><?xml version="1.0" encoding="utf-8"?>
<formControlPr xmlns="http://schemas.microsoft.com/office/spreadsheetml/2009/9/main" objectType="Drop" dropStyle="combo" dx="16" fmlaLink="Regn2!$B$70" fmlaRange="Jordtypenavn" noThreeD="1" sel="6" val="3"/>
</file>

<file path=xl/ctrlProps/ctrlProp67.xml><?xml version="1.0" encoding="utf-8"?>
<formControlPr xmlns="http://schemas.microsoft.com/office/spreadsheetml/2009/9/main" objectType="Drop" dropLines="3" dropStyle="combo" dx="16" fmlaLink="Regn!$H$46" fmlaRange="EfterafgrbehNavn" noThreeD="1" val="0"/>
</file>

<file path=xl/ctrlProps/ctrlProp670.xml><?xml version="1.0" encoding="utf-8"?>
<formControlPr xmlns="http://schemas.microsoft.com/office/spreadsheetml/2009/9/main" objectType="Drop" dropStyle="combo" dx="16" fmlaLink="Regn2!$C$70" fmlaRange="Markvandingnavn" noThreeD="1" val="0"/>
</file>

<file path=xl/ctrlProps/ctrlProp671.xml><?xml version="1.0" encoding="utf-8"?>
<formControlPr xmlns="http://schemas.microsoft.com/office/spreadsheetml/2009/9/main" objectType="Drop" dropLines="6" dropStyle="combo" dx="16" fmlaLink="Regn2!$AA$70" fmlaRange="Markgruppe" noThreeD="1" val="0"/>
</file>

<file path=xl/ctrlProps/ctrlProp672.xml><?xml version="1.0" encoding="utf-8"?>
<formControlPr xmlns="http://schemas.microsoft.com/office/spreadsheetml/2009/9/main" objectType="Drop" dropStyle="combo" dx="16" fmlaLink="Regn2!$O$72" fmlaRange="Afgrnavn" noThreeD="1" sel="29" val="28"/>
</file>

<file path=xl/ctrlProps/ctrlProp673.xml><?xml version="1.0" encoding="utf-8"?>
<formControlPr xmlns="http://schemas.microsoft.com/office/spreadsheetml/2009/9/main" objectType="Drop" dropStyle="combo" dx="16" fmlaLink="Regn2!$P$72" fmlaRange="Efgrnavn" noThreeD="1" val="0"/>
</file>

<file path=xl/ctrlProps/ctrlProp674.xml><?xml version="1.0" encoding="utf-8"?>
<formControlPr xmlns="http://schemas.microsoft.com/office/spreadsheetml/2009/9/main" objectType="Drop" dropStyle="combo" dx="16" fmlaLink="Regn2!$R$72" fmlaRange="Afgrnavn" noThreeD="1" sel="29" val="24"/>
</file>

<file path=xl/ctrlProps/ctrlProp675.xml><?xml version="1.0" encoding="utf-8"?>
<formControlPr xmlns="http://schemas.microsoft.com/office/spreadsheetml/2009/9/main" objectType="Drop" dropStyle="combo" dx="16" fmlaLink="Regn2!$T$72" fmlaRange="Efgrnavn" noThreeD="1" val="0"/>
</file>

<file path=xl/ctrlProps/ctrlProp676.xml><?xml version="1.0" encoding="utf-8"?>
<formControlPr xmlns="http://schemas.microsoft.com/office/spreadsheetml/2009/9/main" objectType="CheckBox" fmlaLink="Regn2!$Q$72" lockText="1" noThreeD="1"/>
</file>

<file path=xl/ctrlProps/ctrlProp677.xml><?xml version="1.0" encoding="utf-8"?>
<formControlPr xmlns="http://schemas.microsoft.com/office/spreadsheetml/2009/9/main" objectType="Drop" dropStyle="combo" dx="16" fmlaLink="Regn2!$X$72" fmlaRange="Afgrnavn" noThreeD="1" sel="29" val="27"/>
</file>

<file path=xl/ctrlProps/ctrlProp678.xml><?xml version="1.0" encoding="utf-8"?>
<formControlPr xmlns="http://schemas.microsoft.com/office/spreadsheetml/2009/9/main" objectType="Drop" dropLines="2" dropStyle="combo" dx="16" fmlaLink="Regn2!$S$72" fmlaRange="Halmanvendelsenavn" noThreeD="1" val="0"/>
</file>

<file path=xl/ctrlProps/ctrlProp679.xml><?xml version="1.0" encoding="utf-8"?>
<formControlPr xmlns="http://schemas.microsoft.com/office/spreadsheetml/2009/9/main" objectType="Drop" dropLines="3" dropStyle="combo" dx="16" fmlaLink="Regn2!$U$72" fmlaRange="EfterafgrbehNavn" noThreeD="1" val="0"/>
</file>

<file path=xl/ctrlProps/ctrlProp68.xml><?xml version="1.0" encoding="utf-8"?>
<formControlPr xmlns="http://schemas.microsoft.com/office/spreadsheetml/2009/9/main" objectType="Drop" dropLines="3" dropStyle="combo" dx="16" fmlaLink="Regn!$I$46" fmlaRange="TorringNavn" noThreeD="1" val="0"/>
</file>

<file path=xl/ctrlProps/ctrlProp680.xml><?xml version="1.0" encoding="utf-8"?>
<formControlPr xmlns="http://schemas.microsoft.com/office/spreadsheetml/2009/9/main" objectType="Drop" dropLines="3" dropStyle="combo" dx="16" fmlaLink="Regn2!$V$72" fmlaRange="TorringNavn" noThreeD="1" val="0"/>
</file>

<file path=xl/ctrlProps/ctrlProp681.xml><?xml version="1.0" encoding="utf-8"?>
<formControlPr xmlns="http://schemas.microsoft.com/office/spreadsheetml/2009/9/main" objectType="Drop" dropStyle="combo" dx="16" fmlaLink="Regn2!$B$72" fmlaRange="Jordtypenavn" noThreeD="1" sel="6" val="3"/>
</file>

<file path=xl/ctrlProps/ctrlProp682.xml><?xml version="1.0" encoding="utf-8"?>
<formControlPr xmlns="http://schemas.microsoft.com/office/spreadsheetml/2009/9/main" objectType="Drop" dropStyle="combo" dx="16" fmlaLink="Regn2!$C$72" fmlaRange="Markvandingnavn" noThreeD="1" val="0"/>
</file>

<file path=xl/ctrlProps/ctrlProp683.xml><?xml version="1.0" encoding="utf-8"?>
<formControlPr xmlns="http://schemas.microsoft.com/office/spreadsheetml/2009/9/main" objectType="Drop" dropLines="6" dropStyle="combo" dx="16" fmlaLink="Regn2!$AA$72" fmlaRange="Markgruppe" noThreeD="1" sel="3" val="0"/>
</file>

<file path=xl/ctrlProps/ctrlProp684.xml><?xml version="1.0" encoding="utf-8"?>
<formControlPr xmlns="http://schemas.microsoft.com/office/spreadsheetml/2009/9/main" objectType="Drop" dropStyle="combo" dx="16" fmlaLink="Regn2!$O$74" fmlaRange="Afgrnavn" noThreeD="1" val="0"/>
</file>

<file path=xl/ctrlProps/ctrlProp685.xml><?xml version="1.0" encoding="utf-8"?>
<formControlPr xmlns="http://schemas.microsoft.com/office/spreadsheetml/2009/9/main" objectType="Drop" dropStyle="combo" dx="16" fmlaLink="Regn2!$P$74" fmlaRange="Efgrnavn" noThreeD="1" val="0"/>
</file>

<file path=xl/ctrlProps/ctrlProp686.xml><?xml version="1.0" encoding="utf-8"?>
<formControlPr xmlns="http://schemas.microsoft.com/office/spreadsheetml/2009/9/main" objectType="Drop" dropStyle="combo" dx="16" fmlaLink="Regn2!$R$74" fmlaRange="Afgrnavn" noThreeD="1" val="0"/>
</file>

<file path=xl/ctrlProps/ctrlProp687.xml><?xml version="1.0" encoding="utf-8"?>
<formControlPr xmlns="http://schemas.microsoft.com/office/spreadsheetml/2009/9/main" objectType="Drop" dropStyle="combo" dx="16" fmlaLink="Regn2!$T$74" fmlaRange="Efgrnavn" noThreeD="1" val="0"/>
</file>

<file path=xl/ctrlProps/ctrlProp688.xml><?xml version="1.0" encoding="utf-8"?>
<formControlPr xmlns="http://schemas.microsoft.com/office/spreadsheetml/2009/9/main" objectType="CheckBox" fmlaLink="Regn2!$Q$74" lockText="1" noThreeD="1"/>
</file>

<file path=xl/ctrlProps/ctrlProp689.xml><?xml version="1.0" encoding="utf-8"?>
<formControlPr xmlns="http://schemas.microsoft.com/office/spreadsheetml/2009/9/main" objectType="Drop" dropStyle="combo" dx="16" fmlaLink="Regn2!$X$74" fmlaRange="Afgrnavn" noThreeD="1" val="0"/>
</file>

<file path=xl/ctrlProps/ctrlProp69.xml><?xml version="1.0" encoding="utf-8"?>
<formControlPr xmlns="http://schemas.microsoft.com/office/spreadsheetml/2009/9/main" objectType="Drop" dropStyle="combo" dx="16" fmlaLink="Regn!$B$48" fmlaRange="Afgrnavn" noThreeD="1" val="0"/>
</file>

<file path=xl/ctrlProps/ctrlProp690.xml><?xml version="1.0" encoding="utf-8"?>
<formControlPr xmlns="http://schemas.microsoft.com/office/spreadsheetml/2009/9/main" objectType="Drop" dropLines="2" dropStyle="combo" dx="16" fmlaLink="Regn2!$S$74" fmlaRange="Halmanvendelsenavn" noThreeD="1" val="0"/>
</file>

<file path=xl/ctrlProps/ctrlProp691.xml><?xml version="1.0" encoding="utf-8"?>
<formControlPr xmlns="http://schemas.microsoft.com/office/spreadsheetml/2009/9/main" objectType="Drop" dropLines="3" dropStyle="combo" dx="16" fmlaLink="Regn2!$U$74" fmlaRange="EfterafgrbehNavn" noThreeD="1" val="0"/>
</file>

<file path=xl/ctrlProps/ctrlProp692.xml><?xml version="1.0" encoding="utf-8"?>
<formControlPr xmlns="http://schemas.microsoft.com/office/spreadsheetml/2009/9/main" objectType="Drop" dropLines="3" dropStyle="combo" dx="16" fmlaLink="Regn2!$V$74" fmlaRange="TorringNavn" noThreeD="1" val="0"/>
</file>

<file path=xl/ctrlProps/ctrlProp693.xml><?xml version="1.0" encoding="utf-8"?>
<formControlPr xmlns="http://schemas.microsoft.com/office/spreadsheetml/2009/9/main" objectType="Drop" dropStyle="combo" dx="16" fmlaLink="Regn2!$B$74" fmlaRange="Jordtypenavn" noThreeD="1" sel="6" val="3"/>
</file>

<file path=xl/ctrlProps/ctrlProp694.xml><?xml version="1.0" encoding="utf-8"?>
<formControlPr xmlns="http://schemas.microsoft.com/office/spreadsheetml/2009/9/main" objectType="Drop" dropStyle="combo" dx="16" fmlaLink="Regn2!$C$74" fmlaRange="Markvandingnavn" noThreeD="1" val="0"/>
</file>

<file path=xl/ctrlProps/ctrlProp695.xml><?xml version="1.0" encoding="utf-8"?>
<formControlPr xmlns="http://schemas.microsoft.com/office/spreadsheetml/2009/9/main" objectType="Drop" dropLines="6" dropStyle="combo" dx="16" fmlaLink="Regn2!$AA$74" fmlaRange="Markgruppe" noThreeD="1" val="0"/>
</file>

<file path=xl/ctrlProps/ctrlProp696.xml><?xml version="1.0" encoding="utf-8"?>
<formControlPr xmlns="http://schemas.microsoft.com/office/spreadsheetml/2009/9/main" objectType="Drop" dropStyle="combo" dx="16" fmlaLink="Regn2!$O$76" fmlaRange="Afgrnavn" noThreeD="1" val="0"/>
</file>

<file path=xl/ctrlProps/ctrlProp697.xml><?xml version="1.0" encoding="utf-8"?>
<formControlPr xmlns="http://schemas.microsoft.com/office/spreadsheetml/2009/9/main" objectType="Drop" dropStyle="combo" dx="16" fmlaLink="Regn2!$P$76" fmlaRange="Efgrnavn" noThreeD="1" val="0"/>
</file>

<file path=xl/ctrlProps/ctrlProp698.xml><?xml version="1.0" encoding="utf-8"?>
<formControlPr xmlns="http://schemas.microsoft.com/office/spreadsheetml/2009/9/main" objectType="Drop" dropStyle="combo" dx="16" fmlaLink="Regn2!$R$76" fmlaRange="Afgrnavn" noThreeD="1" val="0"/>
</file>

<file path=xl/ctrlProps/ctrlProp699.xml><?xml version="1.0" encoding="utf-8"?>
<formControlPr xmlns="http://schemas.microsoft.com/office/spreadsheetml/2009/9/main" objectType="Drop" dropStyle="combo" dx="16" fmlaLink="Regn2!$T$76" fmlaRange="Efgrnavn" noThreeD="1" val="0"/>
</file>

<file path=xl/ctrlProps/ctrlProp7.xml><?xml version="1.0" encoding="utf-8"?>
<formControlPr xmlns="http://schemas.microsoft.com/office/spreadsheetml/2009/9/main" objectType="Drop" dropStyle="combo" dx="16" fmlaLink="Regn!$B$28" fmlaRange="Jordtypenavn" noThreeD="1" sel="6" val="0"/>
</file>

<file path=xl/ctrlProps/ctrlProp70.xml><?xml version="1.0" encoding="utf-8"?>
<formControlPr xmlns="http://schemas.microsoft.com/office/spreadsheetml/2009/9/main" objectType="Drop" dropStyle="combo" dx="16" fmlaLink="Regn!$C$48" fmlaRange="Efgrnavn" noThreeD="1" val="0"/>
</file>

<file path=xl/ctrlProps/ctrlProp700.xml><?xml version="1.0" encoding="utf-8"?>
<formControlPr xmlns="http://schemas.microsoft.com/office/spreadsheetml/2009/9/main" objectType="CheckBox" fmlaLink="Regn2!$Q$76" lockText="1" noThreeD="1"/>
</file>

<file path=xl/ctrlProps/ctrlProp701.xml><?xml version="1.0" encoding="utf-8"?>
<formControlPr xmlns="http://schemas.microsoft.com/office/spreadsheetml/2009/9/main" objectType="Drop" dropStyle="combo" dx="16" fmlaLink="Regn2!$X$76" fmlaRange="Afgrnavn" noThreeD="1" val="0"/>
</file>

<file path=xl/ctrlProps/ctrlProp702.xml><?xml version="1.0" encoding="utf-8"?>
<formControlPr xmlns="http://schemas.microsoft.com/office/spreadsheetml/2009/9/main" objectType="Drop" dropLines="2" dropStyle="combo" dx="16" fmlaLink="Regn2!$S$76" fmlaRange="Halmanvendelsenavn" noThreeD="1" val="0"/>
</file>

<file path=xl/ctrlProps/ctrlProp703.xml><?xml version="1.0" encoding="utf-8"?>
<formControlPr xmlns="http://schemas.microsoft.com/office/spreadsheetml/2009/9/main" objectType="Drop" dropLines="3" dropStyle="combo" dx="16" fmlaLink="Regn2!$U$76" fmlaRange="EfterafgrbehNavn" noThreeD="1" val="0"/>
</file>

<file path=xl/ctrlProps/ctrlProp704.xml><?xml version="1.0" encoding="utf-8"?>
<formControlPr xmlns="http://schemas.microsoft.com/office/spreadsheetml/2009/9/main" objectType="Drop" dropLines="3" dropStyle="combo" dx="16" fmlaLink="Regn2!$V$76" fmlaRange="TorringNavn" noThreeD="1" val="0"/>
</file>

<file path=xl/ctrlProps/ctrlProp705.xml><?xml version="1.0" encoding="utf-8"?>
<formControlPr xmlns="http://schemas.microsoft.com/office/spreadsheetml/2009/9/main" objectType="Drop" dropStyle="combo" dx="16" fmlaLink="Regn2!$B$76" fmlaRange="Jordtypenavn" noThreeD="1" sel="6" val="3"/>
</file>

<file path=xl/ctrlProps/ctrlProp706.xml><?xml version="1.0" encoding="utf-8"?>
<formControlPr xmlns="http://schemas.microsoft.com/office/spreadsheetml/2009/9/main" objectType="Drop" dropStyle="combo" dx="16" fmlaLink="Regn2!$C$76" fmlaRange="Markvandingnavn" noThreeD="1" val="0"/>
</file>

<file path=xl/ctrlProps/ctrlProp707.xml><?xml version="1.0" encoding="utf-8"?>
<formControlPr xmlns="http://schemas.microsoft.com/office/spreadsheetml/2009/9/main" objectType="Drop" dropLines="6" dropStyle="combo" dx="16" fmlaLink="Regn2!$AA$76" fmlaRange="Markgruppe" noThreeD="1" val="0"/>
</file>

<file path=xl/ctrlProps/ctrlProp708.xml><?xml version="1.0" encoding="utf-8"?>
<formControlPr xmlns="http://schemas.microsoft.com/office/spreadsheetml/2009/9/main" objectType="Drop" dropStyle="combo" dx="16" fmlaLink="Regn2!$O$78" fmlaRange="Afgrnavn" noThreeD="1" val="0"/>
</file>

<file path=xl/ctrlProps/ctrlProp709.xml><?xml version="1.0" encoding="utf-8"?>
<formControlPr xmlns="http://schemas.microsoft.com/office/spreadsheetml/2009/9/main" objectType="Drop" dropStyle="combo" dx="16" fmlaLink="Regn2!$P$78" fmlaRange="Efgrnavn" noThreeD="1" val="0"/>
</file>

<file path=xl/ctrlProps/ctrlProp71.xml><?xml version="1.0" encoding="utf-8"?>
<formControlPr xmlns="http://schemas.microsoft.com/office/spreadsheetml/2009/9/main" objectType="Drop" dropStyle="combo" dx="16" fmlaLink="Regn!$E$48" fmlaRange="Afgrnavn" noThreeD="1" val="7"/>
</file>

<file path=xl/ctrlProps/ctrlProp710.xml><?xml version="1.0" encoding="utf-8"?>
<formControlPr xmlns="http://schemas.microsoft.com/office/spreadsheetml/2009/9/main" objectType="Drop" dropStyle="combo" dx="16" fmlaLink="Regn2!$R$78" fmlaRange="Afgrnavn" noThreeD="1" val="0"/>
</file>

<file path=xl/ctrlProps/ctrlProp711.xml><?xml version="1.0" encoding="utf-8"?>
<formControlPr xmlns="http://schemas.microsoft.com/office/spreadsheetml/2009/9/main" objectType="Drop" dropStyle="combo" dx="16" fmlaLink="Regn2!$T$78" fmlaRange="Efgrnavn" noThreeD="1" val="0"/>
</file>

<file path=xl/ctrlProps/ctrlProp712.xml><?xml version="1.0" encoding="utf-8"?>
<formControlPr xmlns="http://schemas.microsoft.com/office/spreadsheetml/2009/9/main" objectType="CheckBox" fmlaLink="Regn2!$Q$78" lockText="1" noThreeD="1"/>
</file>

<file path=xl/ctrlProps/ctrlProp713.xml><?xml version="1.0" encoding="utf-8"?>
<formControlPr xmlns="http://schemas.microsoft.com/office/spreadsheetml/2009/9/main" objectType="Drop" dropStyle="combo" dx="16" fmlaLink="Regn2!$X$78" fmlaRange="Afgrnavn" noThreeD="1" val="0"/>
</file>

<file path=xl/ctrlProps/ctrlProp714.xml><?xml version="1.0" encoding="utf-8"?>
<formControlPr xmlns="http://schemas.microsoft.com/office/spreadsheetml/2009/9/main" objectType="Drop" dropLines="2" dropStyle="combo" dx="16" fmlaLink="Regn2!$S$78" fmlaRange="Halmanvendelsenavn" noThreeD="1" val="0"/>
</file>

<file path=xl/ctrlProps/ctrlProp715.xml><?xml version="1.0" encoding="utf-8"?>
<formControlPr xmlns="http://schemas.microsoft.com/office/spreadsheetml/2009/9/main" objectType="Drop" dropLines="3" dropStyle="combo" dx="16" fmlaLink="Regn2!$U$78" fmlaRange="EfterafgrbehNavn" noThreeD="1" val="0"/>
</file>

<file path=xl/ctrlProps/ctrlProp716.xml><?xml version="1.0" encoding="utf-8"?>
<formControlPr xmlns="http://schemas.microsoft.com/office/spreadsheetml/2009/9/main" objectType="Drop" dropLines="3" dropStyle="combo" dx="16" fmlaLink="Regn2!$V$78" fmlaRange="TorringNavn" noThreeD="1" val="0"/>
</file>

<file path=xl/ctrlProps/ctrlProp717.xml><?xml version="1.0" encoding="utf-8"?>
<formControlPr xmlns="http://schemas.microsoft.com/office/spreadsheetml/2009/9/main" objectType="Drop" dropStyle="combo" dx="16" fmlaLink="Regn2!$B$78" fmlaRange="Jordtypenavn" noThreeD="1" sel="6" val="3"/>
</file>

<file path=xl/ctrlProps/ctrlProp718.xml><?xml version="1.0" encoding="utf-8"?>
<formControlPr xmlns="http://schemas.microsoft.com/office/spreadsheetml/2009/9/main" objectType="Drop" dropStyle="combo" dx="16" fmlaLink="Regn2!$C$78" fmlaRange="Markvandingnavn" noThreeD="1" val="0"/>
</file>

<file path=xl/ctrlProps/ctrlProp719.xml><?xml version="1.0" encoding="utf-8"?>
<formControlPr xmlns="http://schemas.microsoft.com/office/spreadsheetml/2009/9/main" objectType="Drop" dropLines="6" dropStyle="combo" dx="16" fmlaLink="Regn2!$AA$78" fmlaRange="Markgruppe" noThreeD="1" val="0"/>
</file>

<file path=xl/ctrlProps/ctrlProp72.xml><?xml version="1.0" encoding="utf-8"?>
<formControlPr xmlns="http://schemas.microsoft.com/office/spreadsheetml/2009/9/main" objectType="Drop" dropStyle="combo" dx="16" fmlaLink="Regn!$G$48" fmlaRange="Efgrnavn" noThreeD="1" val="0"/>
</file>

<file path=xl/ctrlProps/ctrlProp720.xml><?xml version="1.0" encoding="utf-8"?>
<formControlPr xmlns="http://schemas.microsoft.com/office/spreadsheetml/2009/9/main" objectType="Drop" dropStyle="combo" dx="16" fmlaLink="Regn2!$O$80" fmlaRange="Afgrnavn" noThreeD="1" val="0"/>
</file>

<file path=xl/ctrlProps/ctrlProp721.xml><?xml version="1.0" encoding="utf-8"?>
<formControlPr xmlns="http://schemas.microsoft.com/office/spreadsheetml/2009/9/main" objectType="Drop" dropStyle="combo" dx="16" fmlaLink="Regn2!$P$80" fmlaRange="Efgrnavn" noThreeD="1" val="0"/>
</file>

<file path=xl/ctrlProps/ctrlProp722.xml><?xml version="1.0" encoding="utf-8"?>
<formControlPr xmlns="http://schemas.microsoft.com/office/spreadsheetml/2009/9/main" objectType="Drop" dropStyle="combo" dx="16" fmlaLink="Regn2!$R$80" fmlaRange="Afgrnavn" noThreeD="1" val="0"/>
</file>

<file path=xl/ctrlProps/ctrlProp723.xml><?xml version="1.0" encoding="utf-8"?>
<formControlPr xmlns="http://schemas.microsoft.com/office/spreadsheetml/2009/9/main" objectType="Drop" dropStyle="combo" dx="16" fmlaLink="Regn2!$T$80" fmlaRange="Efgrnavn" noThreeD="1" val="0"/>
</file>

<file path=xl/ctrlProps/ctrlProp724.xml><?xml version="1.0" encoding="utf-8"?>
<formControlPr xmlns="http://schemas.microsoft.com/office/spreadsheetml/2009/9/main" objectType="CheckBox" fmlaLink="Regn2!$Q$80" lockText="1" noThreeD="1"/>
</file>

<file path=xl/ctrlProps/ctrlProp725.xml><?xml version="1.0" encoding="utf-8"?>
<formControlPr xmlns="http://schemas.microsoft.com/office/spreadsheetml/2009/9/main" objectType="Drop" dropStyle="combo" dx="16" fmlaLink="Regn2!$X$80" fmlaRange="Afgrnavn" noThreeD="1" val="0"/>
</file>

<file path=xl/ctrlProps/ctrlProp726.xml><?xml version="1.0" encoding="utf-8"?>
<formControlPr xmlns="http://schemas.microsoft.com/office/spreadsheetml/2009/9/main" objectType="Drop" dropLines="2" dropStyle="combo" dx="16" fmlaLink="Regn2!$S$80" fmlaRange="Halmanvendelsenavn" noThreeD="1" val="0"/>
</file>

<file path=xl/ctrlProps/ctrlProp727.xml><?xml version="1.0" encoding="utf-8"?>
<formControlPr xmlns="http://schemas.microsoft.com/office/spreadsheetml/2009/9/main" objectType="Drop" dropLines="3" dropStyle="combo" dx="16" fmlaLink="Regn2!$U$80" fmlaRange="EfterafgrbehNavn" noThreeD="1" val="0"/>
</file>

<file path=xl/ctrlProps/ctrlProp728.xml><?xml version="1.0" encoding="utf-8"?>
<formControlPr xmlns="http://schemas.microsoft.com/office/spreadsheetml/2009/9/main" objectType="Drop" dropLines="3" dropStyle="combo" dx="16" fmlaLink="Regn2!$V$80" fmlaRange="TorringNavn" noThreeD="1" val="0"/>
</file>

<file path=xl/ctrlProps/ctrlProp729.xml><?xml version="1.0" encoding="utf-8"?>
<formControlPr xmlns="http://schemas.microsoft.com/office/spreadsheetml/2009/9/main" objectType="Drop" dropStyle="combo" dx="16" fmlaLink="Regn2!$B$80" fmlaRange="Jordtypenavn" noThreeD="1" sel="6" val="3"/>
</file>

<file path=xl/ctrlProps/ctrlProp73.xml><?xml version="1.0" encoding="utf-8"?>
<formControlPr xmlns="http://schemas.microsoft.com/office/spreadsheetml/2009/9/main" objectType="CheckBox" fmlaLink="Regn!$D$48" lockText="1" noThreeD="1"/>
</file>

<file path=xl/ctrlProps/ctrlProp730.xml><?xml version="1.0" encoding="utf-8"?>
<formControlPr xmlns="http://schemas.microsoft.com/office/spreadsheetml/2009/9/main" objectType="Drop" dropStyle="combo" dx="16" fmlaLink="Regn2!$C$80" fmlaRange="Markvandingnavn" noThreeD="1" val="0"/>
</file>

<file path=xl/ctrlProps/ctrlProp731.xml><?xml version="1.0" encoding="utf-8"?>
<formControlPr xmlns="http://schemas.microsoft.com/office/spreadsheetml/2009/9/main" objectType="Drop" dropLines="6" dropStyle="combo" dx="16" fmlaLink="Regn2!$AA$80" fmlaRange="Markgruppe" noThreeD="1" val="0"/>
</file>

<file path=xl/ctrlProps/ctrlProp732.xml><?xml version="1.0" encoding="utf-8"?>
<formControlPr xmlns="http://schemas.microsoft.com/office/spreadsheetml/2009/9/main" objectType="Drop" dropStyle="combo" dx="16" fmlaLink="Regn2!$O$82" fmlaRange="Afgrnavn" noThreeD="1" val="0"/>
</file>

<file path=xl/ctrlProps/ctrlProp733.xml><?xml version="1.0" encoding="utf-8"?>
<formControlPr xmlns="http://schemas.microsoft.com/office/spreadsheetml/2009/9/main" objectType="Drop" dropStyle="combo" dx="16" fmlaLink="Regn2!$P$82" fmlaRange="Efgrnavn" noThreeD="1" val="0"/>
</file>

<file path=xl/ctrlProps/ctrlProp734.xml><?xml version="1.0" encoding="utf-8"?>
<formControlPr xmlns="http://schemas.microsoft.com/office/spreadsheetml/2009/9/main" objectType="Drop" dropStyle="combo" dx="16" fmlaLink="Regn2!$R$82" fmlaRange="Afgrnavn" noThreeD="1" val="0"/>
</file>

<file path=xl/ctrlProps/ctrlProp735.xml><?xml version="1.0" encoding="utf-8"?>
<formControlPr xmlns="http://schemas.microsoft.com/office/spreadsheetml/2009/9/main" objectType="Drop" dropStyle="combo" dx="16" fmlaLink="Regn2!$T$82" fmlaRange="Efgrnavn" noThreeD="1" val="0"/>
</file>

<file path=xl/ctrlProps/ctrlProp736.xml><?xml version="1.0" encoding="utf-8"?>
<formControlPr xmlns="http://schemas.microsoft.com/office/spreadsheetml/2009/9/main" objectType="CheckBox" fmlaLink="Regn2!$Q$82" lockText="1" noThreeD="1"/>
</file>

<file path=xl/ctrlProps/ctrlProp737.xml><?xml version="1.0" encoding="utf-8"?>
<formControlPr xmlns="http://schemas.microsoft.com/office/spreadsheetml/2009/9/main" objectType="Drop" dropStyle="combo" dx="16" fmlaLink="Regn2!$X$82" fmlaRange="Afgrnavn" noThreeD="1" val="0"/>
</file>

<file path=xl/ctrlProps/ctrlProp738.xml><?xml version="1.0" encoding="utf-8"?>
<formControlPr xmlns="http://schemas.microsoft.com/office/spreadsheetml/2009/9/main" objectType="Drop" dropLines="2" dropStyle="combo" dx="16" fmlaLink="Regn2!$S$82" fmlaRange="Halmanvendelsenavn" noThreeD="1" val="0"/>
</file>

<file path=xl/ctrlProps/ctrlProp739.xml><?xml version="1.0" encoding="utf-8"?>
<formControlPr xmlns="http://schemas.microsoft.com/office/spreadsheetml/2009/9/main" objectType="Drop" dropLines="3" dropStyle="combo" dx="16" fmlaLink="Regn2!$U$82" fmlaRange="EfterafgrbehNavn" noThreeD="1" val="0"/>
</file>

<file path=xl/ctrlProps/ctrlProp74.xml><?xml version="1.0" encoding="utf-8"?>
<formControlPr xmlns="http://schemas.microsoft.com/office/spreadsheetml/2009/9/main" objectType="Drop" dropStyle="combo" dx="16" fmlaLink="Regn!$K$48" fmlaRange="Afgrnavn" noThreeD="1" val="27"/>
</file>

<file path=xl/ctrlProps/ctrlProp740.xml><?xml version="1.0" encoding="utf-8"?>
<formControlPr xmlns="http://schemas.microsoft.com/office/spreadsheetml/2009/9/main" objectType="Drop" dropLines="3" dropStyle="combo" dx="16" fmlaLink="Regn2!$V$82" fmlaRange="TorringNavn" noThreeD="1" val="0"/>
</file>

<file path=xl/ctrlProps/ctrlProp741.xml><?xml version="1.0" encoding="utf-8"?>
<formControlPr xmlns="http://schemas.microsoft.com/office/spreadsheetml/2009/9/main" objectType="Drop" dropStyle="combo" dx="16" fmlaLink="Regn2!$B$82" fmlaRange="Jordtypenavn" noThreeD="1" sel="6" val="3"/>
</file>

<file path=xl/ctrlProps/ctrlProp742.xml><?xml version="1.0" encoding="utf-8"?>
<formControlPr xmlns="http://schemas.microsoft.com/office/spreadsheetml/2009/9/main" objectType="Drop" dropStyle="combo" dx="16" fmlaLink="Regn2!$C$82" fmlaRange="Markvandingnavn" noThreeD="1" val="0"/>
</file>

<file path=xl/ctrlProps/ctrlProp743.xml><?xml version="1.0" encoding="utf-8"?>
<formControlPr xmlns="http://schemas.microsoft.com/office/spreadsheetml/2009/9/main" objectType="Drop" dropLines="6" dropStyle="combo" dx="16" fmlaLink="Regn2!$AA$82" fmlaRange="Markgruppe" noThreeD="1" val="0"/>
</file>

<file path=xl/ctrlProps/ctrlProp744.xml><?xml version="1.0" encoding="utf-8"?>
<formControlPr xmlns="http://schemas.microsoft.com/office/spreadsheetml/2009/9/main" objectType="Drop" dropStyle="combo" dx="16" fmlaLink="Regn2!$O$84" fmlaRange="Afgrnavn" noThreeD="1" val="0"/>
</file>

<file path=xl/ctrlProps/ctrlProp745.xml><?xml version="1.0" encoding="utf-8"?>
<formControlPr xmlns="http://schemas.microsoft.com/office/spreadsheetml/2009/9/main" objectType="Drop" dropStyle="combo" dx="16" fmlaLink="Regn2!$P$84" fmlaRange="Efgrnavn" noThreeD="1" val="0"/>
</file>

<file path=xl/ctrlProps/ctrlProp746.xml><?xml version="1.0" encoding="utf-8"?>
<formControlPr xmlns="http://schemas.microsoft.com/office/spreadsheetml/2009/9/main" objectType="Drop" dropStyle="combo" dx="16" fmlaLink="Regn2!$R$84" fmlaRange="Afgrnavn" noThreeD="1" val="0"/>
</file>

<file path=xl/ctrlProps/ctrlProp747.xml><?xml version="1.0" encoding="utf-8"?>
<formControlPr xmlns="http://schemas.microsoft.com/office/spreadsheetml/2009/9/main" objectType="Drop" dropStyle="combo" dx="16" fmlaLink="Regn2!$T$84" fmlaRange="Efgrnavn" noThreeD="1" val="0"/>
</file>

<file path=xl/ctrlProps/ctrlProp748.xml><?xml version="1.0" encoding="utf-8"?>
<formControlPr xmlns="http://schemas.microsoft.com/office/spreadsheetml/2009/9/main" objectType="CheckBox" fmlaLink="Regn2!$Q$84" lockText="1" noThreeD="1"/>
</file>

<file path=xl/ctrlProps/ctrlProp749.xml><?xml version="1.0" encoding="utf-8"?>
<formControlPr xmlns="http://schemas.microsoft.com/office/spreadsheetml/2009/9/main" objectType="Drop" dropStyle="combo" dx="16" fmlaLink="Regn2!$X$84" fmlaRange="Afgrnavn" noThreeD="1" val="0"/>
</file>

<file path=xl/ctrlProps/ctrlProp75.xml><?xml version="1.0" encoding="utf-8"?>
<formControlPr xmlns="http://schemas.microsoft.com/office/spreadsheetml/2009/9/main" objectType="Drop" dropLines="2" dropStyle="combo" dx="16" fmlaLink="Regn!$F$48" fmlaRange="Halmanvendelsenavn" noThreeD="1" val="0"/>
</file>

<file path=xl/ctrlProps/ctrlProp750.xml><?xml version="1.0" encoding="utf-8"?>
<formControlPr xmlns="http://schemas.microsoft.com/office/spreadsheetml/2009/9/main" objectType="Drop" dropLines="2" dropStyle="combo" dx="16" fmlaLink="Regn2!$S$84" fmlaRange="Halmanvendelsenavn" noThreeD="1" val="0"/>
</file>

<file path=xl/ctrlProps/ctrlProp751.xml><?xml version="1.0" encoding="utf-8"?>
<formControlPr xmlns="http://schemas.microsoft.com/office/spreadsheetml/2009/9/main" objectType="Drop" dropLines="3" dropStyle="combo" dx="16" fmlaLink="Regn2!$U$84" fmlaRange="EfterafgrbehNavn" noThreeD="1" val="0"/>
</file>

<file path=xl/ctrlProps/ctrlProp752.xml><?xml version="1.0" encoding="utf-8"?>
<formControlPr xmlns="http://schemas.microsoft.com/office/spreadsheetml/2009/9/main" objectType="Drop" dropLines="3" dropStyle="combo" dx="16" fmlaLink="Regn2!$V$84" fmlaRange="TorringNavn" noThreeD="1" val="0"/>
</file>

<file path=xl/ctrlProps/ctrlProp753.xml><?xml version="1.0" encoding="utf-8"?>
<formControlPr xmlns="http://schemas.microsoft.com/office/spreadsheetml/2009/9/main" objectType="Drop" dropStyle="combo" dx="16" fmlaLink="Regn2!$B$84" fmlaRange="Jordtypenavn" noThreeD="1" sel="6" val="3"/>
</file>

<file path=xl/ctrlProps/ctrlProp754.xml><?xml version="1.0" encoding="utf-8"?>
<formControlPr xmlns="http://schemas.microsoft.com/office/spreadsheetml/2009/9/main" objectType="Drop" dropStyle="combo" dx="16" fmlaLink="Regn2!$C$84" fmlaRange="Markvandingnavn" noThreeD="1" val="0"/>
</file>

<file path=xl/ctrlProps/ctrlProp755.xml><?xml version="1.0" encoding="utf-8"?>
<formControlPr xmlns="http://schemas.microsoft.com/office/spreadsheetml/2009/9/main" objectType="Drop" dropLines="6" dropStyle="combo" dx="16" fmlaLink="Regn2!$AA$84" fmlaRange="Markgruppe" noThreeD="1" val="0"/>
</file>

<file path=xl/ctrlProps/ctrlProp756.xml><?xml version="1.0" encoding="utf-8"?>
<formControlPr xmlns="http://schemas.microsoft.com/office/spreadsheetml/2009/9/main" objectType="Drop" dropStyle="combo" dx="16" fmlaLink="Regn2!$O$86" fmlaRange="Afgrnavn" noThreeD="1" val="0"/>
</file>

<file path=xl/ctrlProps/ctrlProp757.xml><?xml version="1.0" encoding="utf-8"?>
<formControlPr xmlns="http://schemas.microsoft.com/office/spreadsheetml/2009/9/main" objectType="Drop" dropStyle="combo" dx="16" fmlaLink="Regn2!$P$86" fmlaRange="Efgrnavn" noThreeD="1" val="0"/>
</file>

<file path=xl/ctrlProps/ctrlProp758.xml><?xml version="1.0" encoding="utf-8"?>
<formControlPr xmlns="http://schemas.microsoft.com/office/spreadsheetml/2009/9/main" objectType="Drop" dropStyle="combo" dx="16" fmlaLink="Regn2!$R$86" fmlaRange="Afgrnavn" noThreeD="1" val="0"/>
</file>

<file path=xl/ctrlProps/ctrlProp759.xml><?xml version="1.0" encoding="utf-8"?>
<formControlPr xmlns="http://schemas.microsoft.com/office/spreadsheetml/2009/9/main" objectType="Drop" dropStyle="combo" dx="16" fmlaLink="Regn2!$T$86" fmlaRange="Efgrnavn" noThreeD="1" val="0"/>
</file>

<file path=xl/ctrlProps/ctrlProp76.xml><?xml version="1.0" encoding="utf-8"?>
<formControlPr xmlns="http://schemas.microsoft.com/office/spreadsheetml/2009/9/main" objectType="Drop" dropLines="3" dropStyle="combo" dx="16" fmlaLink="Regn!$H$48" fmlaRange="EfterafgrbehNavn" noThreeD="1" val="0"/>
</file>

<file path=xl/ctrlProps/ctrlProp760.xml><?xml version="1.0" encoding="utf-8"?>
<formControlPr xmlns="http://schemas.microsoft.com/office/spreadsheetml/2009/9/main" objectType="CheckBox" fmlaLink="Regn2!$Q$86" lockText="1" noThreeD="1"/>
</file>

<file path=xl/ctrlProps/ctrlProp761.xml><?xml version="1.0" encoding="utf-8"?>
<formControlPr xmlns="http://schemas.microsoft.com/office/spreadsheetml/2009/9/main" objectType="Drop" dropStyle="combo" dx="16" fmlaLink="Regn2!$X$86" fmlaRange="Afgrnavn" noThreeD="1" val="0"/>
</file>

<file path=xl/ctrlProps/ctrlProp762.xml><?xml version="1.0" encoding="utf-8"?>
<formControlPr xmlns="http://schemas.microsoft.com/office/spreadsheetml/2009/9/main" objectType="Drop" dropLines="2" dropStyle="combo" dx="16" fmlaLink="Regn2!$S$86" fmlaRange="Halmanvendelsenavn" noThreeD="1" val="0"/>
</file>

<file path=xl/ctrlProps/ctrlProp763.xml><?xml version="1.0" encoding="utf-8"?>
<formControlPr xmlns="http://schemas.microsoft.com/office/spreadsheetml/2009/9/main" objectType="Drop" dropLines="3" dropStyle="combo" dx="16" fmlaLink="Regn2!$U$86" fmlaRange="EfterafgrbehNavn" noThreeD="1" val="0"/>
</file>

<file path=xl/ctrlProps/ctrlProp764.xml><?xml version="1.0" encoding="utf-8"?>
<formControlPr xmlns="http://schemas.microsoft.com/office/spreadsheetml/2009/9/main" objectType="Drop" dropLines="3" dropStyle="combo" dx="16" fmlaLink="Regn2!$V$86" fmlaRange="TorringNavn" noThreeD="1" val="0"/>
</file>

<file path=xl/ctrlProps/ctrlProp765.xml><?xml version="1.0" encoding="utf-8"?>
<formControlPr xmlns="http://schemas.microsoft.com/office/spreadsheetml/2009/9/main" objectType="Drop" dropStyle="combo" dx="16" fmlaLink="Regn2!$B$86" fmlaRange="Jordtypenavn" noThreeD="1" sel="6" val="3"/>
</file>

<file path=xl/ctrlProps/ctrlProp766.xml><?xml version="1.0" encoding="utf-8"?>
<formControlPr xmlns="http://schemas.microsoft.com/office/spreadsheetml/2009/9/main" objectType="Drop" dropStyle="combo" dx="16" fmlaLink="Regn2!$C$86" fmlaRange="Markvandingnavn" noThreeD="1" val="0"/>
</file>

<file path=xl/ctrlProps/ctrlProp767.xml><?xml version="1.0" encoding="utf-8"?>
<formControlPr xmlns="http://schemas.microsoft.com/office/spreadsheetml/2009/9/main" objectType="Drop" dropLines="6" dropStyle="combo" dx="16" fmlaLink="Regn2!$AA$86" fmlaRange="Markgruppe" noThreeD="1" val="0"/>
</file>

<file path=xl/ctrlProps/ctrlProp768.xml><?xml version="1.0" encoding="utf-8"?>
<formControlPr xmlns="http://schemas.microsoft.com/office/spreadsheetml/2009/9/main" objectType="Drop" dropStyle="combo" dx="16" fmlaLink="Regn2!$O$88" fmlaRange="Afgrnavn" noThreeD="1" val="0"/>
</file>

<file path=xl/ctrlProps/ctrlProp769.xml><?xml version="1.0" encoding="utf-8"?>
<formControlPr xmlns="http://schemas.microsoft.com/office/spreadsheetml/2009/9/main" objectType="Drop" dropStyle="combo" dx="16" fmlaLink="Regn2!$P$88" fmlaRange="Efgrnavn" noThreeD="1" val="0"/>
</file>

<file path=xl/ctrlProps/ctrlProp77.xml><?xml version="1.0" encoding="utf-8"?>
<formControlPr xmlns="http://schemas.microsoft.com/office/spreadsheetml/2009/9/main" objectType="Drop" dropLines="3" dropStyle="combo" dx="16" fmlaLink="Regn!$I$48" fmlaRange="TorringNavn" noThreeD="1" val="0"/>
</file>

<file path=xl/ctrlProps/ctrlProp770.xml><?xml version="1.0" encoding="utf-8"?>
<formControlPr xmlns="http://schemas.microsoft.com/office/spreadsheetml/2009/9/main" objectType="Drop" dropStyle="combo" dx="16" fmlaLink="Regn2!$R$88" fmlaRange="Afgrnavn" noThreeD="1" val="0"/>
</file>

<file path=xl/ctrlProps/ctrlProp771.xml><?xml version="1.0" encoding="utf-8"?>
<formControlPr xmlns="http://schemas.microsoft.com/office/spreadsheetml/2009/9/main" objectType="Drop" dropStyle="combo" dx="16" fmlaLink="Regn2!$T$88" fmlaRange="Efgrnavn" noThreeD="1" val="0"/>
</file>

<file path=xl/ctrlProps/ctrlProp772.xml><?xml version="1.0" encoding="utf-8"?>
<formControlPr xmlns="http://schemas.microsoft.com/office/spreadsheetml/2009/9/main" objectType="CheckBox" fmlaLink="Regn2!$Q$88" lockText="1" noThreeD="1"/>
</file>

<file path=xl/ctrlProps/ctrlProp773.xml><?xml version="1.0" encoding="utf-8"?>
<formControlPr xmlns="http://schemas.microsoft.com/office/spreadsheetml/2009/9/main" objectType="Drop" dropStyle="combo" dx="16" fmlaLink="Regn2!$X$88" fmlaRange="Afgrnavn" noThreeD="1" val="0"/>
</file>

<file path=xl/ctrlProps/ctrlProp774.xml><?xml version="1.0" encoding="utf-8"?>
<formControlPr xmlns="http://schemas.microsoft.com/office/spreadsheetml/2009/9/main" objectType="Drop" dropLines="2" dropStyle="combo" dx="16" fmlaLink="Regn2!$R$88" fmlaRange="Halmanvendelsenavn" noThreeD="1" val="0"/>
</file>

<file path=xl/ctrlProps/ctrlProp775.xml><?xml version="1.0" encoding="utf-8"?>
<formControlPr xmlns="http://schemas.microsoft.com/office/spreadsheetml/2009/9/main" objectType="Drop" dropLines="3" dropStyle="combo" dx="16" fmlaLink="Regn2!$U$88" fmlaRange="EfterafgrbehNavn" noThreeD="1" val="0"/>
</file>

<file path=xl/ctrlProps/ctrlProp776.xml><?xml version="1.0" encoding="utf-8"?>
<formControlPr xmlns="http://schemas.microsoft.com/office/spreadsheetml/2009/9/main" objectType="Drop" dropLines="3" dropStyle="combo" dx="16" fmlaLink="Regn2!$V$88" fmlaRange="TorringNavn" noThreeD="1" val="0"/>
</file>

<file path=xl/ctrlProps/ctrlProp777.xml><?xml version="1.0" encoding="utf-8"?>
<formControlPr xmlns="http://schemas.microsoft.com/office/spreadsheetml/2009/9/main" objectType="Drop" dropStyle="combo" dx="16" fmlaLink="Regn2!$B$88" fmlaRange="Jordtypenavn" noThreeD="1" sel="6" val="3"/>
</file>

<file path=xl/ctrlProps/ctrlProp778.xml><?xml version="1.0" encoding="utf-8"?>
<formControlPr xmlns="http://schemas.microsoft.com/office/spreadsheetml/2009/9/main" objectType="Drop" dropStyle="combo" dx="16" fmlaLink="Regn2!$C$88" fmlaRange="Markvandingnavn" noThreeD="1" val="0"/>
</file>

<file path=xl/ctrlProps/ctrlProp779.xml><?xml version="1.0" encoding="utf-8"?>
<formControlPr xmlns="http://schemas.microsoft.com/office/spreadsheetml/2009/9/main" objectType="Drop" dropLines="6" dropStyle="combo" dx="16" fmlaLink="Regn2!$AA$88" fmlaRange="Markgruppe" noThreeD="1" val="0"/>
</file>

<file path=xl/ctrlProps/ctrlProp78.xml><?xml version="1.0" encoding="utf-8"?>
<formControlPr xmlns="http://schemas.microsoft.com/office/spreadsheetml/2009/9/main" objectType="Drop" dropStyle="combo" dx="16" fmlaLink="Regn!$B56" fmlaRange="Afgrnavn" noThreeD="1" val="0"/>
</file>

<file path=xl/ctrlProps/ctrlProp780.xml><?xml version="1.0" encoding="utf-8"?>
<formControlPr xmlns="http://schemas.microsoft.com/office/spreadsheetml/2009/9/main" objectType="Drop" dropStyle="combo" dx="16" fmlaLink="Regn2!$O$90" fmlaRange="Afgrnavn" noThreeD="1" val="0"/>
</file>

<file path=xl/ctrlProps/ctrlProp781.xml><?xml version="1.0" encoding="utf-8"?>
<formControlPr xmlns="http://schemas.microsoft.com/office/spreadsheetml/2009/9/main" objectType="Drop" dropStyle="combo" dx="16" fmlaLink="Regn2!$P$90" fmlaRange="Efgrnavn" noThreeD="1" val="0"/>
</file>

<file path=xl/ctrlProps/ctrlProp782.xml><?xml version="1.0" encoding="utf-8"?>
<formControlPr xmlns="http://schemas.microsoft.com/office/spreadsheetml/2009/9/main" objectType="Drop" dropStyle="combo" dx="16" fmlaLink="Regn2!$R$90" fmlaRange="Afgrnavn" noThreeD="1" val="0"/>
</file>

<file path=xl/ctrlProps/ctrlProp783.xml><?xml version="1.0" encoding="utf-8"?>
<formControlPr xmlns="http://schemas.microsoft.com/office/spreadsheetml/2009/9/main" objectType="Drop" dropStyle="combo" dx="16" fmlaLink="Regn2!$T$90" fmlaRange="Efgrnavn" noThreeD="1" val="0"/>
</file>

<file path=xl/ctrlProps/ctrlProp784.xml><?xml version="1.0" encoding="utf-8"?>
<formControlPr xmlns="http://schemas.microsoft.com/office/spreadsheetml/2009/9/main" objectType="CheckBox" fmlaLink="Regn2!$Q$90" lockText="1" noThreeD="1"/>
</file>

<file path=xl/ctrlProps/ctrlProp785.xml><?xml version="1.0" encoding="utf-8"?>
<formControlPr xmlns="http://schemas.microsoft.com/office/spreadsheetml/2009/9/main" objectType="Drop" dropStyle="combo" dx="16" fmlaLink="Regn2!$X$90" fmlaRange="Afgrnavn" noThreeD="1" val="0"/>
</file>

<file path=xl/ctrlProps/ctrlProp786.xml><?xml version="1.0" encoding="utf-8"?>
<formControlPr xmlns="http://schemas.microsoft.com/office/spreadsheetml/2009/9/main" objectType="Drop" dropLines="2" dropStyle="combo" dx="16" fmlaLink="Regn2!$S$90" fmlaRange="Halmanvendelsenavn" noThreeD="1" val="0"/>
</file>

<file path=xl/ctrlProps/ctrlProp787.xml><?xml version="1.0" encoding="utf-8"?>
<formControlPr xmlns="http://schemas.microsoft.com/office/spreadsheetml/2009/9/main" objectType="Drop" dropLines="3" dropStyle="combo" dx="16" fmlaLink="Regn2!$U$90" fmlaRange="EfterafgrbehNavn" noThreeD="1" val="0"/>
</file>

<file path=xl/ctrlProps/ctrlProp788.xml><?xml version="1.0" encoding="utf-8"?>
<formControlPr xmlns="http://schemas.microsoft.com/office/spreadsheetml/2009/9/main" objectType="Drop" dropLines="3" dropStyle="combo" dx="16" fmlaLink="Regn2!$V$90" fmlaRange="TorringNavn" noThreeD="1" val="0"/>
</file>

<file path=xl/ctrlProps/ctrlProp789.xml><?xml version="1.0" encoding="utf-8"?>
<formControlPr xmlns="http://schemas.microsoft.com/office/spreadsheetml/2009/9/main" objectType="Drop" dropStyle="combo" dx="16" fmlaLink="Regn2!$B$90" fmlaRange="Jordtypenavn" noThreeD="1" sel="6" val="3"/>
</file>

<file path=xl/ctrlProps/ctrlProp79.xml><?xml version="1.0" encoding="utf-8"?>
<formControlPr xmlns="http://schemas.microsoft.com/office/spreadsheetml/2009/9/main" objectType="Drop" dropStyle="combo" dx="16" fmlaLink="Regn!$C56" fmlaRange="Efgrnavn" noThreeD="1" val="0"/>
</file>

<file path=xl/ctrlProps/ctrlProp790.xml><?xml version="1.0" encoding="utf-8"?>
<formControlPr xmlns="http://schemas.microsoft.com/office/spreadsheetml/2009/9/main" objectType="Drop" dropStyle="combo" dx="16" fmlaLink="Regn2!$C$90" fmlaRange="Markvandingnavn" noThreeD="1" val="0"/>
</file>

<file path=xl/ctrlProps/ctrlProp791.xml><?xml version="1.0" encoding="utf-8"?>
<formControlPr xmlns="http://schemas.microsoft.com/office/spreadsheetml/2009/9/main" objectType="Drop" dropLines="6" dropStyle="combo" dx="16" fmlaLink="Regn2!$AA$90" fmlaRange="Markgruppe" noThreeD="1" val="0"/>
</file>

<file path=xl/ctrlProps/ctrlProp792.xml><?xml version="1.0" encoding="utf-8"?>
<formControlPr xmlns="http://schemas.microsoft.com/office/spreadsheetml/2009/9/main" objectType="Drop" dropStyle="combo" dx="16" fmlaLink="Regn2!$O$92" fmlaRange="Afgrnavn" noThreeD="1" val="0"/>
</file>

<file path=xl/ctrlProps/ctrlProp793.xml><?xml version="1.0" encoding="utf-8"?>
<formControlPr xmlns="http://schemas.microsoft.com/office/spreadsheetml/2009/9/main" objectType="Drop" dropStyle="combo" dx="16" fmlaLink="Regn2!$P$92" fmlaRange="Efgrnavn" noThreeD="1" val="0"/>
</file>

<file path=xl/ctrlProps/ctrlProp794.xml><?xml version="1.0" encoding="utf-8"?>
<formControlPr xmlns="http://schemas.microsoft.com/office/spreadsheetml/2009/9/main" objectType="Drop" dropStyle="combo" dx="16" fmlaLink="Regn2!$R$92" fmlaRange="Afgrnavn" noThreeD="1" val="0"/>
</file>

<file path=xl/ctrlProps/ctrlProp795.xml><?xml version="1.0" encoding="utf-8"?>
<formControlPr xmlns="http://schemas.microsoft.com/office/spreadsheetml/2009/9/main" objectType="Drop" dropStyle="combo" dx="16" fmlaLink="Regn2!$T$92" fmlaRange="Efgrnavn" noThreeD="1" val="0"/>
</file>

<file path=xl/ctrlProps/ctrlProp796.xml><?xml version="1.0" encoding="utf-8"?>
<formControlPr xmlns="http://schemas.microsoft.com/office/spreadsheetml/2009/9/main" objectType="CheckBox" fmlaLink="Regn2!$Q$92" lockText="1" noThreeD="1"/>
</file>

<file path=xl/ctrlProps/ctrlProp797.xml><?xml version="1.0" encoding="utf-8"?>
<formControlPr xmlns="http://schemas.microsoft.com/office/spreadsheetml/2009/9/main" objectType="Drop" dropStyle="combo" dx="16" fmlaLink="Regn2!$X$92" fmlaRange="Afgrnavn" noThreeD="1" val="0"/>
</file>

<file path=xl/ctrlProps/ctrlProp798.xml><?xml version="1.0" encoding="utf-8"?>
<formControlPr xmlns="http://schemas.microsoft.com/office/spreadsheetml/2009/9/main" objectType="Drop" dropLines="2" dropStyle="combo" dx="16" fmlaLink="Regn2!$S$92" fmlaRange="Halmanvendelsenavn" noThreeD="1" val="0"/>
</file>

<file path=xl/ctrlProps/ctrlProp799.xml><?xml version="1.0" encoding="utf-8"?>
<formControlPr xmlns="http://schemas.microsoft.com/office/spreadsheetml/2009/9/main" objectType="Drop" dropLines="3" dropStyle="combo" dx="16" fmlaLink="Regn2!$U$92" fmlaRange="EfterafgrbehNavn" noThreeD="1" val="0"/>
</file>

<file path=xl/ctrlProps/ctrlProp8.xml><?xml version="1.0" encoding="utf-8"?>
<formControlPr xmlns="http://schemas.microsoft.com/office/spreadsheetml/2009/9/main" objectType="Drop" dropStyle="combo" dx="16" fmlaLink="Regn!$C$28" fmlaRange="Markvandingnavn" noThreeD="1" val="0"/>
</file>

<file path=xl/ctrlProps/ctrlProp80.xml><?xml version="1.0" encoding="utf-8"?>
<formControlPr xmlns="http://schemas.microsoft.com/office/spreadsheetml/2009/9/main" objectType="Drop" dropStyle="combo" dx="16" fmlaLink="Regn!$E56" fmlaRange="Afgrnavn" noThreeD="1" val="0"/>
</file>

<file path=xl/ctrlProps/ctrlProp800.xml><?xml version="1.0" encoding="utf-8"?>
<formControlPr xmlns="http://schemas.microsoft.com/office/spreadsheetml/2009/9/main" objectType="Drop" dropLines="3" dropStyle="combo" dx="16" fmlaLink="Regn2!$V$92" fmlaRange="TorringNavn" noThreeD="1" val="0"/>
</file>

<file path=xl/ctrlProps/ctrlProp801.xml><?xml version="1.0" encoding="utf-8"?>
<formControlPr xmlns="http://schemas.microsoft.com/office/spreadsheetml/2009/9/main" objectType="Drop" dropStyle="combo" dx="16" fmlaLink="Regn2!$B$92" fmlaRange="Jordtypenavn" noThreeD="1" sel="6" val="3"/>
</file>

<file path=xl/ctrlProps/ctrlProp802.xml><?xml version="1.0" encoding="utf-8"?>
<formControlPr xmlns="http://schemas.microsoft.com/office/spreadsheetml/2009/9/main" objectType="Drop" dropStyle="combo" dx="16" fmlaLink="Regn2!$C$92" fmlaRange="Markvandingnavn" noThreeD="1" val="0"/>
</file>

<file path=xl/ctrlProps/ctrlProp803.xml><?xml version="1.0" encoding="utf-8"?>
<formControlPr xmlns="http://schemas.microsoft.com/office/spreadsheetml/2009/9/main" objectType="Drop" dropLines="6" dropStyle="combo" dx="16" fmlaLink="Regn2!$AA$92" fmlaRange="Markgruppe" noThreeD="1" val="0"/>
</file>

<file path=xl/ctrlProps/ctrlProp804.xml><?xml version="1.0" encoding="utf-8"?>
<formControlPr xmlns="http://schemas.microsoft.com/office/spreadsheetml/2009/9/main" objectType="Drop" dropStyle="combo" dx="16" fmlaLink="Regn2!$O$94" fmlaRange="Afgrnavn" noThreeD="1" val="0"/>
</file>

<file path=xl/ctrlProps/ctrlProp805.xml><?xml version="1.0" encoding="utf-8"?>
<formControlPr xmlns="http://schemas.microsoft.com/office/spreadsheetml/2009/9/main" objectType="Drop" dropStyle="combo" dx="16" fmlaLink="Regn2!$P$94" fmlaRange="Efgrnavn" noThreeD="1" val="0"/>
</file>

<file path=xl/ctrlProps/ctrlProp806.xml><?xml version="1.0" encoding="utf-8"?>
<formControlPr xmlns="http://schemas.microsoft.com/office/spreadsheetml/2009/9/main" objectType="Drop" dropStyle="combo" dx="16" fmlaLink="Regn2!$R$94" fmlaRange="Afgrnavn" noThreeD="1" val="0"/>
</file>

<file path=xl/ctrlProps/ctrlProp807.xml><?xml version="1.0" encoding="utf-8"?>
<formControlPr xmlns="http://schemas.microsoft.com/office/spreadsheetml/2009/9/main" objectType="Drop" dropStyle="combo" dx="16" fmlaLink="Regn2!$T$94" fmlaRange="Efgrnavn" noThreeD="1" val="0"/>
</file>

<file path=xl/ctrlProps/ctrlProp808.xml><?xml version="1.0" encoding="utf-8"?>
<formControlPr xmlns="http://schemas.microsoft.com/office/spreadsheetml/2009/9/main" objectType="CheckBox" fmlaLink="Regn2!$Q$94" lockText="1" noThreeD="1"/>
</file>

<file path=xl/ctrlProps/ctrlProp809.xml><?xml version="1.0" encoding="utf-8"?>
<formControlPr xmlns="http://schemas.microsoft.com/office/spreadsheetml/2009/9/main" objectType="Drop" dropStyle="combo" dx="16" fmlaLink="Regn2!$X$94" fmlaRange="Afgrnavn" noThreeD="1" val="0"/>
</file>

<file path=xl/ctrlProps/ctrlProp81.xml><?xml version="1.0" encoding="utf-8"?>
<formControlPr xmlns="http://schemas.microsoft.com/office/spreadsheetml/2009/9/main" objectType="Drop" dropStyle="combo" dx="16" fmlaLink="Regn!$G56" fmlaRange="Efgrnavn" noThreeD="1" val="0"/>
</file>

<file path=xl/ctrlProps/ctrlProp810.xml><?xml version="1.0" encoding="utf-8"?>
<formControlPr xmlns="http://schemas.microsoft.com/office/spreadsheetml/2009/9/main" objectType="Drop" dropLines="2" dropStyle="combo" dx="16" fmlaLink="Regn2!$S$94" fmlaRange="Halmanvendelsenavn" noThreeD="1" val="0"/>
</file>

<file path=xl/ctrlProps/ctrlProp811.xml><?xml version="1.0" encoding="utf-8"?>
<formControlPr xmlns="http://schemas.microsoft.com/office/spreadsheetml/2009/9/main" objectType="Drop" dropLines="3" dropStyle="combo" dx="16" fmlaLink="Regn2!$U$94" fmlaRange="EfterafgrbehNavn" noThreeD="1" val="0"/>
</file>

<file path=xl/ctrlProps/ctrlProp812.xml><?xml version="1.0" encoding="utf-8"?>
<formControlPr xmlns="http://schemas.microsoft.com/office/spreadsheetml/2009/9/main" objectType="Drop" dropLines="3" dropStyle="combo" dx="16" fmlaLink="Regn2!$V$94" fmlaRange="TorringNavn" noThreeD="1" val="0"/>
</file>

<file path=xl/ctrlProps/ctrlProp813.xml><?xml version="1.0" encoding="utf-8"?>
<formControlPr xmlns="http://schemas.microsoft.com/office/spreadsheetml/2009/9/main" objectType="Drop" dropStyle="combo" dx="16" fmlaLink="Regn2!$B$94" fmlaRange="Jordtypenavn" noThreeD="1" sel="6" val="3"/>
</file>

<file path=xl/ctrlProps/ctrlProp814.xml><?xml version="1.0" encoding="utf-8"?>
<formControlPr xmlns="http://schemas.microsoft.com/office/spreadsheetml/2009/9/main" objectType="Drop" dropStyle="combo" dx="16" fmlaLink="Regn2!$C$94" fmlaRange="Markvandingnavn" noThreeD="1" val="0"/>
</file>

<file path=xl/ctrlProps/ctrlProp815.xml><?xml version="1.0" encoding="utf-8"?>
<formControlPr xmlns="http://schemas.microsoft.com/office/spreadsheetml/2009/9/main" objectType="Drop" dropLines="6" dropStyle="combo" dx="16" fmlaLink="Regn2!$AA$94" fmlaRange="Markgruppe" noThreeD="1" val="0"/>
</file>

<file path=xl/ctrlProps/ctrlProp816.xml><?xml version="1.0" encoding="utf-8"?>
<formControlPr xmlns="http://schemas.microsoft.com/office/spreadsheetml/2009/9/main" objectType="Drop" dropStyle="combo" dx="16" fmlaLink="Regn2!$O$96" fmlaRange="Afgrnavn" noThreeD="1" val="0"/>
</file>

<file path=xl/ctrlProps/ctrlProp817.xml><?xml version="1.0" encoding="utf-8"?>
<formControlPr xmlns="http://schemas.microsoft.com/office/spreadsheetml/2009/9/main" objectType="Drop" dropStyle="combo" dx="16" fmlaLink="Regn2!$P$96" fmlaRange="Efgrnavn" noThreeD="1" val="0"/>
</file>

<file path=xl/ctrlProps/ctrlProp818.xml><?xml version="1.0" encoding="utf-8"?>
<formControlPr xmlns="http://schemas.microsoft.com/office/spreadsheetml/2009/9/main" objectType="Drop" dropStyle="combo" dx="16" fmlaLink="Regn2!$R$96" fmlaRange="Afgrnavn" noThreeD="1" val="0"/>
</file>

<file path=xl/ctrlProps/ctrlProp819.xml><?xml version="1.0" encoding="utf-8"?>
<formControlPr xmlns="http://schemas.microsoft.com/office/spreadsheetml/2009/9/main" objectType="Drop" dropStyle="combo" dx="16" fmlaLink="Regn2!$T$96" fmlaRange="Efgrnavn" noThreeD="1" val="0"/>
</file>

<file path=xl/ctrlProps/ctrlProp82.xml><?xml version="1.0" encoding="utf-8"?>
<formControlPr xmlns="http://schemas.microsoft.com/office/spreadsheetml/2009/9/main" objectType="CheckBox" fmlaLink="Regn!$D$56" lockText="1" noThreeD="1"/>
</file>

<file path=xl/ctrlProps/ctrlProp820.xml><?xml version="1.0" encoding="utf-8"?>
<formControlPr xmlns="http://schemas.microsoft.com/office/spreadsheetml/2009/9/main" objectType="CheckBox" fmlaLink="Regn2!$Q$96" lockText="1" noThreeD="1"/>
</file>

<file path=xl/ctrlProps/ctrlProp821.xml><?xml version="1.0" encoding="utf-8"?>
<formControlPr xmlns="http://schemas.microsoft.com/office/spreadsheetml/2009/9/main" objectType="Drop" dropStyle="combo" dx="16" fmlaLink="Regn2!$X$96" fmlaRange="Afgrnavn" noThreeD="1" val="0"/>
</file>

<file path=xl/ctrlProps/ctrlProp822.xml><?xml version="1.0" encoding="utf-8"?>
<formControlPr xmlns="http://schemas.microsoft.com/office/spreadsheetml/2009/9/main" objectType="Drop" dropLines="2" dropStyle="combo" dx="16" fmlaLink="Regn2!$S$96" fmlaRange="Halmanvendelsenavn" noThreeD="1" val="0"/>
</file>

<file path=xl/ctrlProps/ctrlProp823.xml><?xml version="1.0" encoding="utf-8"?>
<formControlPr xmlns="http://schemas.microsoft.com/office/spreadsheetml/2009/9/main" objectType="Drop" dropLines="3" dropStyle="combo" dx="16" fmlaLink="Regn2!$U$96" fmlaRange="EfterafgrbehNavn" noThreeD="1" val="0"/>
</file>

<file path=xl/ctrlProps/ctrlProp824.xml><?xml version="1.0" encoding="utf-8"?>
<formControlPr xmlns="http://schemas.microsoft.com/office/spreadsheetml/2009/9/main" objectType="Drop" dropLines="3" dropStyle="combo" dx="16" fmlaLink="Regn2!$V$96" fmlaRange="TorringNavn" noThreeD="1" val="0"/>
</file>

<file path=xl/ctrlProps/ctrlProp825.xml><?xml version="1.0" encoding="utf-8"?>
<formControlPr xmlns="http://schemas.microsoft.com/office/spreadsheetml/2009/9/main" objectType="Drop" dropStyle="combo" dx="16" fmlaLink="Regn2!$B$96" fmlaRange="Jordtypenavn" noThreeD="1" sel="6" val="3"/>
</file>

<file path=xl/ctrlProps/ctrlProp826.xml><?xml version="1.0" encoding="utf-8"?>
<formControlPr xmlns="http://schemas.microsoft.com/office/spreadsheetml/2009/9/main" objectType="Drop" dropStyle="combo" dx="16" fmlaLink="Regn2!$C$96" fmlaRange="Markvandingnavn" noThreeD="1" val="0"/>
</file>

<file path=xl/ctrlProps/ctrlProp827.xml><?xml version="1.0" encoding="utf-8"?>
<formControlPr xmlns="http://schemas.microsoft.com/office/spreadsheetml/2009/9/main" objectType="Drop" dropLines="6" dropStyle="combo" dx="16" fmlaLink="Regn2!$AA$96" fmlaRange="Markgruppe" noThreeD="1" val="0"/>
</file>

<file path=xl/ctrlProps/ctrlProp828.xml><?xml version="1.0" encoding="utf-8"?>
<formControlPr xmlns="http://schemas.microsoft.com/office/spreadsheetml/2009/9/main" objectType="Drop" dropStyle="combo" dx="16" fmlaLink="Regn2!$O$98" fmlaRange="Afgrnavn" noThreeD="1" val="0"/>
</file>

<file path=xl/ctrlProps/ctrlProp829.xml><?xml version="1.0" encoding="utf-8"?>
<formControlPr xmlns="http://schemas.microsoft.com/office/spreadsheetml/2009/9/main" objectType="Drop" dropStyle="combo" dx="16" fmlaLink="Regn2!$P$98" fmlaRange="Efgrnavn" noThreeD="1" val="0"/>
</file>

<file path=xl/ctrlProps/ctrlProp83.xml><?xml version="1.0" encoding="utf-8"?>
<formControlPr xmlns="http://schemas.microsoft.com/office/spreadsheetml/2009/9/main" objectType="Drop" dropStyle="combo" dx="16" fmlaLink="Regn!$K56" fmlaRange="Afgrnavn" noThreeD="1" val="0"/>
</file>

<file path=xl/ctrlProps/ctrlProp830.xml><?xml version="1.0" encoding="utf-8"?>
<formControlPr xmlns="http://schemas.microsoft.com/office/spreadsheetml/2009/9/main" objectType="Drop" dropStyle="combo" dx="16" fmlaLink="Regn2!$R$98" fmlaRange="Afgrnavn" noThreeD="1" val="0"/>
</file>

<file path=xl/ctrlProps/ctrlProp831.xml><?xml version="1.0" encoding="utf-8"?>
<formControlPr xmlns="http://schemas.microsoft.com/office/spreadsheetml/2009/9/main" objectType="Drop" dropStyle="combo" dx="16" fmlaLink="Regn2!$T$98" fmlaRange="Efgrnavn" noThreeD="1" val="0"/>
</file>

<file path=xl/ctrlProps/ctrlProp832.xml><?xml version="1.0" encoding="utf-8"?>
<formControlPr xmlns="http://schemas.microsoft.com/office/spreadsheetml/2009/9/main" objectType="CheckBox" fmlaLink="Regn2!$Q$98" lockText="1" noThreeD="1"/>
</file>

<file path=xl/ctrlProps/ctrlProp833.xml><?xml version="1.0" encoding="utf-8"?>
<formControlPr xmlns="http://schemas.microsoft.com/office/spreadsheetml/2009/9/main" objectType="Drop" dropStyle="combo" dx="16" fmlaLink="Regn2!$X$98" fmlaRange="Afgrnavn" noThreeD="1" val="0"/>
</file>

<file path=xl/ctrlProps/ctrlProp834.xml><?xml version="1.0" encoding="utf-8"?>
<formControlPr xmlns="http://schemas.microsoft.com/office/spreadsheetml/2009/9/main" objectType="Drop" dropLines="2" dropStyle="combo" dx="16" fmlaLink="Regn2!$S$98" fmlaRange="Halmanvendelsenavn" noThreeD="1" val="0"/>
</file>

<file path=xl/ctrlProps/ctrlProp835.xml><?xml version="1.0" encoding="utf-8"?>
<formControlPr xmlns="http://schemas.microsoft.com/office/spreadsheetml/2009/9/main" objectType="Drop" dropLines="3" dropStyle="combo" dx="16" fmlaLink="Regn2!$U$98" fmlaRange="EfterafgrbehNavn" noThreeD="1" val="0"/>
</file>

<file path=xl/ctrlProps/ctrlProp836.xml><?xml version="1.0" encoding="utf-8"?>
<formControlPr xmlns="http://schemas.microsoft.com/office/spreadsheetml/2009/9/main" objectType="Drop" dropLines="3" dropStyle="combo" dx="16" fmlaLink="Regn2!$V$98" fmlaRange="TorringNavn" noThreeD="1" val="0"/>
</file>

<file path=xl/ctrlProps/ctrlProp837.xml><?xml version="1.0" encoding="utf-8"?>
<formControlPr xmlns="http://schemas.microsoft.com/office/spreadsheetml/2009/9/main" objectType="Drop" dropStyle="combo" dx="16" fmlaLink="Regn2!$B$98" fmlaRange="Jordtypenavn" noThreeD="1" sel="6" val="3"/>
</file>

<file path=xl/ctrlProps/ctrlProp838.xml><?xml version="1.0" encoding="utf-8"?>
<formControlPr xmlns="http://schemas.microsoft.com/office/spreadsheetml/2009/9/main" objectType="Drop" dropStyle="combo" dx="16" fmlaLink="Regn2!$C$98" fmlaRange="Markvandingnavn" noThreeD="1" val="0"/>
</file>

<file path=xl/ctrlProps/ctrlProp839.xml><?xml version="1.0" encoding="utf-8"?>
<formControlPr xmlns="http://schemas.microsoft.com/office/spreadsheetml/2009/9/main" objectType="Drop" dropLines="6" dropStyle="combo" dx="16" fmlaLink="Regn2!$AA$98" fmlaRange="Markgruppe" noThreeD="1" val="0"/>
</file>

<file path=xl/ctrlProps/ctrlProp84.xml><?xml version="1.0" encoding="utf-8"?>
<formControlPr xmlns="http://schemas.microsoft.com/office/spreadsheetml/2009/9/main" objectType="Drop" dropLines="2" dropStyle="combo" dx="16" fmlaLink="Regn!$F56" fmlaRange="Halmanvendelsenavn" noThreeD="1" val="0"/>
</file>

<file path=xl/ctrlProps/ctrlProp840.xml><?xml version="1.0" encoding="utf-8"?>
<formControlPr xmlns="http://schemas.microsoft.com/office/spreadsheetml/2009/9/main" objectType="Drop" dropStyle="combo" dx="16" fmlaLink="Regn2!$O$100" fmlaRange="Afgrnavn" noThreeD="1" val="0"/>
</file>

<file path=xl/ctrlProps/ctrlProp841.xml><?xml version="1.0" encoding="utf-8"?>
<formControlPr xmlns="http://schemas.microsoft.com/office/spreadsheetml/2009/9/main" objectType="Drop" dropStyle="combo" dx="16" fmlaLink="Regn2!$P$100" fmlaRange="Efgrnavn" noThreeD="1" val="0"/>
</file>

<file path=xl/ctrlProps/ctrlProp842.xml><?xml version="1.0" encoding="utf-8"?>
<formControlPr xmlns="http://schemas.microsoft.com/office/spreadsheetml/2009/9/main" objectType="Drop" dropStyle="combo" dx="16" fmlaLink="Regn2!$R$100" fmlaRange="Afgrnavn" noThreeD="1" val="0"/>
</file>

<file path=xl/ctrlProps/ctrlProp843.xml><?xml version="1.0" encoding="utf-8"?>
<formControlPr xmlns="http://schemas.microsoft.com/office/spreadsheetml/2009/9/main" objectType="Drop" dropStyle="combo" dx="16" fmlaLink="Regn2!$T$100" fmlaRange="Efgrnavn" noThreeD="1" val="0"/>
</file>

<file path=xl/ctrlProps/ctrlProp844.xml><?xml version="1.0" encoding="utf-8"?>
<formControlPr xmlns="http://schemas.microsoft.com/office/spreadsheetml/2009/9/main" objectType="CheckBox" fmlaLink="Regn2!$Q$100" lockText="1" noThreeD="1"/>
</file>

<file path=xl/ctrlProps/ctrlProp845.xml><?xml version="1.0" encoding="utf-8"?>
<formControlPr xmlns="http://schemas.microsoft.com/office/spreadsheetml/2009/9/main" objectType="Drop" dropStyle="combo" dx="16" fmlaLink="Regn2!$X$100" fmlaRange="Afgrnavn" noThreeD="1" val="0"/>
</file>

<file path=xl/ctrlProps/ctrlProp846.xml><?xml version="1.0" encoding="utf-8"?>
<formControlPr xmlns="http://schemas.microsoft.com/office/spreadsheetml/2009/9/main" objectType="Drop" dropLines="2" dropStyle="combo" dx="16" fmlaLink="Regn2!$S$100" fmlaRange="Halmanvendelsenavn" noThreeD="1" val="0"/>
</file>

<file path=xl/ctrlProps/ctrlProp847.xml><?xml version="1.0" encoding="utf-8"?>
<formControlPr xmlns="http://schemas.microsoft.com/office/spreadsheetml/2009/9/main" objectType="Drop" dropLines="3" dropStyle="combo" dx="16" fmlaLink="Regn2!$U$100" fmlaRange="EfterafgrbehNavn" noThreeD="1" val="0"/>
</file>

<file path=xl/ctrlProps/ctrlProp848.xml><?xml version="1.0" encoding="utf-8"?>
<formControlPr xmlns="http://schemas.microsoft.com/office/spreadsheetml/2009/9/main" objectType="Drop" dropLines="3" dropStyle="combo" dx="16" fmlaLink="Regn2!$V$100" fmlaRange="TorringNavn" noThreeD="1" val="0"/>
</file>

<file path=xl/ctrlProps/ctrlProp849.xml><?xml version="1.0" encoding="utf-8"?>
<formControlPr xmlns="http://schemas.microsoft.com/office/spreadsheetml/2009/9/main" objectType="Drop" dropStyle="combo" dx="16" fmlaLink="Regn2!$B$100" fmlaRange="Jordtypenavn" noThreeD="1" sel="6" val="3"/>
</file>

<file path=xl/ctrlProps/ctrlProp85.xml><?xml version="1.0" encoding="utf-8"?>
<formControlPr xmlns="http://schemas.microsoft.com/office/spreadsheetml/2009/9/main" objectType="Drop" dropLines="3" dropStyle="combo" dx="16" fmlaLink="Regn!$H56" fmlaRange="EfterafgrbehNavn" noThreeD="1" val="0"/>
</file>

<file path=xl/ctrlProps/ctrlProp850.xml><?xml version="1.0" encoding="utf-8"?>
<formControlPr xmlns="http://schemas.microsoft.com/office/spreadsheetml/2009/9/main" objectType="Drop" dropStyle="combo" dx="16" fmlaLink="Regn2!$C$100" fmlaRange="Markvandingnavn" noThreeD="1" val="0"/>
</file>

<file path=xl/ctrlProps/ctrlProp851.xml><?xml version="1.0" encoding="utf-8"?>
<formControlPr xmlns="http://schemas.microsoft.com/office/spreadsheetml/2009/9/main" objectType="Drop" dropLines="6" dropStyle="combo" dx="16" fmlaLink="Regn2!$AA$100" fmlaRange="Markgruppe" noThreeD="1" val="0"/>
</file>

<file path=xl/ctrlProps/ctrlProp852.xml><?xml version="1.0" encoding="utf-8"?>
<formControlPr xmlns="http://schemas.microsoft.com/office/spreadsheetml/2009/9/main" objectType="Drop" dropLines="2" dropStyle="combo" dx="16" fmlaLink="Regn!$P$12" fmlaRange="VaerdiHusdyrgodning" noThreeD="1" val="0"/>
</file>

<file path=xl/ctrlProps/ctrlProp853.xml><?xml version="1.0" encoding="utf-8"?>
<formControlPr xmlns="http://schemas.microsoft.com/office/spreadsheetml/2009/9/main" objectType="Drop" dropLines="2" dropStyle="combo" dx="16" fmlaLink="Normer!$AD$39" fmlaRange="ArbejdslonNavn" noThreeD="1" val="0"/>
</file>

<file path=xl/ctrlProps/ctrlProp86.xml><?xml version="1.0" encoding="utf-8"?>
<formControlPr xmlns="http://schemas.microsoft.com/office/spreadsheetml/2009/9/main" objectType="Drop" dropLines="3" dropStyle="combo" dx="16" fmlaLink="Regn!$I56" fmlaRange="TorringNavn" noThreeD="1" val="0"/>
</file>

<file path=xl/ctrlProps/ctrlProp87.xml><?xml version="1.0" encoding="utf-8"?>
<formControlPr xmlns="http://schemas.microsoft.com/office/spreadsheetml/2009/9/main" objectType="Drop" dropStyle="combo" dx="16" fmlaLink="Regn!$B58" fmlaRange="Afgrnavn" noThreeD="1" val="0"/>
</file>

<file path=xl/ctrlProps/ctrlProp88.xml><?xml version="1.0" encoding="utf-8"?>
<formControlPr xmlns="http://schemas.microsoft.com/office/spreadsheetml/2009/9/main" objectType="Drop" dropStyle="combo" dx="16" fmlaLink="Regn!$C58" fmlaRange="Efgrnavn" noThreeD="1" val="0"/>
</file>

<file path=xl/ctrlProps/ctrlProp89.xml><?xml version="1.0" encoding="utf-8"?>
<formControlPr xmlns="http://schemas.microsoft.com/office/spreadsheetml/2009/9/main" objectType="Drop" dropStyle="combo" dx="16" fmlaLink="Regn!$E58" fmlaRange="Afgrnavn" noThreeD="1" val="0"/>
</file>

<file path=xl/ctrlProps/ctrlProp9.xml><?xml version="1.0" encoding="utf-8"?>
<formControlPr xmlns="http://schemas.microsoft.com/office/spreadsheetml/2009/9/main" objectType="Drop" dropLines="2" dropStyle="combo" dx="16" fmlaLink="Regn!$F$34" fmlaRange="Halmanvendelsenavn" noThreeD="1" val="0"/>
</file>

<file path=xl/ctrlProps/ctrlProp90.xml><?xml version="1.0" encoding="utf-8"?>
<formControlPr xmlns="http://schemas.microsoft.com/office/spreadsheetml/2009/9/main" objectType="Drop" dropStyle="combo" dx="16" fmlaLink="Regn!$G58" fmlaRange="Efgrnavn" noThreeD="1" val="0"/>
</file>

<file path=xl/ctrlProps/ctrlProp91.xml><?xml version="1.0" encoding="utf-8"?>
<formControlPr xmlns="http://schemas.microsoft.com/office/spreadsheetml/2009/9/main" objectType="CheckBox" fmlaLink="Regn!$D$58" lockText="1" noThreeD="1"/>
</file>

<file path=xl/ctrlProps/ctrlProp92.xml><?xml version="1.0" encoding="utf-8"?>
<formControlPr xmlns="http://schemas.microsoft.com/office/spreadsheetml/2009/9/main" objectType="Drop" dropStyle="combo" dx="16" fmlaLink="Regn!$K58" fmlaRange="Afgrnavn" noThreeD="1" val="0"/>
</file>

<file path=xl/ctrlProps/ctrlProp93.xml><?xml version="1.0" encoding="utf-8"?>
<formControlPr xmlns="http://schemas.microsoft.com/office/spreadsheetml/2009/9/main" objectType="Drop" dropLines="2" dropStyle="combo" dx="16" fmlaLink="Regn!$F58" fmlaRange="Halmanvendelsenavn" noThreeD="1" val="0"/>
</file>

<file path=xl/ctrlProps/ctrlProp94.xml><?xml version="1.0" encoding="utf-8"?>
<formControlPr xmlns="http://schemas.microsoft.com/office/spreadsheetml/2009/9/main" objectType="Drop" dropLines="3" dropStyle="combo" dx="16" fmlaLink="Regn!$H58" fmlaRange="EfterafgrbehNavn" noThreeD="1" val="0"/>
</file>

<file path=xl/ctrlProps/ctrlProp95.xml><?xml version="1.0" encoding="utf-8"?>
<formControlPr xmlns="http://schemas.microsoft.com/office/spreadsheetml/2009/9/main" objectType="Drop" dropLines="3" dropStyle="combo" dx="16" fmlaLink="Regn!$I58" fmlaRange="TorringNavn" noThreeD="1" val="0"/>
</file>

<file path=xl/ctrlProps/ctrlProp96.xml><?xml version="1.0" encoding="utf-8"?>
<formControlPr xmlns="http://schemas.microsoft.com/office/spreadsheetml/2009/9/main" objectType="Drop" dropStyle="combo" dx="16" fmlaLink="Regn!$B60" fmlaRange="Afgrnavn" noThreeD="1" val="0"/>
</file>

<file path=xl/ctrlProps/ctrlProp97.xml><?xml version="1.0" encoding="utf-8"?>
<formControlPr xmlns="http://schemas.microsoft.com/office/spreadsheetml/2009/9/main" objectType="Drop" dropStyle="combo" dx="16" fmlaLink="Regn!$C60" fmlaRange="Efgrnavn" noThreeD="1" val="0"/>
</file>

<file path=xl/ctrlProps/ctrlProp98.xml><?xml version="1.0" encoding="utf-8"?>
<formControlPr xmlns="http://schemas.microsoft.com/office/spreadsheetml/2009/9/main" objectType="Drop" dropStyle="combo" dx="16" fmlaLink="Regn!$E60" fmlaRange="Afgrnavn" noThreeD="1" val="0"/>
</file>

<file path=xl/ctrlProps/ctrlProp99.xml><?xml version="1.0" encoding="utf-8"?>
<formControlPr xmlns="http://schemas.microsoft.com/office/spreadsheetml/2009/9/main" objectType="Drop" dropStyle="combo" dx="16" fmlaLink="Regn!$G60" fmlaRange="Efgrnavn" noThreeD="1" val="0"/>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europa.eu/legislation_summaries/agriculture/general_framework/l60032_en.htm"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33</xdr:row>
          <xdr:rowOff>0</xdr:rowOff>
        </xdr:from>
        <xdr:to>
          <xdr:col>5</xdr:col>
          <xdr:colOff>257175</xdr:colOff>
          <xdr:row>34</xdr:row>
          <xdr:rowOff>9525</xdr:rowOff>
        </xdr:to>
        <xdr:sp macro="" textlink="">
          <xdr:nvSpPr>
            <xdr:cNvPr id="1025" name="Drop Down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0</xdr:rowOff>
        </xdr:from>
        <xdr:to>
          <xdr:col>9</xdr:col>
          <xdr:colOff>190500</xdr:colOff>
          <xdr:row>34</xdr:row>
          <xdr:rowOff>9525</xdr:rowOff>
        </xdr:to>
        <xdr:sp macro="" textlink="">
          <xdr:nvSpPr>
            <xdr:cNvPr id="1026" name="Drop Down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33</xdr:row>
          <xdr:rowOff>0</xdr:rowOff>
        </xdr:from>
        <xdr:to>
          <xdr:col>15</xdr:col>
          <xdr:colOff>190500</xdr:colOff>
          <xdr:row>34</xdr:row>
          <xdr:rowOff>9525</xdr:rowOff>
        </xdr:to>
        <xdr:sp macro="" textlink="">
          <xdr:nvSpPr>
            <xdr:cNvPr id="1027" name="Drop Down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33</xdr:row>
          <xdr:rowOff>0</xdr:rowOff>
        </xdr:from>
        <xdr:to>
          <xdr:col>19</xdr:col>
          <xdr:colOff>190500</xdr:colOff>
          <xdr:row>34</xdr:row>
          <xdr:rowOff>9525</xdr:rowOff>
        </xdr:to>
        <xdr:sp macro="" textlink="">
          <xdr:nvSpPr>
            <xdr:cNvPr id="1028" name="Drop Down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33</xdr:row>
          <xdr:rowOff>0</xdr:rowOff>
        </xdr:from>
        <xdr:to>
          <xdr:col>10</xdr:col>
          <xdr:colOff>342900</xdr:colOff>
          <xdr:row>34</xdr:row>
          <xdr:rowOff>28575</xdr:rowOff>
        </xdr:to>
        <xdr:sp macro="" textlink="">
          <xdr:nvSpPr>
            <xdr:cNvPr id="1031" name="Check Box 7"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33</xdr:row>
          <xdr:rowOff>0</xdr:rowOff>
        </xdr:from>
        <xdr:to>
          <xdr:col>23</xdr:col>
          <xdr:colOff>190500</xdr:colOff>
          <xdr:row>34</xdr:row>
          <xdr:rowOff>9525</xdr:rowOff>
        </xdr:to>
        <xdr:sp macro="" textlink="">
          <xdr:nvSpPr>
            <xdr:cNvPr id="1032" name="Drop Down 8" hidden="1">
              <a:extLst>
                <a:ext uri="{63B3BB69-23CF-44E3-9099-C40C66FF867C}">
                  <a14:compatExt spid="_x0000_s1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xdr:row>
          <xdr:rowOff>0</xdr:rowOff>
        </xdr:from>
        <xdr:to>
          <xdr:col>5</xdr:col>
          <xdr:colOff>190500</xdr:colOff>
          <xdr:row>30</xdr:row>
          <xdr:rowOff>9525</xdr:rowOff>
        </xdr:to>
        <xdr:sp macro="" textlink="">
          <xdr:nvSpPr>
            <xdr:cNvPr id="1033" name="Drop Down 9" hidden="1">
              <a:extLst>
                <a:ext uri="{63B3BB69-23CF-44E3-9099-C40C66FF867C}">
                  <a14:compatExt spid="_x0000_s1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0</xdr:rowOff>
        </xdr:from>
        <xdr:to>
          <xdr:col>9</xdr:col>
          <xdr:colOff>19050</xdr:colOff>
          <xdr:row>30</xdr:row>
          <xdr:rowOff>9525</xdr:rowOff>
        </xdr:to>
        <xdr:sp macro="" textlink="">
          <xdr:nvSpPr>
            <xdr:cNvPr id="1034" name="Drop Down 10" hidden="1">
              <a:extLst>
                <a:ext uri="{63B3BB69-23CF-44E3-9099-C40C66FF867C}">
                  <a14:compatExt spid="_x0000_s1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33</xdr:row>
          <xdr:rowOff>0</xdr:rowOff>
        </xdr:from>
        <xdr:to>
          <xdr:col>65</xdr:col>
          <xdr:colOff>19050</xdr:colOff>
          <xdr:row>34</xdr:row>
          <xdr:rowOff>9525</xdr:rowOff>
        </xdr:to>
        <xdr:sp macro="" textlink="">
          <xdr:nvSpPr>
            <xdr:cNvPr id="1036" name="Drop Down 12" hidden="1">
              <a:extLst>
                <a:ext uri="{63B3BB69-23CF-44E3-9099-C40C66FF867C}">
                  <a14:compatExt spid="_x0000_s1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33</xdr:row>
          <xdr:rowOff>0</xdr:rowOff>
        </xdr:from>
        <xdr:to>
          <xdr:col>111</xdr:col>
          <xdr:colOff>333375</xdr:colOff>
          <xdr:row>34</xdr:row>
          <xdr:rowOff>9525</xdr:rowOff>
        </xdr:to>
        <xdr:sp macro="" textlink="">
          <xdr:nvSpPr>
            <xdr:cNvPr id="1037" name="Drop Down 13" hidden="1">
              <a:extLst>
                <a:ext uri="{63B3BB69-23CF-44E3-9099-C40C66FF867C}">
                  <a14:compatExt spid="_x0000_s1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33</xdr:row>
          <xdr:rowOff>0</xdr:rowOff>
        </xdr:from>
        <xdr:to>
          <xdr:col>207</xdr:col>
          <xdr:colOff>161925</xdr:colOff>
          <xdr:row>34</xdr:row>
          <xdr:rowOff>9525</xdr:rowOff>
        </xdr:to>
        <xdr:sp macro="" textlink="">
          <xdr:nvSpPr>
            <xdr:cNvPr id="1038" name="Drop Down 14" hidden="1">
              <a:extLst>
                <a:ext uri="{63B3BB69-23CF-44E3-9099-C40C66FF867C}">
                  <a14:compatExt spid="_x0000_s1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51</xdr:row>
          <xdr:rowOff>0</xdr:rowOff>
        </xdr:from>
        <xdr:to>
          <xdr:col>5</xdr:col>
          <xdr:colOff>133350</xdr:colOff>
          <xdr:row>52</xdr:row>
          <xdr:rowOff>19050</xdr:rowOff>
        </xdr:to>
        <xdr:sp macro="" textlink="">
          <xdr:nvSpPr>
            <xdr:cNvPr id="1041" name="Drop Down 17" hidden="1">
              <a:extLst>
                <a:ext uri="{63B3BB69-23CF-44E3-9099-C40C66FF867C}">
                  <a14:compatExt spid="_x0000_s1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51</xdr:row>
          <xdr:rowOff>0</xdr:rowOff>
        </xdr:from>
        <xdr:to>
          <xdr:col>9</xdr:col>
          <xdr:colOff>9525</xdr:colOff>
          <xdr:row>52</xdr:row>
          <xdr:rowOff>9525</xdr:rowOff>
        </xdr:to>
        <xdr:sp macro="" textlink="">
          <xdr:nvSpPr>
            <xdr:cNvPr id="1042" name="Drop Down 18" hidden="1">
              <a:extLst>
                <a:ext uri="{63B3BB69-23CF-44E3-9099-C40C66FF867C}">
                  <a14:compatExt spid="_x0000_s1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xdr:row>
          <xdr:rowOff>0</xdr:rowOff>
        </xdr:from>
        <xdr:to>
          <xdr:col>19</xdr:col>
          <xdr:colOff>333375</xdr:colOff>
          <xdr:row>15</xdr:row>
          <xdr:rowOff>9525</xdr:rowOff>
        </xdr:to>
        <xdr:sp macro="" textlink="">
          <xdr:nvSpPr>
            <xdr:cNvPr id="1043" name="Drop Down 19" hidden="1">
              <a:extLst>
                <a:ext uri="{63B3BB69-23CF-44E3-9099-C40C66FF867C}">
                  <a14:compatExt spid="_x0000_s1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35</xdr:row>
          <xdr:rowOff>0</xdr:rowOff>
        </xdr:from>
        <xdr:to>
          <xdr:col>5</xdr:col>
          <xdr:colOff>257175</xdr:colOff>
          <xdr:row>36</xdr:row>
          <xdr:rowOff>9525</xdr:rowOff>
        </xdr:to>
        <xdr:sp macro="" textlink="">
          <xdr:nvSpPr>
            <xdr:cNvPr id="1046" name="Drop Down 22" hidden="1">
              <a:extLst>
                <a:ext uri="{63B3BB69-23CF-44E3-9099-C40C66FF867C}">
                  <a14:compatExt spid="_x0000_s1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0</xdr:rowOff>
        </xdr:from>
        <xdr:to>
          <xdr:col>9</xdr:col>
          <xdr:colOff>190500</xdr:colOff>
          <xdr:row>36</xdr:row>
          <xdr:rowOff>9525</xdr:rowOff>
        </xdr:to>
        <xdr:sp macro="" textlink="">
          <xdr:nvSpPr>
            <xdr:cNvPr id="1047" name="Drop Down 23" hidden="1">
              <a:extLst>
                <a:ext uri="{63B3BB69-23CF-44E3-9099-C40C66FF867C}">
                  <a14:compatExt spid="_x0000_s1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35</xdr:row>
          <xdr:rowOff>0</xdr:rowOff>
        </xdr:from>
        <xdr:to>
          <xdr:col>15</xdr:col>
          <xdr:colOff>190500</xdr:colOff>
          <xdr:row>36</xdr:row>
          <xdr:rowOff>9525</xdr:rowOff>
        </xdr:to>
        <xdr:sp macro="" textlink="">
          <xdr:nvSpPr>
            <xdr:cNvPr id="1048" name="Drop Down 24" hidden="1">
              <a:extLst>
                <a:ext uri="{63B3BB69-23CF-44E3-9099-C40C66FF867C}">
                  <a14:compatExt spid="_x0000_s1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35</xdr:row>
          <xdr:rowOff>0</xdr:rowOff>
        </xdr:from>
        <xdr:to>
          <xdr:col>19</xdr:col>
          <xdr:colOff>190500</xdr:colOff>
          <xdr:row>36</xdr:row>
          <xdr:rowOff>9525</xdr:rowOff>
        </xdr:to>
        <xdr:sp macro="" textlink="">
          <xdr:nvSpPr>
            <xdr:cNvPr id="1049" name="Drop Down 25" hidden="1">
              <a:extLst>
                <a:ext uri="{63B3BB69-23CF-44E3-9099-C40C66FF867C}">
                  <a14:compatExt spid="_x0000_s1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35</xdr:row>
          <xdr:rowOff>0</xdr:rowOff>
        </xdr:from>
        <xdr:to>
          <xdr:col>10</xdr:col>
          <xdr:colOff>342900</xdr:colOff>
          <xdr:row>36</xdr:row>
          <xdr:rowOff>28575</xdr:rowOff>
        </xdr:to>
        <xdr:sp macro="" textlink="">
          <xdr:nvSpPr>
            <xdr:cNvPr id="1050" name="Check Box 26" hidden="1">
              <a:extLst>
                <a:ext uri="{63B3BB69-23CF-44E3-9099-C40C66FF867C}">
                  <a14:compatExt spid="_x0000_s1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35</xdr:row>
          <xdr:rowOff>0</xdr:rowOff>
        </xdr:from>
        <xdr:to>
          <xdr:col>23</xdr:col>
          <xdr:colOff>190500</xdr:colOff>
          <xdr:row>36</xdr:row>
          <xdr:rowOff>9525</xdr:rowOff>
        </xdr:to>
        <xdr:sp macro="" textlink="">
          <xdr:nvSpPr>
            <xdr:cNvPr id="1051" name="Drop Down 27" hidden="1">
              <a:extLst>
                <a:ext uri="{63B3BB69-23CF-44E3-9099-C40C66FF867C}">
                  <a14:compatExt spid="_x0000_s1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35</xdr:row>
          <xdr:rowOff>0</xdr:rowOff>
        </xdr:from>
        <xdr:to>
          <xdr:col>65</xdr:col>
          <xdr:colOff>19050</xdr:colOff>
          <xdr:row>36</xdr:row>
          <xdr:rowOff>9525</xdr:rowOff>
        </xdr:to>
        <xdr:sp macro="" textlink="">
          <xdr:nvSpPr>
            <xdr:cNvPr id="1052" name="Drop Down 28" hidden="1">
              <a:extLst>
                <a:ext uri="{63B3BB69-23CF-44E3-9099-C40C66FF867C}">
                  <a14:compatExt spid="_x0000_s1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35</xdr:row>
          <xdr:rowOff>0</xdr:rowOff>
        </xdr:from>
        <xdr:to>
          <xdr:col>111</xdr:col>
          <xdr:colOff>333375</xdr:colOff>
          <xdr:row>36</xdr:row>
          <xdr:rowOff>9525</xdr:rowOff>
        </xdr:to>
        <xdr:sp macro="" textlink="">
          <xdr:nvSpPr>
            <xdr:cNvPr id="1053" name="Drop Down 29" hidden="1">
              <a:extLst>
                <a:ext uri="{63B3BB69-23CF-44E3-9099-C40C66FF867C}">
                  <a14:compatExt spid="_x0000_s1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35</xdr:row>
          <xdr:rowOff>0</xdr:rowOff>
        </xdr:from>
        <xdr:to>
          <xdr:col>207</xdr:col>
          <xdr:colOff>161925</xdr:colOff>
          <xdr:row>36</xdr:row>
          <xdr:rowOff>9525</xdr:rowOff>
        </xdr:to>
        <xdr:sp macro="" textlink="">
          <xdr:nvSpPr>
            <xdr:cNvPr id="1054" name="Drop Down 30" hidden="1">
              <a:extLst>
                <a:ext uri="{63B3BB69-23CF-44E3-9099-C40C66FF867C}">
                  <a14:compatExt spid="_x0000_s1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37</xdr:row>
          <xdr:rowOff>0</xdr:rowOff>
        </xdr:from>
        <xdr:to>
          <xdr:col>5</xdr:col>
          <xdr:colOff>257175</xdr:colOff>
          <xdr:row>38</xdr:row>
          <xdr:rowOff>9525</xdr:rowOff>
        </xdr:to>
        <xdr:sp macro="" textlink="">
          <xdr:nvSpPr>
            <xdr:cNvPr id="1055" name="Drop Down 31" hidden="1">
              <a:extLst>
                <a:ext uri="{63B3BB69-23CF-44E3-9099-C40C66FF867C}">
                  <a14:compatExt spid="_x0000_s1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0</xdr:rowOff>
        </xdr:from>
        <xdr:to>
          <xdr:col>9</xdr:col>
          <xdr:colOff>190500</xdr:colOff>
          <xdr:row>38</xdr:row>
          <xdr:rowOff>9525</xdr:rowOff>
        </xdr:to>
        <xdr:sp macro="" textlink="">
          <xdr:nvSpPr>
            <xdr:cNvPr id="1056" name="Drop Down 32" hidden="1">
              <a:extLst>
                <a:ext uri="{63B3BB69-23CF-44E3-9099-C40C66FF867C}">
                  <a14:compatExt spid="_x0000_s1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37</xdr:row>
          <xdr:rowOff>0</xdr:rowOff>
        </xdr:from>
        <xdr:to>
          <xdr:col>15</xdr:col>
          <xdr:colOff>190500</xdr:colOff>
          <xdr:row>38</xdr:row>
          <xdr:rowOff>9525</xdr:rowOff>
        </xdr:to>
        <xdr:sp macro="" textlink="">
          <xdr:nvSpPr>
            <xdr:cNvPr id="1057" name="Drop Down 33" hidden="1">
              <a:extLst>
                <a:ext uri="{63B3BB69-23CF-44E3-9099-C40C66FF867C}">
                  <a14:compatExt spid="_x0000_s1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37</xdr:row>
          <xdr:rowOff>0</xdr:rowOff>
        </xdr:from>
        <xdr:to>
          <xdr:col>19</xdr:col>
          <xdr:colOff>190500</xdr:colOff>
          <xdr:row>38</xdr:row>
          <xdr:rowOff>9525</xdr:rowOff>
        </xdr:to>
        <xdr:sp macro="" textlink="">
          <xdr:nvSpPr>
            <xdr:cNvPr id="1058" name="Drop Down 34" hidden="1">
              <a:extLst>
                <a:ext uri="{63B3BB69-23CF-44E3-9099-C40C66FF867C}">
                  <a14:compatExt spid="_x0000_s1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37</xdr:row>
          <xdr:rowOff>0</xdr:rowOff>
        </xdr:from>
        <xdr:to>
          <xdr:col>10</xdr:col>
          <xdr:colOff>342900</xdr:colOff>
          <xdr:row>38</xdr:row>
          <xdr:rowOff>28575</xdr:rowOff>
        </xdr:to>
        <xdr:sp macro="" textlink="">
          <xdr:nvSpPr>
            <xdr:cNvPr id="1059" name="Check Box 35" hidden="1">
              <a:extLst>
                <a:ext uri="{63B3BB69-23CF-44E3-9099-C40C66FF867C}">
                  <a14:compatExt spid="_x0000_s1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37</xdr:row>
          <xdr:rowOff>0</xdr:rowOff>
        </xdr:from>
        <xdr:to>
          <xdr:col>23</xdr:col>
          <xdr:colOff>190500</xdr:colOff>
          <xdr:row>38</xdr:row>
          <xdr:rowOff>9525</xdr:rowOff>
        </xdr:to>
        <xdr:sp macro="" textlink="">
          <xdr:nvSpPr>
            <xdr:cNvPr id="1060" name="Drop Down 36" hidden="1">
              <a:extLst>
                <a:ext uri="{63B3BB69-23CF-44E3-9099-C40C66FF867C}">
                  <a14:compatExt spid="_x0000_s1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37</xdr:row>
          <xdr:rowOff>0</xdr:rowOff>
        </xdr:from>
        <xdr:to>
          <xdr:col>65</xdr:col>
          <xdr:colOff>19050</xdr:colOff>
          <xdr:row>38</xdr:row>
          <xdr:rowOff>9525</xdr:rowOff>
        </xdr:to>
        <xdr:sp macro="" textlink="">
          <xdr:nvSpPr>
            <xdr:cNvPr id="1061" name="Drop Down 37" hidden="1">
              <a:extLst>
                <a:ext uri="{63B3BB69-23CF-44E3-9099-C40C66FF867C}">
                  <a14:compatExt spid="_x0000_s1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37</xdr:row>
          <xdr:rowOff>0</xdr:rowOff>
        </xdr:from>
        <xdr:to>
          <xdr:col>111</xdr:col>
          <xdr:colOff>333375</xdr:colOff>
          <xdr:row>38</xdr:row>
          <xdr:rowOff>9525</xdr:rowOff>
        </xdr:to>
        <xdr:sp macro="" textlink="">
          <xdr:nvSpPr>
            <xdr:cNvPr id="1062" name="Drop Down 38" hidden="1">
              <a:extLst>
                <a:ext uri="{63B3BB69-23CF-44E3-9099-C40C66FF867C}">
                  <a14:compatExt spid="_x0000_s1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37</xdr:row>
          <xdr:rowOff>0</xdr:rowOff>
        </xdr:from>
        <xdr:to>
          <xdr:col>207</xdr:col>
          <xdr:colOff>161925</xdr:colOff>
          <xdr:row>38</xdr:row>
          <xdr:rowOff>9525</xdr:rowOff>
        </xdr:to>
        <xdr:sp macro="" textlink="">
          <xdr:nvSpPr>
            <xdr:cNvPr id="1063" name="Drop Down 39" hidden="1">
              <a:extLst>
                <a:ext uri="{63B3BB69-23CF-44E3-9099-C40C66FF867C}">
                  <a14:compatExt spid="_x0000_s1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39</xdr:row>
          <xdr:rowOff>0</xdr:rowOff>
        </xdr:from>
        <xdr:to>
          <xdr:col>5</xdr:col>
          <xdr:colOff>257175</xdr:colOff>
          <xdr:row>40</xdr:row>
          <xdr:rowOff>9525</xdr:rowOff>
        </xdr:to>
        <xdr:sp macro="" textlink="">
          <xdr:nvSpPr>
            <xdr:cNvPr id="1064" name="Drop Down 40" hidden="1">
              <a:extLst>
                <a:ext uri="{63B3BB69-23CF-44E3-9099-C40C66FF867C}">
                  <a14:compatExt spid="_x0000_s1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0</xdr:rowOff>
        </xdr:from>
        <xdr:to>
          <xdr:col>9</xdr:col>
          <xdr:colOff>190500</xdr:colOff>
          <xdr:row>40</xdr:row>
          <xdr:rowOff>9525</xdr:rowOff>
        </xdr:to>
        <xdr:sp macro="" textlink="">
          <xdr:nvSpPr>
            <xdr:cNvPr id="1065" name="Drop Down 41" hidden="1">
              <a:extLst>
                <a:ext uri="{63B3BB69-23CF-44E3-9099-C40C66FF867C}">
                  <a14:compatExt spid="_x0000_s1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39</xdr:row>
          <xdr:rowOff>0</xdr:rowOff>
        </xdr:from>
        <xdr:to>
          <xdr:col>15</xdr:col>
          <xdr:colOff>190500</xdr:colOff>
          <xdr:row>40</xdr:row>
          <xdr:rowOff>9525</xdr:rowOff>
        </xdr:to>
        <xdr:sp macro="" textlink="">
          <xdr:nvSpPr>
            <xdr:cNvPr id="1066" name="Drop Down 42" hidden="1">
              <a:extLst>
                <a:ext uri="{63B3BB69-23CF-44E3-9099-C40C66FF867C}">
                  <a14:compatExt spid="_x0000_s1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39</xdr:row>
          <xdr:rowOff>0</xdr:rowOff>
        </xdr:from>
        <xdr:to>
          <xdr:col>19</xdr:col>
          <xdr:colOff>190500</xdr:colOff>
          <xdr:row>40</xdr:row>
          <xdr:rowOff>9525</xdr:rowOff>
        </xdr:to>
        <xdr:sp macro="" textlink="">
          <xdr:nvSpPr>
            <xdr:cNvPr id="1067" name="Drop Down 43" hidden="1">
              <a:extLst>
                <a:ext uri="{63B3BB69-23CF-44E3-9099-C40C66FF867C}">
                  <a14:compatExt spid="_x0000_s1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39</xdr:row>
          <xdr:rowOff>0</xdr:rowOff>
        </xdr:from>
        <xdr:to>
          <xdr:col>10</xdr:col>
          <xdr:colOff>342900</xdr:colOff>
          <xdr:row>40</xdr:row>
          <xdr:rowOff>28575</xdr:rowOff>
        </xdr:to>
        <xdr:sp macro="" textlink="">
          <xdr:nvSpPr>
            <xdr:cNvPr id="1068" name="Check Box 44" hidden="1">
              <a:extLst>
                <a:ext uri="{63B3BB69-23CF-44E3-9099-C40C66FF867C}">
                  <a14:compatExt spid="_x0000_s1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39</xdr:row>
          <xdr:rowOff>0</xdr:rowOff>
        </xdr:from>
        <xdr:to>
          <xdr:col>23</xdr:col>
          <xdr:colOff>190500</xdr:colOff>
          <xdr:row>40</xdr:row>
          <xdr:rowOff>9525</xdr:rowOff>
        </xdr:to>
        <xdr:sp macro="" textlink="">
          <xdr:nvSpPr>
            <xdr:cNvPr id="1069" name="Drop Down 45" hidden="1">
              <a:extLst>
                <a:ext uri="{63B3BB69-23CF-44E3-9099-C40C66FF867C}">
                  <a14:compatExt spid="_x0000_s1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39</xdr:row>
          <xdr:rowOff>0</xdr:rowOff>
        </xdr:from>
        <xdr:to>
          <xdr:col>65</xdr:col>
          <xdr:colOff>19050</xdr:colOff>
          <xdr:row>40</xdr:row>
          <xdr:rowOff>9525</xdr:rowOff>
        </xdr:to>
        <xdr:sp macro="" textlink="">
          <xdr:nvSpPr>
            <xdr:cNvPr id="1070" name="Drop Down 46" hidden="1">
              <a:extLst>
                <a:ext uri="{63B3BB69-23CF-44E3-9099-C40C66FF867C}">
                  <a14:compatExt spid="_x0000_s1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39</xdr:row>
          <xdr:rowOff>0</xdr:rowOff>
        </xdr:from>
        <xdr:to>
          <xdr:col>111</xdr:col>
          <xdr:colOff>333375</xdr:colOff>
          <xdr:row>40</xdr:row>
          <xdr:rowOff>9525</xdr:rowOff>
        </xdr:to>
        <xdr:sp macro="" textlink="">
          <xdr:nvSpPr>
            <xdr:cNvPr id="1071" name="Drop Down 47" hidden="1">
              <a:extLst>
                <a:ext uri="{63B3BB69-23CF-44E3-9099-C40C66FF867C}">
                  <a14:compatExt spid="_x0000_s1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39</xdr:row>
          <xdr:rowOff>0</xdr:rowOff>
        </xdr:from>
        <xdr:to>
          <xdr:col>207</xdr:col>
          <xdr:colOff>161925</xdr:colOff>
          <xdr:row>40</xdr:row>
          <xdr:rowOff>9525</xdr:rowOff>
        </xdr:to>
        <xdr:sp macro="" textlink="">
          <xdr:nvSpPr>
            <xdr:cNvPr id="1072" name="Drop Down 48" hidden="1">
              <a:extLst>
                <a:ext uri="{63B3BB69-23CF-44E3-9099-C40C66FF867C}">
                  <a14:compatExt spid="_x0000_s1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41</xdr:row>
          <xdr:rowOff>0</xdr:rowOff>
        </xdr:from>
        <xdr:to>
          <xdr:col>5</xdr:col>
          <xdr:colOff>257175</xdr:colOff>
          <xdr:row>42</xdr:row>
          <xdr:rowOff>9525</xdr:rowOff>
        </xdr:to>
        <xdr:sp macro="" textlink="">
          <xdr:nvSpPr>
            <xdr:cNvPr id="1073" name="Drop Down 49" hidden="1">
              <a:extLst>
                <a:ext uri="{63B3BB69-23CF-44E3-9099-C40C66FF867C}">
                  <a14:compatExt spid="_x0000_s1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0</xdr:rowOff>
        </xdr:from>
        <xdr:to>
          <xdr:col>9</xdr:col>
          <xdr:colOff>190500</xdr:colOff>
          <xdr:row>42</xdr:row>
          <xdr:rowOff>9525</xdr:rowOff>
        </xdr:to>
        <xdr:sp macro="" textlink="">
          <xdr:nvSpPr>
            <xdr:cNvPr id="1074" name="Drop Down 50" hidden="1">
              <a:extLst>
                <a:ext uri="{63B3BB69-23CF-44E3-9099-C40C66FF867C}">
                  <a14:compatExt spid="_x0000_s1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41</xdr:row>
          <xdr:rowOff>0</xdr:rowOff>
        </xdr:from>
        <xdr:to>
          <xdr:col>15</xdr:col>
          <xdr:colOff>190500</xdr:colOff>
          <xdr:row>42</xdr:row>
          <xdr:rowOff>9525</xdr:rowOff>
        </xdr:to>
        <xdr:sp macro="" textlink="">
          <xdr:nvSpPr>
            <xdr:cNvPr id="1075" name="Drop Down 51" hidden="1">
              <a:extLst>
                <a:ext uri="{63B3BB69-23CF-44E3-9099-C40C66FF867C}">
                  <a14:compatExt spid="_x0000_s1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41</xdr:row>
          <xdr:rowOff>0</xdr:rowOff>
        </xdr:from>
        <xdr:to>
          <xdr:col>19</xdr:col>
          <xdr:colOff>190500</xdr:colOff>
          <xdr:row>42</xdr:row>
          <xdr:rowOff>9525</xdr:rowOff>
        </xdr:to>
        <xdr:sp macro="" textlink="">
          <xdr:nvSpPr>
            <xdr:cNvPr id="1076" name="Drop Down 52" hidden="1">
              <a:extLst>
                <a:ext uri="{63B3BB69-23CF-44E3-9099-C40C66FF867C}">
                  <a14:compatExt spid="_x0000_s1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41</xdr:row>
          <xdr:rowOff>0</xdr:rowOff>
        </xdr:from>
        <xdr:to>
          <xdr:col>10</xdr:col>
          <xdr:colOff>342900</xdr:colOff>
          <xdr:row>42</xdr:row>
          <xdr:rowOff>28575</xdr:rowOff>
        </xdr:to>
        <xdr:sp macro="" textlink="">
          <xdr:nvSpPr>
            <xdr:cNvPr id="1077" name="Check Box 53" hidden="1">
              <a:extLst>
                <a:ext uri="{63B3BB69-23CF-44E3-9099-C40C66FF867C}">
                  <a14:compatExt spid="_x0000_s1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41</xdr:row>
          <xdr:rowOff>0</xdr:rowOff>
        </xdr:from>
        <xdr:to>
          <xdr:col>23</xdr:col>
          <xdr:colOff>190500</xdr:colOff>
          <xdr:row>42</xdr:row>
          <xdr:rowOff>9525</xdr:rowOff>
        </xdr:to>
        <xdr:sp macro="" textlink="">
          <xdr:nvSpPr>
            <xdr:cNvPr id="1078" name="Drop Down 54" hidden="1">
              <a:extLst>
                <a:ext uri="{63B3BB69-23CF-44E3-9099-C40C66FF867C}">
                  <a14:compatExt spid="_x0000_s1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41</xdr:row>
          <xdr:rowOff>0</xdr:rowOff>
        </xdr:from>
        <xdr:to>
          <xdr:col>65</xdr:col>
          <xdr:colOff>19050</xdr:colOff>
          <xdr:row>42</xdr:row>
          <xdr:rowOff>9525</xdr:rowOff>
        </xdr:to>
        <xdr:sp macro="" textlink="">
          <xdr:nvSpPr>
            <xdr:cNvPr id="1079" name="Drop Down 55" hidden="1">
              <a:extLst>
                <a:ext uri="{63B3BB69-23CF-44E3-9099-C40C66FF867C}">
                  <a14:compatExt spid="_x0000_s1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41</xdr:row>
          <xdr:rowOff>0</xdr:rowOff>
        </xdr:from>
        <xdr:to>
          <xdr:col>111</xdr:col>
          <xdr:colOff>333375</xdr:colOff>
          <xdr:row>42</xdr:row>
          <xdr:rowOff>9525</xdr:rowOff>
        </xdr:to>
        <xdr:sp macro="" textlink="">
          <xdr:nvSpPr>
            <xdr:cNvPr id="1080" name="Drop Down 56" hidden="1">
              <a:extLst>
                <a:ext uri="{63B3BB69-23CF-44E3-9099-C40C66FF867C}">
                  <a14:compatExt spid="_x0000_s1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41</xdr:row>
          <xdr:rowOff>0</xdr:rowOff>
        </xdr:from>
        <xdr:to>
          <xdr:col>207</xdr:col>
          <xdr:colOff>161925</xdr:colOff>
          <xdr:row>42</xdr:row>
          <xdr:rowOff>9525</xdr:rowOff>
        </xdr:to>
        <xdr:sp macro="" textlink="">
          <xdr:nvSpPr>
            <xdr:cNvPr id="1081" name="Drop Down 57" hidden="1">
              <a:extLst>
                <a:ext uri="{63B3BB69-23CF-44E3-9099-C40C66FF867C}">
                  <a14:compatExt spid="_x0000_s1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43</xdr:row>
          <xdr:rowOff>0</xdr:rowOff>
        </xdr:from>
        <xdr:to>
          <xdr:col>5</xdr:col>
          <xdr:colOff>257175</xdr:colOff>
          <xdr:row>44</xdr:row>
          <xdr:rowOff>9525</xdr:rowOff>
        </xdr:to>
        <xdr:sp macro="" textlink="">
          <xdr:nvSpPr>
            <xdr:cNvPr id="1082" name="Drop Down 58" hidden="1">
              <a:extLst>
                <a:ext uri="{63B3BB69-23CF-44E3-9099-C40C66FF867C}">
                  <a14:compatExt spid="_x0000_s1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0</xdr:rowOff>
        </xdr:from>
        <xdr:to>
          <xdr:col>9</xdr:col>
          <xdr:colOff>190500</xdr:colOff>
          <xdr:row>44</xdr:row>
          <xdr:rowOff>9525</xdr:rowOff>
        </xdr:to>
        <xdr:sp macro="" textlink="">
          <xdr:nvSpPr>
            <xdr:cNvPr id="1083" name="Drop Down 59" hidden="1">
              <a:extLst>
                <a:ext uri="{63B3BB69-23CF-44E3-9099-C40C66FF867C}">
                  <a14:compatExt spid="_x0000_s1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43</xdr:row>
          <xdr:rowOff>0</xdr:rowOff>
        </xdr:from>
        <xdr:to>
          <xdr:col>15</xdr:col>
          <xdr:colOff>190500</xdr:colOff>
          <xdr:row>44</xdr:row>
          <xdr:rowOff>9525</xdr:rowOff>
        </xdr:to>
        <xdr:sp macro="" textlink="">
          <xdr:nvSpPr>
            <xdr:cNvPr id="1084" name="Drop Down 60" hidden="1">
              <a:extLst>
                <a:ext uri="{63B3BB69-23CF-44E3-9099-C40C66FF867C}">
                  <a14:compatExt spid="_x0000_s1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43</xdr:row>
          <xdr:rowOff>0</xdr:rowOff>
        </xdr:from>
        <xdr:to>
          <xdr:col>19</xdr:col>
          <xdr:colOff>190500</xdr:colOff>
          <xdr:row>44</xdr:row>
          <xdr:rowOff>9525</xdr:rowOff>
        </xdr:to>
        <xdr:sp macro="" textlink="">
          <xdr:nvSpPr>
            <xdr:cNvPr id="1085" name="Drop Down 61" hidden="1">
              <a:extLst>
                <a:ext uri="{63B3BB69-23CF-44E3-9099-C40C66FF867C}">
                  <a14:compatExt spid="_x0000_s1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43</xdr:row>
          <xdr:rowOff>0</xdr:rowOff>
        </xdr:from>
        <xdr:to>
          <xdr:col>10</xdr:col>
          <xdr:colOff>342900</xdr:colOff>
          <xdr:row>44</xdr:row>
          <xdr:rowOff>28575</xdr:rowOff>
        </xdr:to>
        <xdr:sp macro="" textlink="">
          <xdr:nvSpPr>
            <xdr:cNvPr id="1086" name="Check Box 62" hidden="1">
              <a:extLst>
                <a:ext uri="{63B3BB69-23CF-44E3-9099-C40C66FF867C}">
                  <a14:compatExt spid="_x0000_s1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43</xdr:row>
          <xdr:rowOff>0</xdr:rowOff>
        </xdr:from>
        <xdr:to>
          <xdr:col>23</xdr:col>
          <xdr:colOff>190500</xdr:colOff>
          <xdr:row>44</xdr:row>
          <xdr:rowOff>9525</xdr:rowOff>
        </xdr:to>
        <xdr:sp macro="" textlink="">
          <xdr:nvSpPr>
            <xdr:cNvPr id="1087" name="Drop Down 63" hidden="1">
              <a:extLst>
                <a:ext uri="{63B3BB69-23CF-44E3-9099-C40C66FF867C}">
                  <a14:compatExt spid="_x0000_s1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43</xdr:row>
          <xdr:rowOff>0</xdr:rowOff>
        </xdr:from>
        <xdr:to>
          <xdr:col>65</xdr:col>
          <xdr:colOff>19050</xdr:colOff>
          <xdr:row>44</xdr:row>
          <xdr:rowOff>9525</xdr:rowOff>
        </xdr:to>
        <xdr:sp macro="" textlink="">
          <xdr:nvSpPr>
            <xdr:cNvPr id="1088" name="Drop Down 64" hidden="1">
              <a:extLst>
                <a:ext uri="{63B3BB69-23CF-44E3-9099-C40C66FF867C}">
                  <a14:compatExt spid="_x0000_s1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43</xdr:row>
          <xdr:rowOff>0</xdr:rowOff>
        </xdr:from>
        <xdr:to>
          <xdr:col>111</xdr:col>
          <xdr:colOff>333375</xdr:colOff>
          <xdr:row>44</xdr:row>
          <xdr:rowOff>9525</xdr:rowOff>
        </xdr:to>
        <xdr:sp macro="" textlink="">
          <xdr:nvSpPr>
            <xdr:cNvPr id="1089" name="Drop Down 65" hidden="1">
              <a:extLst>
                <a:ext uri="{63B3BB69-23CF-44E3-9099-C40C66FF867C}">
                  <a14:compatExt spid="_x0000_s1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43</xdr:row>
          <xdr:rowOff>0</xdr:rowOff>
        </xdr:from>
        <xdr:to>
          <xdr:col>207</xdr:col>
          <xdr:colOff>161925</xdr:colOff>
          <xdr:row>44</xdr:row>
          <xdr:rowOff>9525</xdr:rowOff>
        </xdr:to>
        <xdr:sp macro="" textlink="">
          <xdr:nvSpPr>
            <xdr:cNvPr id="1090" name="Drop Down 66" hidden="1">
              <a:extLst>
                <a:ext uri="{63B3BB69-23CF-44E3-9099-C40C66FF867C}">
                  <a14:compatExt spid="_x0000_s1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45</xdr:row>
          <xdr:rowOff>0</xdr:rowOff>
        </xdr:from>
        <xdr:to>
          <xdr:col>5</xdr:col>
          <xdr:colOff>257175</xdr:colOff>
          <xdr:row>46</xdr:row>
          <xdr:rowOff>9525</xdr:rowOff>
        </xdr:to>
        <xdr:sp macro="" textlink="">
          <xdr:nvSpPr>
            <xdr:cNvPr id="1091" name="Drop Down 67" hidden="1">
              <a:extLst>
                <a:ext uri="{63B3BB69-23CF-44E3-9099-C40C66FF867C}">
                  <a14:compatExt spid="_x0000_s1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45</xdr:row>
          <xdr:rowOff>0</xdr:rowOff>
        </xdr:from>
        <xdr:to>
          <xdr:col>9</xdr:col>
          <xdr:colOff>190500</xdr:colOff>
          <xdr:row>46</xdr:row>
          <xdr:rowOff>9525</xdr:rowOff>
        </xdr:to>
        <xdr:sp macro="" textlink="">
          <xdr:nvSpPr>
            <xdr:cNvPr id="1092" name="Drop Down 68" hidden="1">
              <a:extLst>
                <a:ext uri="{63B3BB69-23CF-44E3-9099-C40C66FF867C}">
                  <a14:compatExt spid="_x0000_s1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45</xdr:row>
          <xdr:rowOff>0</xdr:rowOff>
        </xdr:from>
        <xdr:to>
          <xdr:col>15</xdr:col>
          <xdr:colOff>190500</xdr:colOff>
          <xdr:row>46</xdr:row>
          <xdr:rowOff>9525</xdr:rowOff>
        </xdr:to>
        <xdr:sp macro="" textlink="">
          <xdr:nvSpPr>
            <xdr:cNvPr id="1093" name="Drop Down 69" hidden="1">
              <a:extLst>
                <a:ext uri="{63B3BB69-23CF-44E3-9099-C40C66FF867C}">
                  <a14:compatExt spid="_x0000_s1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45</xdr:row>
          <xdr:rowOff>0</xdr:rowOff>
        </xdr:from>
        <xdr:to>
          <xdr:col>19</xdr:col>
          <xdr:colOff>190500</xdr:colOff>
          <xdr:row>46</xdr:row>
          <xdr:rowOff>9525</xdr:rowOff>
        </xdr:to>
        <xdr:sp macro="" textlink="">
          <xdr:nvSpPr>
            <xdr:cNvPr id="1094" name="Drop Down 70" hidden="1">
              <a:extLst>
                <a:ext uri="{63B3BB69-23CF-44E3-9099-C40C66FF867C}">
                  <a14:compatExt spid="_x0000_s1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45</xdr:row>
          <xdr:rowOff>0</xdr:rowOff>
        </xdr:from>
        <xdr:to>
          <xdr:col>10</xdr:col>
          <xdr:colOff>342900</xdr:colOff>
          <xdr:row>46</xdr:row>
          <xdr:rowOff>28575</xdr:rowOff>
        </xdr:to>
        <xdr:sp macro="" textlink="">
          <xdr:nvSpPr>
            <xdr:cNvPr id="1095" name="Check Box 71" hidden="1">
              <a:extLst>
                <a:ext uri="{63B3BB69-23CF-44E3-9099-C40C66FF867C}">
                  <a14:compatExt spid="_x0000_s1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45</xdr:row>
          <xdr:rowOff>0</xdr:rowOff>
        </xdr:from>
        <xdr:to>
          <xdr:col>23</xdr:col>
          <xdr:colOff>190500</xdr:colOff>
          <xdr:row>46</xdr:row>
          <xdr:rowOff>9525</xdr:rowOff>
        </xdr:to>
        <xdr:sp macro="" textlink="">
          <xdr:nvSpPr>
            <xdr:cNvPr id="1096" name="Drop Down 72" hidden="1">
              <a:extLst>
                <a:ext uri="{63B3BB69-23CF-44E3-9099-C40C66FF867C}">
                  <a14:compatExt spid="_x0000_s1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45</xdr:row>
          <xdr:rowOff>0</xdr:rowOff>
        </xdr:from>
        <xdr:to>
          <xdr:col>65</xdr:col>
          <xdr:colOff>19050</xdr:colOff>
          <xdr:row>46</xdr:row>
          <xdr:rowOff>9525</xdr:rowOff>
        </xdr:to>
        <xdr:sp macro="" textlink="">
          <xdr:nvSpPr>
            <xdr:cNvPr id="1097" name="Drop Down 73" hidden="1">
              <a:extLst>
                <a:ext uri="{63B3BB69-23CF-44E3-9099-C40C66FF867C}">
                  <a14:compatExt spid="_x0000_s1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45</xdr:row>
          <xdr:rowOff>0</xdr:rowOff>
        </xdr:from>
        <xdr:to>
          <xdr:col>111</xdr:col>
          <xdr:colOff>333375</xdr:colOff>
          <xdr:row>46</xdr:row>
          <xdr:rowOff>9525</xdr:rowOff>
        </xdr:to>
        <xdr:sp macro="" textlink="">
          <xdr:nvSpPr>
            <xdr:cNvPr id="1098" name="Drop Down 74" hidden="1">
              <a:extLst>
                <a:ext uri="{63B3BB69-23CF-44E3-9099-C40C66FF867C}">
                  <a14:compatExt spid="_x0000_s1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45</xdr:row>
          <xdr:rowOff>0</xdr:rowOff>
        </xdr:from>
        <xdr:to>
          <xdr:col>207</xdr:col>
          <xdr:colOff>161925</xdr:colOff>
          <xdr:row>46</xdr:row>
          <xdr:rowOff>9525</xdr:rowOff>
        </xdr:to>
        <xdr:sp macro="" textlink="">
          <xdr:nvSpPr>
            <xdr:cNvPr id="1099" name="Drop Down 75" hidden="1">
              <a:extLst>
                <a:ext uri="{63B3BB69-23CF-44E3-9099-C40C66FF867C}">
                  <a14:compatExt spid="_x0000_s1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47</xdr:row>
          <xdr:rowOff>0</xdr:rowOff>
        </xdr:from>
        <xdr:to>
          <xdr:col>5</xdr:col>
          <xdr:colOff>257175</xdr:colOff>
          <xdr:row>48</xdr:row>
          <xdr:rowOff>9525</xdr:rowOff>
        </xdr:to>
        <xdr:sp macro="" textlink="">
          <xdr:nvSpPr>
            <xdr:cNvPr id="1100" name="Drop Down 76" hidden="1">
              <a:extLst>
                <a:ext uri="{63B3BB69-23CF-44E3-9099-C40C66FF867C}">
                  <a14:compatExt spid="_x0000_s1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47</xdr:row>
          <xdr:rowOff>0</xdr:rowOff>
        </xdr:from>
        <xdr:to>
          <xdr:col>9</xdr:col>
          <xdr:colOff>190500</xdr:colOff>
          <xdr:row>48</xdr:row>
          <xdr:rowOff>9525</xdr:rowOff>
        </xdr:to>
        <xdr:sp macro="" textlink="">
          <xdr:nvSpPr>
            <xdr:cNvPr id="1101" name="Drop Down 77" hidden="1">
              <a:extLst>
                <a:ext uri="{63B3BB69-23CF-44E3-9099-C40C66FF867C}">
                  <a14:compatExt spid="_x0000_s1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47</xdr:row>
          <xdr:rowOff>0</xdr:rowOff>
        </xdr:from>
        <xdr:to>
          <xdr:col>15</xdr:col>
          <xdr:colOff>190500</xdr:colOff>
          <xdr:row>48</xdr:row>
          <xdr:rowOff>9525</xdr:rowOff>
        </xdr:to>
        <xdr:sp macro="" textlink="">
          <xdr:nvSpPr>
            <xdr:cNvPr id="1102" name="Drop Down 78" hidden="1">
              <a:extLst>
                <a:ext uri="{63B3BB69-23CF-44E3-9099-C40C66FF867C}">
                  <a14:compatExt spid="_x0000_s1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47</xdr:row>
          <xdr:rowOff>0</xdr:rowOff>
        </xdr:from>
        <xdr:to>
          <xdr:col>19</xdr:col>
          <xdr:colOff>190500</xdr:colOff>
          <xdr:row>48</xdr:row>
          <xdr:rowOff>9525</xdr:rowOff>
        </xdr:to>
        <xdr:sp macro="" textlink="">
          <xdr:nvSpPr>
            <xdr:cNvPr id="1103" name="Drop Down 79" hidden="1">
              <a:extLst>
                <a:ext uri="{63B3BB69-23CF-44E3-9099-C40C66FF867C}">
                  <a14:compatExt spid="_x0000_s1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47</xdr:row>
          <xdr:rowOff>0</xdr:rowOff>
        </xdr:from>
        <xdr:to>
          <xdr:col>10</xdr:col>
          <xdr:colOff>342900</xdr:colOff>
          <xdr:row>48</xdr:row>
          <xdr:rowOff>28575</xdr:rowOff>
        </xdr:to>
        <xdr:sp macro="" textlink="">
          <xdr:nvSpPr>
            <xdr:cNvPr id="1104" name="Check Box 80" hidden="1">
              <a:extLst>
                <a:ext uri="{63B3BB69-23CF-44E3-9099-C40C66FF867C}">
                  <a14:compatExt spid="_x0000_s1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47</xdr:row>
          <xdr:rowOff>0</xdr:rowOff>
        </xdr:from>
        <xdr:to>
          <xdr:col>23</xdr:col>
          <xdr:colOff>190500</xdr:colOff>
          <xdr:row>48</xdr:row>
          <xdr:rowOff>9525</xdr:rowOff>
        </xdr:to>
        <xdr:sp macro="" textlink="">
          <xdr:nvSpPr>
            <xdr:cNvPr id="1105" name="Drop Down 81" hidden="1">
              <a:extLst>
                <a:ext uri="{63B3BB69-23CF-44E3-9099-C40C66FF867C}">
                  <a14:compatExt spid="_x0000_s1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47</xdr:row>
          <xdr:rowOff>0</xdr:rowOff>
        </xdr:from>
        <xdr:to>
          <xdr:col>65</xdr:col>
          <xdr:colOff>19050</xdr:colOff>
          <xdr:row>48</xdr:row>
          <xdr:rowOff>9525</xdr:rowOff>
        </xdr:to>
        <xdr:sp macro="" textlink="">
          <xdr:nvSpPr>
            <xdr:cNvPr id="1106" name="Drop Down 82" hidden="1">
              <a:extLst>
                <a:ext uri="{63B3BB69-23CF-44E3-9099-C40C66FF867C}">
                  <a14:compatExt spid="_x0000_s1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47</xdr:row>
          <xdr:rowOff>0</xdr:rowOff>
        </xdr:from>
        <xdr:to>
          <xdr:col>111</xdr:col>
          <xdr:colOff>333375</xdr:colOff>
          <xdr:row>48</xdr:row>
          <xdr:rowOff>9525</xdr:rowOff>
        </xdr:to>
        <xdr:sp macro="" textlink="">
          <xdr:nvSpPr>
            <xdr:cNvPr id="1107" name="Drop Down 83" hidden="1">
              <a:extLst>
                <a:ext uri="{63B3BB69-23CF-44E3-9099-C40C66FF867C}">
                  <a14:compatExt spid="_x0000_s1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47</xdr:row>
          <xdr:rowOff>0</xdr:rowOff>
        </xdr:from>
        <xdr:to>
          <xdr:col>207</xdr:col>
          <xdr:colOff>161925</xdr:colOff>
          <xdr:row>48</xdr:row>
          <xdr:rowOff>9525</xdr:rowOff>
        </xdr:to>
        <xdr:sp macro="" textlink="">
          <xdr:nvSpPr>
            <xdr:cNvPr id="1108" name="Drop Down 84" hidden="1">
              <a:extLst>
                <a:ext uri="{63B3BB69-23CF-44E3-9099-C40C66FF867C}">
                  <a14:compatExt spid="_x0000_s1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55</xdr:row>
          <xdr:rowOff>0</xdr:rowOff>
        </xdr:from>
        <xdr:to>
          <xdr:col>5</xdr:col>
          <xdr:colOff>257175</xdr:colOff>
          <xdr:row>56</xdr:row>
          <xdr:rowOff>9525</xdr:rowOff>
        </xdr:to>
        <xdr:sp macro="" textlink="">
          <xdr:nvSpPr>
            <xdr:cNvPr id="1109" name="Drop Down 85" hidden="1">
              <a:extLst>
                <a:ext uri="{63B3BB69-23CF-44E3-9099-C40C66FF867C}">
                  <a14:compatExt spid="_x0000_s1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55</xdr:row>
          <xdr:rowOff>0</xdr:rowOff>
        </xdr:from>
        <xdr:to>
          <xdr:col>9</xdr:col>
          <xdr:colOff>190500</xdr:colOff>
          <xdr:row>56</xdr:row>
          <xdr:rowOff>9525</xdr:rowOff>
        </xdr:to>
        <xdr:sp macro="" textlink="">
          <xdr:nvSpPr>
            <xdr:cNvPr id="1110" name="Drop Down 86" hidden="1">
              <a:extLst>
                <a:ext uri="{63B3BB69-23CF-44E3-9099-C40C66FF867C}">
                  <a14:compatExt spid="_x0000_s1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55</xdr:row>
          <xdr:rowOff>0</xdr:rowOff>
        </xdr:from>
        <xdr:to>
          <xdr:col>15</xdr:col>
          <xdr:colOff>190500</xdr:colOff>
          <xdr:row>56</xdr:row>
          <xdr:rowOff>9525</xdr:rowOff>
        </xdr:to>
        <xdr:sp macro="" textlink="">
          <xdr:nvSpPr>
            <xdr:cNvPr id="1111" name="Drop Down 87" hidden="1">
              <a:extLst>
                <a:ext uri="{63B3BB69-23CF-44E3-9099-C40C66FF867C}">
                  <a14:compatExt spid="_x0000_s1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55</xdr:row>
          <xdr:rowOff>0</xdr:rowOff>
        </xdr:from>
        <xdr:to>
          <xdr:col>19</xdr:col>
          <xdr:colOff>190500</xdr:colOff>
          <xdr:row>56</xdr:row>
          <xdr:rowOff>9525</xdr:rowOff>
        </xdr:to>
        <xdr:sp macro="" textlink="">
          <xdr:nvSpPr>
            <xdr:cNvPr id="1112" name="Drop Down 88" hidden="1">
              <a:extLst>
                <a:ext uri="{63B3BB69-23CF-44E3-9099-C40C66FF867C}">
                  <a14:compatExt spid="_x0000_s1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55</xdr:row>
          <xdr:rowOff>0</xdr:rowOff>
        </xdr:from>
        <xdr:to>
          <xdr:col>10</xdr:col>
          <xdr:colOff>342900</xdr:colOff>
          <xdr:row>56</xdr:row>
          <xdr:rowOff>28575</xdr:rowOff>
        </xdr:to>
        <xdr:sp macro="" textlink="">
          <xdr:nvSpPr>
            <xdr:cNvPr id="1113" name="Check Box 89" hidden="1">
              <a:extLst>
                <a:ext uri="{63B3BB69-23CF-44E3-9099-C40C66FF867C}">
                  <a14:compatExt spid="_x0000_s1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55</xdr:row>
          <xdr:rowOff>0</xdr:rowOff>
        </xdr:from>
        <xdr:to>
          <xdr:col>23</xdr:col>
          <xdr:colOff>190500</xdr:colOff>
          <xdr:row>56</xdr:row>
          <xdr:rowOff>9525</xdr:rowOff>
        </xdr:to>
        <xdr:sp macro="" textlink="">
          <xdr:nvSpPr>
            <xdr:cNvPr id="1114" name="Drop Down 90" hidden="1">
              <a:extLst>
                <a:ext uri="{63B3BB69-23CF-44E3-9099-C40C66FF867C}">
                  <a14:compatExt spid="_x0000_s1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55</xdr:row>
          <xdr:rowOff>0</xdr:rowOff>
        </xdr:from>
        <xdr:to>
          <xdr:col>65</xdr:col>
          <xdr:colOff>19050</xdr:colOff>
          <xdr:row>56</xdr:row>
          <xdr:rowOff>9525</xdr:rowOff>
        </xdr:to>
        <xdr:sp macro="" textlink="">
          <xdr:nvSpPr>
            <xdr:cNvPr id="1115" name="Drop Down 91" hidden="1">
              <a:extLst>
                <a:ext uri="{63B3BB69-23CF-44E3-9099-C40C66FF867C}">
                  <a14:compatExt spid="_x0000_s1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55</xdr:row>
          <xdr:rowOff>0</xdr:rowOff>
        </xdr:from>
        <xdr:to>
          <xdr:col>111</xdr:col>
          <xdr:colOff>333375</xdr:colOff>
          <xdr:row>56</xdr:row>
          <xdr:rowOff>9525</xdr:rowOff>
        </xdr:to>
        <xdr:sp macro="" textlink="">
          <xdr:nvSpPr>
            <xdr:cNvPr id="1116" name="Drop Down 92" hidden="1">
              <a:extLst>
                <a:ext uri="{63B3BB69-23CF-44E3-9099-C40C66FF867C}">
                  <a14:compatExt spid="_x0000_s1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55</xdr:row>
          <xdr:rowOff>0</xdr:rowOff>
        </xdr:from>
        <xdr:to>
          <xdr:col>207</xdr:col>
          <xdr:colOff>161925</xdr:colOff>
          <xdr:row>56</xdr:row>
          <xdr:rowOff>9525</xdr:rowOff>
        </xdr:to>
        <xdr:sp macro="" textlink="">
          <xdr:nvSpPr>
            <xdr:cNvPr id="1117" name="Drop Down 93" hidden="1">
              <a:extLst>
                <a:ext uri="{63B3BB69-23CF-44E3-9099-C40C66FF867C}">
                  <a14:compatExt spid="_x0000_s1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57</xdr:row>
          <xdr:rowOff>0</xdr:rowOff>
        </xdr:from>
        <xdr:to>
          <xdr:col>5</xdr:col>
          <xdr:colOff>257175</xdr:colOff>
          <xdr:row>58</xdr:row>
          <xdr:rowOff>9525</xdr:rowOff>
        </xdr:to>
        <xdr:sp macro="" textlink="">
          <xdr:nvSpPr>
            <xdr:cNvPr id="1119" name="Drop Down 95" hidden="1">
              <a:extLst>
                <a:ext uri="{63B3BB69-23CF-44E3-9099-C40C66FF867C}">
                  <a14:compatExt spid="_x0000_s1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57</xdr:row>
          <xdr:rowOff>0</xdr:rowOff>
        </xdr:from>
        <xdr:to>
          <xdr:col>9</xdr:col>
          <xdr:colOff>190500</xdr:colOff>
          <xdr:row>58</xdr:row>
          <xdr:rowOff>9525</xdr:rowOff>
        </xdr:to>
        <xdr:sp macro="" textlink="">
          <xdr:nvSpPr>
            <xdr:cNvPr id="1120" name="Drop Down 96" hidden="1">
              <a:extLst>
                <a:ext uri="{63B3BB69-23CF-44E3-9099-C40C66FF867C}">
                  <a14:compatExt spid="_x0000_s1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15</xdr:col>
          <xdr:colOff>190500</xdr:colOff>
          <xdr:row>58</xdr:row>
          <xdr:rowOff>9525</xdr:rowOff>
        </xdr:to>
        <xdr:sp macro="" textlink="">
          <xdr:nvSpPr>
            <xdr:cNvPr id="1121" name="Drop Down 97" hidden="1">
              <a:extLst>
                <a:ext uri="{63B3BB69-23CF-44E3-9099-C40C66FF867C}">
                  <a14:compatExt spid="_x0000_s1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57</xdr:row>
          <xdr:rowOff>0</xdr:rowOff>
        </xdr:from>
        <xdr:to>
          <xdr:col>19</xdr:col>
          <xdr:colOff>190500</xdr:colOff>
          <xdr:row>58</xdr:row>
          <xdr:rowOff>9525</xdr:rowOff>
        </xdr:to>
        <xdr:sp macro="" textlink="">
          <xdr:nvSpPr>
            <xdr:cNvPr id="1122" name="Drop Down 98" hidden="1">
              <a:extLst>
                <a:ext uri="{63B3BB69-23CF-44E3-9099-C40C66FF867C}">
                  <a14:compatExt spid="_x0000_s1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57</xdr:row>
          <xdr:rowOff>0</xdr:rowOff>
        </xdr:from>
        <xdr:to>
          <xdr:col>10</xdr:col>
          <xdr:colOff>342900</xdr:colOff>
          <xdr:row>58</xdr:row>
          <xdr:rowOff>28575</xdr:rowOff>
        </xdr:to>
        <xdr:sp macro="" textlink="">
          <xdr:nvSpPr>
            <xdr:cNvPr id="1123" name="Check Box 99" hidden="1">
              <a:extLst>
                <a:ext uri="{63B3BB69-23CF-44E3-9099-C40C66FF867C}">
                  <a14:compatExt spid="_x0000_s1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23</xdr:col>
          <xdr:colOff>190500</xdr:colOff>
          <xdr:row>58</xdr:row>
          <xdr:rowOff>9525</xdr:rowOff>
        </xdr:to>
        <xdr:sp macro="" textlink="">
          <xdr:nvSpPr>
            <xdr:cNvPr id="1124" name="Drop Down 100" hidden="1">
              <a:extLst>
                <a:ext uri="{63B3BB69-23CF-44E3-9099-C40C66FF867C}">
                  <a14:compatExt spid="_x0000_s1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57</xdr:row>
          <xdr:rowOff>0</xdr:rowOff>
        </xdr:from>
        <xdr:to>
          <xdr:col>65</xdr:col>
          <xdr:colOff>19050</xdr:colOff>
          <xdr:row>58</xdr:row>
          <xdr:rowOff>9525</xdr:rowOff>
        </xdr:to>
        <xdr:sp macro="" textlink="">
          <xdr:nvSpPr>
            <xdr:cNvPr id="1125" name="Drop Down 101" hidden="1">
              <a:extLst>
                <a:ext uri="{63B3BB69-23CF-44E3-9099-C40C66FF867C}">
                  <a14:compatExt spid="_x0000_s1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57</xdr:row>
          <xdr:rowOff>0</xdr:rowOff>
        </xdr:from>
        <xdr:to>
          <xdr:col>111</xdr:col>
          <xdr:colOff>333375</xdr:colOff>
          <xdr:row>58</xdr:row>
          <xdr:rowOff>9525</xdr:rowOff>
        </xdr:to>
        <xdr:sp macro="" textlink="">
          <xdr:nvSpPr>
            <xdr:cNvPr id="1126" name="Drop Down 102" hidden="1">
              <a:extLst>
                <a:ext uri="{63B3BB69-23CF-44E3-9099-C40C66FF867C}">
                  <a14:compatExt spid="_x0000_s1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57</xdr:row>
          <xdr:rowOff>0</xdr:rowOff>
        </xdr:from>
        <xdr:to>
          <xdr:col>207</xdr:col>
          <xdr:colOff>161925</xdr:colOff>
          <xdr:row>58</xdr:row>
          <xdr:rowOff>9525</xdr:rowOff>
        </xdr:to>
        <xdr:sp macro="" textlink="">
          <xdr:nvSpPr>
            <xdr:cNvPr id="1127" name="Drop Down 103" hidden="1">
              <a:extLst>
                <a:ext uri="{63B3BB69-23CF-44E3-9099-C40C66FF867C}">
                  <a14:compatExt spid="_x0000_s1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59</xdr:row>
          <xdr:rowOff>0</xdr:rowOff>
        </xdr:from>
        <xdr:to>
          <xdr:col>5</xdr:col>
          <xdr:colOff>257175</xdr:colOff>
          <xdr:row>60</xdr:row>
          <xdr:rowOff>9525</xdr:rowOff>
        </xdr:to>
        <xdr:sp macro="" textlink="">
          <xdr:nvSpPr>
            <xdr:cNvPr id="1128" name="Drop Down 104" hidden="1">
              <a:extLst>
                <a:ext uri="{63B3BB69-23CF-44E3-9099-C40C66FF867C}">
                  <a14:compatExt spid="_x0000_s1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59</xdr:row>
          <xdr:rowOff>0</xdr:rowOff>
        </xdr:from>
        <xdr:to>
          <xdr:col>9</xdr:col>
          <xdr:colOff>190500</xdr:colOff>
          <xdr:row>60</xdr:row>
          <xdr:rowOff>9525</xdr:rowOff>
        </xdr:to>
        <xdr:sp macro="" textlink="">
          <xdr:nvSpPr>
            <xdr:cNvPr id="1129" name="Drop Down 105" hidden="1">
              <a:extLst>
                <a:ext uri="{63B3BB69-23CF-44E3-9099-C40C66FF867C}">
                  <a14:compatExt spid="_x0000_s1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59</xdr:row>
          <xdr:rowOff>0</xdr:rowOff>
        </xdr:from>
        <xdr:to>
          <xdr:col>15</xdr:col>
          <xdr:colOff>190500</xdr:colOff>
          <xdr:row>60</xdr:row>
          <xdr:rowOff>9525</xdr:rowOff>
        </xdr:to>
        <xdr:sp macro="" textlink="">
          <xdr:nvSpPr>
            <xdr:cNvPr id="1130" name="Drop Down 106" hidden="1">
              <a:extLst>
                <a:ext uri="{63B3BB69-23CF-44E3-9099-C40C66FF867C}">
                  <a14:compatExt spid="_x0000_s1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59</xdr:row>
          <xdr:rowOff>0</xdr:rowOff>
        </xdr:from>
        <xdr:to>
          <xdr:col>19</xdr:col>
          <xdr:colOff>190500</xdr:colOff>
          <xdr:row>60</xdr:row>
          <xdr:rowOff>9525</xdr:rowOff>
        </xdr:to>
        <xdr:sp macro="" textlink="">
          <xdr:nvSpPr>
            <xdr:cNvPr id="1131" name="Drop Down 107" hidden="1">
              <a:extLst>
                <a:ext uri="{63B3BB69-23CF-44E3-9099-C40C66FF867C}">
                  <a14:compatExt spid="_x0000_s1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59</xdr:row>
          <xdr:rowOff>0</xdr:rowOff>
        </xdr:from>
        <xdr:to>
          <xdr:col>10</xdr:col>
          <xdr:colOff>342900</xdr:colOff>
          <xdr:row>60</xdr:row>
          <xdr:rowOff>28575</xdr:rowOff>
        </xdr:to>
        <xdr:sp macro="" textlink="">
          <xdr:nvSpPr>
            <xdr:cNvPr id="1132" name="Check Box 108" hidden="1">
              <a:extLst>
                <a:ext uri="{63B3BB69-23CF-44E3-9099-C40C66FF867C}">
                  <a14:compatExt spid="_x0000_s1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59</xdr:row>
          <xdr:rowOff>0</xdr:rowOff>
        </xdr:from>
        <xdr:to>
          <xdr:col>23</xdr:col>
          <xdr:colOff>190500</xdr:colOff>
          <xdr:row>60</xdr:row>
          <xdr:rowOff>9525</xdr:rowOff>
        </xdr:to>
        <xdr:sp macro="" textlink="">
          <xdr:nvSpPr>
            <xdr:cNvPr id="1133" name="Drop Down 109" hidden="1">
              <a:extLst>
                <a:ext uri="{63B3BB69-23CF-44E3-9099-C40C66FF867C}">
                  <a14:compatExt spid="_x0000_s1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59</xdr:row>
          <xdr:rowOff>0</xdr:rowOff>
        </xdr:from>
        <xdr:to>
          <xdr:col>65</xdr:col>
          <xdr:colOff>19050</xdr:colOff>
          <xdr:row>60</xdr:row>
          <xdr:rowOff>9525</xdr:rowOff>
        </xdr:to>
        <xdr:sp macro="" textlink="">
          <xdr:nvSpPr>
            <xdr:cNvPr id="1134" name="Drop Down 110" hidden="1">
              <a:extLst>
                <a:ext uri="{63B3BB69-23CF-44E3-9099-C40C66FF867C}">
                  <a14:compatExt spid="_x0000_s1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59</xdr:row>
          <xdr:rowOff>0</xdr:rowOff>
        </xdr:from>
        <xdr:to>
          <xdr:col>111</xdr:col>
          <xdr:colOff>333375</xdr:colOff>
          <xdr:row>60</xdr:row>
          <xdr:rowOff>9525</xdr:rowOff>
        </xdr:to>
        <xdr:sp macro="" textlink="">
          <xdr:nvSpPr>
            <xdr:cNvPr id="1135" name="Drop Down 111" hidden="1">
              <a:extLst>
                <a:ext uri="{63B3BB69-23CF-44E3-9099-C40C66FF867C}">
                  <a14:compatExt spid="_x0000_s1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59</xdr:row>
          <xdr:rowOff>0</xdr:rowOff>
        </xdr:from>
        <xdr:to>
          <xdr:col>207</xdr:col>
          <xdr:colOff>161925</xdr:colOff>
          <xdr:row>60</xdr:row>
          <xdr:rowOff>9525</xdr:rowOff>
        </xdr:to>
        <xdr:sp macro="" textlink="">
          <xdr:nvSpPr>
            <xdr:cNvPr id="1136" name="Drop Down 112" hidden="1">
              <a:extLst>
                <a:ext uri="{63B3BB69-23CF-44E3-9099-C40C66FF867C}">
                  <a14:compatExt spid="_x0000_s1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61</xdr:row>
          <xdr:rowOff>0</xdr:rowOff>
        </xdr:from>
        <xdr:to>
          <xdr:col>5</xdr:col>
          <xdr:colOff>257175</xdr:colOff>
          <xdr:row>62</xdr:row>
          <xdr:rowOff>9525</xdr:rowOff>
        </xdr:to>
        <xdr:sp macro="" textlink="">
          <xdr:nvSpPr>
            <xdr:cNvPr id="1137" name="Drop Down 113" hidden="1">
              <a:extLst>
                <a:ext uri="{63B3BB69-23CF-44E3-9099-C40C66FF867C}">
                  <a14:compatExt spid="_x0000_s1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61</xdr:row>
          <xdr:rowOff>0</xdr:rowOff>
        </xdr:from>
        <xdr:to>
          <xdr:col>9</xdr:col>
          <xdr:colOff>190500</xdr:colOff>
          <xdr:row>62</xdr:row>
          <xdr:rowOff>9525</xdr:rowOff>
        </xdr:to>
        <xdr:sp macro="" textlink="">
          <xdr:nvSpPr>
            <xdr:cNvPr id="1138" name="Drop Down 114" hidden="1">
              <a:extLst>
                <a:ext uri="{63B3BB69-23CF-44E3-9099-C40C66FF867C}">
                  <a14:compatExt spid="_x0000_s1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61</xdr:row>
          <xdr:rowOff>0</xdr:rowOff>
        </xdr:from>
        <xdr:to>
          <xdr:col>15</xdr:col>
          <xdr:colOff>190500</xdr:colOff>
          <xdr:row>62</xdr:row>
          <xdr:rowOff>9525</xdr:rowOff>
        </xdr:to>
        <xdr:sp macro="" textlink="">
          <xdr:nvSpPr>
            <xdr:cNvPr id="1139" name="Drop Down 115" hidden="1">
              <a:extLst>
                <a:ext uri="{63B3BB69-23CF-44E3-9099-C40C66FF867C}">
                  <a14:compatExt spid="_x0000_s1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61</xdr:row>
          <xdr:rowOff>0</xdr:rowOff>
        </xdr:from>
        <xdr:to>
          <xdr:col>19</xdr:col>
          <xdr:colOff>190500</xdr:colOff>
          <xdr:row>62</xdr:row>
          <xdr:rowOff>9525</xdr:rowOff>
        </xdr:to>
        <xdr:sp macro="" textlink="">
          <xdr:nvSpPr>
            <xdr:cNvPr id="1140" name="Drop Down 116" hidden="1">
              <a:extLst>
                <a:ext uri="{63B3BB69-23CF-44E3-9099-C40C66FF867C}">
                  <a14:compatExt spid="_x0000_s1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61</xdr:row>
          <xdr:rowOff>0</xdr:rowOff>
        </xdr:from>
        <xdr:to>
          <xdr:col>10</xdr:col>
          <xdr:colOff>342900</xdr:colOff>
          <xdr:row>62</xdr:row>
          <xdr:rowOff>28575</xdr:rowOff>
        </xdr:to>
        <xdr:sp macro="" textlink="">
          <xdr:nvSpPr>
            <xdr:cNvPr id="1141" name="Check Box 117" hidden="1">
              <a:extLst>
                <a:ext uri="{63B3BB69-23CF-44E3-9099-C40C66FF867C}">
                  <a14:compatExt spid="_x0000_s1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61</xdr:row>
          <xdr:rowOff>0</xdr:rowOff>
        </xdr:from>
        <xdr:to>
          <xdr:col>23</xdr:col>
          <xdr:colOff>190500</xdr:colOff>
          <xdr:row>62</xdr:row>
          <xdr:rowOff>9525</xdr:rowOff>
        </xdr:to>
        <xdr:sp macro="" textlink="">
          <xdr:nvSpPr>
            <xdr:cNvPr id="1142" name="Drop Down 118" hidden="1">
              <a:extLst>
                <a:ext uri="{63B3BB69-23CF-44E3-9099-C40C66FF867C}">
                  <a14:compatExt spid="_x0000_s1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61</xdr:row>
          <xdr:rowOff>0</xdr:rowOff>
        </xdr:from>
        <xdr:to>
          <xdr:col>65</xdr:col>
          <xdr:colOff>19050</xdr:colOff>
          <xdr:row>62</xdr:row>
          <xdr:rowOff>9525</xdr:rowOff>
        </xdr:to>
        <xdr:sp macro="" textlink="">
          <xdr:nvSpPr>
            <xdr:cNvPr id="1143" name="Drop Down 119" hidden="1">
              <a:extLst>
                <a:ext uri="{63B3BB69-23CF-44E3-9099-C40C66FF867C}">
                  <a14:compatExt spid="_x0000_s1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61</xdr:row>
          <xdr:rowOff>0</xdr:rowOff>
        </xdr:from>
        <xdr:to>
          <xdr:col>111</xdr:col>
          <xdr:colOff>333375</xdr:colOff>
          <xdr:row>62</xdr:row>
          <xdr:rowOff>9525</xdr:rowOff>
        </xdr:to>
        <xdr:sp macro="" textlink="">
          <xdr:nvSpPr>
            <xdr:cNvPr id="1144" name="Drop Down 120" hidden="1">
              <a:extLst>
                <a:ext uri="{63B3BB69-23CF-44E3-9099-C40C66FF867C}">
                  <a14:compatExt spid="_x0000_s1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61</xdr:row>
          <xdr:rowOff>0</xdr:rowOff>
        </xdr:from>
        <xdr:to>
          <xdr:col>207</xdr:col>
          <xdr:colOff>161925</xdr:colOff>
          <xdr:row>62</xdr:row>
          <xdr:rowOff>9525</xdr:rowOff>
        </xdr:to>
        <xdr:sp macro="" textlink="">
          <xdr:nvSpPr>
            <xdr:cNvPr id="1145" name="Drop Down 121" hidden="1">
              <a:extLst>
                <a:ext uri="{63B3BB69-23CF-44E3-9099-C40C66FF867C}">
                  <a14:compatExt spid="_x0000_s1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63</xdr:row>
          <xdr:rowOff>0</xdr:rowOff>
        </xdr:from>
        <xdr:to>
          <xdr:col>5</xdr:col>
          <xdr:colOff>257175</xdr:colOff>
          <xdr:row>64</xdr:row>
          <xdr:rowOff>9525</xdr:rowOff>
        </xdr:to>
        <xdr:sp macro="" textlink="">
          <xdr:nvSpPr>
            <xdr:cNvPr id="1146" name="Drop Down 122" hidden="1">
              <a:extLst>
                <a:ext uri="{63B3BB69-23CF-44E3-9099-C40C66FF867C}">
                  <a14:compatExt spid="_x0000_s1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63</xdr:row>
          <xdr:rowOff>0</xdr:rowOff>
        </xdr:from>
        <xdr:to>
          <xdr:col>9</xdr:col>
          <xdr:colOff>190500</xdr:colOff>
          <xdr:row>64</xdr:row>
          <xdr:rowOff>9525</xdr:rowOff>
        </xdr:to>
        <xdr:sp macro="" textlink="">
          <xdr:nvSpPr>
            <xdr:cNvPr id="1147" name="Drop Down 123" hidden="1">
              <a:extLst>
                <a:ext uri="{63B3BB69-23CF-44E3-9099-C40C66FF867C}">
                  <a14:compatExt spid="_x0000_s1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63</xdr:row>
          <xdr:rowOff>0</xdr:rowOff>
        </xdr:from>
        <xdr:to>
          <xdr:col>15</xdr:col>
          <xdr:colOff>190500</xdr:colOff>
          <xdr:row>64</xdr:row>
          <xdr:rowOff>9525</xdr:rowOff>
        </xdr:to>
        <xdr:sp macro="" textlink="">
          <xdr:nvSpPr>
            <xdr:cNvPr id="1148" name="Drop Down 124" hidden="1">
              <a:extLst>
                <a:ext uri="{63B3BB69-23CF-44E3-9099-C40C66FF867C}">
                  <a14:compatExt spid="_x0000_s1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63</xdr:row>
          <xdr:rowOff>0</xdr:rowOff>
        </xdr:from>
        <xdr:to>
          <xdr:col>19</xdr:col>
          <xdr:colOff>190500</xdr:colOff>
          <xdr:row>64</xdr:row>
          <xdr:rowOff>9525</xdr:rowOff>
        </xdr:to>
        <xdr:sp macro="" textlink="">
          <xdr:nvSpPr>
            <xdr:cNvPr id="1149" name="Drop Down 125" hidden="1">
              <a:extLst>
                <a:ext uri="{63B3BB69-23CF-44E3-9099-C40C66FF867C}">
                  <a14:compatExt spid="_x0000_s1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63</xdr:row>
          <xdr:rowOff>0</xdr:rowOff>
        </xdr:from>
        <xdr:to>
          <xdr:col>10</xdr:col>
          <xdr:colOff>342900</xdr:colOff>
          <xdr:row>64</xdr:row>
          <xdr:rowOff>28575</xdr:rowOff>
        </xdr:to>
        <xdr:sp macro="" textlink="">
          <xdr:nvSpPr>
            <xdr:cNvPr id="1150" name="Check Box 126" hidden="1">
              <a:extLst>
                <a:ext uri="{63B3BB69-23CF-44E3-9099-C40C66FF867C}">
                  <a14:compatExt spid="_x0000_s1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63</xdr:row>
          <xdr:rowOff>0</xdr:rowOff>
        </xdr:from>
        <xdr:to>
          <xdr:col>23</xdr:col>
          <xdr:colOff>190500</xdr:colOff>
          <xdr:row>64</xdr:row>
          <xdr:rowOff>9525</xdr:rowOff>
        </xdr:to>
        <xdr:sp macro="" textlink="">
          <xdr:nvSpPr>
            <xdr:cNvPr id="1151" name="Drop Down 127" hidden="1">
              <a:extLst>
                <a:ext uri="{63B3BB69-23CF-44E3-9099-C40C66FF867C}">
                  <a14:compatExt spid="_x0000_s1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63</xdr:row>
          <xdr:rowOff>0</xdr:rowOff>
        </xdr:from>
        <xdr:to>
          <xdr:col>65</xdr:col>
          <xdr:colOff>19050</xdr:colOff>
          <xdr:row>64</xdr:row>
          <xdr:rowOff>9525</xdr:rowOff>
        </xdr:to>
        <xdr:sp macro="" textlink="">
          <xdr:nvSpPr>
            <xdr:cNvPr id="1152" name="Drop Down 128" hidden="1">
              <a:extLst>
                <a:ext uri="{63B3BB69-23CF-44E3-9099-C40C66FF867C}">
                  <a14:compatExt spid="_x0000_s1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63</xdr:row>
          <xdr:rowOff>0</xdr:rowOff>
        </xdr:from>
        <xdr:to>
          <xdr:col>111</xdr:col>
          <xdr:colOff>333375</xdr:colOff>
          <xdr:row>64</xdr:row>
          <xdr:rowOff>9525</xdr:rowOff>
        </xdr:to>
        <xdr:sp macro="" textlink="">
          <xdr:nvSpPr>
            <xdr:cNvPr id="1153" name="Drop Down 129" hidden="1">
              <a:extLst>
                <a:ext uri="{63B3BB69-23CF-44E3-9099-C40C66FF867C}">
                  <a14:compatExt spid="_x0000_s1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63</xdr:row>
          <xdr:rowOff>0</xdr:rowOff>
        </xdr:from>
        <xdr:to>
          <xdr:col>207</xdr:col>
          <xdr:colOff>161925</xdr:colOff>
          <xdr:row>64</xdr:row>
          <xdr:rowOff>9525</xdr:rowOff>
        </xdr:to>
        <xdr:sp macro="" textlink="">
          <xdr:nvSpPr>
            <xdr:cNvPr id="1154" name="Drop Down 130" hidden="1">
              <a:extLst>
                <a:ext uri="{63B3BB69-23CF-44E3-9099-C40C66FF867C}">
                  <a14:compatExt spid="_x0000_s1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65</xdr:row>
          <xdr:rowOff>0</xdr:rowOff>
        </xdr:from>
        <xdr:to>
          <xdr:col>5</xdr:col>
          <xdr:colOff>257175</xdr:colOff>
          <xdr:row>66</xdr:row>
          <xdr:rowOff>9525</xdr:rowOff>
        </xdr:to>
        <xdr:sp macro="" textlink="">
          <xdr:nvSpPr>
            <xdr:cNvPr id="1155" name="Drop Down 131" hidden="1">
              <a:extLst>
                <a:ext uri="{63B3BB69-23CF-44E3-9099-C40C66FF867C}">
                  <a14:compatExt spid="_x0000_s1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65</xdr:row>
          <xdr:rowOff>0</xdr:rowOff>
        </xdr:from>
        <xdr:to>
          <xdr:col>9</xdr:col>
          <xdr:colOff>190500</xdr:colOff>
          <xdr:row>66</xdr:row>
          <xdr:rowOff>9525</xdr:rowOff>
        </xdr:to>
        <xdr:sp macro="" textlink="">
          <xdr:nvSpPr>
            <xdr:cNvPr id="1156" name="Drop Down 132" hidden="1">
              <a:extLst>
                <a:ext uri="{63B3BB69-23CF-44E3-9099-C40C66FF867C}">
                  <a14:compatExt spid="_x0000_s1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65</xdr:row>
          <xdr:rowOff>0</xdr:rowOff>
        </xdr:from>
        <xdr:to>
          <xdr:col>15</xdr:col>
          <xdr:colOff>190500</xdr:colOff>
          <xdr:row>66</xdr:row>
          <xdr:rowOff>9525</xdr:rowOff>
        </xdr:to>
        <xdr:sp macro="" textlink="">
          <xdr:nvSpPr>
            <xdr:cNvPr id="1157" name="Drop Down 133" hidden="1">
              <a:extLst>
                <a:ext uri="{63B3BB69-23CF-44E3-9099-C40C66FF867C}">
                  <a14:compatExt spid="_x0000_s1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65</xdr:row>
          <xdr:rowOff>0</xdr:rowOff>
        </xdr:from>
        <xdr:to>
          <xdr:col>19</xdr:col>
          <xdr:colOff>190500</xdr:colOff>
          <xdr:row>66</xdr:row>
          <xdr:rowOff>9525</xdr:rowOff>
        </xdr:to>
        <xdr:sp macro="" textlink="">
          <xdr:nvSpPr>
            <xdr:cNvPr id="1158" name="Drop Down 134" hidden="1">
              <a:extLst>
                <a:ext uri="{63B3BB69-23CF-44E3-9099-C40C66FF867C}">
                  <a14:compatExt spid="_x0000_s1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65</xdr:row>
          <xdr:rowOff>0</xdr:rowOff>
        </xdr:from>
        <xdr:to>
          <xdr:col>10</xdr:col>
          <xdr:colOff>342900</xdr:colOff>
          <xdr:row>66</xdr:row>
          <xdr:rowOff>28575</xdr:rowOff>
        </xdr:to>
        <xdr:sp macro="" textlink="">
          <xdr:nvSpPr>
            <xdr:cNvPr id="1159" name="Check Box 135" hidden="1">
              <a:extLst>
                <a:ext uri="{63B3BB69-23CF-44E3-9099-C40C66FF867C}">
                  <a14:compatExt spid="_x0000_s1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65</xdr:row>
          <xdr:rowOff>0</xdr:rowOff>
        </xdr:from>
        <xdr:to>
          <xdr:col>23</xdr:col>
          <xdr:colOff>190500</xdr:colOff>
          <xdr:row>66</xdr:row>
          <xdr:rowOff>9525</xdr:rowOff>
        </xdr:to>
        <xdr:sp macro="" textlink="">
          <xdr:nvSpPr>
            <xdr:cNvPr id="1160" name="Drop Down 136" hidden="1">
              <a:extLst>
                <a:ext uri="{63B3BB69-23CF-44E3-9099-C40C66FF867C}">
                  <a14:compatExt spid="_x0000_s1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65</xdr:row>
          <xdr:rowOff>0</xdr:rowOff>
        </xdr:from>
        <xdr:to>
          <xdr:col>65</xdr:col>
          <xdr:colOff>19050</xdr:colOff>
          <xdr:row>66</xdr:row>
          <xdr:rowOff>9525</xdr:rowOff>
        </xdr:to>
        <xdr:sp macro="" textlink="">
          <xdr:nvSpPr>
            <xdr:cNvPr id="1161" name="Drop Down 137" hidden="1">
              <a:extLst>
                <a:ext uri="{63B3BB69-23CF-44E3-9099-C40C66FF867C}">
                  <a14:compatExt spid="_x0000_s1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65</xdr:row>
          <xdr:rowOff>0</xdr:rowOff>
        </xdr:from>
        <xdr:to>
          <xdr:col>111</xdr:col>
          <xdr:colOff>333375</xdr:colOff>
          <xdr:row>66</xdr:row>
          <xdr:rowOff>9525</xdr:rowOff>
        </xdr:to>
        <xdr:sp macro="" textlink="">
          <xdr:nvSpPr>
            <xdr:cNvPr id="1162" name="Drop Down 138" hidden="1">
              <a:extLst>
                <a:ext uri="{63B3BB69-23CF-44E3-9099-C40C66FF867C}">
                  <a14:compatExt spid="_x0000_s1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65</xdr:row>
          <xdr:rowOff>0</xdr:rowOff>
        </xdr:from>
        <xdr:to>
          <xdr:col>207</xdr:col>
          <xdr:colOff>161925</xdr:colOff>
          <xdr:row>66</xdr:row>
          <xdr:rowOff>9525</xdr:rowOff>
        </xdr:to>
        <xdr:sp macro="" textlink="">
          <xdr:nvSpPr>
            <xdr:cNvPr id="1163" name="Drop Down 139" hidden="1">
              <a:extLst>
                <a:ext uri="{63B3BB69-23CF-44E3-9099-C40C66FF867C}">
                  <a14:compatExt spid="_x0000_s1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67</xdr:row>
          <xdr:rowOff>0</xdr:rowOff>
        </xdr:from>
        <xdr:to>
          <xdr:col>5</xdr:col>
          <xdr:colOff>257175</xdr:colOff>
          <xdr:row>68</xdr:row>
          <xdr:rowOff>9525</xdr:rowOff>
        </xdr:to>
        <xdr:sp macro="" textlink="">
          <xdr:nvSpPr>
            <xdr:cNvPr id="1164" name="Drop Down 140" hidden="1">
              <a:extLst>
                <a:ext uri="{63B3BB69-23CF-44E3-9099-C40C66FF867C}">
                  <a14:compatExt spid="_x0000_s1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67</xdr:row>
          <xdr:rowOff>0</xdr:rowOff>
        </xdr:from>
        <xdr:to>
          <xdr:col>9</xdr:col>
          <xdr:colOff>190500</xdr:colOff>
          <xdr:row>68</xdr:row>
          <xdr:rowOff>9525</xdr:rowOff>
        </xdr:to>
        <xdr:sp macro="" textlink="">
          <xdr:nvSpPr>
            <xdr:cNvPr id="1165" name="Drop Down 141" hidden="1">
              <a:extLst>
                <a:ext uri="{63B3BB69-23CF-44E3-9099-C40C66FF867C}">
                  <a14:compatExt spid="_x0000_s1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67</xdr:row>
          <xdr:rowOff>0</xdr:rowOff>
        </xdr:from>
        <xdr:to>
          <xdr:col>15</xdr:col>
          <xdr:colOff>190500</xdr:colOff>
          <xdr:row>68</xdr:row>
          <xdr:rowOff>9525</xdr:rowOff>
        </xdr:to>
        <xdr:sp macro="" textlink="">
          <xdr:nvSpPr>
            <xdr:cNvPr id="1166" name="Drop Down 142" hidden="1">
              <a:extLst>
                <a:ext uri="{63B3BB69-23CF-44E3-9099-C40C66FF867C}">
                  <a14:compatExt spid="_x0000_s1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67</xdr:row>
          <xdr:rowOff>0</xdr:rowOff>
        </xdr:from>
        <xdr:to>
          <xdr:col>19</xdr:col>
          <xdr:colOff>190500</xdr:colOff>
          <xdr:row>68</xdr:row>
          <xdr:rowOff>9525</xdr:rowOff>
        </xdr:to>
        <xdr:sp macro="" textlink="">
          <xdr:nvSpPr>
            <xdr:cNvPr id="1167" name="Drop Down 143" hidden="1">
              <a:extLst>
                <a:ext uri="{63B3BB69-23CF-44E3-9099-C40C66FF867C}">
                  <a14:compatExt spid="_x0000_s1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67</xdr:row>
          <xdr:rowOff>0</xdr:rowOff>
        </xdr:from>
        <xdr:to>
          <xdr:col>10</xdr:col>
          <xdr:colOff>342900</xdr:colOff>
          <xdr:row>68</xdr:row>
          <xdr:rowOff>28575</xdr:rowOff>
        </xdr:to>
        <xdr:sp macro="" textlink="">
          <xdr:nvSpPr>
            <xdr:cNvPr id="1168" name="Check Box 144" hidden="1">
              <a:extLst>
                <a:ext uri="{63B3BB69-23CF-44E3-9099-C40C66FF867C}">
                  <a14:compatExt spid="_x0000_s1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67</xdr:row>
          <xdr:rowOff>0</xdr:rowOff>
        </xdr:from>
        <xdr:to>
          <xdr:col>23</xdr:col>
          <xdr:colOff>190500</xdr:colOff>
          <xdr:row>68</xdr:row>
          <xdr:rowOff>9525</xdr:rowOff>
        </xdr:to>
        <xdr:sp macro="" textlink="">
          <xdr:nvSpPr>
            <xdr:cNvPr id="1169" name="Drop Down 145" hidden="1">
              <a:extLst>
                <a:ext uri="{63B3BB69-23CF-44E3-9099-C40C66FF867C}">
                  <a14:compatExt spid="_x0000_s1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67</xdr:row>
          <xdr:rowOff>0</xdr:rowOff>
        </xdr:from>
        <xdr:to>
          <xdr:col>65</xdr:col>
          <xdr:colOff>19050</xdr:colOff>
          <xdr:row>68</xdr:row>
          <xdr:rowOff>9525</xdr:rowOff>
        </xdr:to>
        <xdr:sp macro="" textlink="">
          <xdr:nvSpPr>
            <xdr:cNvPr id="1170" name="Drop Down 146" hidden="1">
              <a:extLst>
                <a:ext uri="{63B3BB69-23CF-44E3-9099-C40C66FF867C}">
                  <a14:compatExt spid="_x0000_s1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67</xdr:row>
          <xdr:rowOff>0</xdr:rowOff>
        </xdr:from>
        <xdr:to>
          <xdr:col>111</xdr:col>
          <xdr:colOff>333375</xdr:colOff>
          <xdr:row>68</xdr:row>
          <xdr:rowOff>9525</xdr:rowOff>
        </xdr:to>
        <xdr:sp macro="" textlink="">
          <xdr:nvSpPr>
            <xdr:cNvPr id="1171" name="Drop Down 147" hidden="1">
              <a:extLst>
                <a:ext uri="{63B3BB69-23CF-44E3-9099-C40C66FF867C}">
                  <a14:compatExt spid="_x0000_s1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67</xdr:row>
          <xdr:rowOff>0</xdr:rowOff>
        </xdr:from>
        <xdr:to>
          <xdr:col>207</xdr:col>
          <xdr:colOff>161925</xdr:colOff>
          <xdr:row>68</xdr:row>
          <xdr:rowOff>9525</xdr:rowOff>
        </xdr:to>
        <xdr:sp macro="" textlink="">
          <xdr:nvSpPr>
            <xdr:cNvPr id="1172" name="Drop Down 148" hidden="1">
              <a:extLst>
                <a:ext uri="{63B3BB69-23CF-44E3-9099-C40C66FF867C}">
                  <a14:compatExt spid="_x0000_s1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69</xdr:row>
          <xdr:rowOff>0</xdr:rowOff>
        </xdr:from>
        <xdr:to>
          <xdr:col>5</xdr:col>
          <xdr:colOff>257175</xdr:colOff>
          <xdr:row>70</xdr:row>
          <xdr:rowOff>9525</xdr:rowOff>
        </xdr:to>
        <xdr:sp macro="" textlink="">
          <xdr:nvSpPr>
            <xdr:cNvPr id="1173" name="Drop Down 149" hidden="1">
              <a:extLst>
                <a:ext uri="{63B3BB69-23CF-44E3-9099-C40C66FF867C}">
                  <a14:compatExt spid="_x0000_s1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9</xdr:col>
          <xdr:colOff>190500</xdr:colOff>
          <xdr:row>70</xdr:row>
          <xdr:rowOff>9525</xdr:rowOff>
        </xdr:to>
        <xdr:sp macro="" textlink="">
          <xdr:nvSpPr>
            <xdr:cNvPr id="1174" name="Drop Down 150" hidden="1">
              <a:extLst>
                <a:ext uri="{63B3BB69-23CF-44E3-9099-C40C66FF867C}">
                  <a14:compatExt spid="_x0000_s1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69</xdr:row>
          <xdr:rowOff>0</xdr:rowOff>
        </xdr:from>
        <xdr:to>
          <xdr:col>15</xdr:col>
          <xdr:colOff>190500</xdr:colOff>
          <xdr:row>70</xdr:row>
          <xdr:rowOff>9525</xdr:rowOff>
        </xdr:to>
        <xdr:sp macro="" textlink="">
          <xdr:nvSpPr>
            <xdr:cNvPr id="1175" name="Drop Down 151" hidden="1">
              <a:extLst>
                <a:ext uri="{63B3BB69-23CF-44E3-9099-C40C66FF867C}">
                  <a14:compatExt spid="_x0000_s1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69</xdr:row>
          <xdr:rowOff>0</xdr:rowOff>
        </xdr:from>
        <xdr:to>
          <xdr:col>19</xdr:col>
          <xdr:colOff>190500</xdr:colOff>
          <xdr:row>70</xdr:row>
          <xdr:rowOff>9525</xdr:rowOff>
        </xdr:to>
        <xdr:sp macro="" textlink="">
          <xdr:nvSpPr>
            <xdr:cNvPr id="1176" name="Drop Down 152" hidden="1">
              <a:extLst>
                <a:ext uri="{63B3BB69-23CF-44E3-9099-C40C66FF867C}">
                  <a14:compatExt spid="_x0000_s1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69</xdr:row>
          <xdr:rowOff>0</xdr:rowOff>
        </xdr:from>
        <xdr:to>
          <xdr:col>10</xdr:col>
          <xdr:colOff>342900</xdr:colOff>
          <xdr:row>70</xdr:row>
          <xdr:rowOff>28575</xdr:rowOff>
        </xdr:to>
        <xdr:sp macro="" textlink="">
          <xdr:nvSpPr>
            <xdr:cNvPr id="1177" name="Check Box 153" hidden="1">
              <a:extLst>
                <a:ext uri="{63B3BB69-23CF-44E3-9099-C40C66FF867C}">
                  <a14:compatExt spid="_x0000_s1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69</xdr:row>
          <xdr:rowOff>0</xdr:rowOff>
        </xdr:from>
        <xdr:to>
          <xdr:col>23</xdr:col>
          <xdr:colOff>190500</xdr:colOff>
          <xdr:row>70</xdr:row>
          <xdr:rowOff>9525</xdr:rowOff>
        </xdr:to>
        <xdr:sp macro="" textlink="">
          <xdr:nvSpPr>
            <xdr:cNvPr id="1178" name="Drop Down 154" hidden="1">
              <a:extLst>
                <a:ext uri="{63B3BB69-23CF-44E3-9099-C40C66FF867C}">
                  <a14:compatExt spid="_x0000_s1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69</xdr:row>
          <xdr:rowOff>0</xdr:rowOff>
        </xdr:from>
        <xdr:to>
          <xdr:col>65</xdr:col>
          <xdr:colOff>19050</xdr:colOff>
          <xdr:row>70</xdr:row>
          <xdr:rowOff>9525</xdr:rowOff>
        </xdr:to>
        <xdr:sp macro="" textlink="">
          <xdr:nvSpPr>
            <xdr:cNvPr id="1179" name="Drop Down 155" hidden="1">
              <a:extLst>
                <a:ext uri="{63B3BB69-23CF-44E3-9099-C40C66FF867C}">
                  <a14:compatExt spid="_x0000_s1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69</xdr:row>
          <xdr:rowOff>0</xdr:rowOff>
        </xdr:from>
        <xdr:to>
          <xdr:col>111</xdr:col>
          <xdr:colOff>333375</xdr:colOff>
          <xdr:row>70</xdr:row>
          <xdr:rowOff>9525</xdr:rowOff>
        </xdr:to>
        <xdr:sp macro="" textlink="">
          <xdr:nvSpPr>
            <xdr:cNvPr id="1180" name="Drop Down 156" hidden="1">
              <a:extLst>
                <a:ext uri="{63B3BB69-23CF-44E3-9099-C40C66FF867C}">
                  <a14:compatExt spid="_x0000_s1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69</xdr:row>
          <xdr:rowOff>0</xdr:rowOff>
        </xdr:from>
        <xdr:to>
          <xdr:col>207</xdr:col>
          <xdr:colOff>161925</xdr:colOff>
          <xdr:row>70</xdr:row>
          <xdr:rowOff>9525</xdr:rowOff>
        </xdr:to>
        <xdr:sp macro="" textlink="">
          <xdr:nvSpPr>
            <xdr:cNvPr id="1181" name="Drop Down 157" hidden="1">
              <a:extLst>
                <a:ext uri="{63B3BB69-23CF-44E3-9099-C40C66FF867C}">
                  <a14:compatExt spid="_x0000_s1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13</xdr:col>
          <xdr:colOff>38100</xdr:colOff>
          <xdr:row>13</xdr:row>
          <xdr:rowOff>9525</xdr:rowOff>
        </xdr:to>
        <xdr:sp macro="" textlink="">
          <xdr:nvSpPr>
            <xdr:cNvPr id="1184" name="Drop Down 160" hidden="1">
              <a:extLst>
                <a:ext uri="{63B3BB69-23CF-44E3-9099-C40C66FF867C}">
                  <a14:compatExt spid="_x0000_s1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115</xdr:row>
          <xdr:rowOff>0</xdr:rowOff>
        </xdr:from>
        <xdr:to>
          <xdr:col>5</xdr:col>
          <xdr:colOff>257175</xdr:colOff>
          <xdr:row>116</xdr:row>
          <xdr:rowOff>9525</xdr:rowOff>
        </xdr:to>
        <xdr:sp macro="" textlink="">
          <xdr:nvSpPr>
            <xdr:cNvPr id="1185" name="Drop Down 161" hidden="1">
              <a:extLst>
                <a:ext uri="{63B3BB69-23CF-44E3-9099-C40C66FF867C}">
                  <a14:compatExt spid="_x0000_s1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115</xdr:row>
          <xdr:rowOff>0</xdr:rowOff>
        </xdr:from>
        <xdr:to>
          <xdr:col>9</xdr:col>
          <xdr:colOff>190500</xdr:colOff>
          <xdr:row>116</xdr:row>
          <xdr:rowOff>9525</xdr:rowOff>
        </xdr:to>
        <xdr:sp macro="" textlink="">
          <xdr:nvSpPr>
            <xdr:cNvPr id="1186" name="Drop Down 162" hidden="1">
              <a:extLst>
                <a:ext uri="{63B3BB69-23CF-44E3-9099-C40C66FF867C}">
                  <a14:compatExt spid="_x0000_s1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115</xdr:row>
          <xdr:rowOff>0</xdr:rowOff>
        </xdr:from>
        <xdr:to>
          <xdr:col>15</xdr:col>
          <xdr:colOff>190500</xdr:colOff>
          <xdr:row>116</xdr:row>
          <xdr:rowOff>9525</xdr:rowOff>
        </xdr:to>
        <xdr:sp macro="" textlink="">
          <xdr:nvSpPr>
            <xdr:cNvPr id="1187" name="Drop Down 163" hidden="1">
              <a:extLst>
                <a:ext uri="{63B3BB69-23CF-44E3-9099-C40C66FF867C}">
                  <a14:compatExt spid="_x0000_s1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115</xdr:row>
          <xdr:rowOff>0</xdr:rowOff>
        </xdr:from>
        <xdr:to>
          <xdr:col>19</xdr:col>
          <xdr:colOff>190500</xdr:colOff>
          <xdr:row>116</xdr:row>
          <xdr:rowOff>9525</xdr:rowOff>
        </xdr:to>
        <xdr:sp macro="" textlink="">
          <xdr:nvSpPr>
            <xdr:cNvPr id="1188" name="Drop Down 164" hidden="1">
              <a:extLst>
                <a:ext uri="{63B3BB69-23CF-44E3-9099-C40C66FF867C}">
                  <a14:compatExt spid="_x0000_s1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115</xdr:row>
          <xdr:rowOff>0</xdr:rowOff>
        </xdr:from>
        <xdr:to>
          <xdr:col>10</xdr:col>
          <xdr:colOff>342900</xdr:colOff>
          <xdr:row>116</xdr:row>
          <xdr:rowOff>28575</xdr:rowOff>
        </xdr:to>
        <xdr:sp macro="" textlink="">
          <xdr:nvSpPr>
            <xdr:cNvPr id="1189" name="Check Box 165" hidden="1">
              <a:extLst>
                <a:ext uri="{63B3BB69-23CF-44E3-9099-C40C66FF867C}">
                  <a14:compatExt spid="_x0000_s1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115</xdr:row>
          <xdr:rowOff>0</xdr:rowOff>
        </xdr:from>
        <xdr:to>
          <xdr:col>23</xdr:col>
          <xdr:colOff>190500</xdr:colOff>
          <xdr:row>116</xdr:row>
          <xdr:rowOff>9525</xdr:rowOff>
        </xdr:to>
        <xdr:sp macro="" textlink="">
          <xdr:nvSpPr>
            <xdr:cNvPr id="1190" name="Drop Down 166" hidden="1">
              <a:extLst>
                <a:ext uri="{63B3BB69-23CF-44E3-9099-C40C66FF867C}">
                  <a14:compatExt spid="_x0000_s1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111</xdr:row>
          <xdr:rowOff>0</xdr:rowOff>
        </xdr:from>
        <xdr:to>
          <xdr:col>5</xdr:col>
          <xdr:colOff>190500</xdr:colOff>
          <xdr:row>112</xdr:row>
          <xdr:rowOff>9525</xdr:rowOff>
        </xdr:to>
        <xdr:sp macro="" textlink="">
          <xdr:nvSpPr>
            <xdr:cNvPr id="1191" name="Drop Down 167" hidden="1">
              <a:extLst>
                <a:ext uri="{63B3BB69-23CF-44E3-9099-C40C66FF867C}">
                  <a14:compatExt spid="_x0000_s1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111</xdr:row>
          <xdr:rowOff>0</xdr:rowOff>
        </xdr:from>
        <xdr:to>
          <xdr:col>8</xdr:col>
          <xdr:colOff>371475</xdr:colOff>
          <xdr:row>112</xdr:row>
          <xdr:rowOff>9525</xdr:rowOff>
        </xdr:to>
        <xdr:sp macro="" textlink="">
          <xdr:nvSpPr>
            <xdr:cNvPr id="1192" name="Drop Down 168" hidden="1">
              <a:extLst>
                <a:ext uri="{63B3BB69-23CF-44E3-9099-C40C66FF867C}">
                  <a14:compatExt spid="_x0000_s1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115</xdr:row>
          <xdr:rowOff>0</xdr:rowOff>
        </xdr:from>
        <xdr:to>
          <xdr:col>65</xdr:col>
          <xdr:colOff>19050</xdr:colOff>
          <xdr:row>116</xdr:row>
          <xdr:rowOff>9525</xdr:rowOff>
        </xdr:to>
        <xdr:sp macro="" textlink="">
          <xdr:nvSpPr>
            <xdr:cNvPr id="1193" name="Drop Down 169" hidden="1">
              <a:extLst>
                <a:ext uri="{63B3BB69-23CF-44E3-9099-C40C66FF867C}">
                  <a14:compatExt spid="_x0000_s1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115</xdr:row>
          <xdr:rowOff>0</xdr:rowOff>
        </xdr:from>
        <xdr:to>
          <xdr:col>111</xdr:col>
          <xdr:colOff>333375</xdr:colOff>
          <xdr:row>116</xdr:row>
          <xdr:rowOff>9525</xdr:rowOff>
        </xdr:to>
        <xdr:sp macro="" textlink="">
          <xdr:nvSpPr>
            <xdr:cNvPr id="1194" name="Drop Down 170" hidden="1">
              <a:extLst>
                <a:ext uri="{63B3BB69-23CF-44E3-9099-C40C66FF867C}">
                  <a14:compatExt spid="_x0000_s1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115</xdr:row>
          <xdr:rowOff>0</xdr:rowOff>
        </xdr:from>
        <xdr:to>
          <xdr:col>207</xdr:col>
          <xdr:colOff>161925</xdr:colOff>
          <xdr:row>116</xdr:row>
          <xdr:rowOff>9525</xdr:rowOff>
        </xdr:to>
        <xdr:sp macro="" textlink="">
          <xdr:nvSpPr>
            <xdr:cNvPr id="1195" name="Drop Down 171" hidden="1">
              <a:extLst>
                <a:ext uri="{63B3BB69-23CF-44E3-9099-C40C66FF867C}">
                  <a14:compatExt spid="_x0000_s1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133</xdr:row>
          <xdr:rowOff>0</xdr:rowOff>
        </xdr:from>
        <xdr:to>
          <xdr:col>5</xdr:col>
          <xdr:colOff>133350</xdr:colOff>
          <xdr:row>134</xdr:row>
          <xdr:rowOff>19050</xdr:rowOff>
        </xdr:to>
        <xdr:sp macro="" textlink="">
          <xdr:nvSpPr>
            <xdr:cNvPr id="1196" name="Drop Down 172" hidden="1">
              <a:extLst>
                <a:ext uri="{63B3BB69-23CF-44E3-9099-C40C66FF867C}">
                  <a14:compatExt spid="_x0000_s1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133</xdr:row>
          <xdr:rowOff>0</xdr:rowOff>
        </xdr:from>
        <xdr:to>
          <xdr:col>8</xdr:col>
          <xdr:colOff>371475</xdr:colOff>
          <xdr:row>134</xdr:row>
          <xdr:rowOff>9525</xdr:rowOff>
        </xdr:to>
        <xdr:sp macro="" textlink="">
          <xdr:nvSpPr>
            <xdr:cNvPr id="1197" name="Drop Down 173" hidden="1">
              <a:extLst>
                <a:ext uri="{63B3BB69-23CF-44E3-9099-C40C66FF867C}">
                  <a14:compatExt spid="_x0000_s1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96</xdr:row>
          <xdr:rowOff>0</xdr:rowOff>
        </xdr:from>
        <xdr:to>
          <xdr:col>19</xdr:col>
          <xdr:colOff>333375</xdr:colOff>
          <xdr:row>97</xdr:row>
          <xdr:rowOff>9525</xdr:rowOff>
        </xdr:to>
        <xdr:sp macro="" textlink="">
          <xdr:nvSpPr>
            <xdr:cNvPr id="1198" name="Drop Down 174" hidden="1">
              <a:extLst>
                <a:ext uri="{63B3BB69-23CF-44E3-9099-C40C66FF867C}">
                  <a14:compatExt spid="_x0000_s1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117</xdr:row>
          <xdr:rowOff>0</xdr:rowOff>
        </xdr:from>
        <xdr:to>
          <xdr:col>5</xdr:col>
          <xdr:colOff>257175</xdr:colOff>
          <xdr:row>118</xdr:row>
          <xdr:rowOff>9525</xdr:rowOff>
        </xdr:to>
        <xdr:sp macro="" textlink="">
          <xdr:nvSpPr>
            <xdr:cNvPr id="1199" name="Drop Down 175" hidden="1">
              <a:extLst>
                <a:ext uri="{63B3BB69-23CF-44E3-9099-C40C66FF867C}">
                  <a14:compatExt spid="_x0000_s1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9</xdr:col>
          <xdr:colOff>190500</xdr:colOff>
          <xdr:row>118</xdr:row>
          <xdr:rowOff>9525</xdr:rowOff>
        </xdr:to>
        <xdr:sp macro="" textlink="">
          <xdr:nvSpPr>
            <xdr:cNvPr id="1200" name="Drop Down 176" hidden="1">
              <a:extLst>
                <a:ext uri="{63B3BB69-23CF-44E3-9099-C40C66FF867C}">
                  <a14:compatExt spid="_x0000_s1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117</xdr:row>
          <xdr:rowOff>0</xdr:rowOff>
        </xdr:from>
        <xdr:to>
          <xdr:col>15</xdr:col>
          <xdr:colOff>190500</xdr:colOff>
          <xdr:row>118</xdr:row>
          <xdr:rowOff>9525</xdr:rowOff>
        </xdr:to>
        <xdr:sp macro="" textlink="">
          <xdr:nvSpPr>
            <xdr:cNvPr id="1201" name="Drop Down 177" hidden="1">
              <a:extLst>
                <a:ext uri="{63B3BB69-23CF-44E3-9099-C40C66FF867C}">
                  <a14:compatExt spid="_x0000_s1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117</xdr:row>
          <xdr:rowOff>0</xdr:rowOff>
        </xdr:from>
        <xdr:to>
          <xdr:col>19</xdr:col>
          <xdr:colOff>190500</xdr:colOff>
          <xdr:row>118</xdr:row>
          <xdr:rowOff>9525</xdr:rowOff>
        </xdr:to>
        <xdr:sp macro="" textlink="">
          <xdr:nvSpPr>
            <xdr:cNvPr id="1202" name="Drop Down 178" hidden="1">
              <a:extLst>
                <a:ext uri="{63B3BB69-23CF-44E3-9099-C40C66FF867C}">
                  <a14:compatExt spid="_x0000_s1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117</xdr:row>
          <xdr:rowOff>0</xdr:rowOff>
        </xdr:from>
        <xdr:to>
          <xdr:col>10</xdr:col>
          <xdr:colOff>342900</xdr:colOff>
          <xdr:row>118</xdr:row>
          <xdr:rowOff>28575</xdr:rowOff>
        </xdr:to>
        <xdr:sp macro="" textlink="">
          <xdr:nvSpPr>
            <xdr:cNvPr id="1203" name="Check Box 179" hidden="1">
              <a:extLst>
                <a:ext uri="{63B3BB69-23CF-44E3-9099-C40C66FF867C}">
                  <a14:compatExt spid="_x0000_s1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117</xdr:row>
          <xdr:rowOff>0</xdr:rowOff>
        </xdr:from>
        <xdr:to>
          <xdr:col>23</xdr:col>
          <xdr:colOff>190500</xdr:colOff>
          <xdr:row>118</xdr:row>
          <xdr:rowOff>9525</xdr:rowOff>
        </xdr:to>
        <xdr:sp macro="" textlink="">
          <xdr:nvSpPr>
            <xdr:cNvPr id="1204" name="Drop Down 180" hidden="1">
              <a:extLst>
                <a:ext uri="{63B3BB69-23CF-44E3-9099-C40C66FF867C}">
                  <a14:compatExt spid="_x0000_s1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117</xdr:row>
          <xdr:rowOff>0</xdr:rowOff>
        </xdr:from>
        <xdr:to>
          <xdr:col>65</xdr:col>
          <xdr:colOff>19050</xdr:colOff>
          <xdr:row>118</xdr:row>
          <xdr:rowOff>9525</xdr:rowOff>
        </xdr:to>
        <xdr:sp macro="" textlink="">
          <xdr:nvSpPr>
            <xdr:cNvPr id="1205" name="Drop Down 181" hidden="1">
              <a:extLst>
                <a:ext uri="{63B3BB69-23CF-44E3-9099-C40C66FF867C}">
                  <a14:compatExt spid="_x0000_s1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117</xdr:row>
          <xdr:rowOff>0</xdr:rowOff>
        </xdr:from>
        <xdr:to>
          <xdr:col>111</xdr:col>
          <xdr:colOff>333375</xdr:colOff>
          <xdr:row>118</xdr:row>
          <xdr:rowOff>9525</xdr:rowOff>
        </xdr:to>
        <xdr:sp macro="" textlink="">
          <xdr:nvSpPr>
            <xdr:cNvPr id="1206" name="Drop Down 182" hidden="1">
              <a:extLst>
                <a:ext uri="{63B3BB69-23CF-44E3-9099-C40C66FF867C}">
                  <a14:compatExt spid="_x0000_s1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117</xdr:row>
          <xdr:rowOff>0</xdr:rowOff>
        </xdr:from>
        <xdr:to>
          <xdr:col>207</xdr:col>
          <xdr:colOff>161925</xdr:colOff>
          <xdr:row>118</xdr:row>
          <xdr:rowOff>9525</xdr:rowOff>
        </xdr:to>
        <xdr:sp macro="" textlink="">
          <xdr:nvSpPr>
            <xdr:cNvPr id="1207" name="Drop Down 183" hidden="1">
              <a:extLst>
                <a:ext uri="{63B3BB69-23CF-44E3-9099-C40C66FF867C}">
                  <a14:compatExt spid="_x0000_s1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119</xdr:row>
          <xdr:rowOff>0</xdr:rowOff>
        </xdr:from>
        <xdr:to>
          <xdr:col>5</xdr:col>
          <xdr:colOff>257175</xdr:colOff>
          <xdr:row>120</xdr:row>
          <xdr:rowOff>9525</xdr:rowOff>
        </xdr:to>
        <xdr:sp macro="" textlink="">
          <xdr:nvSpPr>
            <xdr:cNvPr id="1208" name="Drop Down 184" hidden="1">
              <a:extLst>
                <a:ext uri="{63B3BB69-23CF-44E3-9099-C40C66FF867C}">
                  <a14:compatExt spid="_x0000_s1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9</xdr:col>
          <xdr:colOff>190500</xdr:colOff>
          <xdr:row>120</xdr:row>
          <xdr:rowOff>9525</xdr:rowOff>
        </xdr:to>
        <xdr:sp macro="" textlink="">
          <xdr:nvSpPr>
            <xdr:cNvPr id="1209" name="Drop Down 185" hidden="1">
              <a:extLst>
                <a:ext uri="{63B3BB69-23CF-44E3-9099-C40C66FF867C}">
                  <a14:compatExt spid="_x0000_s1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119</xdr:row>
          <xdr:rowOff>0</xdr:rowOff>
        </xdr:from>
        <xdr:to>
          <xdr:col>15</xdr:col>
          <xdr:colOff>190500</xdr:colOff>
          <xdr:row>120</xdr:row>
          <xdr:rowOff>9525</xdr:rowOff>
        </xdr:to>
        <xdr:sp macro="" textlink="">
          <xdr:nvSpPr>
            <xdr:cNvPr id="1210" name="Drop Down 186" hidden="1">
              <a:extLst>
                <a:ext uri="{63B3BB69-23CF-44E3-9099-C40C66FF867C}">
                  <a14:compatExt spid="_x0000_s1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119</xdr:row>
          <xdr:rowOff>0</xdr:rowOff>
        </xdr:from>
        <xdr:to>
          <xdr:col>19</xdr:col>
          <xdr:colOff>190500</xdr:colOff>
          <xdr:row>120</xdr:row>
          <xdr:rowOff>9525</xdr:rowOff>
        </xdr:to>
        <xdr:sp macro="" textlink="">
          <xdr:nvSpPr>
            <xdr:cNvPr id="1211" name="Drop Down 187" hidden="1">
              <a:extLst>
                <a:ext uri="{63B3BB69-23CF-44E3-9099-C40C66FF867C}">
                  <a14:compatExt spid="_x0000_s1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119</xdr:row>
          <xdr:rowOff>0</xdr:rowOff>
        </xdr:from>
        <xdr:to>
          <xdr:col>10</xdr:col>
          <xdr:colOff>342900</xdr:colOff>
          <xdr:row>120</xdr:row>
          <xdr:rowOff>28575</xdr:rowOff>
        </xdr:to>
        <xdr:sp macro="" textlink="">
          <xdr:nvSpPr>
            <xdr:cNvPr id="1212" name="Check Box 188" hidden="1">
              <a:extLst>
                <a:ext uri="{63B3BB69-23CF-44E3-9099-C40C66FF867C}">
                  <a14:compatExt spid="_x0000_s1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119</xdr:row>
          <xdr:rowOff>0</xdr:rowOff>
        </xdr:from>
        <xdr:to>
          <xdr:col>23</xdr:col>
          <xdr:colOff>190500</xdr:colOff>
          <xdr:row>120</xdr:row>
          <xdr:rowOff>9525</xdr:rowOff>
        </xdr:to>
        <xdr:sp macro="" textlink="">
          <xdr:nvSpPr>
            <xdr:cNvPr id="1213" name="Drop Down 189" hidden="1">
              <a:extLst>
                <a:ext uri="{63B3BB69-23CF-44E3-9099-C40C66FF867C}">
                  <a14:compatExt spid="_x0000_s1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119</xdr:row>
          <xdr:rowOff>0</xdr:rowOff>
        </xdr:from>
        <xdr:to>
          <xdr:col>65</xdr:col>
          <xdr:colOff>19050</xdr:colOff>
          <xdr:row>120</xdr:row>
          <xdr:rowOff>9525</xdr:rowOff>
        </xdr:to>
        <xdr:sp macro="" textlink="">
          <xdr:nvSpPr>
            <xdr:cNvPr id="1214" name="Drop Down 190" hidden="1">
              <a:extLst>
                <a:ext uri="{63B3BB69-23CF-44E3-9099-C40C66FF867C}">
                  <a14:compatExt spid="_x0000_s1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119</xdr:row>
          <xdr:rowOff>0</xdr:rowOff>
        </xdr:from>
        <xdr:to>
          <xdr:col>111</xdr:col>
          <xdr:colOff>333375</xdr:colOff>
          <xdr:row>120</xdr:row>
          <xdr:rowOff>9525</xdr:rowOff>
        </xdr:to>
        <xdr:sp macro="" textlink="">
          <xdr:nvSpPr>
            <xdr:cNvPr id="1215" name="Drop Down 191" hidden="1">
              <a:extLst>
                <a:ext uri="{63B3BB69-23CF-44E3-9099-C40C66FF867C}">
                  <a14:compatExt spid="_x0000_s1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119</xdr:row>
          <xdr:rowOff>0</xdr:rowOff>
        </xdr:from>
        <xdr:to>
          <xdr:col>207</xdr:col>
          <xdr:colOff>161925</xdr:colOff>
          <xdr:row>120</xdr:row>
          <xdr:rowOff>9525</xdr:rowOff>
        </xdr:to>
        <xdr:sp macro="" textlink="">
          <xdr:nvSpPr>
            <xdr:cNvPr id="1216" name="Drop Down 192" hidden="1">
              <a:extLst>
                <a:ext uri="{63B3BB69-23CF-44E3-9099-C40C66FF867C}">
                  <a14:compatExt spid="_x0000_s1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121</xdr:row>
          <xdr:rowOff>0</xdr:rowOff>
        </xdr:from>
        <xdr:to>
          <xdr:col>5</xdr:col>
          <xdr:colOff>257175</xdr:colOff>
          <xdr:row>122</xdr:row>
          <xdr:rowOff>9525</xdr:rowOff>
        </xdr:to>
        <xdr:sp macro="" textlink="">
          <xdr:nvSpPr>
            <xdr:cNvPr id="1217" name="Drop Down 193" hidden="1">
              <a:extLst>
                <a:ext uri="{63B3BB69-23CF-44E3-9099-C40C66FF867C}">
                  <a14:compatExt spid="_x0000_s1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9</xdr:col>
          <xdr:colOff>190500</xdr:colOff>
          <xdr:row>122</xdr:row>
          <xdr:rowOff>9525</xdr:rowOff>
        </xdr:to>
        <xdr:sp macro="" textlink="">
          <xdr:nvSpPr>
            <xdr:cNvPr id="1218" name="Drop Down 194" hidden="1">
              <a:extLst>
                <a:ext uri="{63B3BB69-23CF-44E3-9099-C40C66FF867C}">
                  <a14:compatExt spid="_x0000_s1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121</xdr:row>
          <xdr:rowOff>0</xdr:rowOff>
        </xdr:from>
        <xdr:to>
          <xdr:col>15</xdr:col>
          <xdr:colOff>190500</xdr:colOff>
          <xdr:row>122</xdr:row>
          <xdr:rowOff>9525</xdr:rowOff>
        </xdr:to>
        <xdr:sp macro="" textlink="">
          <xdr:nvSpPr>
            <xdr:cNvPr id="1219" name="Drop Down 195" hidden="1">
              <a:extLst>
                <a:ext uri="{63B3BB69-23CF-44E3-9099-C40C66FF867C}">
                  <a14:compatExt spid="_x0000_s1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121</xdr:row>
          <xdr:rowOff>0</xdr:rowOff>
        </xdr:from>
        <xdr:to>
          <xdr:col>19</xdr:col>
          <xdr:colOff>190500</xdr:colOff>
          <xdr:row>122</xdr:row>
          <xdr:rowOff>9525</xdr:rowOff>
        </xdr:to>
        <xdr:sp macro="" textlink="">
          <xdr:nvSpPr>
            <xdr:cNvPr id="1220" name="Drop Down 196" hidden="1">
              <a:extLst>
                <a:ext uri="{63B3BB69-23CF-44E3-9099-C40C66FF867C}">
                  <a14:compatExt spid="_x0000_s1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121</xdr:row>
          <xdr:rowOff>0</xdr:rowOff>
        </xdr:from>
        <xdr:to>
          <xdr:col>10</xdr:col>
          <xdr:colOff>342900</xdr:colOff>
          <xdr:row>122</xdr:row>
          <xdr:rowOff>28575</xdr:rowOff>
        </xdr:to>
        <xdr:sp macro="" textlink="">
          <xdr:nvSpPr>
            <xdr:cNvPr id="1221" name="Check Box 197" hidden="1">
              <a:extLst>
                <a:ext uri="{63B3BB69-23CF-44E3-9099-C40C66FF867C}">
                  <a14:compatExt spid="_x0000_s1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121</xdr:row>
          <xdr:rowOff>0</xdr:rowOff>
        </xdr:from>
        <xdr:to>
          <xdr:col>23</xdr:col>
          <xdr:colOff>190500</xdr:colOff>
          <xdr:row>122</xdr:row>
          <xdr:rowOff>9525</xdr:rowOff>
        </xdr:to>
        <xdr:sp macro="" textlink="">
          <xdr:nvSpPr>
            <xdr:cNvPr id="1222" name="Drop Down 198" hidden="1">
              <a:extLst>
                <a:ext uri="{63B3BB69-23CF-44E3-9099-C40C66FF867C}">
                  <a14:compatExt spid="_x0000_s1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121</xdr:row>
          <xdr:rowOff>0</xdr:rowOff>
        </xdr:from>
        <xdr:to>
          <xdr:col>65</xdr:col>
          <xdr:colOff>19050</xdr:colOff>
          <xdr:row>122</xdr:row>
          <xdr:rowOff>9525</xdr:rowOff>
        </xdr:to>
        <xdr:sp macro="" textlink="">
          <xdr:nvSpPr>
            <xdr:cNvPr id="1223" name="Drop Down 199" hidden="1">
              <a:extLst>
                <a:ext uri="{63B3BB69-23CF-44E3-9099-C40C66FF867C}">
                  <a14:compatExt spid="_x0000_s1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121</xdr:row>
          <xdr:rowOff>0</xdr:rowOff>
        </xdr:from>
        <xdr:to>
          <xdr:col>111</xdr:col>
          <xdr:colOff>333375</xdr:colOff>
          <xdr:row>122</xdr:row>
          <xdr:rowOff>9525</xdr:rowOff>
        </xdr:to>
        <xdr:sp macro="" textlink="">
          <xdr:nvSpPr>
            <xdr:cNvPr id="1224" name="Drop Down 200" hidden="1">
              <a:extLst>
                <a:ext uri="{63B3BB69-23CF-44E3-9099-C40C66FF867C}">
                  <a14:compatExt spid="_x0000_s1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121</xdr:row>
          <xdr:rowOff>0</xdr:rowOff>
        </xdr:from>
        <xdr:to>
          <xdr:col>207</xdr:col>
          <xdr:colOff>161925</xdr:colOff>
          <xdr:row>122</xdr:row>
          <xdr:rowOff>9525</xdr:rowOff>
        </xdr:to>
        <xdr:sp macro="" textlink="">
          <xdr:nvSpPr>
            <xdr:cNvPr id="1225" name="Drop Down 201" hidden="1">
              <a:extLst>
                <a:ext uri="{63B3BB69-23CF-44E3-9099-C40C66FF867C}">
                  <a14:compatExt spid="_x0000_s1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123</xdr:row>
          <xdr:rowOff>0</xdr:rowOff>
        </xdr:from>
        <xdr:to>
          <xdr:col>5</xdr:col>
          <xdr:colOff>257175</xdr:colOff>
          <xdr:row>124</xdr:row>
          <xdr:rowOff>9525</xdr:rowOff>
        </xdr:to>
        <xdr:sp macro="" textlink="">
          <xdr:nvSpPr>
            <xdr:cNvPr id="1226" name="Drop Down 202" hidden="1">
              <a:extLst>
                <a:ext uri="{63B3BB69-23CF-44E3-9099-C40C66FF867C}">
                  <a14:compatExt spid="_x0000_s1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9</xdr:col>
          <xdr:colOff>190500</xdr:colOff>
          <xdr:row>124</xdr:row>
          <xdr:rowOff>9525</xdr:rowOff>
        </xdr:to>
        <xdr:sp macro="" textlink="">
          <xdr:nvSpPr>
            <xdr:cNvPr id="1227" name="Drop Down 203" hidden="1">
              <a:extLst>
                <a:ext uri="{63B3BB69-23CF-44E3-9099-C40C66FF867C}">
                  <a14:compatExt spid="_x0000_s1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123</xdr:row>
          <xdr:rowOff>0</xdr:rowOff>
        </xdr:from>
        <xdr:to>
          <xdr:col>15</xdr:col>
          <xdr:colOff>190500</xdr:colOff>
          <xdr:row>124</xdr:row>
          <xdr:rowOff>9525</xdr:rowOff>
        </xdr:to>
        <xdr:sp macro="" textlink="">
          <xdr:nvSpPr>
            <xdr:cNvPr id="1228" name="Drop Down 204" hidden="1">
              <a:extLst>
                <a:ext uri="{63B3BB69-23CF-44E3-9099-C40C66FF867C}">
                  <a14:compatExt spid="_x0000_s1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123</xdr:row>
          <xdr:rowOff>0</xdr:rowOff>
        </xdr:from>
        <xdr:to>
          <xdr:col>19</xdr:col>
          <xdr:colOff>190500</xdr:colOff>
          <xdr:row>124</xdr:row>
          <xdr:rowOff>9525</xdr:rowOff>
        </xdr:to>
        <xdr:sp macro="" textlink="">
          <xdr:nvSpPr>
            <xdr:cNvPr id="1229" name="Drop Down 205" hidden="1">
              <a:extLst>
                <a:ext uri="{63B3BB69-23CF-44E3-9099-C40C66FF867C}">
                  <a14:compatExt spid="_x0000_s1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123</xdr:row>
          <xdr:rowOff>0</xdr:rowOff>
        </xdr:from>
        <xdr:to>
          <xdr:col>10</xdr:col>
          <xdr:colOff>342900</xdr:colOff>
          <xdr:row>124</xdr:row>
          <xdr:rowOff>28575</xdr:rowOff>
        </xdr:to>
        <xdr:sp macro="" textlink="">
          <xdr:nvSpPr>
            <xdr:cNvPr id="1230" name="Check Box 206" hidden="1">
              <a:extLst>
                <a:ext uri="{63B3BB69-23CF-44E3-9099-C40C66FF867C}">
                  <a14:compatExt spid="_x0000_s1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123</xdr:row>
          <xdr:rowOff>0</xdr:rowOff>
        </xdr:from>
        <xdr:to>
          <xdr:col>23</xdr:col>
          <xdr:colOff>190500</xdr:colOff>
          <xdr:row>124</xdr:row>
          <xdr:rowOff>9525</xdr:rowOff>
        </xdr:to>
        <xdr:sp macro="" textlink="">
          <xdr:nvSpPr>
            <xdr:cNvPr id="1231" name="Drop Down 207" hidden="1">
              <a:extLst>
                <a:ext uri="{63B3BB69-23CF-44E3-9099-C40C66FF867C}">
                  <a14:compatExt spid="_x0000_s1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123</xdr:row>
          <xdr:rowOff>0</xdr:rowOff>
        </xdr:from>
        <xdr:to>
          <xdr:col>65</xdr:col>
          <xdr:colOff>19050</xdr:colOff>
          <xdr:row>124</xdr:row>
          <xdr:rowOff>9525</xdr:rowOff>
        </xdr:to>
        <xdr:sp macro="" textlink="">
          <xdr:nvSpPr>
            <xdr:cNvPr id="1232" name="Drop Down 208" hidden="1">
              <a:extLst>
                <a:ext uri="{63B3BB69-23CF-44E3-9099-C40C66FF867C}">
                  <a14:compatExt spid="_x0000_s1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123</xdr:row>
          <xdr:rowOff>0</xdr:rowOff>
        </xdr:from>
        <xdr:to>
          <xdr:col>111</xdr:col>
          <xdr:colOff>333375</xdr:colOff>
          <xdr:row>124</xdr:row>
          <xdr:rowOff>9525</xdr:rowOff>
        </xdr:to>
        <xdr:sp macro="" textlink="">
          <xdr:nvSpPr>
            <xdr:cNvPr id="1233" name="Drop Down 209" hidden="1">
              <a:extLst>
                <a:ext uri="{63B3BB69-23CF-44E3-9099-C40C66FF867C}">
                  <a14:compatExt spid="_x0000_s1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123</xdr:row>
          <xdr:rowOff>0</xdr:rowOff>
        </xdr:from>
        <xdr:to>
          <xdr:col>207</xdr:col>
          <xdr:colOff>161925</xdr:colOff>
          <xdr:row>124</xdr:row>
          <xdr:rowOff>9525</xdr:rowOff>
        </xdr:to>
        <xdr:sp macro="" textlink="">
          <xdr:nvSpPr>
            <xdr:cNvPr id="1234" name="Drop Down 210" hidden="1">
              <a:extLst>
                <a:ext uri="{63B3BB69-23CF-44E3-9099-C40C66FF867C}">
                  <a14:compatExt spid="_x0000_s1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125</xdr:row>
          <xdr:rowOff>0</xdr:rowOff>
        </xdr:from>
        <xdr:to>
          <xdr:col>5</xdr:col>
          <xdr:colOff>257175</xdr:colOff>
          <xdr:row>126</xdr:row>
          <xdr:rowOff>9525</xdr:rowOff>
        </xdr:to>
        <xdr:sp macro="" textlink="">
          <xdr:nvSpPr>
            <xdr:cNvPr id="1235" name="Drop Down 211" hidden="1">
              <a:extLst>
                <a:ext uri="{63B3BB69-23CF-44E3-9099-C40C66FF867C}">
                  <a14:compatExt spid="_x0000_s1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125</xdr:row>
          <xdr:rowOff>0</xdr:rowOff>
        </xdr:from>
        <xdr:to>
          <xdr:col>9</xdr:col>
          <xdr:colOff>190500</xdr:colOff>
          <xdr:row>126</xdr:row>
          <xdr:rowOff>9525</xdr:rowOff>
        </xdr:to>
        <xdr:sp macro="" textlink="">
          <xdr:nvSpPr>
            <xdr:cNvPr id="1236" name="Drop Down 212" hidden="1">
              <a:extLst>
                <a:ext uri="{63B3BB69-23CF-44E3-9099-C40C66FF867C}">
                  <a14:compatExt spid="_x0000_s1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125</xdr:row>
          <xdr:rowOff>0</xdr:rowOff>
        </xdr:from>
        <xdr:to>
          <xdr:col>15</xdr:col>
          <xdr:colOff>190500</xdr:colOff>
          <xdr:row>126</xdr:row>
          <xdr:rowOff>9525</xdr:rowOff>
        </xdr:to>
        <xdr:sp macro="" textlink="">
          <xdr:nvSpPr>
            <xdr:cNvPr id="1237" name="Drop Down 213" hidden="1">
              <a:extLst>
                <a:ext uri="{63B3BB69-23CF-44E3-9099-C40C66FF867C}">
                  <a14:compatExt spid="_x0000_s1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125</xdr:row>
          <xdr:rowOff>0</xdr:rowOff>
        </xdr:from>
        <xdr:to>
          <xdr:col>19</xdr:col>
          <xdr:colOff>190500</xdr:colOff>
          <xdr:row>126</xdr:row>
          <xdr:rowOff>9525</xdr:rowOff>
        </xdr:to>
        <xdr:sp macro="" textlink="">
          <xdr:nvSpPr>
            <xdr:cNvPr id="1238" name="Drop Down 214" hidden="1">
              <a:extLst>
                <a:ext uri="{63B3BB69-23CF-44E3-9099-C40C66FF867C}">
                  <a14:compatExt spid="_x0000_s1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125</xdr:row>
          <xdr:rowOff>0</xdr:rowOff>
        </xdr:from>
        <xdr:to>
          <xdr:col>10</xdr:col>
          <xdr:colOff>342900</xdr:colOff>
          <xdr:row>126</xdr:row>
          <xdr:rowOff>28575</xdr:rowOff>
        </xdr:to>
        <xdr:sp macro="" textlink="">
          <xdr:nvSpPr>
            <xdr:cNvPr id="1239" name="Check Box 215" hidden="1">
              <a:extLst>
                <a:ext uri="{63B3BB69-23CF-44E3-9099-C40C66FF867C}">
                  <a14:compatExt spid="_x0000_s1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125</xdr:row>
          <xdr:rowOff>0</xdr:rowOff>
        </xdr:from>
        <xdr:to>
          <xdr:col>23</xdr:col>
          <xdr:colOff>190500</xdr:colOff>
          <xdr:row>126</xdr:row>
          <xdr:rowOff>9525</xdr:rowOff>
        </xdr:to>
        <xdr:sp macro="" textlink="">
          <xdr:nvSpPr>
            <xdr:cNvPr id="1240" name="Drop Down 216" hidden="1">
              <a:extLst>
                <a:ext uri="{63B3BB69-23CF-44E3-9099-C40C66FF867C}">
                  <a14:compatExt spid="_x0000_s1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125</xdr:row>
          <xdr:rowOff>0</xdr:rowOff>
        </xdr:from>
        <xdr:to>
          <xdr:col>65</xdr:col>
          <xdr:colOff>19050</xdr:colOff>
          <xdr:row>126</xdr:row>
          <xdr:rowOff>9525</xdr:rowOff>
        </xdr:to>
        <xdr:sp macro="" textlink="">
          <xdr:nvSpPr>
            <xdr:cNvPr id="1241" name="Drop Down 217" hidden="1">
              <a:extLst>
                <a:ext uri="{63B3BB69-23CF-44E3-9099-C40C66FF867C}">
                  <a14:compatExt spid="_x0000_s1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125</xdr:row>
          <xdr:rowOff>0</xdr:rowOff>
        </xdr:from>
        <xdr:to>
          <xdr:col>111</xdr:col>
          <xdr:colOff>333375</xdr:colOff>
          <xdr:row>126</xdr:row>
          <xdr:rowOff>9525</xdr:rowOff>
        </xdr:to>
        <xdr:sp macro="" textlink="">
          <xdr:nvSpPr>
            <xdr:cNvPr id="1242" name="Drop Down 218" hidden="1">
              <a:extLst>
                <a:ext uri="{63B3BB69-23CF-44E3-9099-C40C66FF867C}">
                  <a14:compatExt spid="_x0000_s1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125</xdr:row>
          <xdr:rowOff>0</xdr:rowOff>
        </xdr:from>
        <xdr:to>
          <xdr:col>207</xdr:col>
          <xdr:colOff>161925</xdr:colOff>
          <xdr:row>126</xdr:row>
          <xdr:rowOff>9525</xdr:rowOff>
        </xdr:to>
        <xdr:sp macro="" textlink="">
          <xdr:nvSpPr>
            <xdr:cNvPr id="1243" name="Drop Down 219" hidden="1">
              <a:extLst>
                <a:ext uri="{63B3BB69-23CF-44E3-9099-C40C66FF867C}">
                  <a14:compatExt spid="_x0000_s1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127</xdr:row>
          <xdr:rowOff>0</xdr:rowOff>
        </xdr:from>
        <xdr:to>
          <xdr:col>5</xdr:col>
          <xdr:colOff>257175</xdr:colOff>
          <xdr:row>128</xdr:row>
          <xdr:rowOff>9525</xdr:rowOff>
        </xdr:to>
        <xdr:sp macro="" textlink="">
          <xdr:nvSpPr>
            <xdr:cNvPr id="1244" name="Drop Down 220" hidden="1">
              <a:extLst>
                <a:ext uri="{63B3BB69-23CF-44E3-9099-C40C66FF867C}">
                  <a14:compatExt spid="_x0000_s1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127</xdr:row>
          <xdr:rowOff>0</xdr:rowOff>
        </xdr:from>
        <xdr:to>
          <xdr:col>9</xdr:col>
          <xdr:colOff>190500</xdr:colOff>
          <xdr:row>128</xdr:row>
          <xdr:rowOff>9525</xdr:rowOff>
        </xdr:to>
        <xdr:sp macro="" textlink="">
          <xdr:nvSpPr>
            <xdr:cNvPr id="1245" name="Drop Down 221" hidden="1">
              <a:extLst>
                <a:ext uri="{63B3BB69-23CF-44E3-9099-C40C66FF867C}">
                  <a14:compatExt spid="_x0000_s1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127</xdr:row>
          <xdr:rowOff>0</xdr:rowOff>
        </xdr:from>
        <xdr:to>
          <xdr:col>15</xdr:col>
          <xdr:colOff>190500</xdr:colOff>
          <xdr:row>128</xdr:row>
          <xdr:rowOff>9525</xdr:rowOff>
        </xdr:to>
        <xdr:sp macro="" textlink="">
          <xdr:nvSpPr>
            <xdr:cNvPr id="1246" name="Drop Down 222" hidden="1">
              <a:extLst>
                <a:ext uri="{63B3BB69-23CF-44E3-9099-C40C66FF867C}">
                  <a14:compatExt spid="_x0000_s1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127</xdr:row>
          <xdr:rowOff>0</xdr:rowOff>
        </xdr:from>
        <xdr:to>
          <xdr:col>19</xdr:col>
          <xdr:colOff>190500</xdr:colOff>
          <xdr:row>128</xdr:row>
          <xdr:rowOff>9525</xdr:rowOff>
        </xdr:to>
        <xdr:sp macro="" textlink="">
          <xdr:nvSpPr>
            <xdr:cNvPr id="1247" name="Drop Down 223" hidden="1">
              <a:extLst>
                <a:ext uri="{63B3BB69-23CF-44E3-9099-C40C66FF867C}">
                  <a14:compatExt spid="_x0000_s1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127</xdr:row>
          <xdr:rowOff>0</xdr:rowOff>
        </xdr:from>
        <xdr:to>
          <xdr:col>10</xdr:col>
          <xdr:colOff>342900</xdr:colOff>
          <xdr:row>128</xdr:row>
          <xdr:rowOff>28575</xdr:rowOff>
        </xdr:to>
        <xdr:sp macro="" textlink="">
          <xdr:nvSpPr>
            <xdr:cNvPr id="1248" name="Check Box 224" hidden="1">
              <a:extLst>
                <a:ext uri="{63B3BB69-23CF-44E3-9099-C40C66FF867C}">
                  <a14:compatExt spid="_x0000_s1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127</xdr:row>
          <xdr:rowOff>0</xdr:rowOff>
        </xdr:from>
        <xdr:to>
          <xdr:col>23</xdr:col>
          <xdr:colOff>190500</xdr:colOff>
          <xdr:row>128</xdr:row>
          <xdr:rowOff>9525</xdr:rowOff>
        </xdr:to>
        <xdr:sp macro="" textlink="">
          <xdr:nvSpPr>
            <xdr:cNvPr id="1249" name="Drop Down 225" hidden="1">
              <a:extLst>
                <a:ext uri="{63B3BB69-23CF-44E3-9099-C40C66FF867C}">
                  <a14:compatExt spid="_x0000_s1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127</xdr:row>
          <xdr:rowOff>0</xdr:rowOff>
        </xdr:from>
        <xdr:to>
          <xdr:col>65</xdr:col>
          <xdr:colOff>19050</xdr:colOff>
          <xdr:row>128</xdr:row>
          <xdr:rowOff>9525</xdr:rowOff>
        </xdr:to>
        <xdr:sp macro="" textlink="">
          <xdr:nvSpPr>
            <xdr:cNvPr id="1250" name="Drop Down 226" hidden="1">
              <a:extLst>
                <a:ext uri="{63B3BB69-23CF-44E3-9099-C40C66FF867C}">
                  <a14:compatExt spid="_x0000_s1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127</xdr:row>
          <xdr:rowOff>0</xdr:rowOff>
        </xdr:from>
        <xdr:to>
          <xdr:col>111</xdr:col>
          <xdr:colOff>333375</xdr:colOff>
          <xdr:row>128</xdr:row>
          <xdr:rowOff>9525</xdr:rowOff>
        </xdr:to>
        <xdr:sp macro="" textlink="">
          <xdr:nvSpPr>
            <xdr:cNvPr id="1251" name="Drop Down 227" hidden="1">
              <a:extLst>
                <a:ext uri="{63B3BB69-23CF-44E3-9099-C40C66FF867C}">
                  <a14:compatExt spid="_x0000_s1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127</xdr:row>
          <xdr:rowOff>0</xdr:rowOff>
        </xdr:from>
        <xdr:to>
          <xdr:col>207</xdr:col>
          <xdr:colOff>161925</xdr:colOff>
          <xdr:row>128</xdr:row>
          <xdr:rowOff>9525</xdr:rowOff>
        </xdr:to>
        <xdr:sp macro="" textlink="">
          <xdr:nvSpPr>
            <xdr:cNvPr id="1252" name="Drop Down 228" hidden="1">
              <a:extLst>
                <a:ext uri="{63B3BB69-23CF-44E3-9099-C40C66FF867C}">
                  <a14:compatExt spid="_x0000_s1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129</xdr:row>
          <xdr:rowOff>0</xdr:rowOff>
        </xdr:from>
        <xdr:to>
          <xdr:col>5</xdr:col>
          <xdr:colOff>257175</xdr:colOff>
          <xdr:row>130</xdr:row>
          <xdr:rowOff>9525</xdr:rowOff>
        </xdr:to>
        <xdr:sp macro="" textlink="">
          <xdr:nvSpPr>
            <xdr:cNvPr id="1253" name="Drop Down 229" hidden="1">
              <a:extLst>
                <a:ext uri="{63B3BB69-23CF-44E3-9099-C40C66FF867C}">
                  <a14:compatExt spid="_x0000_s1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9</xdr:col>
          <xdr:colOff>190500</xdr:colOff>
          <xdr:row>130</xdr:row>
          <xdr:rowOff>9525</xdr:rowOff>
        </xdr:to>
        <xdr:sp macro="" textlink="">
          <xdr:nvSpPr>
            <xdr:cNvPr id="1254" name="Drop Down 230" hidden="1">
              <a:extLst>
                <a:ext uri="{63B3BB69-23CF-44E3-9099-C40C66FF867C}">
                  <a14:compatExt spid="_x0000_s1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129</xdr:row>
          <xdr:rowOff>0</xdr:rowOff>
        </xdr:from>
        <xdr:to>
          <xdr:col>15</xdr:col>
          <xdr:colOff>190500</xdr:colOff>
          <xdr:row>130</xdr:row>
          <xdr:rowOff>9525</xdr:rowOff>
        </xdr:to>
        <xdr:sp macro="" textlink="">
          <xdr:nvSpPr>
            <xdr:cNvPr id="1255" name="Drop Down 231" hidden="1">
              <a:extLst>
                <a:ext uri="{63B3BB69-23CF-44E3-9099-C40C66FF867C}">
                  <a14:compatExt spid="_x0000_s1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129</xdr:row>
          <xdr:rowOff>0</xdr:rowOff>
        </xdr:from>
        <xdr:to>
          <xdr:col>19</xdr:col>
          <xdr:colOff>190500</xdr:colOff>
          <xdr:row>130</xdr:row>
          <xdr:rowOff>9525</xdr:rowOff>
        </xdr:to>
        <xdr:sp macro="" textlink="">
          <xdr:nvSpPr>
            <xdr:cNvPr id="1256" name="Drop Down 232" hidden="1">
              <a:extLst>
                <a:ext uri="{63B3BB69-23CF-44E3-9099-C40C66FF867C}">
                  <a14:compatExt spid="_x0000_s1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129</xdr:row>
          <xdr:rowOff>0</xdr:rowOff>
        </xdr:from>
        <xdr:to>
          <xdr:col>10</xdr:col>
          <xdr:colOff>342900</xdr:colOff>
          <xdr:row>130</xdr:row>
          <xdr:rowOff>28575</xdr:rowOff>
        </xdr:to>
        <xdr:sp macro="" textlink="">
          <xdr:nvSpPr>
            <xdr:cNvPr id="1257" name="Check Box 233" hidden="1">
              <a:extLst>
                <a:ext uri="{63B3BB69-23CF-44E3-9099-C40C66FF867C}">
                  <a14:compatExt spid="_x0000_s1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129</xdr:row>
          <xdr:rowOff>0</xdr:rowOff>
        </xdr:from>
        <xdr:to>
          <xdr:col>23</xdr:col>
          <xdr:colOff>190500</xdr:colOff>
          <xdr:row>130</xdr:row>
          <xdr:rowOff>9525</xdr:rowOff>
        </xdr:to>
        <xdr:sp macro="" textlink="">
          <xdr:nvSpPr>
            <xdr:cNvPr id="1258" name="Drop Down 234" hidden="1">
              <a:extLst>
                <a:ext uri="{63B3BB69-23CF-44E3-9099-C40C66FF867C}">
                  <a14:compatExt spid="_x0000_s1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129</xdr:row>
          <xdr:rowOff>0</xdr:rowOff>
        </xdr:from>
        <xdr:to>
          <xdr:col>65</xdr:col>
          <xdr:colOff>19050</xdr:colOff>
          <xdr:row>130</xdr:row>
          <xdr:rowOff>9525</xdr:rowOff>
        </xdr:to>
        <xdr:sp macro="" textlink="">
          <xdr:nvSpPr>
            <xdr:cNvPr id="1259" name="Drop Down 235" hidden="1">
              <a:extLst>
                <a:ext uri="{63B3BB69-23CF-44E3-9099-C40C66FF867C}">
                  <a14:compatExt spid="_x0000_s1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129</xdr:row>
          <xdr:rowOff>0</xdr:rowOff>
        </xdr:from>
        <xdr:to>
          <xdr:col>111</xdr:col>
          <xdr:colOff>333375</xdr:colOff>
          <xdr:row>130</xdr:row>
          <xdr:rowOff>9525</xdr:rowOff>
        </xdr:to>
        <xdr:sp macro="" textlink="">
          <xdr:nvSpPr>
            <xdr:cNvPr id="1260" name="Drop Down 236" hidden="1">
              <a:extLst>
                <a:ext uri="{63B3BB69-23CF-44E3-9099-C40C66FF867C}">
                  <a14:compatExt spid="_x0000_s1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129</xdr:row>
          <xdr:rowOff>0</xdr:rowOff>
        </xdr:from>
        <xdr:to>
          <xdr:col>207</xdr:col>
          <xdr:colOff>161925</xdr:colOff>
          <xdr:row>130</xdr:row>
          <xdr:rowOff>9525</xdr:rowOff>
        </xdr:to>
        <xdr:sp macro="" textlink="">
          <xdr:nvSpPr>
            <xdr:cNvPr id="1261" name="Drop Down 237" hidden="1">
              <a:extLst>
                <a:ext uri="{63B3BB69-23CF-44E3-9099-C40C66FF867C}">
                  <a14:compatExt spid="_x0000_s1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137</xdr:row>
          <xdr:rowOff>0</xdr:rowOff>
        </xdr:from>
        <xdr:to>
          <xdr:col>5</xdr:col>
          <xdr:colOff>257175</xdr:colOff>
          <xdr:row>138</xdr:row>
          <xdr:rowOff>9525</xdr:rowOff>
        </xdr:to>
        <xdr:sp macro="" textlink="">
          <xdr:nvSpPr>
            <xdr:cNvPr id="1262" name="Drop Down 238" hidden="1">
              <a:extLst>
                <a:ext uri="{63B3BB69-23CF-44E3-9099-C40C66FF867C}">
                  <a14:compatExt spid="_x0000_s1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137</xdr:row>
          <xdr:rowOff>0</xdr:rowOff>
        </xdr:from>
        <xdr:to>
          <xdr:col>9</xdr:col>
          <xdr:colOff>190500</xdr:colOff>
          <xdr:row>138</xdr:row>
          <xdr:rowOff>9525</xdr:rowOff>
        </xdr:to>
        <xdr:sp macro="" textlink="">
          <xdr:nvSpPr>
            <xdr:cNvPr id="1263" name="Drop Down 239" hidden="1">
              <a:extLst>
                <a:ext uri="{63B3BB69-23CF-44E3-9099-C40C66FF867C}">
                  <a14:compatExt spid="_x0000_s1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137</xdr:row>
          <xdr:rowOff>0</xdr:rowOff>
        </xdr:from>
        <xdr:to>
          <xdr:col>15</xdr:col>
          <xdr:colOff>190500</xdr:colOff>
          <xdr:row>138</xdr:row>
          <xdr:rowOff>9525</xdr:rowOff>
        </xdr:to>
        <xdr:sp macro="" textlink="">
          <xdr:nvSpPr>
            <xdr:cNvPr id="1264" name="Drop Down 240" hidden="1">
              <a:extLst>
                <a:ext uri="{63B3BB69-23CF-44E3-9099-C40C66FF867C}">
                  <a14:compatExt spid="_x0000_s1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137</xdr:row>
          <xdr:rowOff>0</xdr:rowOff>
        </xdr:from>
        <xdr:to>
          <xdr:col>19</xdr:col>
          <xdr:colOff>190500</xdr:colOff>
          <xdr:row>138</xdr:row>
          <xdr:rowOff>9525</xdr:rowOff>
        </xdr:to>
        <xdr:sp macro="" textlink="">
          <xdr:nvSpPr>
            <xdr:cNvPr id="1265" name="Drop Down 241" hidden="1">
              <a:extLst>
                <a:ext uri="{63B3BB69-23CF-44E3-9099-C40C66FF867C}">
                  <a14:compatExt spid="_x0000_s1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137</xdr:row>
          <xdr:rowOff>0</xdr:rowOff>
        </xdr:from>
        <xdr:to>
          <xdr:col>10</xdr:col>
          <xdr:colOff>342900</xdr:colOff>
          <xdr:row>138</xdr:row>
          <xdr:rowOff>28575</xdr:rowOff>
        </xdr:to>
        <xdr:sp macro="" textlink="">
          <xdr:nvSpPr>
            <xdr:cNvPr id="1266" name="Check Box 242" hidden="1">
              <a:extLst>
                <a:ext uri="{63B3BB69-23CF-44E3-9099-C40C66FF867C}">
                  <a14:compatExt spid="_x0000_s1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137</xdr:row>
          <xdr:rowOff>0</xdr:rowOff>
        </xdr:from>
        <xdr:to>
          <xdr:col>23</xdr:col>
          <xdr:colOff>190500</xdr:colOff>
          <xdr:row>138</xdr:row>
          <xdr:rowOff>9525</xdr:rowOff>
        </xdr:to>
        <xdr:sp macro="" textlink="">
          <xdr:nvSpPr>
            <xdr:cNvPr id="1267" name="Drop Down 243" hidden="1">
              <a:extLst>
                <a:ext uri="{63B3BB69-23CF-44E3-9099-C40C66FF867C}">
                  <a14:compatExt spid="_x0000_s1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137</xdr:row>
          <xdr:rowOff>0</xdr:rowOff>
        </xdr:from>
        <xdr:to>
          <xdr:col>65</xdr:col>
          <xdr:colOff>19050</xdr:colOff>
          <xdr:row>138</xdr:row>
          <xdr:rowOff>9525</xdr:rowOff>
        </xdr:to>
        <xdr:sp macro="" textlink="">
          <xdr:nvSpPr>
            <xdr:cNvPr id="1268" name="Drop Down 244" hidden="1">
              <a:extLst>
                <a:ext uri="{63B3BB69-23CF-44E3-9099-C40C66FF867C}">
                  <a14:compatExt spid="_x0000_s1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137</xdr:row>
          <xdr:rowOff>0</xdr:rowOff>
        </xdr:from>
        <xdr:to>
          <xdr:col>111</xdr:col>
          <xdr:colOff>333375</xdr:colOff>
          <xdr:row>138</xdr:row>
          <xdr:rowOff>9525</xdr:rowOff>
        </xdr:to>
        <xdr:sp macro="" textlink="">
          <xdr:nvSpPr>
            <xdr:cNvPr id="1269" name="Drop Down 245" hidden="1">
              <a:extLst>
                <a:ext uri="{63B3BB69-23CF-44E3-9099-C40C66FF867C}">
                  <a14:compatExt spid="_x0000_s1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137</xdr:row>
          <xdr:rowOff>0</xdr:rowOff>
        </xdr:from>
        <xdr:to>
          <xdr:col>207</xdr:col>
          <xdr:colOff>161925</xdr:colOff>
          <xdr:row>138</xdr:row>
          <xdr:rowOff>9525</xdr:rowOff>
        </xdr:to>
        <xdr:sp macro="" textlink="">
          <xdr:nvSpPr>
            <xdr:cNvPr id="1270" name="Drop Down 246" hidden="1">
              <a:extLst>
                <a:ext uri="{63B3BB69-23CF-44E3-9099-C40C66FF867C}">
                  <a14:compatExt spid="_x0000_s1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139</xdr:row>
          <xdr:rowOff>0</xdr:rowOff>
        </xdr:from>
        <xdr:to>
          <xdr:col>5</xdr:col>
          <xdr:colOff>257175</xdr:colOff>
          <xdr:row>140</xdr:row>
          <xdr:rowOff>9525</xdr:rowOff>
        </xdr:to>
        <xdr:sp macro="" textlink="">
          <xdr:nvSpPr>
            <xdr:cNvPr id="1271" name="Drop Down 247" hidden="1">
              <a:extLst>
                <a:ext uri="{63B3BB69-23CF-44E3-9099-C40C66FF867C}">
                  <a14:compatExt spid="_x0000_s1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139</xdr:row>
          <xdr:rowOff>0</xdr:rowOff>
        </xdr:from>
        <xdr:to>
          <xdr:col>9</xdr:col>
          <xdr:colOff>190500</xdr:colOff>
          <xdr:row>140</xdr:row>
          <xdr:rowOff>9525</xdr:rowOff>
        </xdr:to>
        <xdr:sp macro="" textlink="">
          <xdr:nvSpPr>
            <xdr:cNvPr id="1272" name="Drop Down 248" hidden="1">
              <a:extLst>
                <a:ext uri="{63B3BB69-23CF-44E3-9099-C40C66FF867C}">
                  <a14:compatExt spid="_x0000_s1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139</xdr:row>
          <xdr:rowOff>0</xdr:rowOff>
        </xdr:from>
        <xdr:to>
          <xdr:col>15</xdr:col>
          <xdr:colOff>190500</xdr:colOff>
          <xdr:row>140</xdr:row>
          <xdr:rowOff>9525</xdr:rowOff>
        </xdr:to>
        <xdr:sp macro="" textlink="">
          <xdr:nvSpPr>
            <xdr:cNvPr id="1273" name="Drop Down 249" hidden="1">
              <a:extLst>
                <a:ext uri="{63B3BB69-23CF-44E3-9099-C40C66FF867C}">
                  <a14:compatExt spid="_x0000_s1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139</xdr:row>
          <xdr:rowOff>0</xdr:rowOff>
        </xdr:from>
        <xdr:to>
          <xdr:col>19</xdr:col>
          <xdr:colOff>190500</xdr:colOff>
          <xdr:row>140</xdr:row>
          <xdr:rowOff>9525</xdr:rowOff>
        </xdr:to>
        <xdr:sp macro="" textlink="">
          <xdr:nvSpPr>
            <xdr:cNvPr id="1274" name="Drop Down 250" hidden="1">
              <a:extLst>
                <a:ext uri="{63B3BB69-23CF-44E3-9099-C40C66FF867C}">
                  <a14:compatExt spid="_x0000_s1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139</xdr:row>
          <xdr:rowOff>0</xdr:rowOff>
        </xdr:from>
        <xdr:to>
          <xdr:col>10</xdr:col>
          <xdr:colOff>342900</xdr:colOff>
          <xdr:row>140</xdr:row>
          <xdr:rowOff>28575</xdr:rowOff>
        </xdr:to>
        <xdr:sp macro="" textlink="">
          <xdr:nvSpPr>
            <xdr:cNvPr id="1275" name="Check Box 251" hidden="1">
              <a:extLst>
                <a:ext uri="{63B3BB69-23CF-44E3-9099-C40C66FF867C}">
                  <a14:compatExt spid="_x0000_s1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139</xdr:row>
          <xdr:rowOff>0</xdr:rowOff>
        </xdr:from>
        <xdr:to>
          <xdr:col>23</xdr:col>
          <xdr:colOff>190500</xdr:colOff>
          <xdr:row>140</xdr:row>
          <xdr:rowOff>9525</xdr:rowOff>
        </xdr:to>
        <xdr:sp macro="" textlink="">
          <xdr:nvSpPr>
            <xdr:cNvPr id="1276" name="Drop Down 252" hidden="1">
              <a:extLst>
                <a:ext uri="{63B3BB69-23CF-44E3-9099-C40C66FF867C}">
                  <a14:compatExt spid="_x0000_s1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139</xdr:row>
          <xdr:rowOff>0</xdr:rowOff>
        </xdr:from>
        <xdr:to>
          <xdr:col>65</xdr:col>
          <xdr:colOff>19050</xdr:colOff>
          <xdr:row>140</xdr:row>
          <xdr:rowOff>9525</xdr:rowOff>
        </xdr:to>
        <xdr:sp macro="" textlink="">
          <xdr:nvSpPr>
            <xdr:cNvPr id="1277" name="Drop Down 253" hidden="1">
              <a:extLst>
                <a:ext uri="{63B3BB69-23CF-44E3-9099-C40C66FF867C}">
                  <a14:compatExt spid="_x0000_s1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139</xdr:row>
          <xdr:rowOff>0</xdr:rowOff>
        </xdr:from>
        <xdr:to>
          <xdr:col>111</xdr:col>
          <xdr:colOff>333375</xdr:colOff>
          <xdr:row>140</xdr:row>
          <xdr:rowOff>9525</xdr:rowOff>
        </xdr:to>
        <xdr:sp macro="" textlink="">
          <xdr:nvSpPr>
            <xdr:cNvPr id="1278" name="Drop Down 254" hidden="1">
              <a:extLst>
                <a:ext uri="{63B3BB69-23CF-44E3-9099-C40C66FF867C}">
                  <a14:compatExt spid="_x0000_s1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139</xdr:row>
          <xdr:rowOff>0</xdr:rowOff>
        </xdr:from>
        <xdr:to>
          <xdr:col>207</xdr:col>
          <xdr:colOff>161925</xdr:colOff>
          <xdr:row>140</xdr:row>
          <xdr:rowOff>9525</xdr:rowOff>
        </xdr:to>
        <xdr:sp macro="" textlink="">
          <xdr:nvSpPr>
            <xdr:cNvPr id="1279" name="Drop Down 255" hidden="1">
              <a:extLst>
                <a:ext uri="{63B3BB69-23CF-44E3-9099-C40C66FF867C}">
                  <a14:compatExt spid="_x0000_s1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141</xdr:row>
          <xdr:rowOff>0</xdr:rowOff>
        </xdr:from>
        <xdr:to>
          <xdr:col>5</xdr:col>
          <xdr:colOff>257175</xdr:colOff>
          <xdr:row>142</xdr:row>
          <xdr:rowOff>9525</xdr:rowOff>
        </xdr:to>
        <xdr:sp macro="" textlink="">
          <xdr:nvSpPr>
            <xdr:cNvPr id="1280" name="Drop Down 256" hidden="1">
              <a:extLst>
                <a:ext uri="{63B3BB69-23CF-44E3-9099-C40C66FF867C}">
                  <a14:compatExt spid="_x0000_s1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9</xdr:col>
          <xdr:colOff>190500</xdr:colOff>
          <xdr:row>142</xdr:row>
          <xdr:rowOff>9525</xdr:rowOff>
        </xdr:to>
        <xdr:sp macro="" textlink="">
          <xdr:nvSpPr>
            <xdr:cNvPr id="1281" name="Drop Down 257" hidden="1">
              <a:extLst>
                <a:ext uri="{63B3BB69-23CF-44E3-9099-C40C66FF867C}">
                  <a14:compatExt spid="_x0000_s1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141</xdr:row>
          <xdr:rowOff>0</xdr:rowOff>
        </xdr:from>
        <xdr:to>
          <xdr:col>15</xdr:col>
          <xdr:colOff>190500</xdr:colOff>
          <xdr:row>142</xdr:row>
          <xdr:rowOff>9525</xdr:rowOff>
        </xdr:to>
        <xdr:sp macro="" textlink="">
          <xdr:nvSpPr>
            <xdr:cNvPr id="1282" name="Drop Down 258" hidden="1">
              <a:extLst>
                <a:ext uri="{63B3BB69-23CF-44E3-9099-C40C66FF867C}">
                  <a14:compatExt spid="_x0000_s1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141</xdr:row>
          <xdr:rowOff>0</xdr:rowOff>
        </xdr:from>
        <xdr:to>
          <xdr:col>19</xdr:col>
          <xdr:colOff>190500</xdr:colOff>
          <xdr:row>142</xdr:row>
          <xdr:rowOff>9525</xdr:rowOff>
        </xdr:to>
        <xdr:sp macro="" textlink="">
          <xdr:nvSpPr>
            <xdr:cNvPr id="1283" name="Drop Down 259" hidden="1">
              <a:extLst>
                <a:ext uri="{63B3BB69-23CF-44E3-9099-C40C66FF867C}">
                  <a14:compatExt spid="_x0000_s1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141</xdr:row>
          <xdr:rowOff>0</xdr:rowOff>
        </xdr:from>
        <xdr:to>
          <xdr:col>10</xdr:col>
          <xdr:colOff>342900</xdr:colOff>
          <xdr:row>142</xdr:row>
          <xdr:rowOff>28575</xdr:rowOff>
        </xdr:to>
        <xdr:sp macro="" textlink="">
          <xdr:nvSpPr>
            <xdr:cNvPr id="1284" name="Check Box 260" hidden="1">
              <a:extLst>
                <a:ext uri="{63B3BB69-23CF-44E3-9099-C40C66FF867C}">
                  <a14:compatExt spid="_x0000_s1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141</xdr:row>
          <xdr:rowOff>0</xdr:rowOff>
        </xdr:from>
        <xdr:to>
          <xdr:col>23</xdr:col>
          <xdr:colOff>190500</xdr:colOff>
          <xdr:row>142</xdr:row>
          <xdr:rowOff>9525</xdr:rowOff>
        </xdr:to>
        <xdr:sp macro="" textlink="">
          <xdr:nvSpPr>
            <xdr:cNvPr id="1285" name="Drop Down 261" hidden="1">
              <a:extLst>
                <a:ext uri="{63B3BB69-23CF-44E3-9099-C40C66FF867C}">
                  <a14:compatExt spid="_x0000_s1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141</xdr:row>
          <xdr:rowOff>0</xdr:rowOff>
        </xdr:from>
        <xdr:to>
          <xdr:col>65</xdr:col>
          <xdr:colOff>19050</xdr:colOff>
          <xdr:row>142</xdr:row>
          <xdr:rowOff>9525</xdr:rowOff>
        </xdr:to>
        <xdr:sp macro="" textlink="">
          <xdr:nvSpPr>
            <xdr:cNvPr id="1286" name="Drop Down 262" hidden="1">
              <a:extLst>
                <a:ext uri="{63B3BB69-23CF-44E3-9099-C40C66FF867C}">
                  <a14:compatExt spid="_x0000_s1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141</xdr:row>
          <xdr:rowOff>0</xdr:rowOff>
        </xdr:from>
        <xdr:to>
          <xdr:col>111</xdr:col>
          <xdr:colOff>333375</xdr:colOff>
          <xdr:row>142</xdr:row>
          <xdr:rowOff>9525</xdr:rowOff>
        </xdr:to>
        <xdr:sp macro="" textlink="">
          <xdr:nvSpPr>
            <xdr:cNvPr id="1287" name="Drop Down 263" hidden="1">
              <a:extLst>
                <a:ext uri="{63B3BB69-23CF-44E3-9099-C40C66FF867C}">
                  <a14:compatExt spid="_x0000_s1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141</xdr:row>
          <xdr:rowOff>0</xdr:rowOff>
        </xdr:from>
        <xdr:to>
          <xdr:col>207</xdr:col>
          <xdr:colOff>161925</xdr:colOff>
          <xdr:row>142</xdr:row>
          <xdr:rowOff>9525</xdr:rowOff>
        </xdr:to>
        <xdr:sp macro="" textlink="">
          <xdr:nvSpPr>
            <xdr:cNvPr id="1288" name="Drop Down 264" hidden="1">
              <a:extLst>
                <a:ext uri="{63B3BB69-23CF-44E3-9099-C40C66FF867C}">
                  <a14:compatExt spid="_x0000_s1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143</xdr:row>
          <xdr:rowOff>0</xdr:rowOff>
        </xdr:from>
        <xdr:to>
          <xdr:col>5</xdr:col>
          <xdr:colOff>257175</xdr:colOff>
          <xdr:row>144</xdr:row>
          <xdr:rowOff>9525</xdr:rowOff>
        </xdr:to>
        <xdr:sp macro="" textlink="">
          <xdr:nvSpPr>
            <xdr:cNvPr id="1289" name="Drop Down 265" hidden="1">
              <a:extLst>
                <a:ext uri="{63B3BB69-23CF-44E3-9099-C40C66FF867C}">
                  <a14:compatExt spid="_x0000_s1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9</xdr:col>
          <xdr:colOff>190500</xdr:colOff>
          <xdr:row>144</xdr:row>
          <xdr:rowOff>9525</xdr:rowOff>
        </xdr:to>
        <xdr:sp macro="" textlink="">
          <xdr:nvSpPr>
            <xdr:cNvPr id="1290" name="Drop Down 266" hidden="1">
              <a:extLst>
                <a:ext uri="{63B3BB69-23CF-44E3-9099-C40C66FF867C}">
                  <a14:compatExt spid="_x0000_s1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143</xdr:row>
          <xdr:rowOff>0</xdr:rowOff>
        </xdr:from>
        <xdr:to>
          <xdr:col>15</xdr:col>
          <xdr:colOff>190500</xdr:colOff>
          <xdr:row>144</xdr:row>
          <xdr:rowOff>9525</xdr:rowOff>
        </xdr:to>
        <xdr:sp macro="" textlink="">
          <xdr:nvSpPr>
            <xdr:cNvPr id="1291" name="Drop Down 267" hidden="1">
              <a:extLst>
                <a:ext uri="{63B3BB69-23CF-44E3-9099-C40C66FF867C}">
                  <a14:compatExt spid="_x0000_s1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143</xdr:row>
          <xdr:rowOff>0</xdr:rowOff>
        </xdr:from>
        <xdr:to>
          <xdr:col>19</xdr:col>
          <xdr:colOff>190500</xdr:colOff>
          <xdr:row>144</xdr:row>
          <xdr:rowOff>9525</xdr:rowOff>
        </xdr:to>
        <xdr:sp macro="" textlink="">
          <xdr:nvSpPr>
            <xdr:cNvPr id="1292" name="Drop Down 268" hidden="1">
              <a:extLst>
                <a:ext uri="{63B3BB69-23CF-44E3-9099-C40C66FF867C}">
                  <a14:compatExt spid="_x0000_s1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143</xdr:row>
          <xdr:rowOff>0</xdr:rowOff>
        </xdr:from>
        <xdr:to>
          <xdr:col>10</xdr:col>
          <xdr:colOff>342900</xdr:colOff>
          <xdr:row>144</xdr:row>
          <xdr:rowOff>28575</xdr:rowOff>
        </xdr:to>
        <xdr:sp macro="" textlink="">
          <xdr:nvSpPr>
            <xdr:cNvPr id="1293" name="Check Box 269" hidden="1">
              <a:extLst>
                <a:ext uri="{63B3BB69-23CF-44E3-9099-C40C66FF867C}">
                  <a14:compatExt spid="_x0000_s1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143</xdr:row>
          <xdr:rowOff>0</xdr:rowOff>
        </xdr:from>
        <xdr:to>
          <xdr:col>23</xdr:col>
          <xdr:colOff>190500</xdr:colOff>
          <xdr:row>144</xdr:row>
          <xdr:rowOff>9525</xdr:rowOff>
        </xdr:to>
        <xdr:sp macro="" textlink="">
          <xdr:nvSpPr>
            <xdr:cNvPr id="1294" name="Drop Down 270" hidden="1">
              <a:extLst>
                <a:ext uri="{63B3BB69-23CF-44E3-9099-C40C66FF867C}">
                  <a14:compatExt spid="_x0000_s1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143</xdr:row>
          <xdr:rowOff>0</xdr:rowOff>
        </xdr:from>
        <xdr:to>
          <xdr:col>65</xdr:col>
          <xdr:colOff>19050</xdr:colOff>
          <xdr:row>144</xdr:row>
          <xdr:rowOff>9525</xdr:rowOff>
        </xdr:to>
        <xdr:sp macro="" textlink="">
          <xdr:nvSpPr>
            <xdr:cNvPr id="1295" name="Drop Down 271" hidden="1">
              <a:extLst>
                <a:ext uri="{63B3BB69-23CF-44E3-9099-C40C66FF867C}">
                  <a14:compatExt spid="_x0000_s1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143</xdr:row>
          <xdr:rowOff>0</xdr:rowOff>
        </xdr:from>
        <xdr:to>
          <xdr:col>111</xdr:col>
          <xdr:colOff>333375</xdr:colOff>
          <xdr:row>144</xdr:row>
          <xdr:rowOff>9525</xdr:rowOff>
        </xdr:to>
        <xdr:sp macro="" textlink="">
          <xdr:nvSpPr>
            <xdr:cNvPr id="1296" name="Drop Down 272" hidden="1">
              <a:extLst>
                <a:ext uri="{63B3BB69-23CF-44E3-9099-C40C66FF867C}">
                  <a14:compatExt spid="_x0000_s1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143</xdr:row>
          <xdr:rowOff>0</xdr:rowOff>
        </xdr:from>
        <xdr:to>
          <xdr:col>207</xdr:col>
          <xdr:colOff>161925</xdr:colOff>
          <xdr:row>144</xdr:row>
          <xdr:rowOff>9525</xdr:rowOff>
        </xdr:to>
        <xdr:sp macro="" textlink="">
          <xdr:nvSpPr>
            <xdr:cNvPr id="1297" name="Drop Down 273" hidden="1">
              <a:extLst>
                <a:ext uri="{63B3BB69-23CF-44E3-9099-C40C66FF867C}">
                  <a14:compatExt spid="_x0000_s1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145</xdr:row>
          <xdr:rowOff>0</xdr:rowOff>
        </xdr:from>
        <xdr:to>
          <xdr:col>5</xdr:col>
          <xdr:colOff>257175</xdr:colOff>
          <xdr:row>146</xdr:row>
          <xdr:rowOff>9525</xdr:rowOff>
        </xdr:to>
        <xdr:sp macro="" textlink="">
          <xdr:nvSpPr>
            <xdr:cNvPr id="1298" name="Drop Down 274" hidden="1">
              <a:extLst>
                <a:ext uri="{63B3BB69-23CF-44E3-9099-C40C66FF867C}">
                  <a14:compatExt spid="_x0000_s1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9</xdr:col>
          <xdr:colOff>190500</xdr:colOff>
          <xdr:row>146</xdr:row>
          <xdr:rowOff>9525</xdr:rowOff>
        </xdr:to>
        <xdr:sp macro="" textlink="">
          <xdr:nvSpPr>
            <xdr:cNvPr id="1299" name="Drop Down 275" hidden="1">
              <a:extLst>
                <a:ext uri="{63B3BB69-23CF-44E3-9099-C40C66FF867C}">
                  <a14:compatExt spid="_x0000_s1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145</xdr:row>
          <xdr:rowOff>0</xdr:rowOff>
        </xdr:from>
        <xdr:to>
          <xdr:col>15</xdr:col>
          <xdr:colOff>190500</xdr:colOff>
          <xdr:row>146</xdr:row>
          <xdr:rowOff>9525</xdr:rowOff>
        </xdr:to>
        <xdr:sp macro="" textlink="">
          <xdr:nvSpPr>
            <xdr:cNvPr id="1300" name="Drop Down 276" hidden="1">
              <a:extLst>
                <a:ext uri="{63B3BB69-23CF-44E3-9099-C40C66FF867C}">
                  <a14:compatExt spid="_x0000_s1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145</xdr:row>
          <xdr:rowOff>0</xdr:rowOff>
        </xdr:from>
        <xdr:to>
          <xdr:col>19</xdr:col>
          <xdr:colOff>190500</xdr:colOff>
          <xdr:row>146</xdr:row>
          <xdr:rowOff>9525</xdr:rowOff>
        </xdr:to>
        <xdr:sp macro="" textlink="">
          <xdr:nvSpPr>
            <xdr:cNvPr id="1301" name="Drop Down 277" hidden="1">
              <a:extLst>
                <a:ext uri="{63B3BB69-23CF-44E3-9099-C40C66FF867C}">
                  <a14:compatExt spid="_x0000_s1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145</xdr:row>
          <xdr:rowOff>0</xdr:rowOff>
        </xdr:from>
        <xdr:to>
          <xdr:col>10</xdr:col>
          <xdr:colOff>342900</xdr:colOff>
          <xdr:row>146</xdr:row>
          <xdr:rowOff>28575</xdr:rowOff>
        </xdr:to>
        <xdr:sp macro="" textlink="">
          <xdr:nvSpPr>
            <xdr:cNvPr id="1302" name="Check Box 278" hidden="1">
              <a:extLst>
                <a:ext uri="{63B3BB69-23CF-44E3-9099-C40C66FF867C}">
                  <a14:compatExt spid="_x0000_s1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145</xdr:row>
          <xdr:rowOff>0</xdr:rowOff>
        </xdr:from>
        <xdr:to>
          <xdr:col>23</xdr:col>
          <xdr:colOff>190500</xdr:colOff>
          <xdr:row>146</xdr:row>
          <xdr:rowOff>9525</xdr:rowOff>
        </xdr:to>
        <xdr:sp macro="" textlink="">
          <xdr:nvSpPr>
            <xdr:cNvPr id="1303" name="Drop Down 279" hidden="1">
              <a:extLst>
                <a:ext uri="{63B3BB69-23CF-44E3-9099-C40C66FF867C}">
                  <a14:compatExt spid="_x0000_s1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145</xdr:row>
          <xdr:rowOff>0</xdr:rowOff>
        </xdr:from>
        <xdr:to>
          <xdr:col>65</xdr:col>
          <xdr:colOff>19050</xdr:colOff>
          <xdr:row>146</xdr:row>
          <xdr:rowOff>9525</xdr:rowOff>
        </xdr:to>
        <xdr:sp macro="" textlink="">
          <xdr:nvSpPr>
            <xdr:cNvPr id="1304" name="Drop Down 280" hidden="1">
              <a:extLst>
                <a:ext uri="{63B3BB69-23CF-44E3-9099-C40C66FF867C}">
                  <a14:compatExt spid="_x0000_s1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145</xdr:row>
          <xdr:rowOff>0</xdr:rowOff>
        </xdr:from>
        <xdr:to>
          <xdr:col>111</xdr:col>
          <xdr:colOff>333375</xdr:colOff>
          <xdr:row>146</xdr:row>
          <xdr:rowOff>9525</xdr:rowOff>
        </xdr:to>
        <xdr:sp macro="" textlink="">
          <xdr:nvSpPr>
            <xdr:cNvPr id="1305" name="Drop Down 281" hidden="1">
              <a:extLst>
                <a:ext uri="{63B3BB69-23CF-44E3-9099-C40C66FF867C}">
                  <a14:compatExt spid="_x0000_s1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145</xdr:row>
          <xdr:rowOff>0</xdr:rowOff>
        </xdr:from>
        <xdr:to>
          <xdr:col>207</xdr:col>
          <xdr:colOff>161925</xdr:colOff>
          <xdr:row>146</xdr:row>
          <xdr:rowOff>9525</xdr:rowOff>
        </xdr:to>
        <xdr:sp macro="" textlink="">
          <xdr:nvSpPr>
            <xdr:cNvPr id="1306" name="Drop Down 282" hidden="1">
              <a:extLst>
                <a:ext uri="{63B3BB69-23CF-44E3-9099-C40C66FF867C}">
                  <a14:compatExt spid="_x0000_s1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147</xdr:row>
          <xdr:rowOff>0</xdr:rowOff>
        </xdr:from>
        <xdr:to>
          <xdr:col>5</xdr:col>
          <xdr:colOff>257175</xdr:colOff>
          <xdr:row>148</xdr:row>
          <xdr:rowOff>9525</xdr:rowOff>
        </xdr:to>
        <xdr:sp macro="" textlink="">
          <xdr:nvSpPr>
            <xdr:cNvPr id="1307" name="Drop Down 283" hidden="1">
              <a:extLst>
                <a:ext uri="{63B3BB69-23CF-44E3-9099-C40C66FF867C}">
                  <a14:compatExt spid="_x0000_s1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9</xdr:col>
          <xdr:colOff>190500</xdr:colOff>
          <xdr:row>148</xdr:row>
          <xdr:rowOff>9525</xdr:rowOff>
        </xdr:to>
        <xdr:sp macro="" textlink="">
          <xdr:nvSpPr>
            <xdr:cNvPr id="1308" name="Drop Down 284" hidden="1">
              <a:extLst>
                <a:ext uri="{63B3BB69-23CF-44E3-9099-C40C66FF867C}">
                  <a14:compatExt spid="_x0000_s1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147</xdr:row>
          <xdr:rowOff>0</xdr:rowOff>
        </xdr:from>
        <xdr:to>
          <xdr:col>15</xdr:col>
          <xdr:colOff>190500</xdr:colOff>
          <xdr:row>148</xdr:row>
          <xdr:rowOff>9525</xdr:rowOff>
        </xdr:to>
        <xdr:sp macro="" textlink="">
          <xdr:nvSpPr>
            <xdr:cNvPr id="1309" name="Drop Down 285" hidden="1">
              <a:extLst>
                <a:ext uri="{63B3BB69-23CF-44E3-9099-C40C66FF867C}">
                  <a14:compatExt spid="_x0000_s1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147</xdr:row>
          <xdr:rowOff>0</xdr:rowOff>
        </xdr:from>
        <xdr:to>
          <xdr:col>19</xdr:col>
          <xdr:colOff>190500</xdr:colOff>
          <xdr:row>148</xdr:row>
          <xdr:rowOff>9525</xdr:rowOff>
        </xdr:to>
        <xdr:sp macro="" textlink="">
          <xdr:nvSpPr>
            <xdr:cNvPr id="1310" name="Drop Down 286" hidden="1">
              <a:extLst>
                <a:ext uri="{63B3BB69-23CF-44E3-9099-C40C66FF867C}">
                  <a14:compatExt spid="_x0000_s1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147</xdr:row>
          <xdr:rowOff>0</xdr:rowOff>
        </xdr:from>
        <xdr:to>
          <xdr:col>10</xdr:col>
          <xdr:colOff>342900</xdr:colOff>
          <xdr:row>148</xdr:row>
          <xdr:rowOff>28575</xdr:rowOff>
        </xdr:to>
        <xdr:sp macro="" textlink="">
          <xdr:nvSpPr>
            <xdr:cNvPr id="1311" name="Check Box 287" hidden="1">
              <a:extLst>
                <a:ext uri="{63B3BB69-23CF-44E3-9099-C40C66FF867C}">
                  <a14:compatExt spid="_x0000_s1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147</xdr:row>
          <xdr:rowOff>0</xdr:rowOff>
        </xdr:from>
        <xdr:to>
          <xdr:col>23</xdr:col>
          <xdr:colOff>190500</xdr:colOff>
          <xdr:row>148</xdr:row>
          <xdr:rowOff>9525</xdr:rowOff>
        </xdr:to>
        <xdr:sp macro="" textlink="">
          <xdr:nvSpPr>
            <xdr:cNvPr id="1312" name="Drop Down 288" hidden="1">
              <a:extLst>
                <a:ext uri="{63B3BB69-23CF-44E3-9099-C40C66FF867C}">
                  <a14:compatExt spid="_x0000_s1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147</xdr:row>
          <xdr:rowOff>0</xdr:rowOff>
        </xdr:from>
        <xdr:to>
          <xdr:col>65</xdr:col>
          <xdr:colOff>19050</xdr:colOff>
          <xdr:row>148</xdr:row>
          <xdr:rowOff>9525</xdr:rowOff>
        </xdr:to>
        <xdr:sp macro="" textlink="">
          <xdr:nvSpPr>
            <xdr:cNvPr id="1313" name="Drop Down 289" hidden="1">
              <a:extLst>
                <a:ext uri="{63B3BB69-23CF-44E3-9099-C40C66FF867C}">
                  <a14:compatExt spid="_x0000_s1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147</xdr:row>
          <xdr:rowOff>0</xdr:rowOff>
        </xdr:from>
        <xdr:to>
          <xdr:col>111</xdr:col>
          <xdr:colOff>333375</xdr:colOff>
          <xdr:row>148</xdr:row>
          <xdr:rowOff>9525</xdr:rowOff>
        </xdr:to>
        <xdr:sp macro="" textlink="">
          <xdr:nvSpPr>
            <xdr:cNvPr id="1314" name="Drop Down 290" hidden="1">
              <a:extLst>
                <a:ext uri="{63B3BB69-23CF-44E3-9099-C40C66FF867C}">
                  <a14:compatExt spid="_x0000_s1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147</xdr:row>
          <xdr:rowOff>0</xdr:rowOff>
        </xdr:from>
        <xdr:to>
          <xdr:col>207</xdr:col>
          <xdr:colOff>161925</xdr:colOff>
          <xdr:row>148</xdr:row>
          <xdr:rowOff>9525</xdr:rowOff>
        </xdr:to>
        <xdr:sp macro="" textlink="">
          <xdr:nvSpPr>
            <xdr:cNvPr id="1315" name="Drop Down 291" hidden="1">
              <a:extLst>
                <a:ext uri="{63B3BB69-23CF-44E3-9099-C40C66FF867C}">
                  <a14:compatExt spid="_x0000_s1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149</xdr:row>
          <xdr:rowOff>0</xdr:rowOff>
        </xdr:from>
        <xdr:to>
          <xdr:col>5</xdr:col>
          <xdr:colOff>257175</xdr:colOff>
          <xdr:row>150</xdr:row>
          <xdr:rowOff>9525</xdr:rowOff>
        </xdr:to>
        <xdr:sp macro="" textlink="">
          <xdr:nvSpPr>
            <xdr:cNvPr id="1316" name="Drop Down 292" hidden="1">
              <a:extLst>
                <a:ext uri="{63B3BB69-23CF-44E3-9099-C40C66FF867C}">
                  <a14:compatExt spid="_x0000_s1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149</xdr:row>
          <xdr:rowOff>0</xdr:rowOff>
        </xdr:from>
        <xdr:to>
          <xdr:col>9</xdr:col>
          <xdr:colOff>190500</xdr:colOff>
          <xdr:row>150</xdr:row>
          <xdr:rowOff>9525</xdr:rowOff>
        </xdr:to>
        <xdr:sp macro="" textlink="">
          <xdr:nvSpPr>
            <xdr:cNvPr id="1317" name="Drop Down 293" hidden="1">
              <a:extLst>
                <a:ext uri="{63B3BB69-23CF-44E3-9099-C40C66FF867C}">
                  <a14:compatExt spid="_x0000_s1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149</xdr:row>
          <xdr:rowOff>0</xdr:rowOff>
        </xdr:from>
        <xdr:to>
          <xdr:col>15</xdr:col>
          <xdr:colOff>190500</xdr:colOff>
          <xdr:row>150</xdr:row>
          <xdr:rowOff>9525</xdr:rowOff>
        </xdr:to>
        <xdr:sp macro="" textlink="">
          <xdr:nvSpPr>
            <xdr:cNvPr id="1318" name="Drop Down 294" hidden="1">
              <a:extLst>
                <a:ext uri="{63B3BB69-23CF-44E3-9099-C40C66FF867C}">
                  <a14:compatExt spid="_x0000_s1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149</xdr:row>
          <xdr:rowOff>0</xdr:rowOff>
        </xdr:from>
        <xdr:to>
          <xdr:col>19</xdr:col>
          <xdr:colOff>190500</xdr:colOff>
          <xdr:row>150</xdr:row>
          <xdr:rowOff>9525</xdr:rowOff>
        </xdr:to>
        <xdr:sp macro="" textlink="">
          <xdr:nvSpPr>
            <xdr:cNvPr id="1319" name="Drop Down 295" hidden="1">
              <a:extLst>
                <a:ext uri="{63B3BB69-23CF-44E3-9099-C40C66FF867C}">
                  <a14:compatExt spid="_x0000_s1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149</xdr:row>
          <xdr:rowOff>0</xdr:rowOff>
        </xdr:from>
        <xdr:to>
          <xdr:col>10</xdr:col>
          <xdr:colOff>342900</xdr:colOff>
          <xdr:row>150</xdr:row>
          <xdr:rowOff>28575</xdr:rowOff>
        </xdr:to>
        <xdr:sp macro="" textlink="">
          <xdr:nvSpPr>
            <xdr:cNvPr id="1320" name="Check Box 296" hidden="1">
              <a:extLst>
                <a:ext uri="{63B3BB69-23CF-44E3-9099-C40C66FF867C}">
                  <a14:compatExt spid="_x0000_s1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149</xdr:row>
          <xdr:rowOff>0</xdr:rowOff>
        </xdr:from>
        <xdr:to>
          <xdr:col>23</xdr:col>
          <xdr:colOff>190500</xdr:colOff>
          <xdr:row>150</xdr:row>
          <xdr:rowOff>9525</xdr:rowOff>
        </xdr:to>
        <xdr:sp macro="" textlink="">
          <xdr:nvSpPr>
            <xdr:cNvPr id="1321" name="Drop Down 297" hidden="1">
              <a:extLst>
                <a:ext uri="{63B3BB69-23CF-44E3-9099-C40C66FF867C}">
                  <a14:compatExt spid="_x0000_s1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149</xdr:row>
          <xdr:rowOff>0</xdr:rowOff>
        </xdr:from>
        <xdr:to>
          <xdr:col>65</xdr:col>
          <xdr:colOff>19050</xdr:colOff>
          <xdr:row>150</xdr:row>
          <xdr:rowOff>9525</xdr:rowOff>
        </xdr:to>
        <xdr:sp macro="" textlink="">
          <xdr:nvSpPr>
            <xdr:cNvPr id="1322" name="Drop Down 298" hidden="1">
              <a:extLst>
                <a:ext uri="{63B3BB69-23CF-44E3-9099-C40C66FF867C}">
                  <a14:compatExt spid="_x0000_s1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149</xdr:row>
          <xdr:rowOff>0</xdr:rowOff>
        </xdr:from>
        <xdr:to>
          <xdr:col>111</xdr:col>
          <xdr:colOff>333375</xdr:colOff>
          <xdr:row>150</xdr:row>
          <xdr:rowOff>9525</xdr:rowOff>
        </xdr:to>
        <xdr:sp macro="" textlink="">
          <xdr:nvSpPr>
            <xdr:cNvPr id="1323" name="Drop Down 299" hidden="1">
              <a:extLst>
                <a:ext uri="{63B3BB69-23CF-44E3-9099-C40C66FF867C}">
                  <a14:compatExt spid="_x0000_s1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149</xdr:row>
          <xdr:rowOff>0</xdr:rowOff>
        </xdr:from>
        <xdr:to>
          <xdr:col>207</xdr:col>
          <xdr:colOff>161925</xdr:colOff>
          <xdr:row>150</xdr:row>
          <xdr:rowOff>9525</xdr:rowOff>
        </xdr:to>
        <xdr:sp macro="" textlink="">
          <xdr:nvSpPr>
            <xdr:cNvPr id="1324" name="Drop Down 300" hidden="1">
              <a:extLst>
                <a:ext uri="{63B3BB69-23CF-44E3-9099-C40C66FF867C}">
                  <a14:compatExt spid="_x0000_s1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151</xdr:row>
          <xdr:rowOff>0</xdr:rowOff>
        </xdr:from>
        <xdr:to>
          <xdr:col>5</xdr:col>
          <xdr:colOff>257175</xdr:colOff>
          <xdr:row>152</xdr:row>
          <xdr:rowOff>9525</xdr:rowOff>
        </xdr:to>
        <xdr:sp macro="" textlink="">
          <xdr:nvSpPr>
            <xdr:cNvPr id="1325" name="Drop Down 301" hidden="1">
              <a:extLst>
                <a:ext uri="{63B3BB69-23CF-44E3-9099-C40C66FF867C}">
                  <a14:compatExt spid="_x0000_s1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151</xdr:row>
          <xdr:rowOff>0</xdr:rowOff>
        </xdr:from>
        <xdr:to>
          <xdr:col>9</xdr:col>
          <xdr:colOff>190500</xdr:colOff>
          <xdr:row>152</xdr:row>
          <xdr:rowOff>9525</xdr:rowOff>
        </xdr:to>
        <xdr:sp macro="" textlink="">
          <xdr:nvSpPr>
            <xdr:cNvPr id="1326" name="Drop Down 302" hidden="1">
              <a:extLst>
                <a:ext uri="{63B3BB69-23CF-44E3-9099-C40C66FF867C}">
                  <a14:compatExt spid="_x0000_s1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151</xdr:row>
          <xdr:rowOff>0</xdr:rowOff>
        </xdr:from>
        <xdr:to>
          <xdr:col>15</xdr:col>
          <xdr:colOff>190500</xdr:colOff>
          <xdr:row>152</xdr:row>
          <xdr:rowOff>9525</xdr:rowOff>
        </xdr:to>
        <xdr:sp macro="" textlink="">
          <xdr:nvSpPr>
            <xdr:cNvPr id="1327" name="Drop Down 303" hidden="1">
              <a:extLst>
                <a:ext uri="{63B3BB69-23CF-44E3-9099-C40C66FF867C}">
                  <a14:compatExt spid="_x0000_s1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151</xdr:row>
          <xdr:rowOff>0</xdr:rowOff>
        </xdr:from>
        <xdr:to>
          <xdr:col>19</xdr:col>
          <xdr:colOff>190500</xdr:colOff>
          <xdr:row>152</xdr:row>
          <xdr:rowOff>9525</xdr:rowOff>
        </xdr:to>
        <xdr:sp macro="" textlink="">
          <xdr:nvSpPr>
            <xdr:cNvPr id="1328" name="Drop Down 304" hidden="1">
              <a:extLst>
                <a:ext uri="{63B3BB69-23CF-44E3-9099-C40C66FF867C}">
                  <a14:compatExt spid="_x0000_s1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151</xdr:row>
          <xdr:rowOff>0</xdr:rowOff>
        </xdr:from>
        <xdr:to>
          <xdr:col>10</xdr:col>
          <xdr:colOff>342900</xdr:colOff>
          <xdr:row>152</xdr:row>
          <xdr:rowOff>28575</xdr:rowOff>
        </xdr:to>
        <xdr:sp macro="" textlink="">
          <xdr:nvSpPr>
            <xdr:cNvPr id="1329" name="Check Box 305" hidden="1">
              <a:extLst>
                <a:ext uri="{63B3BB69-23CF-44E3-9099-C40C66FF867C}">
                  <a14:compatExt spid="_x0000_s1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151</xdr:row>
          <xdr:rowOff>0</xdr:rowOff>
        </xdr:from>
        <xdr:to>
          <xdr:col>23</xdr:col>
          <xdr:colOff>190500</xdr:colOff>
          <xdr:row>152</xdr:row>
          <xdr:rowOff>9525</xdr:rowOff>
        </xdr:to>
        <xdr:sp macro="" textlink="">
          <xdr:nvSpPr>
            <xdr:cNvPr id="1330" name="Drop Down 306" hidden="1">
              <a:extLst>
                <a:ext uri="{63B3BB69-23CF-44E3-9099-C40C66FF867C}">
                  <a14:compatExt spid="_x0000_s1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151</xdr:row>
          <xdr:rowOff>0</xdr:rowOff>
        </xdr:from>
        <xdr:to>
          <xdr:col>65</xdr:col>
          <xdr:colOff>19050</xdr:colOff>
          <xdr:row>152</xdr:row>
          <xdr:rowOff>9525</xdr:rowOff>
        </xdr:to>
        <xdr:sp macro="" textlink="">
          <xdr:nvSpPr>
            <xdr:cNvPr id="1331" name="Drop Down 307" hidden="1">
              <a:extLst>
                <a:ext uri="{63B3BB69-23CF-44E3-9099-C40C66FF867C}">
                  <a14:compatExt spid="_x0000_s1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151</xdr:row>
          <xdr:rowOff>0</xdr:rowOff>
        </xdr:from>
        <xdr:to>
          <xdr:col>111</xdr:col>
          <xdr:colOff>333375</xdr:colOff>
          <xdr:row>152</xdr:row>
          <xdr:rowOff>9525</xdr:rowOff>
        </xdr:to>
        <xdr:sp macro="" textlink="">
          <xdr:nvSpPr>
            <xdr:cNvPr id="1332" name="Drop Down 308" hidden="1">
              <a:extLst>
                <a:ext uri="{63B3BB69-23CF-44E3-9099-C40C66FF867C}">
                  <a14:compatExt spid="_x0000_s1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151</xdr:row>
          <xdr:rowOff>0</xdr:rowOff>
        </xdr:from>
        <xdr:to>
          <xdr:col>207</xdr:col>
          <xdr:colOff>161925</xdr:colOff>
          <xdr:row>152</xdr:row>
          <xdr:rowOff>9525</xdr:rowOff>
        </xdr:to>
        <xdr:sp macro="" textlink="">
          <xdr:nvSpPr>
            <xdr:cNvPr id="1333" name="Drop Down 309" hidden="1">
              <a:extLst>
                <a:ext uri="{63B3BB69-23CF-44E3-9099-C40C66FF867C}">
                  <a14:compatExt spid="_x0000_s1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94</xdr:row>
          <xdr:rowOff>0</xdr:rowOff>
        </xdr:from>
        <xdr:to>
          <xdr:col>13</xdr:col>
          <xdr:colOff>47625</xdr:colOff>
          <xdr:row>95</xdr:row>
          <xdr:rowOff>9525</xdr:rowOff>
        </xdr:to>
        <xdr:sp macro="" textlink="">
          <xdr:nvSpPr>
            <xdr:cNvPr id="1335" name="Drop Down 311" hidden="1">
              <a:extLst>
                <a:ext uri="{63B3BB69-23CF-44E3-9099-C40C66FF867C}">
                  <a14:compatExt spid="_x0000_s1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117</xdr:row>
          <xdr:rowOff>0</xdr:rowOff>
        </xdr:from>
        <xdr:to>
          <xdr:col>207</xdr:col>
          <xdr:colOff>161925</xdr:colOff>
          <xdr:row>118</xdr:row>
          <xdr:rowOff>9525</xdr:rowOff>
        </xdr:to>
        <xdr:sp macro="" textlink="">
          <xdr:nvSpPr>
            <xdr:cNvPr id="1341" name="Drop Down 317" hidden="1">
              <a:extLst>
                <a:ext uri="{63B3BB69-23CF-44E3-9099-C40C66FF867C}">
                  <a14:compatExt spid="_x0000_s1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119</xdr:row>
          <xdr:rowOff>0</xdr:rowOff>
        </xdr:from>
        <xdr:to>
          <xdr:col>207</xdr:col>
          <xdr:colOff>161925</xdr:colOff>
          <xdr:row>120</xdr:row>
          <xdr:rowOff>9525</xdr:rowOff>
        </xdr:to>
        <xdr:sp macro="" textlink="">
          <xdr:nvSpPr>
            <xdr:cNvPr id="1342" name="Drop Down 318" hidden="1">
              <a:extLst>
                <a:ext uri="{63B3BB69-23CF-44E3-9099-C40C66FF867C}">
                  <a14:compatExt spid="_x0000_s1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121</xdr:row>
          <xdr:rowOff>0</xdr:rowOff>
        </xdr:from>
        <xdr:to>
          <xdr:col>207</xdr:col>
          <xdr:colOff>161925</xdr:colOff>
          <xdr:row>122</xdr:row>
          <xdr:rowOff>9525</xdr:rowOff>
        </xdr:to>
        <xdr:sp macro="" textlink="">
          <xdr:nvSpPr>
            <xdr:cNvPr id="1343" name="Drop Down 319" hidden="1">
              <a:extLst>
                <a:ext uri="{63B3BB69-23CF-44E3-9099-C40C66FF867C}">
                  <a14:compatExt spid="_x0000_s1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123</xdr:row>
          <xdr:rowOff>0</xdr:rowOff>
        </xdr:from>
        <xdr:to>
          <xdr:col>207</xdr:col>
          <xdr:colOff>161925</xdr:colOff>
          <xdr:row>124</xdr:row>
          <xdr:rowOff>9525</xdr:rowOff>
        </xdr:to>
        <xdr:sp macro="" textlink="">
          <xdr:nvSpPr>
            <xdr:cNvPr id="1344" name="Drop Down 320" hidden="1">
              <a:extLst>
                <a:ext uri="{63B3BB69-23CF-44E3-9099-C40C66FF867C}">
                  <a14:compatExt spid="_x0000_s1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125</xdr:row>
          <xdr:rowOff>0</xdr:rowOff>
        </xdr:from>
        <xdr:to>
          <xdr:col>207</xdr:col>
          <xdr:colOff>161925</xdr:colOff>
          <xdr:row>126</xdr:row>
          <xdr:rowOff>9525</xdr:rowOff>
        </xdr:to>
        <xdr:sp macro="" textlink="">
          <xdr:nvSpPr>
            <xdr:cNvPr id="1345" name="Drop Down 321" hidden="1">
              <a:extLst>
                <a:ext uri="{63B3BB69-23CF-44E3-9099-C40C66FF867C}">
                  <a14:compatExt spid="_x0000_s1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127</xdr:row>
          <xdr:rowOff>0</xdr:rowOff>
        </xdr:from>
        <xdr:to>
          <xdr:col>207</xdr:col>
          <xdr:colOff>161925</xdr:colOff>
          <xdr:row>128</xdr:row>
          <xdr:rowOff>9525</xdr:rowOff>
        </xdr:to>
        <xdr:sp macro="" textlink="">
          <xdr:nvSpPr>
            <xdr:cNvPr id="1346" name="Drop Down 322" hidden="1">
              <a:extLst>
                <a:ext uri="{63B3BB69-23CF-44E3-9099-C40C66FF867C}">
                  <a14:compatExt spid="_x0000_s1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129</xdr:row>
          <xdr:rowOff>0</xdr:rowOff>
        </xdr:from>
        <xdr:to>
          <xdr:col>207</xdr:col>
          <xdr:colOff>161925</xdr:colOff>
          <xdr:row>130</xdr:row>
          <xdr:rowOff>9525</xdr:rowOff>
        </xdr:to>
        <xdr:sp macro="" textlink="">
          <xdr:nvSpPr>
            <xdr:cNvPr id="1347" name="Drop Down 323" hidden="1">
              <a:extLst>
                <a:ext uri="{63B3BB69-23CF-44E3-9099-C40C66FF867C}">
                  <a14:compatExt spid="_x0000_s1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137</xdr:row>
          <xdr:rowOff>0</xdr:rowOff>
        </xdr:from>
        <xdr:to>
          <xdr:col>207</xdr:col>
          <xdr:colOff>161925</xdr:colOff>
          <xdr:row>138</xdr:row>
          <xdr:rowOff>9525</xdr:rowOff>
        </xdr:to>
        <xdr:sp macro="" textlink="">
          <xdr:nvSpPr>
            <xdr:cNvPr id="1348" name="Drop Down 324" hidden="1">
              <a:extLst>
                <a:ext uri="{63B3BB69-23CF-44E3-9099-C40C66FF867C}">
                  <a14:compatExt spid="_x0000_s1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139</xdr:row>
          <xdr:rowOff>0</xdr:rowOff>
        </xdr:from>
        <xdr:to>
          <xdr:col>207</xdr:col>
          <xdr:colOff>161925</xdr:colOff>
          <xdr:row>140</xdr:row>
          <xdr:rowOff>9525</xdr:rowOff>
        </xdr:to>
        <xdr:sp macro="" textlink="">
          <xdr:nvSpPr>
            <xdr:cNvPr id="1349" name="Drop Down 325" hidden="1">
              <a:extLst>
                <a:ext uri="{63B3BB69-23CF-44E3-9099-C40C66FF867C}">
                  <a14:compatExt spid="_x0000_s1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141</xdr:row>
          <xdr:rowOff>0</xdr:rowOff>
        </xdr:from>
        <xdr:to>
          <xdr:col>207</xdr:col>
          <xdr:colOff>161925</xdr:colOff>
          <xdr:row>142</xdr:row>
          <xdr:rowOff>9525</xdr:rowOff>
        </xdr:to>
        <xdr:sp macro="" textlink="">
          <xdr:nvSpPr>
            <xdr:cNvPr id="1350" name="Drop Down 326" hidden="1">
              <a:extLst>
                <a:ext uri="{63B3BB69-23CF-44E3-9099-C40C66FF867C}">
                  <a14:compatExt spid="_x0000_s1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143</xdr:row>
          <xdr:rowOff>0</xdr:rowOff>
        </xdr:from>
        <xdr:to>
          <xdr:col>207</xdr:col>
          <xdr:colOff>161925</xdr:colOff>
          <xdr:row>144</xdr:row>
          <xdr:rowOff>9525</xdr:rowOff>
        </xdr:to>
        <xdr:sp macro="" textlink="">
          <xdr:nvSpPr>
            <xdr:cNvPr id="1351" name="Drop Down 327" hidden="1">
              <a:extLst>
                <a:ext uri="{63B3BB69-23CF-44E3-9099-C40C66FF867C}">
                  <a14:compatExt spid="_x0000_s1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145</xdr:row>
          <xdr:rowOff>0</xdr:rowOff>
        </xdr:from>
        <xdr:to>
          <xdr:col>207</xdr:col>
          <xdr:colOff>161925</xdr:colOff>
          <xdr:row>146</xdr:row>
          <xdr:rowOff>9525</xdr:rowOff>
        </xdr:to>
        <xdr:sp macro="" textlink="">
          <xdr:nvSpPr>
            <xdr:cNvPr id="1352" name="Drop Down 328" hidden="1">
              <a:extLst>
                <a:ext uri="{63B3BB69-23CF-44E3-9099-C40C66FF867C}">
                  <a14:compatExt spid="_x0000_s1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147</xdr:row>
          <xdr:rowOff>0</xdr:rowOff>
        </xdr:from>
        <xdr:to>
          <xdr:col>207</xdr:col>
          <xdr:colOff>161925</xdr:colOff>
          <xdr:row>148</xdr:row>
          <xdr:rowOff>9525</xdr:rowOff>
        </xdr:to>
        <xdr:sp macro="" textlink="">
          <xdr:nvSpPr>
            <xdr:cNvPr id="1353" name="Drop Down 329" hidden="1">
              <a:extLst>
                <a:ext uri="{63B3BB69-23CF-44E3-9099-C40C66FF867C}">
                  <a14:compatExt spid="_x0000_s1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149</xdr:row>
          <xdr:rowOff>0</xdr:rowOff>
        </xdr:from>
        <xdr:to>
          <xdr:col>207</xdr:col>
          <xdr:colOff>161925</xdr:colOff>
          <xdr:row>150</xdr:row>
          <xdr:rowOff>9525</xdr:rowOff>
        </xdr:to>
        <xdr:sp macro="" textlink="">
          <xdr:nvSpPr>
            <xdr:cNvPr id="1354" name="Drop Down 330" hidden="1">
              <a:extLst>
                <a:ext uri="{63B3BB69-23CF-44E3-9099-C40C66FF867C}">
                  <a14:compatExt spid="_x0000_s1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151</xdr:row>
          <xdr:rowOff>0</xdr:rowOff>
        </xdr:from>
        <xdr:to>
          <xdr:col>207</xdr:col>
          <xdr:colOff>161925</xdr:colOff>
          <xdr:row>152</xdr:row>
          <xdr:rowOff>9525</xdr:rowOff>
        </xdr:to>
        <xdr:sp macro="" textlink="">
          <xdr:nvSpPr>
            <xdr:cNvPr id="1355" name="Drop Down 331" hidden="1">
              <a:extLst>
                <a:ext uri="{63B3BB69-23CF-44E3-9099-C40C66FF867C}">
                  <a14:compatExt spid="_x0000_s1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16</xdr:row>
          <xdr:rowOff>0</xdr:rowOff>
        </xdr:from>
        <xdr:to>
          <xdr:col>19</xdr:col>
          <xdr:colOff>333375</xdr:colOff>
          <xdr:row>17</xdr:row>
          <xdr:rowOff>9525</xdr:rowOff>
        </xdr:to>
        <xdr:sp macro="" textlink="">
          <xdr:nvSpPr>
            <xdr:cNvPr id="1363" name="Drop Down 339" hidden="1">
              <a:extLst>
                <a:ext uri="{63B3BB69-23CF-44E3-9099-C40C66FF867C}">
                  <a14:compatExt spid="_x0000_s1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98</xdr:row>
          <xdr:rowOff>0</xdr:rowOff>
        </xdr:from>
        <xdr:to>
          <xdr:col>19</xdr:col>
          <xdr:colOff>333375</xdr:colOff>
          <xdr:row>99</xdr:row>
          <xdr:rowOff>9525</xdr:rowOff>
        </xdr:to>
        <xdr:sp macro="" textlink="">
          <xdr:nvSpPr>
            <xdr:cNvPr id="1368" name="Drop Down 344" hidden="1">
              <a:extLst>
                <a:ext uri="{63B3BB69-23CF-44E3-9099-C40C66FF867C}">
                  <a14:compatExt spid="_x0000_s1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342900</xdr:colOff>
          <xdr:row>29</xdr:row>
          <xdr:rowOff>0</xdr:rowOff>
        </xdr:from>
        <xdr:to>
          <xdr:col>23</xdr:col>
          <xdr:colOff>238125</xdr:colOff>
          <xdr:row>30</xdr:row>
          <xdr:rowOff>9525</xdr:rowOff>
        </xdr:to>
        <xdr:sp macro="" textlink="">
          <xdr:nvSpPr>
            <xdr:cNvPr id="1530" name="Button 506" hidden="1">
              <a:extLst>
                <a:ext uri="{63B3BB69-23CF-44E3-9099-C40C66FF867C}">
                  <a14:compatExt spid="_x0000_s1530"/>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xdr:col>
          <xdr:colOff>333375</xdr:colOff>
          <xdr:row>51</xdr:row>
          <xdr:rowOff>0</xdr:rowOff>
        </xdr:from>
        <xdr:to>
          <xdr:col>23</xdr:col>
          <xdr:colOff>228600</xdr:colOff>
          <xdr:row>52</xdr:row>
          <xdr:rowOff>9525</xdr:rowOff>
        </xdr:to>
        <xdr:sp macro="" textlink="">
          <xdr:nvSpPr>
            <xdr:cNvPr id="1531" name="Button 507" hidden="1">
              <a:extLst>
                <a:ext uri="{63B3BB69-23CF-44E3-9099-C40C66FF867C}">
                  <a14:compatExt spid="_x0000_s1531"/>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xdr:col>
          <xdr:colOff>342900</xdr:colOff>
          <xdr:row>111</xdr:row>
          <xdr:rowOff>0</xdr:rowOff>
        </xdr:from>
        <xdr:to>
          <xdr:col>23</xdr:col>
          <xdr:colOff>228600</xdr:colOff>
          <xdr:row>112</xdr:row>
          <xdr:rowOff>19050</xdr:rowOff>
        </xdr:to>
        <xdr:sp macro="" textlink="">
          <xdr:nvSpPr>
            <xdr:cNvPr id="1532" name="Button 508" hidden="1">
              <a:extLst>
                <a:ext uri="{63B3BB69-23CF-44E3-9099-C40C66FF867C}">
                  <a14:compatExt spid="_x0000_s1532"/>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xdr:col>
          <xdr:colOff>333375</xdr:colOff>
          <xdr:row>133</xdr:row>
          <xdr:rowOff>0</xdr:rowOff>
        </xdr:from>
        <xdr:to>
          <xdr:col>23</xdr:col>
          <xdr:colOff>219075</xdr:colOff>
          <xdr:row>134</xdr:row>
          <xdr:rowOff>9525</xdr:rowOff>
        </xdr:to>
        <xdr:sp macro="" textlink="">
          <xdr:nvSpPr>
            <xdr:cNvPr id="1533" name="Button 509" hidden="1">
              <a:extLst>
                <a:ext uri="{63B3BB69-23CF-44E3-9099-C40C66FF867C}">
                  <a14:compatExt spid="_x0000_s1533"/>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304800</xdr:colOff>
          <xdr:row>111</xdr:row>
          <xdr:rowOff>0</xdr:rowOff>
        </xdr:from>
        <xdr:to>
          <xdr:col>25</xdr:col>
          <xdr:colOff>104775</xdr:colOff>
          <xdr:row>112</xdr:row>
          <xdr:rowOff>19050</xdr:rowOff>
        </xdr:to>
        <xdr:sp macro="" textlink="">
          <xdr:nvSpPr>
            <xdr:cNvPr id="1534" name="Button 510" hidden="1">
              <a:extLst>
                <a:ext uri="{63B3BB69-23CF-44E3-9099-C40C66FF867C}">
                  <a14:compatExt spid="_x0000_s1534"/>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590550</xdr:colOff>
          <xdr:row>111</xdr:row>
          <xdr:rowOff>0</xdr:rowOff>
        </xdr:from>
        <xdr:to>
          <xdr:col>31</xdr:col>
          <xdr:colOff>914400</xdr:colOff>
          <xdr:row>112</xdr:row>
          <xdr:rowOff>9525</xdr:rowOff>
        </xdr:to>
        <xdr:sp macro="" textlink="">
          <xdr:nvSpPr>
            <xdr:cNvPr id="1535" name="Button 511" hidden="1">
              <a:extLst>
                <a:ext uri="{63B3BB69-23CF-44E3-9099-C40C66FF867C}">
                  <a14:compatExt spid="_x0000_s1535"/>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Ryd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295275</xdr:colOff>
          <xdr:row>133</xdr:row>
          <xdr:rowOff>0</xdr:rowOff>
        </xdr:from>
        <xdr:to>
          <xdr:col>25</xdr:col>
          <xdr:colOff>95250</xdr:colOff>
          <xdr:row>134</xdr:row>
          <xdr:rowOff>9525</xdr:rowOff>
        </xdr:to>
        <xdr:sp macro="" textlink="">
          <xdr:nvSpPr>
            <xdr:cNvPr id="1536" name="Button 512" hidden="1">
              <a:extLst>
                <a:ext uri="{63B3BB69-23CF-44E3-9099-C40C66FF867C}">
                  <a14:compatExt spid="_x0000_s1536"/>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561975</xdr:colOff>
          <xdr:row>133</xdr:row>
          <xdr:rowOff>0</xdr:rowOff>
        </xdr:from>
        <xdr:to>
          <xdr:col>31</xdr:col>
          <xdr:colOff>857250</xdr:colOff>
          <xdr:row>134</xdr:row>
          <xdr:rowOff>9525</xdr:rowOff>
        </xdr:to>
        <xdr:sp macro="" textlink="">
          <xdr:nvSpPr>
            <xdr:cNvPr id="1537" name="Button 513" hidden="1">
              <a:extLst>
                <a:ext uri="{63B3BB69-23CF-44E3-9099-C40C66FF867C}">
                  <a14:compatExt spid="_x0000_s1537"/>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Ryd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304800</xdr:colOff>
          <xdr:row>51</xdr:row>
          <xdr:rowOff>0</xdr:rowOff>
        </xdr:from>
        <xdr:to>
          <xdr:col>25</xdr:col>
          <xdr:colOff>104775</xdr:colOff>
          <xdr:row>52</xdr:row>
          <xdr:rowOff>9525</xdr:rowOff>
        </xdr:to>
        <xdr:sp macro="" textlink="">
          <xdr:nvSpPr>
            <xdr:cNvPr id="1538" name="Button 514" hidden="1">
              <a:extLst>
                <a:ext uri="{63B3BB69-23CF-44E3-9099-C40C66FF867C}">
                  <a14:compatExt spid="_x0000_s1538"/>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314325</xdr:colOff>
          <xdr:row>29</xdr:row>
          <xdr:rowOff>0</xdr:rowOff>
        </xdr:from>
        <xdr:to>
          <xdr:col>25</xdr:col>
          <xdr:colOff>104775</xdr:colOff>
          <xdr:row>30</xdr:row>
          <xdr:rowOff>9525</xdr:rowOff>
        </xdr:to>
        <xdr:sp macro="" textlink="">
          <xdr:nvSpPr>
            <xdr:cNvPr id="1539" name="Button 515" hidden="1">
              <a:extLst>
                <a:ext uri="{63B3BB69-23CF-44E3-9099-C40C66FF867C}">
                  <a14:compatExt spid="_x0000_s1539"/>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590550</xdr:colOff>
          <xdr:row>51</xdr:row>
          <xdr:rowOff>9525</xdr:rowOff>
        </xdr:from>
        <xdr:to>
          <xdr:col>31</xdr:col>
          <xdr:colOff>895350</xdr:colOff>
          <xdr:row>52</xdr:row>
          <xdr:rowOff>19050</xdr:rowOff>
        </xdr:to>
        <xdr:sp macro="" textlink="">
          <xdr:nvSpPr>
            <xdr:cNvPr id="1540" name="Button 516" hidden="1">
              <a:extLst>
                <a:ext uri="{63B3BB69-23CF-44E3-9099-C40C66FF867C}">
                  <a14:compatExt spid="_x0000_s1540"/>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Ryd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571500</xdr:colOff>
          <xdr:row>29</xdr:row>
          <xdr:rowOff>0</xdr:rowOff>
        </xdr:from>
        <xdr:to>
          <xdr:col>31</xdr:col>
          <xdr:colOff>866775</xdr:colOff>
          <xdr:row>30</xdr:row>
          <xdr:rowOff>9525</xdr:rowOff>
        </xdr:to>
        <xdr:sp macro="" textlink="">
          <xdr:nvSpPr>
            <xdr:cNvPr id="1541" name="Button 517" hidden="1">
              <a:extLst>
                <a:ext uri="{63B3BB69-23CF-44E3-9099-C40C66FF867C}">
                  <a14:compatExt spid="_x0000_s1541"/>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Ryd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xdr:col>
          <xdr:colOff>190500</xdr:colOff>
          <xdr:row>28</xdr:row>
          <xdr:rowOff>85725</xdr:rowOff>
        </xdr:from>
        <xdr:to>
          <xdr:col>25</xdr:col>
          <xdr:colOff>438150</xdr:colOff>
          <xdr:row>30</xdr:row>
          <xdr:rowOff>9525</xdr:rowOff>
        </xdr:to>
        <xdr:sp macro="" textlink="">
          <xdr:nvSpPr>
            <xdr:cNvPr id="1542" name="Button 518" hidden="1">
              <a:extLst>
                <a:ext uri="{63B3BB69-23CF-44E3-9099-C40C66FF867C}">
                  <a14:compatExt spid="_x0000_s1542"/>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G1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xdr:col>
          <xdr:colOff>180975</xdr:colOff>
          <xdr:row>51</xdr:row>
          <xdr:rowOff>0</xdr:rowOff>
        </xdr:from>
        <xdr:to>
          <xdr:col>25</xdr:col>
          <xdr:colOff>419100</xdr:colOff>
          <xdr:row>52</xdr:row>
          <xdr:rowOff>9525</xdr:rowOff>
        </xdr:to>
        <xdr:sp macro="" textlink="">
          <xdr:nvSpPr>
            <xdr:cNvPr id="1543" name="Button 519" hidden="1">
              <a:extLst>
                <a:ext uri="{63B3BB69-23CF-44E3-9099-C40C66FF867C}">
                  <a14:compatExt spid="_x0000_s1543"/>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G1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xdr:col>
          <xdr:colOff>180975</xdr:colOff>
          <xdr:row>111</xdr:row>
          <xdr:rowOff>0</xdr:rowOff>
        </xdr:from>
        <xdr:to>
          <xdr:col>25</xdr:col>
          <xdr:colOff>447675</xdr:colOff>
          <xdr:row>112</xdr:row>
          <xdr:rowOff>19050</xdr:rowOff>
        </xdr:to>
        <xdr:sp macro="" textlink="">
          <xdr:nvSpPr>
            <xdr:cNvPr id="1544" name="Button 520" hidden="1">
              <a:extLst>
                <a:ext uri="{63B3BB69-23CF-44E3-9099-C40C66FF867C}">
                  <a14:compatExt spid="_x0000_s1544"/>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G1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xdr:col>
          <xdr:colOff>171450</xdr:colOff>
          <xdr:row>133</xdr:row>
          <xdr:rowOff>0</xdr:rowOff>
        </xdr:from>
        <xdr:to>
          <xdr:col>25</xdr:col>
          <xdr:colOff>438150</xdr:colOff>
          <xdr:row>134</xdr:row>
          <xdr:rowOff>9525</xdr:rowOff>
        </xdr:to>
        <xdr:sp macro="" textlink="">
          <xdr:nvSpPr>
            <xdr:cNvPr id="1545" name="Button 521" hidden="1">
              <a:extLst>
                <a:ext uri="{63B3BB69-23CF-44E3-9099-C40C66FF867C}">
                  <a14:compatExt spid="_x0000_s1545"/>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G1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47625</xdr:colOff>
          <xdr:row>28</xdr:row>
          <xdr:rowOff>85725</xdr:rowOff>
        </xdr:from>
        <xdr:to>
          <xdr:col>28</xdr:col>
          <xdr:colOff>0</xdr:colOff>
          <xdr:row>30</xdr:row>
          <xdr:rowOff>9525</xdr:rowOff>
        </xdr:to>
        <xdr:sp macro="" textlink="">
          <xdr:nvSpPr>
            <xdr:cNvPr id="1546" name="Button 522" hidden="1">
              <a:extLst>
                <a:ext uri="{63B3BB69-23CF-44E3-9099-C40C66FF867C}">
                  <a14:compatExt spid="_x0000_s1546"/>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K1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28575</xdr:colOff>
          <xdr:row>50</xdr:row>
          <xdr:rowOff>85725</xdr:rowOff>
        </xdr:from>
        <xdr:to>
          <xdr:col>27</xdr:col>
          <xdr:colOff>95250</xdr:colOff>
          <xdr:row>52</xdr:row>
          <xdr:rowOff>9525</xdr:rowOff>
        </xdr:to>
        <xdr:sp macro="" textlink="">
          <xdr:nvSpPr>
            <xdr:cNvPr id="1547" name="Button 523" hidden="1">
              <a:extLst>
                <a:ext uri="{63B3BB69-23CF-44E3-9099-C40C66FF867C}">
                  <a14:compatExt spid="_x0000_s1547"/>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K1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57150</xdr:colOff>
          <xdr:row>111</xdr:row>
          <xdr:rowOff>0</xdr:rowOff>
        </xdr:from>
        <xdr:to>
          <xdr:col>28</xdr:col>
          <xdr:colOff>9525</xdr:colOff>
          <xdr:row>112</xdr:row>
          <xdr:rowOff>19050</xdr:rowOff>
        </xdr:to>
        <xdr:sp macro="" textlink="">
          <xdr:nvSpPr>
            <xdr:cNvPr id="1548" name="Button 524" hidden="1">
              <a:extLst>
                <a:ext uri="{63B3BB69-23CF-44E3-9099-C40C66FF867C}">
                  <a14:compatExt spid="_x0000_s1548"/>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K1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47625</xdr:colOff>
          <xdr:row>132</xdr:row>
          <xdr:rowOff>85725</xdr:rowOff>
        </xdr:from>
        <xdr:to>
          <xdr:col>28</xdr:col>
          <xdr:colOff>0</xdr:colOff>
          <xdr:row>134</xdr:row>
          <xdr:rowOff>9525</xdr:rowOff>
        </xdr:to>
        <xdr:sp macro="" textlink="">
          <xdr:nvSpPr>
            <xdr:cNvPr id="1549" name="Button 525" hidden="1">
              <a:extLst>
                <a:ext uri="{63B3BB69-23CF-44E3-9099-C40C66FF867C}">
                  <a14:compatExt spid="_x0000_s1549"/>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K1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66675</xdr:colOff>
          <xdr:row>28</xdr:row>
          <xdr:rowOff>85725</xdr:rowOff>
        </xdr:from>
        <xdr:to>
          <xdr:col>28</xdr:col>
          <xdr:colOff>314325</xdr:colOff>
          <xdr:row>30</xdr:row>
          <xdr:rowOff>9525</xdr:rowOff>
        </xdr:to>
        <xdr:sp macro="" textlink="">
          <xdr:nvSpPr>
            <xdr:cNvPr id="1550" name="Button 526" hidden="1">
              <a:extLst>
                <a:ext uri="{63B3BB69-23CF-44E3-9099-C40C66FF867C}">
                  <a14:compatExt spid="_x0000_s1550"/>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F1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57150</xdr:colOff>
          <xdr:row>50</xdr:row>
          <xdr:rowOff>85725</xdr:rowOff>
        </xdr:from>
        <xdr:to>
          <xdr:col>28</xdr:col>
          <xdr:colOff>304800</xdr:colOff>
          <xdr:row>52</xdr:row>
          <xdr:rowOff>9525</xdr:rowOff>
        </xdr:to>
        <xdr:sp macro="" textlink="">
          <xdr:nvSpPr>
            <xdr:cNvPr id="1551" name="Button 527" hidden="1">
              <a:extLst>
                <a:ext uri="{63B3BB69-23CF-44E3-9099-C40C66FF867C}">
                  <a14:compatExt spid="_x0000_s1551"/>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F1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76200</xdr:colOff>
          <xdr:row>111</xdr:row>
          <xdr:rowOff>0</xdr:rowOff>
        </xdr:from>
        <xdr:to>
          <xdr:col>28</xdr:col>
          <xdr:colOff>323850</xdr:colOff>
          <xdr:row>112</xdr:row>
          <xdr:rowOff>19050</xdr:rowOff>
        </xdr:to>
        <xdr:sp macro="" textlink="">
          <xdr:nvSpPr>
            <xdr:cNvPr id="1552" name="Button 528" hidden="1">
              <a:extLst>
                <a:ext uri="{63B3BB69-23CF-44E3-9099-C40C66FF867C}">
                  <a14:compatExt spid="_x0000_s1552"/>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F1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66675</xdr:colOff>
          <xdr:row>132</xdr:row>
          <xdr:rowOff>85725</xdr:rowOff>
        </xdr:from>
        <xdr:to>
          <xdr:col>28</xdr:col>
          <xdr:colOff>314325</xdr:colOff>
          <xdr:row>134</xdr:row>
          <xdr:rowOff>9525</xdr:rowOff>
        </xdr:to>
        <xdr:sp macro="" textlink="">
          <xdr:nvSpPr>
            <xdr:cNvPr id="1553" name="Button 529" hidden="1">
              <a:extLst>
                <a:ext uri="{63B3BB69-23CF-44E3-9099-C40C66FF867C}">
                  <a14:compatExt spid="_x0000_s1553"/>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F1</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66675</xdr:colOff>
          <xdr:row>45</xdr:row>
          <xdr:rowOff>0</xdr:rowOff>
        </xdr:from>
        <xdr:to>
          <xdr:col>6</xdr:col>
          <xdr:colOff>9525</xdr:colOff>
          <xdr:row>46</xdr:row>
          <xdr:rowOff>9525</xdr:rowOff>
        </xdr:to>
        <xdr:sp macro="" textlink="">
          <xdr:nvSpPr>
            <xdr:cNvPr id="4101" name="Drop Down 5" hidden="1">
              <a:extLst>
                <a:ext uri="{63B3BB69-23CF-44E3-9099-C40C66FF867C}">
                  <a14:compatExt spid="_x0000_s4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371475</xdr:colOff>
          <xdr:row>45</xdr:row>
          <xdr:rowOff>0</xdr:rowOff>
        </xdr:from>
        <xdr:to>
          <xdr:col>15</xdr:col>
          <xdr:colOff>209550</xdr:colOff>
          <xdr:row>46</xdr:row>
          <xdr:rowOff>9525</xdr:rowOff>
        </xdr:to>
        <xdr:sp macro="" textlink="">
          <xdr:nvSpPr>
            <xdr:cNvPr id="4102" name="Drop Down 6" hidden="1">
              <a:extLst>
                <a:ext uri="{63B3BB69-23CF-44E3-9099-C40C66FF867C}">
                  <a14:compatExt spid="_x0000_s4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45</xdr:row>
          <xdr:rowOff>9525</xdr:rowOff>
        </xdr:from>
        <xdr:to>
          <xdr:col>22</xdr:col>
          <xdr:colOff>47625</xdr:colOff>
          <xdr:row>46</xdr:row>
          <xdr:rowOff>19050</xdr:rowOff>
        </xdr:to>
        <xdr:sp macro="" textlink="">
          <xdr:nvSpPr>
            <xdr:cNvPr id="4103" name="Drop Down 7" hidden="1">
              <a:extLst>
                <a:ext uri="{63B3BB69-23CF-44E3-9099-C40C66FF867C}">
                  <a14:compatExt spid="_x0000_s4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xdr:row>
          <xdr:rowOff>0</xdr:rowOff>
        </xdr:from>
        <xdr:to>
          <xdr:col>7</xdr:col>
          <xdr:colOff>190500</xdr:colOff>
          <xdr:row>3</xdr:row>
          <xdr:rowOff>9525</xdr:rowOff>
        </xdr:to>
        <xdr:sp macro="" textlink="">
          <xdr:nvSpPr>
            <xdr:cNvPr id="4104" name="Drop Down 8" hidden="1">
              <a:extLst>
                <a:ext uri="{63B3BB69-23CF-44E3-9099-C40C66FF867C}">
                  <a14:compatExt spid="_x0000_s4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xdr:row>
          <xdr:rowOff>0</xdr:rowOff>
        </xdr:from>
        <xdr:to>
          <xdr:col>16</xdr:col>
          <xdr:colOff>219075</xdr:colOff>
          <xdr:row>3</xdr:row>
          <xdr:rowOff>9525</xdr:rowOff>
        </xdr:to>
        <xdr:sp macro="" textlink="">
          <xdr:nvSpPr>
            <xdr:cNvPr id="4105" name="Drop Down 9" hidden="1">
              <a:extLst>
                <a:ext uri="{63B3BB69-23CF-44E3-9099-C40C66FF867C}">
                  <a14:compatExt spid="_x0000_s410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76200</xdr:colOff>
          <xdr:row>17</xdr:row>
          <xdr:rowOff>0</xdr:rowOff>
        </xdr:from>
        <xdr:to>
          <xdr:col>12</xdr:col>
          <xdr:colOff>257175</xdr:colOff>
          <xdr:row>18</xdr:row>
          <xdr:rowOff>9525</xdr:rowOff>
        </xdr:to>
        <xdr:sp macro="" textlink="">
          <xdr:nvSpPr>
            <xdr:cNvPr id="18433" name="Drop Down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17</xdr:row>
          <xdr:rowOff>0</xdr:rowOff>
        </xdr:from>
        <xdr:to>
          <xdr:col>16</xdr:col>
          <xdr:colOff>190500</xdr:colOff>
          <xdr:row>18</xdr:row>
          <xdr:rowOff>9525</xdr:rowOff>
        </xdr:to>
        <xdr:sp macro="" textlink="">
          <xdr:nvSpPr>
            <xdr:cNvPr id="18434" name="Drop Down 2" hidden="1">
              <a:extLst>
                <a:ext uri="{63B3BB69-23CF-44E3-9099-C40C66FF867C}">
                  <a14:compatExt spid="_x0000_s18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17</xdr:row>
          <xdr:rowOff>0</xdr:rowOff>
        </xdr:from>
        <xdr:to>
          <xdr:col>22</xdr:col>
          <xdr:colOff>190500</xdr:colOff>
          <xdr:row>18</xdr:row>
          <xdr:rowOff>9525</xdr:rowOff>
        </xdr:to>
        <xdr:sp macro="" textlink="">
          <xdr:nvSpPr>
            <xdr:cNvPr id="18435" name="Drop Down 3" hidden="1">
              <a:extLst>
                <a:ext uri="{63B3BB69-23CF-44E3-9099-C40C66FF867C}">
                  <a14:compatExt spid="_x0000_s18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17</xdr:row>
          <xdr:rowOff>0</xdr:rowOff>
        </xdr:from>
        <xdr:to>
          <xdr:col>26</xdr:col>
          <xdr:colOff>190500</xdr:colOff>
          <xdr:row>18</xdr:row>
          <xdr:rowOff>9525</xdr:rowOff>
        </xdr:to>
        <xdr:sp macro="" textlink="">
          <xdr:nvSpPr>
            <xdr:cNvPr id="18436" name="Drop Down 4" hidden="1">
              <a:extLst>
                <a:ext uri="{63B3BB69-23CF-44E3-9099-C40C66FF867C}">
                  <a14:compatExt spid="_x0000_s18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17</xdr:row>
          <xdr:rowOff>0</xdr:rowOff>
        </xdr:from>
        <xdr:to>
          <xdr:col>17</xdr:col>
          <xdr:colOff>342900</xdr:colOff>
          <xdr:row>18</xdr:row>
          <xdr:rowOff>28575</xdr:rowOff>
        </xdr:to>
        <xdr:sp macro="" textlink="">
          <xdr:nvSpPr>
            <xdr:cNvPr id="18437" name="Check Box 5" hidden="1">
              <a:extLst>
                <a:ext uri="{63B3BB69-23CF-44E3-9099-C40C66FF867C}">
                  <a14:compatExt spid="_x0000_s18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17</xdr:row>
          <xdr:rowOff>0</xdr:rowOff>
        </xdr:from>
        <xdr:to>
          <xdr:col>30</xdr:col>
          <xdr:colOff>190500</xdr:colOff>
          <xdr:row>18</xdr:row>
          <xdr:rowOff>9525</xdr:rowOff>
        </xdr:to>
        <xdr:sp macro="" textlink="">
          <xdr:nvSpPr>
            <xdr:cNvPr id="18438" name="Drop Down 6" hidden="1">
              <a:extLst>
                <a:ext uri="{63B3BB69-23CF-44E3-9099-C40C66FF867C}">
                  <a14:compatExt spid="_x0000_s18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17</xdr:row>
          <xdr:rowOff>0</xdr:rowOff>
        </xdr:from>
        <xdr:to>
          <xdr:col>117</xdr:col>
          <xdr:colOff>19050</xdr:colOff>
          <xdr:row>18</xdr:row>
          <xdr:rowOff>9525</xdr:rowOff>
        </xdr:to>
        <xdr:sp macro="" textlink="">
          <xdr:nvSpPr>
            <xdr:cNvPr id="18441" name="Drop Down 9" hidden="1">
              <a:extLst>
                <a:ext uri="{63B3BB69-23CF-44E3-9099-C40C66FF867C}">
                  <a14:compatExt spid="_x0000_s18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17</xdr:row>
          <xdr:rowOff>0</xdr:rowOff>
        </xdr:from>
        <xdr:to>
          <xdr:col>165</xdr:col>
          <xdr:colOff>333375</xdr:colOff>
          <xdr:row>18</xdr:row>
          <xdr:rowOff>9525</xdr:rowOff>
        </xdr:to>
        <xdr:sp macro="" textlink="">
          <xdr:nvSpPr>
            <xdr:cNvPr id="18442" name="Drop Down 10" hidden="1">
              <a:extLst>
                <a:ext uri="{63B3BB69-23CF-44E3-9099-C40C66FF867C}">
                  <a14:compatExt spid="_x0000_s18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17</xdr:row>
          <xdr:rowOff>0</xdr:rowOff>
        </xdr:from>
        <xdr:to>
          <xdr:col>266</xdr:col>
          <xdr:colOff>161925</xdr:colOff>
          <xdr:row>18</xdr:row>
          <xdr:rowOff>9525</xdr:rowOff>
        </xdr:to>
        <xdr:sp macro="" textlink="">
          <xdr:nvSpPr>
            <xdr:cNvPr id="18443" name="Drop Down 11" hidden="1">
              <a:extLst>
                <a:ext uri="{63B3BB69-23CF-44E3-9099-C40C66FF867C}">
                  <a14:compatExt spid="_x0000_s18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17</xdr:row>
          <xdr:rowOff>0</xdr:rowOff>
        </xdr:from>
        <xdr:to>
          <xdr:col>4</xdr:col>
          <xdr:colOff>190500</xdr:colOff>
          <xdr:row>18</xdr:row>
          <xdr:rowOff>9525</xdr:rowOff>
        </xdr:to>
        <xdr:sp macro="" textlink="">
          <xdr:nvSpPr>
            <xdr:cNvPr id="18862" name="Drop Down 430" hidden="1">
              <a:extLst>
                <a:ext uri="{63B3BB69-23CF-44E3-9099-C40C66FF867C}">
                  <a14:compatExt spid="_x0000_s188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8</xdr:col>
          <xdr:colOff>9525</xdr:colOff>
          <xdr:row>18</xdr:row>
          <xdr:rowOff>9525</xdr:rowOff>
        </xdr:to>
        <xdr:sp macro="" textlink="">
          <xdr:nvSpPr>
            <xdr:cNvPr id="18863" name="Drop Down 431" hidden="1">
              <a:extLst>
                <a:ext uri="{63B3BB69-23CF-44E3-9099-C40C66FF867C}">
                  <a14:compatExt spid="_x0000_s188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17</xdr:row>
          <xdr:rowOff>0</xdr:rowOff>
        </xdr:from>
        <xdr:to>
          <xdr:col>36</xdr:col>
          <xdr:colOff>9525</xdr:colOff>
          <xdr:row>18</xdr:row>
          <xdr:rowOff>9525</xdr:rowOff>
        </xdr:to>
        <xdr:sp macro="" textlink="">
          <xdr:nvSpPr>
            <xdr:cNvPr id="18865" name="Drop Down 433" hidden="1">
              <a:extLst>
                <a:ext uri="{63B3BB69-23CF-44E3-9099-C40C66FF867C}">
                  <a14:compatExt spid="_x0000_s188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6</xdr:row>
          <xdr:rowOff>0</xdr:rowOff>
        </xdr:from>
        <xdr:to>
          <xdr:col>9</xdr:col>
          <xdr:colOff>57150</xdr:colOff>
          <xdr:row>7</xdr:row>
          <xdr:rowOff>9525</xdr:rowOff>
        </xdr:to>
        <xdr:sp macro="" textlink="">
          <xdr:nvSpPr>
            <xdr:cNvPr id="18866" name="Drop Down 434" hidden="1">
              <a:extLst>
                <a:ext uri="{63B3BB69-23CF-44E3-9099-C40C66FF867C}">
                  <a14:compatExt spid="_x0000_s188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19</xdr:row>
          <xdr:rowOff>0</xdr:rowOff>
        </xdr:from>
        <xdr:to>
          <xdr:col>12</xdr:col>
          <xdr:colOff>257175</xdr:colOff>
          <xdr:row>20</xdr:row>
          <xdr:rowOff>9525</xdr:rowOff>
        </xdr:to>
        <xdr:sp macro="" textlink="">
          <xdr:nvSpPr>
            <xdr:cNvPr id="18868" name="Drop Down 436" hidden="1">
              <a:extLst>
                <a:ext uri="{63B3BB69-23CF-44E3-9099-C40C66FF867C}">
                  <a14:compatExt spid="_x0000_s188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19</xdr:row>
          <xdr:rowOff>0</xdr:rowOff>
        </xdr:from>
        <xdr:to>
          <xdr:col>16</xdr:col>
          <xdr:colOff>190500</xdr:colOff>
          <xdr:row>20</xdr:row>
          <xdr:rowOff>9525</xdr:rowOff>
        </xdr:to>
        <xdr:sp macro="" textlink="">
          <xdr:nvSpPr>
            <xdr:cNvPr id="18869" name="Drop Down 437" hidden="1">
              <a:extLst>
                <a:ext uri="{63B3BB69-23CF-44E3-9099-C40C66FF867C}">
                  <a14:compatExt spid="_x0000_s188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19</xdr:row>
          <xdr:rowOff>0</xdr:rowOff>
        </xdr:from>
        <xdr:to>
          <xdr:col>22</xdr:col>
          <xdr:colOff>190500</xdr:colOff>
          <xdr:row>20</xdr:row>
          <xdr:rowOff>9525</xdr:rowOff>
        </xdr:to>
        <xdr:sp macro="" textlink="">
          <xdr:nvSpPr>
            <xdr:cNvPr id="18870" name="Drop Down 438" hidden="1">
              <a:extLst>
                <a:ext uri="{63B3BB69-23CF-44E3-9099-C40C66FF867C}">
                  <a14:compatExt spid="_x0000_s188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19</xdr:row>
          <xdr:rowOff>0</xdr:rowOff>
        </xdr:from>
        <xdr:to>
          <xdr:col>26</xdr:col>
          <xdr:colOff>190500</xdr:colOff>
          <xdr:row>20</xdr:row>
          <xdr:rowOff>9525</xdr:rowOff>
        </xdr:to>
        <xdr:sp macro="" textlink="">
          <xdr:nvSpPr>
            <xdr:cNvPr id="18871" name="Drop Down 439" hidden="1">
              <a:extLst>
                <a:ext uri="{63B3BB69-23CF-44E3-9099-C40C66FF867C}">
                  <a14:compatExt spid="_x0000_s188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19</xdr:row>
          <xdr:rowOff>0</xdr:rowOff>
        </xdr:from>
        <xdr:to>
          <xdr:col>17</xdr:col>
          <xdr:colOff>342900</xdr:colOff>
          <xdr:row>20</xdr:row>
          <xdr:rowOff>28575</xdr:rowOff>
        </xdr:to>
        <xdr:sp macro="" textlink="">
          <xdr:nvSpPr>
            <xdr:cNvPr id="18872" name="Check Box 440" hidden="1">
              <a:extLst>
                <a:ext uri="{63B3BB69-23CF-44E3-9099-C40C66FF867C}">
                  <a14:compatExt spid="_x0000_s188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19</xdr:row>
          <xdr:rowOff>0</xdr:rowOff>
        </xdr:from>
        <xdr:to>
          <xdr:col>30</xdr:col>
          <xdr:colOff>190500</xdr:colOff>
          <xdr:row>20</xdr:row>
          <xdr:rowOff>9525</xdr:rowOff>
        </xdr:to>
        <xdr:sp macro="" textlink="">
          <xdr:nvSpPr>
            <xdr:cNvPr id="18873" name="Drop Down 441" hidden="1">
              <a:extLst>
                <a:ext uri="{63B3BB69-23CF-44E3-9099-C40C66FF867C}">
                  <a14:compatExt spid="_x0000_s188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19</xdr:row>
          <xdr:rowOff>0</xdr:rowOff>
        </xdr:from>
        <xdr:to>
          <xdr:col>117</xdr:col>
          <xdr:colOff>19050</xdr:colOff>
          <xdr:row>20</xdr:row>
          <xdr:rowOff>9525</xdr:rowOff>
        </xdr:to>
        <xdr:sp macro="" textlink="">
          <xdr:nvSpPr>
            <xdr:cNvPr id="18874" name="Drop Down 442" hidden="1">
              <a:extLst>
                <a:ext uri="{63B3BB69-23CF-44E3-9099-C40C66FF867C}">
                  <a14:compatExt spid="_x0000_s188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19</xdr:row>
          <xdr:rowOff>0</xdr:rowOff>
        </xdr:from>
        <xdr:to>
          <xdr:col>165</xdr:col>
          <xdr:colOff>333375</xdr:colOff>
          <xdr:row>20</xdr:row>
          <xdr:rowOff>9525</xdr:rowOff>
        </xdr:to>
        <xdr:sp macro="" textlink="">
          <xdr:nvSpPr>
            <xdr:cNvPr id="18875" name="Drop Down 443" hidden="1">
              <a:extLst>
                <a:ext uri="{63B3BB69-23CF-44E3-9099-C40C66FF867C}">
                  <a14:compatExt spid="_x0000_s188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19</xdr:row>
          <xdr:rowOff>0</xdr:rowOff>
        </xdr:from>
        <xdr:to>
          <xdr:col>266</xdr:col>
          <xdr:colOff>161925</xdr:colOff>
          <xdr:row>20</xdr:row>
          <xdr:rowOff>9525</xdr:rowOff>
        </xdr:to>
        <xdr:sp macro="" textlink="">
          <xdr:nvSpPr>
            <xdr:cNvPr id="18876" name="Drop Down 444" hidden="1">
              <a:extLst>
                <a:ext uri="{63B3BB69-23CF-44E3-9099-C40C66FF867C}">
                  <a14:compatExt spid="_x0000_s188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19</xdr:row>
          <xdr:rowOff>0</xdr:rowOff>
        </xdr:from>
        <xdr:to>
          <xdr:col>4</xdr:col>
          <xdr:colOff>190500</xdr:colOff>
          <xdr:row>20</xdr:row>
          <xdr:rowOff>9525</xdr:rowOff>
        </xdr:to>
        <xdr:sp macro="" textlink="">
          <xdr:nvSpPr>
            <xdr:cNvPr id="18877" name="Drop Down 445" hidden="1">
              <a:extLst>
                <a:ext uri="{63B3BB69-23CF-44E3-9099-C40C66FF867C}">
                  <a14:compatExt spid="_x0000_s188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8</xdr:col>
          <xdr:colOff>9525</xdr:colOff>
          <xdr:row>20</xdr:row>
          <xdr:rowOff>9525</xdr:rowOff>
        </xdr:to>
        <xdr:sp macro="" textlink="">
          <xdr:nvSpPr>
            <xdr:cNvPr id="18878" name="Drop Down 446" hidden="1">
              <a:extLst>
                <a:ext uri="{63B3BB69-23CF-44E3-9099-C40C66FF867C}">
                  <a14:compatExt spid="_x0000_s188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19</xdr:row>
          <xdr:rowOff>0</xdr:rowOff>
        </xdr:from>
        <xdr:to>
          <xdr:col>36</xdr:col>
          <xdr:colOff>9525</xdr:colOff>
          <xdr:row>20</xdr:row>
          <xdr:rowOff>9525</xdr:rowOff>
        </xdr:to>
        <xdr:sp macro="" textlink="">
          <xdr:nvSpPr>
            <xdr:cNvPr id="18879" name="Drop Down 447" hidden="1">
              <a:extLst>
                <a:ext uri="{63B3BB69-23CF-44E3-9099-C40C66FF867C}">
                  <a14:compatExt spid="_x0000_s188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21</xdr:row>
          <xdr:rowOff>0</xdr:rowOff>
        </xdr:from>
        <xdr:to>
          <xdr:col>12</xdr:col>
          <xdr:colOff>257175</xdr:colOff>
          <xdr:row>22</xdr:row>
          <xdr:rowOff>9525</xdr:rowOff>
        </xdr:to>
        <xdr:sp macro="" textlink="">
          <xdr:nvSpPr>
            <xdr:cNvPr id="18880" name="Drop Down 448" hidden="1">
              <a:extLst>
                <a:ext uri="{63B3BB69-23CF-44E3-9099-C40C66FF867C}">
                  <a14:compatExt spid="_x0000_s188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21</xdr:row>
          <xdr:rowOff>0</xdr:rowOff>
        </xdr:from>
        <xdr:to>
          <xdr:col>16</xdr:col>
          <xdr:colOff>190500</xdr:colOff>
          <xdr:row>22</xdr:row>
          <xdr:rowOff>9525</xdr:rowOff>
        </xdr:to>
        <xdr:sp macro="" textlink="">
          <xdr:nvSpPr>
            <xdr:cNvPr id="18881" name="Drop Down 449" hidden="1">
              <a:extLst>
                <a:ext uri="{63B3BB69-23CF-44E3-9099-C40C66FF867C}">
                  <a14:compatExt spid="_x0000_s188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21</xdr:row>
          <xdr:rowOff>0</xdr:rowOff>
        </xdr:from>
        <xdr:to>
          <xdr:col>22</xdr:col>
          <xdr:colOff>190500</xdr:colOff>
          <xdr:row>22</xdr:row>
          <xdr:rowOff>9525</xdr:rowOff>
        </xdr:to>
        <xdr:sp macro="" textlink="">
          <xdr:nvSpPr>
            <xdr:cNvPr id="18882" name="Drop Down 450" hidden="1">
              <a:extLst>
                <a:ext uri="{63B3BB69-23CF-44E3-9099-C40C66FF867C}">
                  <a14:compatExt spid="_x0000_s188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21</xdr:row>
          <xdr:rowOff>0</xdr:rowOff>
        </xdr:from>
        <xdr:to>
          <xdr:col>26</xdr:col>
          <xdr:colOff>190500</xdr:colOff>
          <xdr:row>22</xdr:row>
          <xdr:rowOff>9525</xdr:rowOff>
        </xdr:to>
        <xdr:sp macro="" textlink="">
          <xdr:nvSpPr>
            <xdr:cNvPr id="18883" name="Drop Down 451" hidden="1">
              <a:extLst>
                <a:ext uri="{63B3BB69-23CF-44E3-9099-C40C66FF867C}">
                  <a14:compatExt spid="_x0000_s188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21</xdr:row>
          <xdr:rowOff>0</xdr:rowOff>
        </xdr:from>
        <xdr:to>
          <xdr:col>17</xdr:col>
          <xdr:colOff>342900</xdr:colOff>
          <xdr:row>22</xdr:row>
          <xdr:rowOff>28575</xdr:rowOff>
        </xdr:to>
        <xdr:sp macro="" textlink="">
          <xdr:nvSpPr>
            <xdr:cNvPr id="18884" name="Check Box 452" hidden="1">
              <a:extLst>
                <a:ext uri="{63B3BB69-23CF-44E3-9099-C40C66FF867C}">
                  <a14:compatExt spid="_x0000_s188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21</xdr:row>
          <xdr:rowOff>0</xdr:rowOff>
        </xdr:from>
        <xdr:to>
          <xdr:col>30</xdr:col>
          <xdr:colOff>190500</xdr:colOff>
          <xdr:row>22</xdr:row>
          <xdr:rowOff>9525</xdr:rowOff>
        </xdr:to>
        <xdr:sp macro="" textlink="">
          <xdr:nvSpPr>
            <xdr:cNvPr id="18885" name="Drop Down 453" hidden="1">
              <a:extLst>
                <a:ext uri="{63B3BB69-23CF-44E3-9099-C40C66FF867C}">
                  <a14:compatExt spid="_x0000_s188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21</xdr:row>
          <xdr:rowOff>0</xdr:rowOff>
        </xdr:from>
        <xdr:to>
          <xdr:col>117</xdr:col>
          <xdr:colOff>19050</xdr:colOff>
          <xdr:row>22</xdr:row>
          <xdr:rowOff>9525</xdr:rowOff>
        </xdr:to>
        <xdr:sp macro="" textlink="">
          <xdr:nvSpPr>
            <xdr:cNvPr id="18886" name="Drop Down 454" hidden="1">
              <a:extLst>
                <a:ext uri="{63B3BB69-23CF-44E3-9099-C40C66FF867C}">
                  <a14:compatExt spid="_x0000_s188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21</xdr:row>
          <xdr:rowOff>0</xdr:rowOff>
        </xdr:from>
        <xdr:to>
          <xdr:col>165</xdr:col>
          <xdr:colOff>333375</xdr:colOff>
          <xdr:row>22</xdr:row>
          <xdr:rowOff>9525</xdr:rowOff>
        </xdr:to>
        <xdr:sp macro="" textlink="">
          <xdr:nvSpPr>
            <xdr:cNvPr id="18887" name="Drop Down 455" hidden="1">
              <a:extLst>
                <a:ext uri="{63B3BB69-23CF-44E3-9099-C40C66FF867C}">
                  <a14:compatExt spid="_x0000_s188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21</xdr:row>
          <xdr:rowOff>0</xdr:rowOff>
        </xdr:from>
        <xdr:to>
          <xdr:col>266</xdr:col>
          <xdr:colOff>161925</xdr:colOff>
          <xdr:row>22</xdr:row>
          <xdr:rowOff>9525</xdr:rowOff>
        </xdr:to>
        <xdr:sp macro="" textlink="">
          <xdr:nvSpPr>
            <xdr:cNvPr id="18888" name="Drop Down 456" hidden="1">
              <a:extLst>
                <a:ext uri="{63B3BB69-23CF-44E3-9099-C40C66FF867C}">
                  <a14:compatExt spid="_x0000_s188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xdr:row>
          <xdr:rowOff>0</xdr:rowOff>
        </xdr:from>
        <xdr:to>
          <xdr:col>4</xdr:col>
          <xdr:colOff>190500</xdr:colOff>
          <xdr:row>22</xdr:row>
          <xdr:rowOff>9525</xdr:rowOff>
        </xdr:to>
        <xdr:sp macro="" textlink="">
          <xdr:nvSpPr>
            <xdr:cNvPr id="18889" name="Drop Down 457" hidden="1">
              <a:extLst>
                <a:ext uri="{63B3BB69-23CF-44E3-9099-C40C66FF867C}">
                  <a14:compatExt spid="_x0000_s188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8</xdr:col>
          <xdr:colOff>9525</xdr:colOff>
          <xdr:row>22</xdr:row>
          <xdr:rowOff>9525</xdr:rowOff>
        </xdr:to>
        <xdr:sp macro="" textlink="">
          <xdr:nvSpPr>
            <xdr:cNvPr id="18890" name="Drop Down 458" hidden="1">
              <a:extLst>
                <a:ext uri="{63B3BB69-23CF-44E3-9099-C40C66FF867C}">
                  <a14:compatExt spid="_x0000_s188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21</xdr:row>
          <xdr:rowOff>0</xdr:rowOff>
        </xdr:from>
        <xdr:to>
          <xdr:col>36</xdr:col>
          <xdr:colOff>9525</xdr:colOff>
          <xdr:row>22</xdr:row>
          <xdr:rowOff>9525</xdr:rowOff>
        </xdr:to>
        <xdr:sp macro="" textlink="">
          <xdr:nvSpPr>
            <xdr:cNvPr id="18891" name="Drop Down 459" hidden="1">
              <a:extLst>
                <a:ext uri="{63B3BB69-23CF-44E3-9099-C40C66FF867C}">
                  <a14:compatExt spid="_x0000_s188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23</xdr:row>
          <xdr:rowOff>0</xdr:rowOff>
        </xdr:from>
        <xdr:to>
          <xdr:col>12</xdr:col>
          <xdr:colOff>257175</xdr:colOff>
          <xdr:row>24</xdr:row>
          <xdr:rowOff>9525</xdr:rowOff>
        </xdr:to>
        <xdr:sp macro="" textlink="">
          <xdr:nvSpPr>
            <xdr:cNvPr id="18892" name="Drop Down 460" hidden="1">
              <a:extLst>
                <a:ext uri="{63B3BB69-23CF-44E3-9099-C40C66FF867C}">
                  <a14:compatExt spid="_x0000_s188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23</xdr:row>
          <xdr:rowOff>0</xdr:rowOff>
        </xdr:from>
        <xdr:to>
          <xdr:col>16</xdr:col>
          <xdr:colOff>190500</xdr:colOff>
          <xdr:row>24</xdr:row>
          <xdr:rowOff>9525</xdr:rowOff>
        </xdr:to>
        <xdr:sp macro="" textlink="">
          <xdr:nvSpPr>
            <xdr:cNvPr id="18893" name="Drop Down 461" hidden="1">
              <a:extLst>
                <a:ext uri="{63B3BB69-23CF-44E3-9099-C40C66FF867C}">
                  <a14:compatExt spid="_x0000_s188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23</xdr:row>
          <xdr:rowOff>0</xdr:rowOff>
        </xdr:from>
        <xdr:to>
          <xdr:col>22</xdr:col>
          <xdr:colOff>190500</xdr:colOff>
          <xdr:row>24</xdr:row>
          <xdr:rowOff>9525</xdr:rowOff>
        </xdr:to>
        <xdr:sp macro="" textlink="">
          <xdr:nvSpPr>
            <xdr:cNvPr id="18894" name="Drop Down 462" hidden="1">
              <a:extLst>
                <a:ext uri="{63B3BB69-23CF-44E3-9099-C40C66FF867C}">
                  <a14:compatExt spid="_x0000_s188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23</xdr:row>
          <xdr:rowOff>0</xdr:rowOff>
        </xdr:from>
        <xdr:to>
          <xdr:col>26</xdr:col>
          <xdr:colOff>190500</xdr:colOff>
          <xdr:row>24</xdr:row>
          <xdr:rowOff>9525</xdr:rowOff>
        </xdr:to>
        <xdr:sp macro="" textlink="">
          <xdr:nvSpPr>
            <xdr:cNvPr id="18895" name="Drop Down 463" hidden="1">
              <a:extLst>
                <a:ext uri="{63B3BB69-23CF-44E3-9099-C40C66FF867C}">
                  <a14:compatExt spid="_x0000_s188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23</xdr:row>
          <xdr:rowOff>0</xdr:rowOff>
        </xdr:from>
        <xdr:to>
          <xdr:col>17</xdr:col>
          <xdr:colOff>342900</xdr:colOff>
          <xdr:row>24</xdr:row>
          <xdr:rowOff>28575</xdr:rowOff>
        </xdr:to>
        <xdr:sp macro="" textlink="">
          <xdr:nvSpPr>
            <xdr:cNvPr id="18896" name="Check Box 464" hidden="1">
              <a:extLst>
                <a:ext uri="{63B3BB69-23CF-44E3-9099-C40C66FF867C}">
                  <a14:compatExt spid="_x0000_s188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23</xdr:row>
          <xdr:rowOff>0</xdr:rowOff>
        </xdr:from>
        <xdr:to>
          <xdr:col>30</xdr:col>
          <xdr:colOff>190500</xdr:colOff>
          <xdr:row>24</xdr:row>
          <xdr:rowOff>9525</xdr:rowOff>
        </xdr:to>
        <xdr:sp macro="" textlink="">
          <xdr:nvSpPr>
            <xdr:cNvPr id="18897" name="Drop Down 465" hidden="1">
              <a:extLst>
                <a:ext uri="{63B3BB69-23CF-44E3-9099-C40C66FF867C}">
                  <a14:compatExt spid="_x0000_s188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23</xdr:row>
          <xdr:rowOff>0</xdr:rowOff>
        </xdr:from>
        <xdr:to>
          <xdr:col>117</xdr:col>
          <xdr:colOff>19050</xdr:colOff>
          <xdr:row>24</xdr:row>
          <xdr:rowOff>9525</xdr:rowOff>
        </xdr:to>
        <xdr:sp macro="" textlink="">
          <xdr:nvSpPr>
            <xdr:cNvPr id="18898" name="Drop Down 466" hidden="1">
              <a:extLst>
                <a:ext uri="{63B3BB69-23CF-44E3-9099-C40C66FF867C}">
                  <a14:compatExt spid="_x0000_s188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23</xdr:row>
          <xdr:rowOff>0</xdr:rowOff>
        </xdr:from>
        <xdr:to>
          <xdr:col>165</xdr:col>
          <xdr:colOff>333375</xdr:colOff>
          <xdr:row>24</xdr:row>
          <xdr:rowOff>9525</xdr:rowOff>
        </xdr:to>
        <xdr:sp macro="" textlink="">
          <xdr:nvSpPr>
            <xdr:cNvPr id="18899" name="Drop Down 467" hidden="1">
              <a:extLst>
                <a:ext uri="{63B3BB69-23CF-44E3-9099-C40C66FF867C}">
                  <a14:compatExt spid="_x0000_s188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23</xdr:row>
          <xdr:rowOff>0</xdr:rowOff>
        </xdr:from>
        <xdr:to>
          <xdr:col>266</xdr:col>
          <xdr:colOff>161925</xdr:colOff>
          <xdr:row>24</xdr:row>
          <xdr:rowOff>9525</xdr:rowOff>
        </xdr:to>
        <xdr:sp macro="" textlink="">
          <xdr:nvSpPr>
            <xdr:cNvPr id="18900" name="Drop Down 468" hidden="1">
              <a:extLst>
                <a:ext uri="{63B3BB69-23CF-44E3-9099-C40C66FF867C}">
                  <a14:compatExt spid="_x0000_s189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23</xdr:row>
          <xdr:rowOff>0</xdr:rowOff>
        </xdr:from>
        <xdr:to>
          <xdr:col>4</xdr:col>
          <xdr:colOff>190500</xdr:colOff>
          <xdr:row>24</xdr:row>
          <xdr:rowOff>9525</xdr:rowOff>
        </xdr:to>
        <xdr:sp macro="" textlink="">
          <xdr:nvSpPr>
            <xdr:cNvPr id="18901" name="Drop Down 469" hidden="1">
              <a:extLst>
                <a:ext uri="{63B3BB69-23CF-44E3-9099-C40C66FF867C}">
                  <a14:compatExt spid="_x0000_s189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23</xdr:row>
          <xdr:rowOff>0</xdr:rowOff>
        </xdr:from>
        <xdr:to>
          <xdr:col>8</xdr:col>
          <xdr:colOff>9525</xdr:colOff>
          <xdr:row>24</xdr:row>
          <xdr:rowOff>9525</xdr:rowOff>
        </xdr:to>
        <xdr:sp macro="" textlink="">
          <xdr:nvSpPr>
            <xdr:cNvPr id="18902" name="Drop Down 470" hidden="1">
              <a:extLst>
                <a:ext uri="{63B3BB69-23CF-44E3-9099-C40C66FF867C}">
                  <a14:compatExt spid="_x0000_s189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23</xdr:row>
          <xdr:rowOff>0</xdr:rowOff>
        </xdr:from>
        <xdr:to>
          <xdr:col>36</xdr:col>
          <xdr:colOff>9525</xdr:colOff>
          <xdr:row>24</xdr:row>
          <xdr:rowOff>9525</xdr:rowOff>
        </xdr:to>
        <xdr:sp macro="" textlink="">
          <xdr:nvSpPr>
            <xdr:cNvPr id="18903" name="Drop Down 471" hidden="1">
              <a:extLst>
                <a:ext uri="{63B3BB69-23CF-44E3-9099-C40C66FF867C}">
                  <a14:compatExt spid="_x0000_s189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25</xdr:row>
          <xdr:rowOff>0</xdr:rowOff>
        </xdr:from>
        <xdr:to>
          <xdr:col>12</xdr:col>
          <xdr:colOff>257175</xdr:colOff>
          <xdr:row>26</xdr:row>
          <xdr:rowOff>9525</xdr:rowOff>
        </xdr:to>
        <xdr:sp macro="" textlink="">
          <xdr:nvSpPr>
            <xdr:cNvPr id="18904" name="Drop Down 472" hidden="1">
              <a:extLst>
                <a:ext uri="{63B3BB69-23CF-44E3-9099-C40C66FF867C}">
                  <a14:compatExt spid="_x0000_s189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25</xdr:row>
          <xdr:rowOff>0</xdr:rowOff>
        </xdr:from>
        <xdr:to>
          <xdr:col>16</xdr:col>
          <xdr:colOff>190500</xdr:colOff>
          <xdr:row>26</xdr:row>
          <xdr:rowOff>9525</xdr:rowOff>
        </xdr:to>
        <xdr:sp macro="" textlink="">
          <xdr:nvSpPr>
            <xdr:cNvPr id="18905" name="Drop Down 473" hidden="1">
              <a:extLst>
                <a:ext uri="{63B3BB69-23CF-44E3-9099-C40C66FF867C}">
                  <a14:compatExt spid="_x0000_s189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25</xdr:row>
          <xdr:rowOff>0</xdr:rowOff>
        </xdr:from>
        <xdr:to>
          <xdr:col>22</xdr:col>
          <xdr:colOff>190500</xdr:colOff>
          <xdr:row>26</xdr:row>
          <xdr:rowOff>9525</xdr:rowOff>
        </xdr:to>
        <xdr:sp macro="" textlink="">
          <xdr:nvSpPr>
            <xdr:cNvPr id="18906" name="Drop Down 474" hidden="1">
              <a:extLst>
                <a:ext uri="{63B3BB69-23CF-44E3-9099-C40C66FF867C}">
                  <a14:compatExt spid="_x0000_s189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0</xdr:rowOff>
        </xdr:from>
        <xdr:to>
          <xdr:col>26</xdr:col>
          <xdr:colOff>190500</xdr:colOff>
          <xdr:row>26</xdr:row>
          <xdr:rowOff>9525</xdr:rowOff>
        </xdr:to>
        <xdr:sp macro="" textlink="">
          <xdr:nvSpPr>
            <xdr:cNvPr id="18907" name="Drop Down 475" hidden="1">
              <a:extLst>
                <a:ext uri="{63B3BB69-23CF-44E3-9099-C40C66FF867C}">
                  <a14:compatExt spid="_x0000_s189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25</xdr:row>
          <xdr:rowOff>0</xdr:rowOff>
        </xdr:from>
        <xdr:to>
          <xdr:col>17</xdr:col>
          <xdr:colOff>342900</xdr:colOff>
          <xdr:row>26</xdr:row>
          <xdr:rowOff>28575</xdr:rowOff>
        </xdr:to>
        <xdr:sp macro="" textlink="">
          <xdr:nvSpPr>
            <xdr:cNvPr id="18908" name="Check Box 476" hidden="1">
              <a:extLst>
                <a:ext uri="{63B3BB69-23CF-44E3-9099-C40C66FF867C}">
                  <a14:compatExt spid="_x0000_s189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25</xdr:row>
          <xdr:rowOff>0</xdr:rowOff>
        </xdr:from>
        <xdr:to>
          <xdr:col>30</xdr:col>
          <xdr:colOff>190500</xdr:colOff>
          <xdr:row>26</xdr:row>
          <xdr:rowOff>9525</xdr:rowOff>
        </xdr:to>
        <xdr:sp macro="" textlink="">
          <xdr:nvSpPr>
            <xdr:cNvPr id="18909" name="Drop Down 477" hidden="1">
              <a:extLst>
                <a:ext uri="{63B3BB69-23CF-44E3-9099-C40C66FF867C}">
                  <a14:compatExt spid="_x0000_s189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25</xdr:row>
          <xdr:rowOff>0</xdr:rowOff>
        </xdr:from>
        <xdr:to>
          <xdr:col>117</xdr:col>
          <xdr:colOff>19050</xdr:colOff>
          <xdr:row>26</xdr:row>
          <xdr:rowOff>9525</xdr:rowOff>
        </xdr:to>
        <xdr:sp macro="" textlink="">
          <xdr:nvSpPr>
            <xdr:cNvPr id="18910" name="Drop Down 478" hidden="1">
              <a:extLst>
                <a:ext uri="{63B3BB69-23CF-44E3-9099-C40C66FF867C}">
                  <a14:compatExt spid="_x0000_s189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25</xdr:row>
          <xdr:rowOff>0</xdr:rowOff>
        </xdr:from>
        <xdr:to>
          <xdr:col>165</xdr:col>
          <xdr:colOff>333375</xdr:colOff>
          <xdr:row>26</xdr:row>
          <xdr:rowOff>9525</xdr:rowOff>
        </xdr:to>
        <xdr:sp macro="" textlink="">
          <xdr:nvSpPr>
            <xdr:cNvPr id="18911" name="Drop Down 479" hidden="1">
              <a:extLst>
                <a:ext uri="{63B3BB69-23CF-44E3-9099-C40C66FF867C}">
                  <a14:compatExt spid="_x0000_s189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25</xdr:row>
          <xdr:rowOff>0</xdr:rowOff>
        </xdr:from>
        <xdr:to>
          <xdr:col>266</xdr:col>
          <xdr:colOff>161925</xdr:colOff>
          <xdr:row>26</xdr:row>
          <xdr:rowOff>9525</xdr:rowOff>
        </xdr:to>
        <xdr:sp macro="" textlink="">
          <xdr:nvSpPr>
            <xdr:cNvPr id="18912" name="Drop Down 480" hidden="1">
              <a:extLst>
                <a:ext uri="{63B3BB69-23CF-44E3-9099-C40C66FF867C}">
                  <a14:compatExt spid="_x0000_s189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25</xdr:row>
          <xdr:rowOff>0</xdr:rowOff>
        </xdr:from>
        <xdr:to>
          <xdr:col>4</xdr:col>
          <xdr:colOff>190500</xdr:colOff>
          <xdr:row>26</xdr:row>
          <xdr:rowOff>9525</xdr:rowOff>
        </xdr:to>
        <xdr:sp macro="" textlink="">
          <xdr:nvSpPr>
            <xdr:cNvPr id="18913" name="Drop Down 481" hidden="1">
              <a:extLst>
                <a:ext uri="{63B3BB69-23CF-44E3-9099-C40C66FF867C}">
                  <a14:compatExt spid="_x0000_s189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25</xdr:row>
          <xdr:rowOff>0</xdr:rowOff>
        </xdr:from>
        <xdr:to>
          <xdr:col>8</xdr:col>
          <xdr:colOff>9525</xdr:colOff>
          <xdr:row>26</xdr:row>
          <xdr:rowOff>9525</xdr:rowOff>
        </xdr:to>
        <xdr:sp macro="" textlink="">
          <xdr:nvSpPr>
            <xdr:cNvPr id="18914" name="Drop Down 482" hidden="1">
              <a:extLst>
                <a:ext uri="{63B3BB69-23CF-44E3-9099-C40C66FF867C}">
                  <a14:compatExt spid="_x0000_s189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25</xdr:row>
          <xdr:rowOff>0</xdr:rowOff>
        </xdr:from>
        <xdr:to>
          <xdr:col>36</xdr:col>
          <xdr:colOff>9525</xdr:colOff>
          <xdr:row>26</xdr:row>
          <xdr:rowOff>9525</xdr:rowOff>
        </xdr:to>
        <xdr:sp macro="" textlink="">
          <xdr:nvSpPr>
            <xdr:cNvPr id="18915" name="Drop Down 483" hidden="1">
              <a:extLst>
                <a:ext uri="{63B3BB69-23CF-44E3-9099-C40C66FF867C}">
                  <a14:compatExt spid="_x0000_s189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27</xdr:row>
          <xdr:rowOff>0</xdr:rowOff>
        </xdr:from>
        <xdr:to>
          <xdr:col>12</xdr:col>
          <xdr:colOff>257175</xdr:colOff>
          <xdr:row>28</xdr:row>
          <xdr:rowOff>9525</xdr:rowOff>
        </xdr:to>
        <xdr:sp macro="" textlink="">
          <xdr:nvSpPr>
            <xdr:cNvPr id="18916" name="Drop Down 484" hidden="1">
              <a:extLst>
                <a:ext uri="{63B3BB69-23CF-44E3-9099-C40C66FF867C}">
                  <a14:compatExt spid="_x0000_s189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27</xdr:row>
          <xdr:rowOff>0</xdr:rowOff>
        </xdr:from>
        <xdr:to>
          <xdr:col>16</xdr:col>
          <xdr:colOff>190500</xdr:colOff>
          <xdr:row>28</xdr:row>
          <xdr:rowOff>9525</xdr:rowOff>
        </xdr:to>
        <xdr:sp macro="" textlink="">
          <xdr:nvSpPr>
            <xdr:cNvPr id="18917" name="Drop Down 485" hidden="1">
              <a:extLst>
                <a:ext uri="{63B3BB69-23CF-44E3-9099-C40C66FF867C}">
                  <a14:compatExt spid="_x0000_s189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27</xdr:row>
          <xdr:rowOff>0</xdr:rowOff>
        </xdr:from>
        <xdr:to>
          <xdr:col>22</xdr:col>
          <xdr:colOff>190500</xdr:colOff>
          <xdr:row>28</xdr:row>
          <xdr:rowOff>9525</xdr:rowOff>
        </xdr:to>
        <xdr:sp macro="" textlink="">
          <xdr:nvSpPr>
            <xdr:cNvPr id="18918" name="Drop Down 486" hidden="1">
              <a:extLst>
                <a:ext uri="{63B3BB69-23CF-44E3-9099-C40C66FF867C}">
                  <a14:compatExt spid="_x0000_s189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27</xdr:row>
          <xdr:rowOff>0</xdr:rowOff>
        </xdr:from>
        <xdr:to>
          <xdr:col>26</xdr:col>
          <xdr:colOff>190500</xdr:colOff>
          <xdr:row>28</xdr:row>
          <xdr:rowOff>9525</xdr:rowOff>
        </xdr:to>
        <xdr:sp macro="" textlink="">
          <xdr:nvSpPr>
            <xdr:cNvPr id="18919" name="Drop Down 487" hidden="1">
              <a:extLst>
                <a:ext uri="{63B3BB69-23CF-44E3-9099-C40C66FF867C}">
                  <a14:compatExt spid="_x0000_s189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27</xdr:row>
          <xdr:rowOff>0</xdr:rowOff>
        </xdr:from>
        <xdr:to>
          <xdr:col>17</xdr:col>
          <xdr:colOff>342900</xdr:colOff>
          <xdr:row>28</xdr:row>
          <xdr:rowOff>28575</xdr:rowOff>
        </xdr:to>
        <xdr:sp macro="" textlink="">
          <xdr:nvSpPr>
            <xdr:cNvPr id="18920" name="Check Box 488" hidden="1">
              <a:extLst>
                <a:ext uri="{63B3BB69-23CF-44E3-9099-C40C66FF867C}">
                  <a14:compatExt spid="_x0000_s189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27</xdr:row>
          <xdr:rowOff>0</xdr:rowOff>
        </xdr:from>
        <xdr:to>
          <xdr:col>30</xdr:col>
          <xdr:colOff>190500</xdr:colOff>
          <xdr:row>28</xdr:row>
          <xdr:rowOff>9525</xdr:rowOff>
        </xdr:to>
        <xdr:sp macro="" textlink="">
          <xdr:nvSpPr>
            <xdr:cNvPr id="18921" name="Drop Down 489" hidden="1">
              <a:extLst>
                <a:ext uri="{63B3BB69-23CF-44E3-9099-C40C66FF867C}">
                  <a14:compatExt spid="_x0000_s189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27</xdr:row>
          <xdr:rowOff>0</xdr:rowOff>
        </xdr:from>
        <xdr:to>
          <xdr:col>117</xdr:col>
          <xdr:colOff>19050</xdr:colOff>
          <xdr:row>28</xdr:row>
          <xdr:rowOff>9525</xdr:rowOff>
        </xdr:to>
        <xdr:sp macro="" textlink="">
          <xdr:nvSpPr>
            <xdr:cNvPr id="18922" name="Drop Down 490" hidden="1">
              <a:extLst>
                <a:ext uri="{63B3BB69-23CF-44E3-9099-C40C66FF867C}">
                  <a14:compatExt spid="_x0000_s189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27</xdr:row>
          <xdr:rowOff>0</xdr:rowOff>
        </xdr:from>
        <xdr:to>
          <xdr:col>165</xdr:col>
          <xdr:colOff>333375</xdr:colOff>
          <xdr:row>28</xdr:row>
          <xdr:rowOff>9525</xdr:rowOff>
        </xdr:to>
        <xdr:sp macro="" textlink="">
          <xdr:nvSpPr>
            <xdr:cNvPr id="18923" name="Drop Down 491" hidden="1">
              <a:extLst>
                <a:ext uri="{63B3BB69-23CF-44E3-9099-C40C66FF867C}">
                  <a14:compatExt spid="_x0000_s189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27</xdr:row>
          <xdr:rowOff>0</xdr:rowOff>
        </xdr:from>
        <xdr:to>
          <xdr:col>266</xdr:col>
          <xdr:colOff>161925</xdr:colOff>
          <xdr:row>28</xdr:row>
          <xdr:rowOff>9525</xdr:rowOff>
        </xdr:to>
        <xdr:sp macro="" textlink="">
          <xdr:nvSpPr>
            <xdr:cNvPr id="18924" name="Drop Down 492" hidden="1">
              <a:extLst>
                <a:ext uri="{63B3BB69-23CF-44E3-9099-C40C66FF867C}">
                  <a14:compatExt spid="_x0000_s189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27</xdr:row>
          <xdr:rowOff>0</xdr:rowOff>
        </xdr:from>
        <xdr:to>
          <xdr:col>4</xdr:col>
          <xdr:colOff>190500</xdr:colOff>
          <xdr:row>28</xdr:row>
          <xdr:rowOff>9525</xdr:rowOff>
        </xdr:to>
        <xdr:sp macro="" textlink="">
          <xdr:nvSpPr>
            <xdr:cNvPr id="18925" name="Drop Down 493" hidden="1">
              <a:extLst>
                <a:ext uri="{63B3BB69-23CF-44E3-9099-C40C66FF867C}">
                  <a14:compatExt spid="_x0000_s189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0</xdr:rowOff>
        </xdr:from>
        <xdr:to>
          <xdr:col>8</xdr:col>
          <xdr:colOff>9525</xdr:colOff>
          <xdr:row>28</xdr:row>
          <xdr:rowOff>9525</xdr:rowOff>
        </xdr:to>
        <xdr:sp macro="" textlink="">
          <xdr:nvSpPr>
            <xdr:cNvPr id="18926" name="Drop Down 494" hidden="1">
              <a:extLst>
                <a:ext uri="{63B3BB69-23CF-44E3-9099-C40C66FF867C}">
                  <a14:compatExt spid="_x0000_s18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27</xdr:row>
          <xdr:rowOff>0</xdr:rowOff>
        </xdr:from>
        <xdr:to>
          <xdr:col>36</xdr:col>
          <xdr:colOff>9525</xdr:colOff>
          <xdr:row>28</xdr:row>
          <xdr:rowOff>9525</xdr:rowOff>
        </xdr:to>
        <xdr:sp macro="" textlink="">
          <xdr:nvSpPr>
            <xdr:cNvPr id="18927" name="Drop Down 495" hidden="1">
              <a:extLst>
                <a:ext uri="{63B3BB69-23CF-44E3-9099-C40C66FF867C}">
                  <a14:compatExt spid="_x0000_s18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29</xdr:row>
          <xdr:rowOff>0</xdr:rowOff>
        </xdr:from>
        <xdr:to>
          <xdr:col>12</xdr:col>
          <xdr:colOff>257175</xdr:colOff>
          <xdr:row>30</xdr:row>
          <xdr:rowOff>9525</xdr:rowOff>
        </xdr:to>
        <xdr:sp macro="" textlink="">
          <xdr:nvSpPr>
            <xdr:cNvPr id="18928" name="Drop Down 496" hidden="1">
              <a:extLst>
                <a:ext uri="{63B3BB69-23CF-44E3-9099-C40C66FF867C}">
                  <a14:compatExt spid="_x0000_s189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29</xdr:row>
          <xdr:rowOff>0</xdr:rowOff>
        </xdr:from>
        <xdr:to>
          <xdr:col>16</xdr:col>
          <xdr:colOff>190500</xdr:colOff>
          <xdr:row>30</xdr:row>
          <xdr:rowOff>9525</xdr:rowOff>
        </xdr:to>
        <xdr:sp macro="" textlink="">
          <xdr:nvSpPr>
            <xdr:cNvPr id="18929" name="Drop Down 497" hidden="1">
              <a:extLst>
                <a:ext uri="{63B3BB69-23CF-44E3-9099-C40C66FF867C}">
                  <a14:compatExt spid="_x0000_s189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29</xdr:row>
          <xdr:rowOff>0</xdr:rowOff>
        </xdr:from>
        <xdr:to>
          <xdr:col>22</xdr:col>
          <xdr:colOff>190500</xdr:colOff>
          <xdr:row>30</xdr:row>
          <xdr:rowOff>9525</xdr:rowOff>
        </xdr:to>
        <xdr:sp macro="" textlink="">
          <xdr:nvSpPr>
            <xdr:cNvPr id="18930" name="Drop Down 498" hidden="1">
              <a:extLst>
                <a:ext uri="{63B3BB69-23CF-44E3-9099-C40C66FF867C}">
                  <a14:compatExt spid="_x0000_s18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29</xdr:row>
          <xdr:rowOff>0</xdr:rowOff>
        </xdr:from>
        <xdr:to>
          <xdr:col>26</xdr:col>
          <xdr:colOff>190500</xdr:colOff>
          <xdr:row>30</xdr:row>
          <xdr:rowOff>9525</xdr:rowOff>
        </xdr:to>
        <xdr:sp macro="" textlink="">
          <xdr:nvSpPr>
            <xdr:cNvPr id="18931" name="Drop Down 499" hidden="1">
              <a:extLst>
                <a:ext uri="{63B3BB69-23CF-44E3-9099-C40C66FF867C}">
                  <a14:compatExt spid="_x0000_s18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29</xdr:row>
          <xdr:rowOff>0</xdr:rowOff>
        </xdr:from>
        <xdr:to>
          <xdr:col>17</xdr:col>
          <xdr:colOff>342900</xdr:colOff>
          <xdr:row>30</xdr:row>
          <xdr:rowOff>28575</xdr:rowOff>
        </xdr:to>
        <xdr:sp macro="" textlink="">
          <xdr:nvSpPr>
            <xdr:cNvPr id="18932" name="Check Box 500" hidden="1">
              <a:extLst>
                <a:ext uri="{63B3BB69-23CF-44E3-9099-C40C66FF867C}">
                  <a14:compatExt spid="_x0000_s18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29</xdr:row>
          <xdr:rowOff>0</xdr:rowOff>
        </xdr:from>
        <xdr:to>
          <xdr:col>30</xdr:col>
          <xdr:colOff>190500</xdr:colOff>
          <xdr:row>30</xdr:row>
          <xdr:rowOff>9525</xdr:rowOff>
        </xdr:to>
        <xdr:sp macro="" textlink="">
          <xdr:nvSpPr>
            <xdr:cNvPr id="18933" name="Drop Down 501" hidden="1">
              <a:extLst>
                <a:ext uri="{63B3BB69-23CF-44E3-9099-C40C66FF867C}">
                  <a14:compatExt spid="_x0000_s189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29</xdr:row>
          <xdr:rowOff>0</xdr:rowOff>
        </xdr:from>
        <xdr:to>
          <xdr:col>117</xdr:col>
          <xdr:colOff>19050</xdr:colOff>
          <xdr:row>30</xdr:row>
          <xdr:rowOff>9525</xdr:rowOff>
        </xdr:to>
        <xdr:sp macro="" textlink="">
          <xdr:nvSpPr>
            <xdr:cNvPr id="18934" name="Drop Down 502" hidden="1">
              <a:extLst>
                <a:ext uri="{63B3BB69-23CF-44E3-9099-C40C66FF867C}">
                  <a14:compatExt spid="_x0000_s189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29</xdr:row>
          <xdr:rowOff>0</xdr:rowOff>
        </xdr:from>
        <xdr:to>
          <xdr:col>165</xdr:col>
          <xdr:colOff>333375</xdr:colOff>
          <xdr:row>30</xdr:row>
          <xdr:rowOff>9525</xdr:rowOff>
        </xdr:to>
        <xdr:sp macro="" textlink="">
          <xdr:nvSpPr>
            <xdr:cNvPr id="18935" name="Drop Down 503" hidden="1">
              <a:extLst>
                <a:ext uri="{63B3BB69-23CF-44E3-9099-C40C66FF867C}">
                  <a14:compatExt spid="_x0000_s189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29</xdr:row>
          <xdr:rowOff>0</xdr:rowOff>
        </xdr:from>
        <xdr:to>
          <xdr:col>266</xdr:col>
          <xdr:colOff>161925</xdr:colOff>
          <xdr:row>30</xdr:row>
          <xdr:rowOff>9525</xdr:rowOff>
        </xdr:to>
        <xdr:sp macro="" textlink="">
          <xdr:nvSpPr>
            <xdr:cNvPr id="18936" name="Drop Down 504" hidden="1">
              <a:extLst>
                <a:ext uri="{63B3BB69-23CF-44E3-9099-C40C66FF867C}">
                  <a14:compatExt spid="_x0000_s18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29</xdr:row>
          <xdr:rowOff>0</xdr:rowOff>
        </xdr:from>
        <xdr:to>
          <xdr:col>4</xdr:col>
          <xdr:colOff>190500</xdr:colOff>
          <xdr:row>30</xdr:row>
          <xdr:rowOff>9525</xdr:rowOff>
        </xdr:to>
        <xdr:sp macro="" textlink="">
          <xdr:nvSpPr>
            <xdr:cNvPr id="18937" name="Drop Down 505" hidden="1">
              <a:extLst>
                <a:ext uri="{63B3BB69-23CF-44E3-9099-C40C66FF867C}">
                  <a14:compatExt spid="_x0000_s189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0</xdr:rowOff>
        </xdr:from>
        <xdr:to>
          <xdr:col>8</xdr:col>
          <xdr:colOff>9525</xdr:colOff>
          <xdr:row>30</xdr:row>
          <xdr:rowOff>9525</xdr:rowOff>
        </xdr:to>
        <xdr:sp macro="" textlink="">
          <xdr:nvSpPr>
            <xdr:cNvPr id="18938" name="Drop Down 506" hidden="1">
              <a:extLst>
                <a:ext uri="{63B3BB69-23CF-44E3-9099-C40C66FF867C}">
                  <a14:compatExt spid="_x0000_s189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29</xdr:row>
          <xdr:rowOff>0</xdr:rowOff>
        </xdr:from>
        <xdr:to>
          <xdr:col>36</xdr:col>
          <xdr:colOff>9525</xdr:colOff>
          <xdr:row>30</xdr:row>
          <xdr:rowOff>9525</xdr:rowOff>
        </xdr:to>
        <xdr:sp macro="" textlink="">
          <xdr:nvSpPr>
            <xdr:cNvPr id="18939" name="Drop Down 507" hidden="1">
              <a:extLst>
                <a:ext uri="{63B3BB69-23CF-44E3-9099-C40C66FF867C}">
                  <a14:compatExt spid="_x0000_s189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31</xdr:row>
          <xdr:rowOff>0</xdr:rowOff>
        </xdr:from>
        <xdr:to>
          <xdr:col>12</xdr:col>
          <xdr:colOff>257175</xdr:colOff>
          <xdr:row>32</xdr:row>
          <xdr:rowOff>9525</xdr:rowOff>
        </xdr:to>
        <xdr:sp macro="" textlink="">
          <xdr:nvSpPr>
            <xdr:cNvPr id="18940" name="Drop Down 508" hidden="1">
              <a:extLst>
                <a:ext uri="{63B3BB69-23CF-44E3-9099-C40C66FF867C}">
                  <a14:compatExt spid="_x0000_s189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31</xdr:row>
          <xdr:rowOff>0</xdr:rowOff>
        </xdr:from>
        <xdr:to>
          <xdr:col>16</xdr:col>
          <xdr:colOff>190500</xdr:colOff>
          <xdr:row>32</xdr:row>
          <xdr:rowOff>9525</xdr:rowOff>
        </xdr:to>
        <xdr:sp macro="" textlink="">
          <xdr:nvSpPr>
            <xdr:cNvPr id="18941" name="Drop Down 509" hidden="1">
              <a:extLst>
                <a:ext uri="{63B3BB69-23CF-44E3-9099-C40C66FF867C}">
                  <a14:compatExt spid="_x0000_s189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31</xdr:row>
          <xdr:rowOff>0</xdr:rowOff>
        </xdr:from>
        <xdr:to>
          <xdr:col>22</xdr:col>
          <xdr:colOff>190500</xdr:colOff>
          <xdr:row>32</xdr:row>
          <xdr:rowOff>9525</xdr:rowOff>
        </xdr:to>
        <xdr:sp macro="" textlink="">
          <xdr:nvSpPr>
            <xdr:cNvPr id="18942" name="Drop Down 510" hidden="1">
              <a:extLst>
                <a:ext uri="{63B3BB69-23CF-44E3-9099-C40C66FF867C}">
                  <a14:compatExt spid="_x0000_s18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31</xdr:row>
          <xdr:rowOff>0</xdr:rowOff>
        </xdr:from>
        <xdr:to>
          <xdr:col>26</xdr:col>
          <xdr:colOff>190500</xdr:colOff>
          <xdr:row>32</xdr:row>
          <xdr:rowOff>9525</xdr:rowOff>
        </xdr:to>
        <xdr:sp macro="" textlink="">
          <xdr:nvSpPr>
            <xdr:cNvPr id="18943" name="Drop Down 511" hidden="1">
              <a:extLst>
                <a:ext uri="{63B3BB69-23CF-44E3-9099-C40C66FF867C}">
                  <a14:compatExt spid="_x0000_s189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31</xdr:row>
          <xdr:rowOff>0</xdr:rowOff>
        </xdr:from>
        <xdr:to>
          <xdr:col>17</xdr:col>
          <xdr:colOff>342900</xdr:colOff>
          <xdr:row>32</xdr:row>
          <xdr:rowOff>28575</xdr:rowOff>
        </xdr:to>
        <xdr:sp macro="" textlink="">
          <xdr:nvSpPr>
            <xdr:cNvPr id="18944" name="Check Box 512" hidden="1">
              <a:extLst>
                <a:ext uri="{63B3BB69-23CF-44E3-9099-C40C66FF867C}">
                  <a14:compatExt spid="_x0000_s189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31</xdr:row>
          <xdr:rowOff>0</xdr:rowOff>
        </xdr:from>
        <xdr:to>
          <xdr:col>30</xdr:col>
          <xdr:colOff>190500</xdr:colOff>
          <xdr:row>32</xdr:row>
          <xdr:rowOff>9525</xdr:rowOff>
        </xdr:to>
        <xdr:sp macro="" textlink="">
          <xdr:nvSpPr>
            <xdr:cNvPr id="18945" name="Drop Down 513" hidden="1">
              <a:extLst>
                <a:ext uri="{63B3BB69-23CF-44E3-9099-C40C66FF867C}">
                  <a14:compatExt spid="_x0000_s189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31</xdr:row>
          <xdr:rowOff>0</xdr:rowOff>
        </xdr:from>
        <xdr:to>
          <xdr:col>117</xdr:col>
          <xdr:colOff>19050</xdr:colOff>
          <xdr:row>32</xdr:row>
          <xdr:rowOff>9525</xdr:rowOff>
        </xdr:to>
        <xdr:sp macro="" textlink="">
          <xdr:nvSpPr>
            <xdr:cNvPr id="18946" name="Drop Down 514" hidden="1">
              <a:extLst>
                <a:ext uri="{63B3BB69-23CF-44E3-9099-C40C66FF867C}">
                  <a14:compatExt spid="_x0000_s18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31</xdr:row>
          <xdr:rowOff>0</xdr:rowOff>
        </xdr:from>
        <xdr:to>
          <xdr:col>165</xdr:col>
          <xdr:colOff>333375</xdr:colOff>
          <xdr:row>32</xdr:row>
          <xdr:rowOff>9525</xdr:rowOff>
        </xdr:to>
        <xdr:sp macro="" textlink="">
          <xdr:nvSpPr>
            <xdr:cNvPr id="18947" name="Drop Down 515" hidden="1">
              <a:extLst>
                <a:ext uri="{63B3BB69-23CF-44E3-9099-C40C66FF867C}">
                  <a14:compatExt spid="_x0000_s18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31</xdr:row>
          <xdr:rowOff>0</xdr:rowOff>
        </xdr:from>
        <xdr:to>
          <xdr:col>266</xdr:col>
          <xdr:colOff>161925</xdr:colOff>
          <xdr:row>32</xdr:row>
          <xdr:rowOff>9525</xdr:rowOff>
        </xdr:to>
        <xdr:sp macro="" textlink="">
          <xdr:nvSpPr>
            <xdr:cNvPr id="18948" name="Drop Down 516" hidden="1">
              <a:extLst>
                <a:ext uri="{63B3BB69-23CF-44E3-9099-C40C66FF867C}">
                  <a14:compatExt spid="_x0000_s18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31</xdr:row>
          <xdr:rowOff>0</xdr:rowOff>
        </xdr:from>
        <xdr:to>
          <xdr:col>4</xdr:col>
          <xdr:colOff>190500</xdr:colOff>
          <xdr:row>32</xdr:row>
          <xdr:rowOff>9525</xdr:rowOff>
        </xdr:to>
        <xdr:sp macro="" textlink="">
          <xdr:nvSpPr>
            <xdr:cNvPr id="18949" name="Drop Down 517" hidden="1">
              <a:extLst>
                <a:ext uri="{63B3BB69-23CF-44E3-9099-C40C66FF867C}">
                  <a14:compatExt spid="_x0000_s189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0</xdr:rowOff>
        </xdr:from>
        <xdr:to>
          <xdr:col>8</xdr:col>
          <xdr:colOff>9525</xdr:colOff>
          <xdr:row>32</xdr:row>
          <xdr:rowOff>9525</xdr:rowOff>
        </xdr:to>
        <xdr:sp macro="" textlink="">
          <xdr:nvSpPr>
            <xdr:cNvPr id="18950" name="Drop Down 518" hidden="1">
              <a:extLst>
                <a:ext uri="{63B3BB69-23CF-44E3-9099-C40C66FF867C}">
                  <a14:compatExt spid="_x0000_s18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31</xdr:row>
          <xdr:rowOff>0</xdr:rowOff>
        </xdr:from>
        <xdr:to>
          <xdr:col>36</xdr:col>
          <xdr:colOff>9525</xdr:colOff>
          <xdr:row>32</xdr:row>
          <xdr:rowOff>9525</xdr:rowOff>
        </xdr:to>
        <xdr:sp macro="" textlink="">
          <xdr:nvSpPr>
            <xdr:cNvPr id="18951" name="Drop Down 519" hidden="1">
              <a:extLst>
                <a:ext uri="{63B3BB69-23CF-44E3-9099-C40C66FF867C}">
                  <a14:compatExt spid="_x0000_s189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33</xdr:row>
          <xdr:rowOff>0</xdr:rowOff>
        </xdr:from>
        <xdr:to>
          <xdr:col>12</xdr:col>
          <xdr:colOff>257175</xdr:colOff>
          <xdr:row>34</xdr:row>
          <xdr:rowOff>9525</xdr:rowOff>
        </xdr:to>
        <xdr:sp macro="" textlink="">
          <xdr:nvSpPr>
            <xdr:cNvPr id="18952" name="Drop Down 520" hidden="1">
              <a:extLst>
                <a:ext uri="{63B3BB69-23CF-44E3-9099-C40C66FF867C}">
                  <a14:compatExt spid="_x0000_s189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33</xdr:row>
          <xdr:rowOff>0</xdr:rowOff>
        </xdr:from>
        <xdr:to>
          <xdr:col>16</xdr:col>
          <xdr:colOff>190500</xdr:colOff>
          <xdr:row>34</xdr:row>
          <xdr:rowOff>9525</xdr:rowOff>
        </xdr:to>
        <xdr:sp macro="" textlink="">
          <xdr:nvSpPr>
            <xdr:cNvPr id="18953" name="Drop Down 521" hidden="1">
              <a:extLst>
                <a:ext uri="{63B3BB69-23CF-44E3-9099-C40C66FF867C}">
                  <a14:compatExt spid="_x0000_s189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33</xdr:row>
          <xdr:rowOff>0</xdr:rowOff>
        </xdr:from>
        <xdr:to>
          <xdr:col>22</xdr:col>
          <xdr:colOff>190500</xdr:colOff>
          <xdr:row>34</xdr:row>
          <xdr:rowOff>9525</xdr:rowOff>
        </xdr:to>
        <xdr:sp macro="" textlink="">
          <xdr:nvSpPr>
            <xdr:cNvPr id="18954" name="Drop Down 522" hidden="1">
              <a:extLst>
                <a:ext uri="{63B3BB69-23CF-44E3-9099-C40C66FF867C}">
                  <a14:compatExt spid="_x0000_s189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33</xdr:row>
          <xdr:rowOff>0</xdr:rowOff>
        </xdr:from>
        <xdr:to>
          <xdr:col>26</xdr:col>
          <xdr:colOff>190500</xdr:colOff>
          <xdr:row>34</xdr:row>
          <xdr:rowOff>9525</xdr:rowOff>
        </xdr:to>
        <xdr:sp macro="" textlink="">
          <xdr:nvSpPr>
            <xdr:cNvPr id="18955" name="Drop Down 523" hidden="1">
              <a:extLst>
                <a:ext uri="{63B3BB69-23CF-44E3-9099-C40C66FF867C}">
                  <a14:compatExt spid="_x0000_s189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33</xdr:row>
          <xdr:rowOff>0</xdr:rowOff>
        </xdr:from>
        <xdr:to>
          <xdr:col>17</xdr:col>
          <xdr:colOff>342900</xdr:colOff>
          <xdr:row>34</xdr:row>
          <xdr:rowOff>28575</xdr:rowOff>
        </xdr:to>
        <xdr:sp macro="" textlink="">
          <xdr:nvSpPr>
            <xdr:cNvPr id="18956" name="Check Box 524" hidden="1">
              <a:extLst>
                <a:ext uri="{63B3BB69-23CF-44E3-9099-C40C66FF867C}">
                  <a14:compatExt spid="_x0000_s189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33</xdr:row>
          <xdr:rowOff>0</xdr:rowOff>
        </xdr:from>
        <xdr:to>
          <xdr:col>30</xdr:col>
          <xdr:colOff>190500</xdr:colOff>
          <xdr:row>34</xdr:row>
          <xdr:rowOff>9525</xdr:rowOff>
        </xdr:to>
        <xdr:sp macro="" textlink="">
          <xdr:nvSpPr>
            <xdr:cNvPr id="18957" name="Drop Down 525" hidden="1">
              <a:extLst>
                <a:ext uri="{63B3BB69-23CF-44E3-9099-C40C66FF867C}">
                  <a14:compatExt spid="_x0000_s189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33</xdr:row>
          <xdr:rowOff>0</xdr:rowOff>
        </xdr:from>
        <xdr:to>
          <xdr:col>117</xdr:col>
          <xdr:colOff>19050</xdr:colOff>
          <xdr:row>34</xdr:row>
          <xdr:rowOff>9525</xdr:rowOff>
        </xdr:to>
        <xdr:sp macro="" textlink="">
          <xdr:nvSpPr>
            <xdr:cNvPr id="18958" name="Drop Down 526" hidden="1">
              <a:extLst>
                <a:ext uri="{63B3BB69-23CF-44E3-9099-C40C66FF867C}">
                  <a14:compatExt spid="_x0000_s189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33</xdr:row>
          <xdr:rowOff>0</xdr:rowOff>
        </xdr:from>
        <xdr:to>
          <xdr:col>165</xdr:col>
          <xdr:colOff>333375</xdr:colOff>
          <xdr:row>34</xdr:row>
          <xdr:rowOff>9525</xdr:rowOff>
        </xdr:to>
        <xdr:sp macro="" textlink="">
          <xdr:nvSpPr>
            <xdr:cNvPr id="18959" name="Drop Down 527" hidden="1">
              <a:extLst>
                <a:ext uri="{63B3BB69-23CF-44E3-9099-C40C66FF867C}">
                  <a14:compatExt spid="_x0000_s189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33</xdr:row>
          <xdr:rowOff>0</xdr:rowOff>
        </xdr:from>
        <xdr:to>
          <xdr:col>266</xdr:col>
          <xdr:colOff>161925</xdr:colOff>
          <xdr:row>34</xdr:row>
          <xdr:rowOff>9525</xdr:rowOff>
        </xdr:to>
        <xdr:sp macro="" textlink="">
          <xdr:nvSpPr>
            <xdr:cNvPr id="18960" name="Drop Down 528" hidden="1">
              <a:extLst>
                <a:ext uri="{63B3BB69-23CF-44E3-9099-C40C66FF867C}">
                  <a14:compatExt spid="_x0000_s189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33</xdr:row>
          <xdr:rowOff>0</xdr:rowOff>
        </xdr:from>
        <xdr:to>
          <xdr:col>4</xdr:col>
          <xdr:colOff>190500</xdr:colOff>
          <xdr:row>34</xdr:row>
          <xdr:rowOff>9525</xdr:rowOff>
        </xdr:to>
        <xdr:sp macro="" textlink="">
          <xdr:nvSpPr>
            <xdr:cNvPr id="18961" name="Drop Down 529" hidden="1">
              <a:extLst>
                <a:ext uri="{63B3BB69-23CF-44E3-9099-C40C66FF867C}">
                  <a14:compatExt spid="_x0000_s189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8</xdr:col>
          <xdr:colOff>9525</xdr:colOff>
          <xdr:row>34</xdr:row>
          <xdr:rowOff>9525</xdr:rowOff>
        </xdr:to>
        <xdr:sp macro="" textlink="">
          <xdr:nvSpPr>
            <xdr:cNvPr id="18962" name="Drop Down 530" hidden="1">
              <a:extLst>
                <a:ext uri="{63B3BB69-23CF-44E3-9099-C40C66FF867C}">
                  <a14:compatExt spid="_x0000_s189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33</xdr:row>
          <xdr:rowOff>0</xdr:rowOff>
        </xdr:from>
        <xdr:to>
          <xdr:col>36</xdr:col>
          <xdr:colOff>9525</xdr:colOff>
          <xdr:row>34</xdr:row>
          <xdr:rowOff>9525</xdr:rowOff>
        </xdr:to>
        <xdr:sp macro="" textlink="">
          <xdr:nvSpPr>
            <xdr:cNvPr id="18963" name="Drop Down 531" hidden="1">
              <a:extLst>
                <a:ext uri="{63B3BB69-23CF-44E3-9099-C40C66FF867C}">
                  <a14:compatExt spid="_x0000_s189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35</xdr:row>
          <xdr:rowOff>0</xdr:rowOff>
        </xdr:from>
        <xdr:to>
          <xdr:col>12</xdr:col>
          <xdr:colOff>257175</xdr:colOff>
          <xdr:row>36</xdr:row>
          <xdr:rowOff>9525</xdr:rowOff>
        </xdr:to>
        <xdr:sp macro="" textlink="">
          <xdr:nvSpPr>
            <xdr:cNvPr id="18964" name="Drop Down 532" hidden="1">
              <a:extLst>
                <a:ext uri="{63B3BB69-23CF-44E3-9099-C40C66FF867C}">
                  <a14:compatExt spid="_x0000_s189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35</xdr:row>
          <xdr:rowOff>0</xdr:rowOff>
        </xdr:from>
        <xdr:to>
          <xdr:col>16</xdr:col>
          <xdr:colOff>190500</xdr:colOff>
          <xdr:row>36</xdr:row>
          <xdr:rowOff>9525</xdr:rowOff>
        </xdr:to>
        <xdr:sp macro="" textlink="">
          <xdr:nvSpPr>
            <xdr:cNvPr id="18965" name="Drop Down 533" hidden="1">
              <a:extLst>
                <a:ext uri="{63B3BB69-23CF-44E3-9099-C40C66FF867C}">
                  <a14:compatExt spid="_x0000_s189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35</xdr:row>
          <xdr:rowOff>0</xdr:rowOff>
        </xdr:from>
        <xdr:to>
          <xdr:col>22</xdr:col>
          <xdr:colOff>190500</xdr:colOff>
          <xdr:row>36</xdr:row>
          <xdr:rowOff>9525</xdr:rowOff>
        </xdr:to>
        <xdr:sp macro="" textlink="">
          <xdr:nvSpPr>
            <xdr:cNvPr id="18966" name="Drop Down 534" hidden="1">
              <a:extLst>
                <a:ext uri="{63B3BB69-23CF-44E3-9099-C40C66FF867C}">
                  <a14:compatExt spid="_x0000_s189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35</xdr:row>
          <xdr:rowOff>0</xdr:rowOff>
        </xdr:from>
        <xdr:to>
          <xdr:col>26</xdr:col>
          <xdr:colOff>190500</xdr:colOff>
          <xdr:row>36</xdr:row>
          <xdr:rowOff>9525</xdr:rowOff>
        </xdr:to>
        <xdr:sp macro="" textlink="">
          <xdr:nvSpPr>
            <xdr:cNvPr id="18967" name="Drop Down 535" hidden="1">
              <a:extLst>
                <a:ext uri="{63B3BB69-23CF-44E3-9099-C40C66FF867C}">
                  <a14:compatExt spid="_x0000_s189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35</xdr:row>
          <xdr:rowOff>0</xdr:rowOff>
        </xdr:from>
        <xdr:to>
          <xdr:col>17</xdr:col>
          <xdr:colOff>342900</xdr:colOff>
          <xdr:row>36</xdr:row>
          <xdr:rowOff>28575</xdr:rowOff>
        </xdr:to>
        <xdr:sp macro="" textlink="">
          <xdr:nvSpPr>
            <xdr:cNvPr id="18968" name="Check Box 536" hidden="1">
              <a:extLst>
                <a:ext uri="{63B3BB69-23CF-44E3-9099-C40C66FF867C}">
                  <a14:compatExt spid="_x0000_s189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35</xdr:row>
          <xdr:rowOff>0</xdr:rowOff>
        </xdr:from>
        <xdr:to>
          <xdr:col>30</xdr:col>
          <xdr:colOff>190500</xdr:colOff>
          <xdr:row>36</xdr:row>
          <xdr:rowOff>9525</xdr:rowOff>
        </xdr:to>
        <xdr:sp macro="" textlink="">
          <xdr:nvSpPr>
            <xdr:cNvPr id="18969" name="Drop Down 537" hidden="1">
              <a:extLst>
                <a:ext uri="{63B3BB69-23CF-44E3-9099-C40C66FF867C}">
                  <a14:compatExt spid="_x0000_s189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35</xdr:row>
          <xdr:rowOff>0</xdr:rowOff>
        </xdr:from>
        <xdr:to>
          <xdr:col>117</xdr:col>
          <xdr:colOff>19050</xdr:colOff>
          <xdr:row>36</xdr:row>
          <xdr:rowOff>9525</xdr:rowOff>
        </xdr:to>
        <xdr:sp macro="" textlink="">
          <xdr:nvSpPr>
            <xdr:cNvPr id="18970" name="Drop Down 538" hidden="1">
              <a:extLst>
                <a:ext uri="{63B3BB69-23CF-44E3-9099-C40C66FF867C}">
                  <a14:compatExt spid="_x0000_s189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35</xdr:row>
          <xdr:rowOff>0</xdr:rowOff>
        </xdr:from>
        <xdr:to>
          <xdr:col>165</xdr:col>
          <xdr:colOff>333375</xdr:colOff>
          <xdr:row>36</xdr:row>
          <xdr:rowOff>9525</xdr:rowOff>
        </xdr:to>
        <xdr:sp macro="" textlink="">
          <xdr:nvSpPr>
            <xdr:cNvPr id="18971" name="Drop Down 539" hidden="1">
              <a:extLst>
                <a:ext uri="{63B3BB69-23CF-44E3-9099-C40C66FF867C}">
                  <a14:compatExt spid="_x0000_s189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35</xdr:row>
          <xdr:rowOff>0</xdr:rowOff>
        </xdr:from>
        <xdr:to>
          <xdr:col>266</xdr:col>
          <xdr:colOff>161925</xdr:colOff>
          <xdr:row>36</xdr:row>
          <xdr:rowOff>9525</xdr:rowOff>
        </xdr:to>
        <xdr:sp macro="" textlink="">
          <xdr:nvSpPr>
            <xdr:cNvPr id="18972" name="Drop Down 540" hidden="1">
              <a:extLst>
                <a:ext uri="{63B3BB69-23CF-44E3-9099-C40C66FF867C}">
                  <a14:compatExt spid="_x0000_s189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35</xdr:row>
          <xdr:rowOff>0</xdr:rowOff>
        </xdr:from>
        <xdr:to>
          <xdr:col>4</xdr:col>
          <xdr:colOff>190500</xdr:colOff>
          <xdr:row>36</xdr:row>
          <xdr:rowOff>9525</xdr:rowOff>
        </xdr:to>
        <xdr:sp macro="" textlink="">
          <xdr:nvSpPr>
            <xdr:cNvPr id="18973" name="Drop Down 541" hidden="1">
              <a:extLst>
                <a:ext uri="{63B3BB69-23CF-44E3-9099-C40C66FF867C}">
                  <a14:compatExt spid="_x0000_s189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8</xdr:col>
          <xdr:colOff>9525</xdr:colOff>
          <xdr:row>36</xdr:row>
          <xdr:rowOff>9525</xdr:rowOff>
        </xdr:to>
        <xdr:sp macro="" textlink="">
          <xdr:nvSpPr>
            <xdr:cNvPr id="18974" name="Drop Down 542" hidden="1">
              <a:extLst>
                <a:ext uri="{63B3BB69-23CF-44E3-9099-C40C66FF867C}">
                  <a14:compatExt spid="_x0000_s189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35</xdr:row>
          <xdr:rowOff>0</xdr:rowOff>
        </xdr:from>
        <xdr:to>
          <xdr:col>36</xdr:col>
          <xdr:colOff>9525</xdr:colOff>
          <xdr:row>36</xdr:row>
          <xdr:rowOff>9525</xdr:rowOff>
        </xdr:to>
        <xdr:sp macro="" textlink="">
          <xdr:nvSpPr>
            <xdr:cNvPr id="18975" name="Drop Down 543" hidden="1">
              <a:extLst>
                <a:ext uri="{63B3BB69-23CF-44E3-9099-C40C66FF867C}">
                  <a14:compatExt spid="_x0000_s189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37</xdr:row>
          <xdr:rowOff>0</xdr:rowOff>
        </xdr:from>
        <xdr:to>
          <xdr:col>12</xdr:col>
          <xdr:colOff>257175</xdr:colOff>
          <xdr:row>38</xdr:row>
          <xdr:rowOff>9525</xdr:rowOff>
        </xdr:to>
        <xdr:sp macro="" textlink="">
          <xdr:nvSpPr>
            <xdr:cNvPr id="18976" name="Drop Down 544" hidden="1">
              <a:extLst>
                <a:ext uri="{63B3BB69-23CF-44E3-9099-C40C66FF867C}">
                  <a14:compatExt spid="_x0000_s189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37</xdr:row>
          <xdr:rowOff>0</xdr:rowOff>
        </xdr:from>
        <xdr:to>
          <xdr:col>16</xdr:col>
          <xdr:colOff>190500</xdr:colOff>
          <xdr:row>38</xdr:row>
          <xdr:rowOff>9525</xdr:rowOff>
        </xdr:to>
        <xdr:sp macro="" textlink="">
          <xdr:nvSpPr>
            <xdr:cNvPr id="18977" name="Drop Down 545" hidden="1">
              <a:extLst>
                <a:ext uri="{63B3BB69-23CF-44E3-9099-C40C66FF867C}">
                  <a14:compatExt spid="_x0000_s189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37</xdr:row>
          <xdr:rowOff>0</xdr:rowOff>
        </xdr:from>
        <xdr:to>
          <xdr:col>22</xdr:col>
          <xdr:colOff>190500</xdr:colOff>
          <xdr:row>38</xdr:row>
          <xdr:rowOff>9525</xdr:rowOff>
        </xdr:to>
        <xdr:sp macro="" textlink="">
          <xdr:nvSpPr>
            <xdr:cNvPr id="18978" name="Drop Down 546" hidden="1">
              <a:extLst>
                <a:ext uri="{63B3BB69-23CF-44E3-9099-C40C66FF867C}">
                  <a14:compatExt spid="_x0000_s189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37</xdr:row>
          <xdr:rowOff>0</xdr:rowOff>
        </xdr:from>
        <xdr:to>
          <xdr:col>26</xdr:col>
          <xdr:colOff>190500</xdr:colOff>
          <xdr:row>38</xdr:row>
          <xdr:rowOff>9525</xdr:rowOff>
        </xdr:to>
        <xdr:sp macro="" textlink="">
          <xdr:nvSpPr>
            <xdr:cNvPr id="18979" name="Drop Down 547" hidden="1">
              <a:extLst>
                <a:ext uri="{63B3BB69-23CF-44E3-9099-C40C66FF867C}">
                  <a14:compatExt spid="_x0000_s189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37</xdr:row>
          <xdr:rowOff>0</xdr:rowOff>
        </xdr:from>
        <xdr:to>
          <xdr:col>17</xdr:col>
          <xdr:colOff>342900</xdr:colOff>
          <xdr:row>38</xdr:row>
          <xdr:rowOff>28575</xdr:rowOff>
        </xdr:to>
        <xdr:sp macro="" textlink="">
          <xdr:nvSpPr>
            <xdr:cNvPr id="18980" name="Check Box 548" hidden="1">
              <a:extLst>
                <a:ext uri="{63B3BB69-23CF-44E3-9099-C40C66FF867C}">
                  <a14:compatExt spid="_x0000_s189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37</xdr:row>
          <xdr:rowOff>0</xdr:rowOff>
        </xdr:from>
        <xdr:to>
          <xdr:col>30</xdr:col>
          <xdr:colOff>190500</xdr:colOff>
          <xdr:row>38</xdr:row>
          <xdr:rowOff>9525</xdr:rowOff>
        </xdr:to>
        <xdr:sp macro="" textlink="">
          <xdr:nvSpPr>
            <xdr:cNvPr id="18981" name="Drop Down 549" hidden="1">
              <a:extLst>
                <a:ext uri="{63B3BB69-23CF-44E3-9099-C40C66FF867C}">
                  <a14:compatExt spid="_x0000_s189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37</xdr:row>
          <xdr:rowOff>0</xdr:rowOff>
        </xdr:from>
        <xdr:to>
          <xdr:col>117</xdr:col>
          <xdr:colOff>19050</xdr:colOff>
          <xdr:row>38</xdr:row>
          <xdr:rowOff>9525</xdr:rowOff>
        </xdr:to>
        <xdr:sp macro="" textlink="">
          <xdr:nvSpPr>
            <xdr:cNvPr id="18982" name="Drop Down 550" hidden="1">
              <a:extLst>
                <a:ext uri="{63B3BB69-23CF-44E3-9099-C40C66FF867C}">
                  <a14:compatExt spid="_x0000_s189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37</xdr:row>
          <xdr:rowOff>0</xdr:rowOff>
        </xdr:from>
        <xdr:to>
          <xdr:col>165</xdr:col>
          <xdr:colOff>333375</xdr:colOff>
          <xdr:row>38</xdr:row>
          <xdr:rowOff>9525</xdr:rowOff>
        </xdr:to>
        <xdr:sp macro="" textlink="">
          <xdr:nvSpPr>
            <xdr:cNvPr id="18983" name="Drop Down 551" hidden="1">
              <a:extLst>
                <a:ext uri="{63B3BB69-23CF-44E3-9099-C40C66FF867C}">
                  <a14:compatExt spid="_x0000_s189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37</xdr:row>
          <xdr:rowOff>0</xdr:rowOff>
        </xdr:from>
        <xdr:to>
          <xdr:col>266</xdr:col>
          <xdr:colOff>161925</xdr:colOff>
          <xdr:row>38</xdr:row>
          <xdr:rowOff>9525</xdr:rowOff>
        </xdr:to>
        <xdr:sp macro="" textlink="">
          <xdr:nvSpPr>
            <xdr:cNvPr id="18984" name="Drop Down 552" hidden="1">
              <a:extLst>
                <a:ext uri="{63B3BB69-23CF-44E3-9099-C40C66FF867C}">
                  <a14:compatExt spid="_x0000_s189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37</xdr:row>
          <xdr:rowOff>0</xdr:rowOff>
        </xdr:from>
        <xdr:to>
          <xdr:col>4</xdr:col>
          <xdr:colOff>190500</xdr:colOff>
          <xdr:row>38</xdr:row>
          <xdr:rowOff>9525</xdr:rowOff>
        </xdr:to>
        <xdr:sp macro="" textlink="">
          <xdr:nvSpPr>
            <xdr:cNvPr id="18985" name="Drop Down 553" hidden="1">
              <a:extLst>
                <a:ext uri="{63B3BB69-23CF-44E3-9099-C40C66FF867C}">
                  <a14:compatExt spid="_x0000_s189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8</xdr:col>
          <xdr:colOff>9525</xdr:colOff>
          <xdr:row>38</xdr:row>
          <xdr:rowOff>9525</xdr:rowOff>
        </xdr:to>
        <xdr:sp macro="" textlink="">
          <xdr:nvSpPr>
            <xdr:cNvPr id="18986" name="Drop Down 554" hidden="1">
              <a:extLst>
                <a:ext uri="{63B3BB69-23CF-44E3-9099-C40C66FF867C}">
                  <a14:compatExt spid="_x0000_s189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37</xdr:row>
          <xdr:rowOff>0</xdr:rowOff>
        </xdr:from>
        <xdr:to>
          <xdr:col>36</xdr:col>
          <xdr:colOff>9525</xdr:colOff>
          <xdr:row>38</xdr:row>
          <xdr:rowOff>9525</xdr:rowOff>
        </xdr:to>
        <xdr:sp macro="" textlink="">
          <xdr:nvSpPr>
            <xdr:cNvPr id="18987" name="Drop Down 555" hidden="1">
              <a:extLst>
                <a:ext uri="{63B3BB69-23CF-44E3-9099-C40C66FF867C}">
                  <a14:compatExt spid="_x0000_s189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39</xdr:row>
          <xdr:rowOff>0</xdr:rowOff>
        </xdr:from>
        <xdr:to>
          <xdr:col>12</xdr:col>
          <xdr:colOff>257175</xdr:colOff>
          <xdr:row>40</xdr:row>
          <xdr:rowOff>9525</xdr:rowOff>
        </xdr:to>
        <xdr:sp macro="" textlink="">
          <xdr:nvSpPr>
            <xdr:cNvPr id="18988" name="Drop Down 556" hidden="1">
              <a:extLst>
                <a:ext uri="{63B3BB69-23CF-44E3-9099-C40C66FF867C}">
                  <a14:compatExt spid="_x0000_s189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39</xdr:row>
          <xdr:rowOff>0</xdr:rowOff>
        </xdr:from>
        <xdr:to>
          <xdr:col>16</xdr:col>
          <xdr:colOff>190500</xdr:colOff>
          <xdr:row>40</xdr:row>
          <xdr:rowOff>9525</xdr:rowOff>
        </xdr:to>
        <xdr:sp macro="" textlink="">
          <xdr:nvSpPr>
            <xdr:cNvPr id="18989" name="Drop Down 557" hidden="1">
              <a:extLst>
                <a:ext uri="{63B3BB69-23CF-44E3-9099-C40C66FF867C}">
                  <a14:compatExt spid="_x0000_s189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39</xdr:row>
          <xdr:rowOff>0</xdr:rowOff>
        </xdr:from>
        <xdr:to>
          <xdr:col>22</xdr:col>
          <xdr:colOff>190500</xdr:colOff>
          <xdr:row>40</xdr:row>
          <xdr:rowOff>9525</xdr:rowOff>
        </xdr:to>
        <xdr:sp macro="" textlink="">
          <xdr:nvSpPr>
            <xdr:cNvPr id="18990" name="Drop Down 558" hidden="1">
              <a:extLst>
                <a:ext uri="{63B3BB69-23CF-44E3-9099-C40C66FF867C}">
                  <a14:compatExt spid="_x0000_s189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39</xdr:row>
          <xdr:rowOff>0</xdr:rowOff>
        </xdr:from>
        <xdr:to>
          <xdr:col>26</xdr:col>
          <xdr:colOff>190500</xdr:colOff>
          <xdr:row>40</xdr:row>
          <xdr:rowOff>9525</xdr:rowOff>
        </xdr:to>
        <xdr:sp macro="" textlink="">
          <xdr:nvSpPr>
            <xdr:cNvPr id="18991" name="Drop Down 559" hidden="1">
              <a:extLst>
                <a:ext uri="{63B3BB69-23CF-44E3-9099-C40C66FF867C}">
                  <a14:compatExt spid="_x0000_s189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39</xdr:row>
          <xdr:rowOff>0</xdr:rowOff>
        </xdr:from>
        <xdr:to>
          <xdr:col>17</xdr:col>
          <xdr:colOff>342900</xdr:colOff>
          <xdr:row>40</xdr:row>
          <xdr:rowOff>28575</xdr:rowOff>
        </xdr:to>
        <xdr:sp macro="" textlink="">
          <xdr:nvSpPr>
            <xdr:cNvPr id="18992" name="Check Box 560" hidden="1">
              <a:extLst>
                <a:ext uri="{63B3BB69-23CF-44E3-9099-C40C66FF867C}">
                  <a14:compatExt spid="_x0000_s189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39</xdr:row>
          <xdr:rowOff>0</xdr:rowOff>
        </xdr:from>
        <xdr:to>
          <xdr:col>30</xdr:col>
          <xdr:colOff>190500</xdr:colOff>
          <xdr:row>40</xdr:row>
          <xdr:rowOff>9525</xdr:rowOff>
        </xdr:to>
        <xdr:sp macro="" textlink="">
          <xdr:nvSpPr>
            <xdr:cNvPr id="18993" name="Drop Down 561" hidden="1">
              <a:extLst>
                <a:ext uri="{63B3BB69-23CF-44E3-9099-C40C66FF867C}">
                  <a14:compatExt spid="_x0000_s189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39</xdr:row>
          <xdr:rowOff>0</xdr:rowOff>
        </xdr:from>
        <xdr:to>
          <xdr:col>117</xdr:col>
          <xdr:colOff>19050</xdr:colOff>
          <xdr:row>40</xdr:row>
          <xdr:rowOff>9525</xdr:rowOff>
        </xdr:to>
        <xdr:sp macro="" textlink="">
          <xdr:nvSpPr>
            <xdr:cNvPr id="18994" name="Drop Down 562" hidden="1">
              <a:extLst>
                <a:ext uri="{63B3BB69-23CF-44E3-9099-C40C66FF867C}">
                  <a14:compatExt spid="_x0000_s189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39</xdr:row>
          <xdr:rowOff>0</xdr:rowOff>
        </xdr:from>
        <xdr:to>
          <xdr:col>165</xdr:col>
          <xdr:colOff>333375</xdr:colOff>
          <xdr:row>40</xdr:row>
          <xdr:rowOff>9525</xdr:rowOff>
        </xdr:to>
        <xdr:sp macro="" textlink="">
          <xdr:nvSpPr>
            <xdr:cNvPr id="18995" name="Drop Down 563" hidden="1">
              <a:extLst>
                <a:ext uri="{63B3BB69-23CF-44E3-9099-C40C66FF867C}">
                  <a14:compatExt spid="_x0000_s189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39</xdr:row>
          <xdr:rowOff>0</xdr:rowOff>
        </xdr:from>
        <xdr:to>
          <xdr:col>266</xdr:col>
          <xdr:colOff>161925</xdr:colOff>
          <xdr:row>40</xdr:row>
          <xdr:rowOff>9525</xdr:rowOff>
        </xdr:to>
        <xdr:sp macro="" textlink="">
          <xdr:nvSpPr>
            <xdr:cNvPr id="18996" name="Drop Down 564" hidden="1">
              <a:extLst>
                <a:ext uri="{63B3BB69-23CF-44E3-9099-C40C66FF867C}">
                  <a14:compatExt spid="_x0000_s189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39</xdr:row>
          <xdr:rowOff>0</xdr:rowOff>
        </xdr:from>
        <xdr:to>
          <xdr:col>4</xdr:col>
          <xdr:colOff>190500</xdr:colOff>
          <xdr:row>40</xdr:row>
          <xdr:rowOff>9525</xdr:rowOff>
        </xdr:to>
        <xdr:sp macro="" textlink="">
          <xdr:nvSpPr>
            <xdr:cNvPr id="18997" name="Drop Down 565" hidden="1">
              <a:extLst>
                <a:ext uri="{63B3BB69-23CF-44E3-9099-C40C66FF867C}">
                  <a14:compatExt spid="_x0000_s189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8</xdr:col>
          <xdr:colOff>9525</xdr:colOff>
          <xdr:row>40</xdr:row>
          <xdr:rowOff>9525</xdr:rowOff>
        </xdr:to>
        <xdr:sp macro="" textlink="">
          <xdr:nvSpPr>
            <xdr:cNvPr id="18998" name="Drop Down 566" hidden="1">
              <a:extLst>
                <a:ext uri="{63B3BB69-23CF-44E3-9099-C40C66FF867C}">
                  <a14:compatExt spid="_x0000_s189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39</xdr:row>
          <xdr:rowOff>0</xdr:rowOff>
        </xdr:from>
        <xdr:to>
          <xdr:col>36</xdr:col>
          <xdr:colOff>9525</xdr:colOff>
          <xdr:row>40</xdr:row>
          <xdr:rowOff>9525</xdr:rowOff>
        </xdr:to>
        <xdr:sp macro="" textlink="">
          <xdr:nvSpPr>
            <xdr:cNvPr id="18999" name="Drop Down 567" hidden="1">
              <a:extLst>
                <a:ext uri="{63B3BB69-23CF-44E3-9099-C40C66FF867C}">
                  <a14:compatExt spid="_x0000_s189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41</xdr:row>
          <xdr:rowOff>0</xdr:rowOff>
        </xdr:from>
        <xdr:to>
          <xdr:col>12</xdr:col>
          <xdr:colOff>257175</xdr:colOff>
          <xdr:row>42</xdr:row>
          <xdr:rowOff>9525</xdr:rowOff>
        </xdr:to>
        <xdr:sp macro="" textlink="">
          <xdr:nvSpPr>
            <xdr:cNvPr id="19000" name="Drop Down 568" hidden="1">
              <a:extLst>
                <a:ext uri="{63B3BB69-23CF-44E3-9099-C40C66FF867C}">
                  <a14:compatExt spid="_x0000_s19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41</xdr:row>
          <xdr:rowOff>0</xdr:rowOff>
        </xdr:from>
        <xdr:to>
          <xdr:col>16</xdr:col>
          <xdr:colOff>190500</xdr:colOff>
          <xdr:row>42</xdr:row>
          <xdr:rowOff>9525</xdr:rowOff>
        </xdr:to>
        <xdr:sp macro="" textlink="">
          <xdr:nvSpPr>
            <xdr:cNvPr id="19001" name="Drop Down 569" hidden="1">
              <a:extLst>
                <a:ext uri="{63B3BB69-23CF-44E3-9099-C40C66FF867C}">
                  <a14:compatExt spid="_x0000_s190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41</xdr:row>
          <xdr:rowOff>0</xdr:rowOff>
        </xdr:from>
        <xdr:to>
          <xdr:col>22</xdr:col>
          <xdr:colOff>190500</xdr:colOff>
          <xdr:row>42</xdr:row>
          <xdr:rowOff>9525</xdr:rowOff>
        </xdr:to>
        <xdr:sp macro="" textlink="">
          <xdr:nvSpPr>
            <xdr:cNvPr id="19002" name="Drop Down 570" hidden="1">
              <a:extLst>
                <a:ext uri="{63B3BB69-23CF-44E3-9099-C40C66FF867C}">
                  <a14:compatExt spid="_x0000_s190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41</xdr:row>
          <xdr:rowOff>0</xdr:rowOff>
        </xdr:from>
        <xdr:to>
          <xdr:col>26</xdr:col>
          <xdr:colOff>190500</xdr:colOff>
          <xdr:row>42</xdr:row>
          <xdr:rowOff>9525</xdr:rowOff>
        </xdr:to>
        <xdr:sp macro="" textlink="">
          <xdr:nvSpPr>
            <xdr:cNvPr id="19003" name="Drop Down 571" hidden="1">
              <a:extLst>
                <a:ext uri="{63B3BB69-23CF-44E3-9099-C40C66FF867C}">
                  <a14:compatExt spid="_x0000_s190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41</xdr:row>
          <xdr:rowOff>0</xdr:rowOff>
        </xdr:from>
        <xdr:to>
          <xdr:col>17</xdr:col>
          <xdr:colOff>342900</xdr:colOff>
          <xdr:row>42</xdr:row>
          <xdr:rowOff>28575</xdr:rowOff>
        </xdr:to>
        <xdr:sp macro="" textlink="">
          <xdr:nvSpPr>
            <xdr:cNvPr id="19004" name="Check Box 572" hidden="1">
              <a:extLst>
                <a:ext uri="{63B3BB69-23CF-44E3-9099-C40C66FF867C}">
                  <a14:compatExt spid="_x0000_s190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41</xdr:row>
          <xdr:rowOff>0</xdr:rowOff>
        </xdr:from>
        <xdr:to>
          <xdr:col>30</xdr:col>
          <xdr:colOff>190500</xdr:colOff>
          <xdr:row>42</xdr:row>
          <xdr:rowOff>9525</xdr:rowOff>
        </xdr:to>
        <xdr:sp macro="" textlink="">
          <xdr:nvSpPr>
            <xdr:cNvPr id="19005" name="Drop Down 573" hidden="1">
              <a:extLst>
                <a:ext uri="{63B3BB69-23CF-44E3-9099-C40C66FF867C}">
                  <a14:compatExt spid="_x0000_s190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41</xdr:row>
          <xdr:rowOff>0</xdr:rowOff>
        </xdr:from>
        <xdr:to>
          <xdr:col>117</xdr:col>
          <xdr:colOff>19050</xdr:colOff>
          <xdr:row>42</xdr:row>
          <xdr:rowOff>9525</xdr:rowOff>
        </xdr:to>
        <xdr:sp macro="" textlink="">
          <xdr:nvSpPr>
            <xdr:cNvPr id="19006" name="Drop Down 574" hidden="1">
              <a:extLst>
                <a:ext uri="{63B3BB69-23CF-44E3-9099-C40C66FF867C}">
                  <a14:compatExt spid="_x0000_s190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41</xdr:row>
          <xdr:rowOff>0</xdr:rowOff>
        </xdr:from>
        <xdr:to>
          <xdr:col>165</xdr:col>
          <xdr:colOff>333375</xdr:colOff>
          <xdr:row>42</xdr:row>
          <xdr:rowOff>9525</xdr:rowOff>
        </xdr:to>
        <xdr:sp macro="" textlink="">
          <xdr:nvSpPr>
            <xdr:cNvPr id="19007" name="Drop Down 575" hidden="1">
              <a:extLst>
                <a:ext uri="{63B3BB69-23CF-44E3-9099-C40C66FF867C}">
                  <a14:compatExt spid="_x0000_s190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41</xdr:row>
          <xdr:rowOff>0</xdr:rowOff>
        </xdr:from>
        <xdr:to>
          <xdr:col>266</xdr:col>
          <xdr:colOff>161925</xdr:colOff>
          <xdr:row>42</xdr:row>
          <xdr:rowOff>9525</xdr:rowOff>
        </xdr:to>
        <xdr:sp macro="" textlink="">
          <xdr:nvSpPr>
            <xdr:cNvPr id="19008" name="Drop Down 576" hidden="1">
              <a:extLst>
                <a:ext uri="{63B3BB69-23CF-44E3-9099-C40C66FF867C}">
                  <a14:compatExt spid="_x0000_s190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41</xdr:row>
          <xdr:rowOff>0</xdr:rowOff>
        </xdr:from>
        <xdr:to>
          <xdr:col>4</xdr:col>
          <xdr:colOff>190500</xdr:colOff>
          <xdr:row>42</xdr:row>
          <xdr:rowOff>9525</xdr:rowOff>
        </xdr:to>
        <xdr:sp macro="" textlink="">
          <xdr:nvSpPr>
            <xdr:cNvPr id="19009" name="Drop Down 577" hidden="1">
              <a:extLst>
                <a:ext uri="{63B3BB69-23CF-44E3-9099-C40C66FF867C}">
                  <a14:compatExt spid="_x0000_s190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0</xdr:rowOff>
        </xdr:from>
        <xdr:to>
          <xdr:col>8</xdr:col>
          <xdr:colOff>9525</xdr:colOff>
          <xdr:row>42</xdr:row>
          <xdr:rowOff>9525</xdr:rowOff>
        </xdr:to>
        <xdr:sp macro="" textlink="">
          <xdr:nvSpPr>
            <xdr:cNvPr id="19010" name="Drop Down 578" hidden="1">
              <a:extLst>
                <a:ext uri="{63B3BB69-23CF-44E3-9099-C40C66FF867C}">
                  <a14:compatExt spid="_x0000_s190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41</xdr:row>
          <xdr:rowOff>0</xdr:rowOff>
        </xdr:from>
        <xdr:to>
          <xdr:col>36</xdr:col>
          <xdr:colOff>9525</xdr:colOff>
          <xdr:row>42</xdr:row>
          <xdr:rowOff>9525</xdr:rowOff>
        </xdr:to>
        <xdr:sp macro="" textlink="">
          <xdr:nvSpPr>
            <xdr:cNvPr id="19011" name="Drop Down 579" hidden="1">
              <a:extLst>
                <a:ext uri="{63B3BB69-23CF-44E3-9099-C40C66FF867C}">
                  <a14:compatExt spid="_x0000_s190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43</xdr:row>
          <xdr:rowOff>0</xdr:rowOff>
        </xdr:from>
        <xdr:to>
          <xdr:col>12</xdr:col>
          <xdr:colOff>257175</xdr:colOff>
          <xdr:row>44</xdr:row>
          <xdr:rowOff>9525</xdr:rowOff>
        </xdr:to>
        <xdr:sp macro="" textlink="">
          <xdr:nvSpPr>
            <xdr:cNvPr id="19012" name="Drop Down 580" hidden="1">
              <a:extLst>
                <a:ext uri="{63B3BB69-23CF-44E3-9099-C40C66FF867C}">
                  <a14:compatExt spid="_x0000_s190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43</xdr:row>
          <xdr:rowOff>0</xdr:rowOff>
        </xdr:from>
        <xdr:to>
          <xdr:col>16</xdr:col>
          <xdr:colOff>190500</xdr:colOff>
          <xdr:row>44</xdr:row>
          <xdr:rowOff>9525</xdr:rowOff>
        </xdr:to>
        <xdr:sp macro="" textlink="">
          <xdr:nvSpPr>
            <xdr:cNvPr id="19013" name="Drop Down 581" hidden="1">
              <a:extLst>
                <a:ext uri="{63B3BB69-23CF-44E3-9099-C40C66FF867C}">
                  <a14:compatExt spid="_x0000_s190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43</xdr:row>
          <xdr:rowOff>0</xdr:rowOff>
        </xdr:from>
        <xdr:to>
          <xdr:col>22</xdr:col>
          <xdr:colOff>190500</xdr:colOff>
          <xdr:row>44</xdr:row>
          <xdr:rowOff>9525</xdr:rowOff>
        </xdr:to>
        <xdr:sp macro="" textlink="">
          <xdr:nvSpPr>
            <xdr:cNvPr id="19014" name="Drop Down 582" hidden="1">
              <a:extLst>
                <a:ext uri="{63B3BB69-23CF-44E3-9099-C40C66FF867C}">
                  <a14:compatExt spid="_x0000_s190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26</xdr:col>
          <xdr:colOff>190500</xdr:colOff>
          <xdr:row>44</xdr:row>
          <xdr:rowOff>9525</xdr:rowOff>
        </xdr:to>
        <xdr:sp macro="" textlink="">
          <xdr:nvSpPr>
            <xdr:cNvPr id="19015" name="Drop Down 583" hidden="1">
              <a:extLst>
                <a:ext uri="{63B3BB69-23CF-44E3-9099-C40C66FF867C}">
                  <a14:compatExt spid="_x0000_s190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43</xdr:row>
          <xdr:rowOff>0</xdr:rowOff>
        </xdr:from>
        <xdr:to>
          <xdr:col>17</xdr:col>
          <xdr:colOff>342900</xdr:colOff>
          <xdr:row>44</xdr:row>
          <xdr:rowOff>28575</xdr:rowOff>
        </xdr:to>
        <xdr:sp macro="" textlink="">
          <xdr:nvSpPr>
            <xdr:cNvPr id="19016" name="Check Box 584" hidden="1">
              <a:extLst>
                <a:ext uri="{63B3BB69-23CF-44E3-9099-C40C66FF867C}">
                  <a14:compatExt spid="_x0000_s190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43</xdr:row>
          <xdr:rowOff>0</xdr:rowOff>
        </xdr:from>
        <xdr:to>
          <xdr:col>30</xdr:col>
          <xdr:colOff>190500</xdr:colOff>
          <xdr:row>44</xdr:row>
          <xdr:rowOff>9525</xdr:rowOff>
        </xdr:to>
        <xdr:sp macro="" textlink="">
          <xdr:nvSpPr>
            <xdr:cNvPr id="19017" name="Drop Down 585" hidden="1">
              <a:extLst>
                <a:ext uri="{63B3BB69-23CF-44E3-9099-C40C66FF867C}">
                  <a14:compatExt spid="_x0000_s19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43</xdr:row>
          <xdr:rowOff>0</xdr:rowOff>
        </xdr:from>
        <xdr:to>
          <xdr:col>117</xdr:col>
          <xdr:colOff>19050</xdr:colOff>
          <xdr:row>44</xdr:row>
          <xdr:rowOff>9525</xdr:rowOff>
        </xdr:to>
        <xdr:sp macro="" textlink="">
          <xdr:nvSpPr>
            <xdr:cNvPr id="19018" name="Drop Down 586" hidden="1">
              <a:extLst>
                <a:ext uri="{63B3BB69-23CF-44E3-9099-C40C66FF867C}">
                  <a14:compatExt spid="_x0000_s19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43</xdr:row>
          <xdr:rowOff>0</xdr:rowOff>
        </xdr:from>
        <xdr:to>
          <xdr:col>165</xdr:col>
          <xdr:colOff>333375</xdr:colOff>
          <xdr:row>44</xdr:row>
          <xdr:rowOff>9525</xdr:rowOff>
        </xdr:to>
        <xdr:sp macro="" textlink="">
          <xdr:nvSpPr>
            <xdr:cNvPr id="19019" name="Drop Down 587" hidden="1">
              <a:extLst>
                <a:ext uri="{63B3BB69-23CF-44E3-9099-C40C66FF867C}">
                  <a14:compatExt spid="_x0000_s19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43</xdr:row>
          <xdr:rowOff>0</xdr:rowOff>
        </xdr:from>
        <xdr:to>
          <xdr:col>266</xdr:col>
          <xdr:colOff>161925</xdr:colOff>
          <xdr:row>44</xdr:row>
          <xdr:rowOff>9525</xdr:rowOff>
        </xdr:to>
        <xdr:sp macro="" textlink="">
          <xdr:nvSpPr>
            <xdr:cNvPr id="19020" name="Drop Down 588" hidden="1">
              <a:extLst>
                <a:ext uri="{63B3BB69-23CF-44E3-9099-C40C66FF867C}">
                  <a14:compatExt spid="_x0000_s19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43</xdr:row>
          <xdr:rowOff>0</xdr:rowOff>
        </xdr:from>
        <xdr:to>
          <xdr:col>4</xdr:col>
          <xdr:colOff>190500</xdr:colOff>
          <xdr:row>44</xdr:row>
          <xdr:rowOff>9525</xdr:rowOff>
        </xdr:to>
        <xdr:sp macro="" textlink="">
          <xdr:nvSpPr>
            <xdr:cNvPr id="19021" name="Drop Down 589" hidden="1">
              <a:extLst>
                <a:ext uri="{63B3BB69-23CF-44E3-9099-C40C66FF867C}">
                  <a14:compatExt spid="_x0000_s19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0</xdr:rowOff>
        </xdr:from>
        <xdr:to>
          <xdr:col>8</xdr:col>
          <xdr:colOff>9525</xdr:colOff>
          <xdr:row>44</xdr:row>
          <xdr:rowOff>9525</xdr:rowOff>
        </xdr:to>
        <xdr:sp macro="" textlink="">
          <xdr:nvSpPr>
            <xdr:cNvPr id="19022" name="Drop Down 590" hidden="1">
              <a:extLst>
                <a:ext uri="{63B3BB69-23CF-44E3-9099-C40C66FF867C}">
                  <a14:compatExt spid="_x0000_s19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43</xdr:row>
          <xdr:rowOff>0</xdr:rowOff>
        </xdr:from>
        <xdr:to>
          <xdr:col>36</xdr:col>
          <xdr:colOff>9525</xdr:colOff>
          <xdr:row>44</xdr:row>
          <xdr:rowOff>9525</xdr:rowOff>
        </xdr:to>
        <xdr:sp macro="" textlink="">
          <xdr:nvSpPr>
            <xdr:cNvPr id="19023" name="Drop Down 591" hidden="1">
              <a:extLst>
                <a:ext uri="{63B3BB69-23CF-44E3-9099-C40C66FF867C}">
                  <a14:compatExt spid="_x0000_s19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45</xdr:row>
          <xdr:rowOff>0</xdr:rowOff>
        </xdr:from>
        <xdr:to>
          <xdr:col>12</xdr:col>
          <xdr:colOff>257175</xdr:colOff>
          <xdr:row>46</xdr:row>
          <xdr:rowOff>9525</xdr:rowOff>
        </xdr:to>
        <xdr:sp macro="" textlink="">
          <xdr:nvSpPr>
            <xdr:cNvPr id="19024" name="Drop Down 592" hidden="1">
              <a:extLst>
                <a:ext uri="{63B3BB69-23CF-44E3-9099-C40C66FF867C}">
                  <a14:compatExt spid="_x0000_s19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0</xdr:rowOff>
        </xdr:from>
        <xdr:to>
          <xdr:col>16</xdr:col>
          <xdr:colOff>190500</xdr:colOff>
          <xdr:row>46</xdr:row>
          <xdr:rowOff>9525</xdr:rowOff>
        </xdr:to>
        <xdr:sp macro="" textlink="">
          <xdr:nvSpPr>
            <xdr:cNvPr id="19025" name="Drop Down 593" hidden="1">
              <a:extLst>
                <a:ext uri="{63B3BB69-23CF-44E3-9099-C40C66FF867C}">
                  <a14:compatExt spid="_x0000_s19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45</xdr:row>
          <xdr:rowOff>0</xdr:rowOff>
        </xdr:from>
        <xdr:to>
          <xdr:col>22</xdr:col>
          <xdr:colOff>190500</xdr:colOff>
          <xdr:row>46</xdr:row>
          <xdr:rowOff>9525</xdr:rowOff>
        </xdr:to>
        <xdr:sp macro="" textlink="">
          <xdr:nvSpPr>
            <xdr:cNvPr id="19026" name="Drop Down 594" hidden="1">
              <a:extLst>
                <a:ext uri="{63B3BB69-23CF-44E3-9099-C40C66FF867C}">
                  <a14:compatExt spid="_x0000_s19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45</xdr:row>
          <xdr:rowOff>0</xdr:rowOff>
        </xdr:from>
        <xdr:to>
          <xdr:col>26</xdr:col>
          <xdr:colOff>190500</xdr:colOff>
          <xdr:row>46</xdr:row>
          <xdr:rowOff>9525</xdr:rowOff>
        </xdr:to>
        <xdr:sp macro="" textlink="">
          <xdr:nvSpPr>
            <xdr:cNvPr id="19027" name="Drop Down 595" hidden="1">
              <a:extLst>
                <a:ext uri="{63B3BB69-23CF-44E3-9099-C40C66FF867C}">
                  <a14:compatExt spid="_x0000_s19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45</xdr:row>
          <xdr:rowOff>0</xdr:rowOff>
        </xdr:from>
        <xdr:to>
          <xdr:col>17</xdr:col>
          <xdr:colOff>342900</xdr:colOff>
          <xdr:row>46</xdr:row>
          <xdr:rowOff>28575</xdr:rowOff>
        </xdr:to>
        <xdr:sp macro="" textlink="">
          <xdr:nvSpPr>
            <xdr:cNvPr id="19028" name="Check Box 596" hidden="1">
              <a:extLst>
                <a:ext uri="{63B3BB69-23CF-44E3-9099-C40C66FF867C}">
                  <a14:compatExt spid="_x0000_s19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45</xdr:row>
          <xdr:rowOff>0</xdr:rowOff>
        </xdr:from>
        <xdr:to>
          <xdr:col>30</xdr:col>
          <xdr:colOff>190500</xdr:colOff>
          <xdr:row>46</xdr:row>
          <xdr:rowOff>9525</xdr:rowOff>
        </xdr:to>
        <xdr:sp macro="" textlink="">
          <xdr:nvSpPr>
            <xdr:cNvPr id="19029" name="Drop Down 597" hidden="1">
              <a:extLst>
                <a:ext uri="{63B3BB69-23CF-44E3-9099-C40C66FF867C}">
                  <a14:compatExt spid="_x0000_s19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45</xdr:row>
          <xdr:rowOff>0</xdr:rowOff>
        </xdr:from>
        <xdr:to>
          <xdr:col>117</xdr:col>
          <xdr:colOff>19050</xdr:colOff>
          <xdr:row>46</xdr:row>
          <xdr:rowOff>9525</xdr:rowOff>
        </xdr:to>
        <xdr:sp macro="" textlink="">
          <xdr:nvSpPr>
            <xdr:cNvPr id="19030" name="Drop Down 598" hidden="1">
              <a:extLst>
                <a:ext uri="{63B3BB69-23CF-44E3-9099-C40C66FF867C}">
                  <a14:compatExt spid="_x0000_s19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45</xdr:row>
          <xdr:rowOff>0</xdr:rowOff>
        </xdr:from>
        <xdr:to>
          <xdr:col>165</xdr:col>
          <xdr:colOff>333375</xdr:colOff>
          <xdr:row>46</xdr:row>
          <xdr:rowOff>9525</xdr:rowOff>
        </xdr:to>
        <xdr:sp macro="" textlink="">
          <xdr:nvSpPr>
            <xdr:cNvPr id="19031" name="Drop Down 599" hidden="1">
              <a:extLst>
                <a:ext uri="{63B3BB69-23CF-44E3-9099-C40C66FF867C}">
                  <a14:compatExt spid="_x0000_s19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45</xdr:row>
          <xdr:rowOff>0</xdr:rowOff>
        </xdr:from>
        <xdr:to>
          <xdr:col>266</xdr:col>
          <xdr:colOff>161925</xdr:colOff>
          <xdr:row>46</xdr:row>
          <xdr:rowOff>9525</xdr:rowOff>
        </xdr:to>
        <xdr:sp macro="" textlink="">
          <xdr:nvSpPr>
            <xdr:cNvPr id="19032" name="Drop Down 600" hidden="1">
              <a:extLst>
                <a:ext uri="{63B3BB69-23CF-44E3-9099-C40C66FF867C}">
                  <a14:compatExt spid="_x0000_s19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45</xdr:row>
          <xdr:rowOff>0</xdr:rowOff>
        </xdr:from>
        <xdr:to>
          <xdr:col>4</xdr:col>
          <xdr:colOff>190500</xdr:colOff>
          <xdr:row>46</xdr:row>
          <xdr:rowOff>9525</xdr:rowOff>
        </xdr:to>
        <xdr:sp macro="" textlink="">
          <xdr:nvSpPr>
            <xdr:cNvPr id="19033" name="Drop Down 601" hidden="1">
              <a:extLst>
                <a:ext uri="{63B3BB69-23CF-44E3-9099-C40C66FF867C}">
                  <a14:compatExt spid="_x0000_s19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45</xdr:row>
          <xdr:rowOff>0</xdr:rowOff>
        </xdr:from>
        <xdr:to>
          <xdr:col>8</xdr:col>
          <xdr:colOff>9525</xdr:colOff>
          <xdr:row>46</xdr:row>
          <xdr:rowOff>9525</xdr:rowOff>
        </xdr:to>
        <xdr:sp macro="" textlink="">
          <xdr:nvSpPr>
            <xdr:cNvPr id="19034" name="Drop Down 602" hidden="1">
              <a:extLst>
                <a:ext uri="{63B3BB69-23CF-44E3-9099-C40C66FF867C}">
                  <a14:compatExt spid="_x0000_s19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45</xdr:row>
          <xdr:rowOff>0</xdr:rowOff>
        </xdr:from>
        <xdr:to>
          <xdr:col>36</xdr:col>
          <xdr:colOff>9525</xdr:colOff>
          <xdr:row>46</xdr:row>
          <xdr:rowOff>9525</xdr:rowOff>
        </xdr:to>
        <xdr:sp macro="" textlink="">
          <xdr:nvSpPr>
            <xdr:cNvPr id="19035" name="Drop Down 603" hidden="1">
              <a:extLst>
                <a:ext uri="{63B3BB69-23CF-44E3-9099-C40C66FF867C}">
                  <a14:compatExt spid="_x0000_s19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47</xdr:row>
          <xdr:rowOff>0</xdr:rowOff>
        </xdr:from>
        <xdr:to>
          <xdr:col>12</xdr:col>
          <xdr:colOff>257175</xdr:colOff>
          <xdr:row>48</xdr:row>
          <xdr:rowOff>9525</xdr:rowOff>
        </xdr:to>
        <xdr:sp macro="" textlink="">
          <xdr:nvSpPr>
            <xdr:cNvPr id="19036" name="Drop Down 604" hidden="1">
              <a:extLst>
                <a:ext uri="{63B3BB69-23CF-44E3-9099-C40C66FF867C}">
                  <a14:compatExt spid="_x0000_s19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47</xdr:row>
          <xdr:rowOff>0</xdr:rowOff>
        </xdr:from>
        <xdr:to>
          <xdr:col>16</xdr:col>
          <xdr:colOff>190500</xdr:colOff>
          <xdr:row>48</xdr:row>
          <xdr:rowOff>9525</xdr:rowOff>
        </xdr:to>
        <xdr:sp macro="" textlink="">
          <xdr:nvSpPr>
            <xdr:cNvPr id="19037" name="Drop Down 605" hidden="1">
              <a:extLst>
                <a:ext uri="{63B3BB69-23CF-44E3-9099-C40C66FF867C}">
                  <a14:compatExt spid="_x0000_s19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47</xdr:row>
          <xdr:rowOff>0</xdr:rowOff>
        </xdr:from>
        <xdr:to>
          <xdr:col>22</xdr:col>
          <xdr:colOff>190500</xdr:colOff>
          <xdr:row>48</xdr:row>
          <xdr:rowOff>9525</xdr:rowOff>
        </xdr:to>
        <xdr:sp macro="" textlink="">
          <xdr:nvSpPr>
            <xdr:cNvPr id="19038" name="Drop Down 606" hidden="1">
              <a:extLst>
                <a:ext uri="{63B3BB69-23CF-44E3-9099-C40C66FF867C}">
                  <a14:compatExt spid="_x0000_s19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47</xdr:row>
          <xdr:rowOff>0</xdr:rowOff>
        </xdr:from>
        <xdr:to>
          <xdr:col>26</xdr:col>
          <xdr:colOff>190500</xdr:colOff>
          <xdr:row>48</xdr:row>
          <xdr:rowOff>9525</xdr:rowOff>
        </xdr:to>
        <xdr:sp macro="" textlink="">
          <xdr:nvSpPr>
            <xdr:cNvPr id="19039" name="Drop Down 607" hidden="1">
              <a:extLst>
                <a:ext uri="{63B3BB69-23CF-44E3-9099-C40C66FF867C}">
                  <a14:compatExt spid="_x0000_s19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47</xdr:row>
          <xdr:rowOff>0</xdr:rowOff>
        </xdr:from>
        <xdr:to>
          <xdr:col>17</xdr:col>
          <xdr:colOff>342900</xdr:colOff>
          <xdr:row>48</xdr:row>
          <xdr:rowOff>28575</xdr:rowOff>
        </xdr:to>
        <xdr:sp macro="" textlink="">
          <xdr:nvSpPr>
            <xdr:cNvPr id="19040" name="Check Box 608" hidden="1">
              <a:extLst>
                <a:ext uri="{63B3BB69-23CF-44E3-9099-C40C66FF867C}">
                  <a14:compatExt spid="_x0000_s19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47</xdr:row>
          <xdr:rowOff>0</xdr:rowOff>
        </xdr:from>
        <xdr:to>
          <xdr:col>30</xdr:col>
          <xdr:colOff>190500</xdr:colOff>
          <xdr:row>48</xdr:row>
          <xdr:rowOff>9525</xdr:rowOff>
        </xdr:to>
        <xdr:sp macro="" textlink="">
          <xdr:nvSpPr>
            <xdr:cNvPr id="19041" name="Drop Down 609" hidden="1">
              <a:extLst>
                <a:ext uri="{63B3BB69-23CF-44E3-9099-C40C66FF867C}">
                  <a14:compatExt spid="_x0000_s19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47</xdr:row>
          <xdr:rowOff>0</xdr:rowOff>
        </xdr:from>
        <xdr:to>
          <xdr:col>117</xdr:col>
          <xdr:colOff>19050</xdr:colOff>
          <xdr:row>48</xdr:row>
          <xdr:rowOff>9525</xdr:rowOff>
        </xdr:to>
        <xdr:sp macro="" textlink="">
          <xdr:nvSpPr>
            <xdr:cNvPr id="19042" name="Drop Down 610" hidden="1">
              <a:extLst>
                <a:ext uri="{63B3BB69-23CF-44E3-9099-C40C66FF867C}">
                  <a14:compatExt spid="_x0000_s19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47</xdr:row>
          <xdr:rowOff>0</xdr:rowOff>
        </xdr:from>
        <xdr:to>
          <xdr:col>165</xdr:col>
          <xdr:colOff>333375</xdr:colOff>
          <xdr:row>48</xdr:row>
          <xdr:rowOff>9525</xdr:rowOff>
        </xdr:to>
        <xdr:sp macro="" textlink="">
          <xdr:nvSpPr>
            <xdr:cNvPr id="19043" name="Drop Down 611" hidden="1">
              <a:extLst>
                <a:ext uri="{63B3BB69-23CF-44E3-9099-C40C66FF867C}">
                  <a14:compatExt spid="_x0000_s19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47</xdr:row>
          <xdr:rowOff>0</xdr:rowOff>
        </xdr:from>
        <xdr:to>
          <xdr:col>266</xdr:col>
          <xdr:colOff>161925</xdr:colOff>
          <xdr:row>48</xdr:row>
          <xdr:rowOff>9525</xdr:rowOff>
        </xdr:to>
        <xdr:sp macro="" textlink="">
          <xdr:nvSpPr>
            <xdr:cNvPr id="19044" name="Drop Down 612" hidden="1">
              <a:extLst>
                <a:ext uri="{63B3BB69-23CF-44E3-9099-C40C66FF867C}">
                  <a14:compatExt spid="_x0000_s19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47</xdr:row>
          <xdr:rowOff>0</xdr:rowOff>
        </xdr:from>
        <xdr:to>
          <xdr:col>4</xdr:col>
          <xdr:colOff>190500</xdr:colOff>
          <xdr:row>48</xdr:row>
          <xdr:rowOff>9525</xdr:rowOff>
        </xdr:to>
        <xdr:sp macro="" textlink="">
          <xdr:nvSpPr>
            <xdr:cNvPr id="19045" name="Drop Down 613" hidden="1">
              <a:extLst>
                <a:ext uri="{63B3BB69-23CF-44E3-9099-C40C66FF867C}">
                  <a14:compatExt spid="_x0000_s19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47</xdr:row>
          <xdr:rowOff>0</xdr:rowOff>
        </xdr:from>
        <xdr:to>
          <xdr:col>8</xdr:col>
          <xdr:colOff>9525</xdr:colOff>
          <xdr:row>48</xdr:row>
          <xdr:rowOff>9525</xdr:rowOff>
        </xdr:to>
        <xdr:sp macro="" textlink="">
          <xdr:nvSpPr>
            <xdr:cNvPr id="19046" name="Drop Down 614" hidden="1">
              <a:extLst>
                <a:ext uri="{63B3BB69-23CF-44E3-9099-C40C66FF867C}">
                  <a14:compatExt spid="_x0000_s19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47</xdr:row>
          <xdr:rowOff>0</xdr:rowOff>
        </xdr:from>
        <xdr:to>
          <xdr:col>36</xdr:col>
          <xdr:colOff>9525</xdr:colOff>
          <xdr:row>48</xdr:row>
          <xdr:rowOff>9525</xdr:rowOff>
        </xdr:to>
        <xdr:sp macro="" textlink="">
          <xdr:nvSpPr>
            <xdr:cNvPr id="19047" name="Drop Down 615" hidden="1">
              <a:extLst>
                <a:ext uri="{63B3BB69-23CF-44E3-9099-C40C66FF867C}">
                  <a14:compatExt spid="_x0000_s19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49</xdr:row>
          <xdr:rowOff>0</xdr:rowOff>
        </xdr:from>
        <xdr:to>
          <xdr:col>12</xdr:col>
          <xdr:colOff>257175</xdr:colOff>
          <xdr:row>50</xdr:row>
          <xdr:rowOff>9525</xdr:rowOff>
        </xdr:to>
        <xdr:sp macro="" textlink="">
          <xdr:nvSpPr>
            <xdr:cNvPr id="19048" name="Drop Down 616" hidden="1">
              <a:extLst>
                <a:ext uri="{63B3BB69-23CF-44E3-9099-C40C66FF867C}">
                  <a14:compatExt spid="_x0000_s19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49</xdr:row>
          <xdr:rowOff>0</xdr:rowOff>
        </xdr:from>
        <xdr:to>
          <xdr:col>16</xdr:col>
          <xdr:colOff>190500</xdr:colOff>
          <xdr:row>50</xdr:row>
          <xdr:rowOff>9525</xdr:rowOff>
        </xdr:to>
        <xdr:sp macro="" textlink="">
          <xdr:nvSpPr>
            <xdr:cNvPr id="19049" name="Drop Down 617" hidden="1">
              <a:extLst>
                <a:ext uri="{63B3BB69-23CF-44E3-9099-C40C66FF867C}">
                  <a14:compatExt spid="_x0000_s19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49</xdr:row>
          <xdr:rowOff>0</xdr:rowOff>
        </xdr:from>
        <xdr:to>
          <xdr:col>22</xdr:col>
          <xdr:colOff>190500</xdr:colOff>
          <xdr:row>50</xdr:row>
          <xdr:rowOff>9525</xdr:rowOff>
        </xdr:to>
        <xdr:sp macro="" textlink="">
          <xdr:nvSpPr>
            <xdr:cNvPr id="19050" name="Drop Down 618" hidden="1">
              <a:extLst>
                <a:ext uri="{63B3BB69-23CF-44E3-9099-C40C66FF867C}">
                  <a14:compatExt spid="_x0000_s19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26</xdr:col>
          <xdr:colOff>190500</xdr:colOff>
          <xdr:row>50</xdr:row>
          <xdr:rowOff>9525</xdr:rowOff>
        </xdr:to>
        <xdr:sp macro="" textlink="">
          <xdr:nvSpPr>
            <xdr:cNvPr id="19051" name="Drop Down 619" hidden="1">
              <a:extLst>
                <a:ext uri="{63B3BB69-23CF-44E3-9099-C40C66FF867C}">
                  <a14:compatExt spid="_x0000_s19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49</xdr:row>
          <xdr:rowOff>0</xdr:rowOff>
        </xdr:from>
        <xdr:to>
          <xdr:col>17</xdr:col>
          <xdr:colOff>342900</xdr:colOff>
          <xdr:row>50</xdr:row>
          <xdr:rowOff>28575</xdr:rowOff>
        </xdr:to>
        <xdr:sp macro="" textlink="">
          <xdr:nvSpPr>
            <xdr:cNvPr id="19052" name="Check Box 620" hidden="1">
              <a:extLst>
                <a:ext uri="{63B3BB69-23CF-44E3-9099-C40C66FF867C}">
                  <a14:compatExt spid="_x0000_s19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49</xdr:row>
          <xdr:rowOff>0</xdr:rowOff>
        </xdr:from>
        <xdr:to>
          <xdr:col>30</xdr:col>
          <xdr:colOff>190500</xdr:colOff>
          <xdr:row>50</xdr:row>
          <xdr:rowOff>9525</xdr:rowOff>
        </xdr:to>
        <xdr:sp macro="" textlink="">
          <xdr:nvSpPr>
            <xdr:cNvPr id="19053" name="Drop Down 621" hidden="1">
              <a:extLst>
                <a:ext uri="{63B3BB69-23CF-44E3-9099-C40C66FF867C}">
                  <a14:compatExt spid="_x0000_s19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49</xdr:row>
          <xdr:rowOff>0</xdr:rowOff>
        </xdr:from>
        <xdr:to>
          <xdr:col>117</xdr:col>
          <xdr:colOff>19050</xdr:colOff>
          <xdr:row>50</xdr:row>
          <xdr:rowOff>9525</xdr:rowOff>
        </xdr:to>
        <xdr:sp macro="" textlink="">
          <xdr:nvSpPr>
            <xdr:cNvPr id="19054" name="Drop Down 622" hidden="1">
              <a:extLst>
                <a:ext uri="{63B3BB69-23CF-44E3-9099-C40C66FF867C}">
                  <a14:compatExt spid="_x0000_s19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49</xdr:row>
          <xdr:rowOff>0</xdr:rowOff>
        </xdr:from>
        <xdr:to>
          <xdr:col>165</xdr:col>
          <xdr:colOff>333375</xdr:colOff>
          <xdr:row>50</xdr:row>
          <xdr:rowOff>9525</xdr:rowOff>
        </xdr:to>
        <xdr:sp macro="" textlink="">
          <xdr:nvSpPr>
            <xdr:cNvPr id="19055" name="Drop Down 623" hidden="1">
              <a:extLst>
                <a:ext uri="{63B3BB69-23CF-44E3-9099-C40C66FF867C}">
                  <a14:compatExt spid="_x0000_s19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49</xdr:row>
          <xdr:rowOff>0</xdr:rowOff>
        </xdr:from>
        <xdr:to>
          <xdr:col>266</xdr:col>
          <xdr:colOff>161925</xdr:colOff>
          <xdr:row>50</xdr:row>
          <xdr:rowOff>9525</xdr:rowOff>
        </xdr:to>
        <xdr:sp macro="" textlink="">
          <xdr:nvSpPr>
            <xdr:cNvPr id="19056" name="Drop Down 624" hidden="1">
              <a:extLst>
                <a:ext uri="{63B3BB69-23CF-44E3-9099-C40C66FF867C}">
                  <a14:compatExt spid="_x0000_s19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49</xdr:row>
          <xdr:rowOff>0</xdr:rowOff>
        </xdr:from>
        <xdr:to>
          <xdr:col>4</xdr:col>
          <xdr:colOff>190500</xdr:colOff>
          <xdr:row>50</xdr:row>
          <xdr:rowOff>9525</xdr:rowOff>
        </xdr:to>
        <xdr:sp macro="" textlink="">
          <xdr:nvSpPr>
            <xdr:cNvPr id="19057" name="Drop Down 625" hidden="1">
              <a:extLst>
                <a:ext uri="{63B3BB69-23CF-44E3-9099-C40C66FF867C}">
                  <a14:compatExt spid="_x0000_s19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49</xdr:row>
          <xdr:rowOff>0</xdr:rowOff>
        </xdr:from>
        <xdr:to>
          <xdr:col>8</xdr:col>
          <xdr:colOff>9525</xdr:colOff>
          <xdr:row>50</xdr:row>
          <xdr:rowOff>9525</xdr:rowOff>
        </xdr:to>
        <xdr:sp macro="" textlink="">
          <xdr:nvSpPr>
            <xdr:cNvPr id="19058" name="Drop Down 626" hidden="1">
              <a:extLst>
                <a:ext uri="{63B3BB69-23CF-44E3-9099-C40C66FF867C}">
                  <a14:compatExt spid="_x0000_s19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49</xdr:row>
          <xdr:rowOff>0</xdr:rowOff>
        </xdr:from>
        <xdr:to>
          <xdr:col>36</xdr:col>
          <xdr:colOff>9525</xdr:colOff>
          <xdr:row>50</xdr:row>
          <xdr:rowOff>9525</xdr:rowOff>
        </xdr:to>
        <xdr:sp macro="" textlink="">
          <xdr:nvSpPr>
            <xdr:cNvPr id="19059" name="Drop Down 627" hidden="1">
              <a:extLst>
                <a:ext uri="{63B3BB69-23CF-44E3-9099-C40C66FF867C}">
                  <a14:compatExt spid="_x0000_s19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51</xdr:row>
          <xdr:rowOff>0</xdr:rowOff>
        </xdr:from>
        <xdr:to>
          <xdr:col>12</xdr:col>
          <xdr:colOff>257175</xdr:colOff>
          <xdr:row>52</xdr:row>
          <xdr:rowOff>9525</xdr:rowOff>
        </xdr:to>
        <xdr:sp macro="" textlink="">
          <xdr:nvSpPr>
            <xdr:cNvPr id="19060" name="Drop Down 628" hidden="1">
              <a:extLst>
                <a:ext uri="{63B3BB69-23CF-44E3-9099-C40C66FF867C}">
                  <a14:compatExt spid="_x0000_s19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51</xdr:row>
          <xdr:rowOff>0</xdr:rowOff>
        </xdr:from>
        <xdr:to>
          <xdr:col>16</xdr:col>
          <xdr:colOff>190500</xdr:colOff>
          <xdr:row>52</xdr:row>
          <xdr:rowOff>9525</xdr:rowOff>
        </xdr:to>
        <xdr:sp macro="" textlink="">
          <xdr:nvSpPr>
            <xdr:cNvPr id="19061" name="Drop Down 629" hidden="1">
              <a:extLst>
                <a:ext uri="{63B3BB69-23CF-44E3-9099-C40C66FF867C}">
                  <a14:compatExt spid="_x0000_s19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51</xdr:row>
          <xdr:rowOff>0</xdr:rowOff>
        </xdr:from>
        <xdr:to>
          <xdr:col>22</xdr:col>
          <xdr:colOff>190500</xdr:colOff>
          <xdr:row>52</xdr:row>
          <xdr:rowOff>9525</xdr:rowOff>
        </xdr:to>
        <xdr:sp macro="" textlink="">
          <xdr:nvSpPr>
            <xdr:cNvPr id="19062" name="Drop Down 630" hidden="1">
              <a:extLst>
                <a:ext uri="{63B3BB69-23CF-44E3-9099-C40C66FF867C}">
                  <a14:compatExt spid="_x0000_s19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51</xdr:row>
          <xdr:rowOff>0</xdr:rowOff>
        </xdr:from>
        <xdr:to>
          <xdr:col>26</xdr:col>
          <xdr:colOff>190500</xdr:colOff>
          <xdr:row>52</xdr:row>
          <xdr:rowOff>9525</xdr:rowOff>
        </xdr:to>
        <xdr:sp macro="" textlink="">
          <xdr:nvSpPr>
            <xdr:cNvPr id="19063" name="Drop Down 631" hidden="1">
              <a:extLst>
                <a:ext uri="{63B3BB69-23CF-44E3-9099-C40C66FF867C}">
                  <a14:compatExt spid="_x0000_s19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51</xdr:row>
          <xdr:rowOff>0</xdr:rowOff>
        </xdr:from>
        <xdr:to>
          <xdr:col>17</xdr:col>
          <xdr:colOff>342900</xdr:colOff>
          <xdr:row>52</xdr:row>
          <xdr:rowOff>28575</xdr:rowOff>
        </xdr:to>
        <xdr:sp macro="" textlink="">
          <xdr:nvSpPr>
            <xdr:cNvPr id="19064" name="Check Box 632" hidden="1">
              <a:extLst>
                <a:ext uri="{63B3BB69-23CF-44E3-9099-C40C66FF867C}">
                  <a14:compatExt spid="_x0000_s19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51</xdr:row>
          <xdr:rowOff>0</xdr:rowOff>
        </xdr:from>
        <xdr:to>
          <xdr:col>30</xdr:col>
          <xdr:colOff>190500</xdr:colOff>
          <xdr:row>52</xdr:row>
          <xdr:rowOff>9525</xdr:rowOff>
        </xdr:to>
        <xdr:sp macro="" textlink="">
          <xdr:nvSpPr>
            <xdr:cNvPr id="19065" name="Drop Down 633" hidden="1">
              <a:extLst>
                <a:ext uri="{63B3BB69-23CF-44E3-9099-C40C66FF867C}">
                  <a14:compatExt spid="_x0000_s19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51</xdr:row>
          <xdr:rowOff>0</xdr:rowOff>
        </xdr:from>
        <xdr:to>
          <xdr:col>117</xdr:col>
          <xdr:colOff>19050</xdr:colOff>
          <xdr:row>52</xdr:row>
          <xdr:rowOff>9525</xdr:rowOff>
        </xdr:to>
        <xdr:sp macro="" textlink="">
          <xdr:nvSpPr>
            <xdr:cNvPr id="19066" name="Drop Down 634" hidden="1">
              <a:extLst>
                <a:ext uri="{63B3BB69-23CF-44E3-9099-C40C66FF867C}">
                  <a14:compatExt spid="_x0000_s19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51</xdr:row>
          <xdr:rowOff>0</xdr:rowOff>
        </xdr:from>
        <xdr:to>
          <xdr:col>165</xdr:col>
          <xdr:colOff>333375</xdr:colOff>
          <xdr:row>52</xdr:row>
          <xdr:rowOff>9525</xdr:rowOff>
        </xdr:to>
        <xdr:sp macro="" textlink="">
          <xdr:nvSpPr>
            <xdr:cNvPr id="19067" name="Drop Down 635" hidden="1">
              <a:extLst>
                <a:ext uri="{63B3BB69-23CF-44E3-9099-C40C66FF867C}">
                  <a14:compatExt spid="_x0000_s19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51</xdr:row>
          <xdr:rowOff>0</xdr:rowOff>
        </xdr:from>
        <xdr:to>
          <xdr:col>266</xdr:col>
          <xdr:colOff>161925</xdr:colOff>
          <xdr:row>52</xdr:row>
          <xdr:rowOff>9525</xdr:rowOff>
        </xdr:to>
        <xdr:sp macro="" textlink="">
          <xdr:nvSpPr>
            <xdr:cNvPr id="19068" name="Drop Down 636" hidden="1">
              <a:extLst>
                <a:ext uri="{63B3BB69-23CF-44E3-9099-C40C66FF867C}">
                  <a14:compatExt spid="_x0000_s19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51</xdr:row>
          <xdr:rowOff>0</xdr:rowOff>
        </xdr:from>
        <xdr:to>
          <xdr:col>4</xdr:col>
          <xdr:colOff>190500</xdr:colOff>
          <xdr:row>52</xdr:row>
          <xdr:rowOff>9525</xdr:rowOff>
        </xdr:to>
        <xdr:sp macro="" textlink="">
          <xdr:nvSpPr>
            <xdr:cNvPr id="19069" name="Drop Down 637" hidden="1">
              <a:extLst>
                <a:ext uri="{63B3BB69-23CF-44E3-9099-C40C66FF867C}">
                  <a14:compatExt spid="_x0000_s19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51</xdr:row>
          <xdr:rowOff>0</xdr:rowOff>
        </xdr:from>
        <xdr:to>
          <xdr:col>8</xdr:col>
          <xdr:colOff>9525</xdr:colOff>
          <xdr:row>52</xdr:row>
          <xdr:rowOff>9525</xdr:rowOff>
        </xdr:to>
        <xdr:sp macro="" textlink="">
          <xdr:nvSpPr>
            <xdr:cNvPr id="19070" name="Drop Down 638" hidden="1">
              <a:extLst>
                <a:ext uri="{63B3BB69-23CF-44E3-9099-C40C66FF867C}">
                  <a14:compatExt spid="_x0000_s19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51</xdr:row>
          <xdr:rowOff>0</xdr:rowOff>
        </xdr:from>
        <xdr:to>
          <xdr:col>36</xdr:col>
          <xdr:colOff>9525</xdr:colOff>
          <xdr:row>52</xdr:row>
          <xdr:rowOff>9525</xdr:rowOff>
        </xdr:to>
        <xdr:sp macro="" textlink="">
          <xdr:nvSpPr>
            <xdr:cNvPr id="19071" name="Drop Down 639" hidden="1">
              <a:extLst>
                <a:ext uri="{63B3BB69-23CF-44E3-9099-C40C66FF867C}">
                  <a14:compatExt spid="_x0000_s19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53</xdr:row>
          <xdr:rowOff>0</xdr:rowOff>
        </xdr:from>
        <xdr:to>
          <xdr:col>12</xdr:col>
          <xdr:colOff>257175</xdr:colOff>
          <xdr:row>54</xdr:row>
          <xdr:rowOff>9525</xdr:rowOff>
        </xdr:to>
        <xdr:sp macro="" textlink="">
          <xdr:nvSpPr>
            <xdr:cNvPr id="19072" name="Drop Down 640" hidden="1">
              <a:extLst>
                <a:ext uri="{63B3BB69-23CF-44E3-9099-C40C66FF867C}">
                  <a14:compatExt spid="_x0000_s19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53</xdr:row>
          <xdr:rowOff>0</xdr:rowOff>
        </xdr:from>
        <xdr:to>
          <xdr:col>16</xdr:col>
          <xdr:colOff>190500</xdr:colOff>
          <xdr:row>54</xdr:row>
          <xdr:rowOff>9525</xdr:rowOff>
        </xdr:to>
        <xdr:sp macro="" textlink="">
          <xdr:nvSpPr>
            <xdr:cNvPr id="19073" name="Drop Down 641" hidden="1">
              <a:extLst>
                <a:ext uri="{63B3BB69-23CF-44E3-9099-C40C66FF867C}">
                  <a14:compatExt spid="_x0000_s19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53</xdr:row>
          <xdr:rowOff>0</xdr:rowOff>
        </xdr:from>
        <xdr:to>
          <xdr:col>22</xdr:col>
          <xdr:colOff>190500</xdr:colOff>
          <xdr:row>54</xdr:row>
          <xdr:rowOff>9525</xdr:rowOff>
        </xdr:to>
        <xdr:sp macro="" textlink="">
          <xdr:nvSpPr>
            <xdr:cNvPr id="19074" name="Drop Down 642" hidden="1">
              <a:extLst>
                <a:ext uri="{63B3BB69-23CF-44E3-9099-C40C66FF867C}">
                  <a14:compatExt spid="_x0000_s19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53</xdr:row>
          <xdr:rowOff>0</xdr:rowOff>
        </xdr:from>
        <xdr:to>
          <xdr:col>26</xdr:col>
          <xdr:colOff>190500</xdr:colOff>
          <xdr:row>54</xdr:row>
          <xdr:rowOff>9525</xdr:rowOff>
        </xdr:to>
        <xdr:sp macro="" textlink="">
          <xdr:nvSpPr>
            <xdr:cNvPr id="19075" name="Drop Down 643" hidden="1">
              <a:extLst>
                <a:ext uri="{63B3BB69-23CF-44E3-9099-C40C66FF867C}">
                  <a14:compatExt spid="_x0000_s19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53</xdr:row>
          <xdr:rowOff>0</xdr:rowOff>
        </xdr:from>
        <xdr:to>
          <xdr:col>17</xdr:col>
          <xdr:colOff>342900</xdr:colOff>
          <xdr:row>54</xdr:row>
          <xdr:rowOff>28575</xdr:rowOff>
        </xdr:to>
        <xdr:sp macro="" textlink="">
          <xdr:nvSpPr>
            <xdr:cNvPr id="19076" name="Check Box 644" hidden="1">
              <a:extLst>
                <a:ext uri="{63B3BB69-23CF-44E3-9099-C40C66FF867C}">
                  <a14:compatExt spid="_x0000_s19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53</xdr:row>
          <xdr:rowOff>0</xdr:rowOff>
        </xdr:from>
        <xdr:to>
          <xdr:col>30</xdr:col>
          <xdr:colOff>190500</xdr:colOff>
          <xdr:row>54</xdr:row>
          <xdr:rowOff>9525</xdr:rowOff>
        </xdr:to>
        <xdr:sp macro="" textlink="">
          <xdr:nvSpPr>
            <xdr:cNvPr id="19077" name="Drop Down 645" hidden="1">
              <a:extLst>
                <a:ext uri="{63B3BB69-23CF-44E3-9099-C40C66FF867C}">
                  <a14:compatExt spid="_x0000_s19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53</xdr:row>
          <xdr:rowOff>0</xdr:rowOff>
        </xdr:from>
        <xdr:to>
          <xdr:col>117</xdr:col>
          <xdr:colOff>19050</xdr:colOff>
          <xdr:row>54</xdr:row>
          <xdr:rowOff>9525</xdr:rowOff>
        </xdr:to>
        <xdr:sp macro="" textlink="">
          <xdr:nvSpPr>
            <xdr:cNvPr id="19078" name="Drop Down 646" hidden="1">
              <a:extLst>
                <a:ext uri="{63B3BB69-23CF-44E3-9099-C40C66FF867C}">
                  <a14:compatExt spid="_x0000_s19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53</xdr:row>
          <xdr:rowOff>0</xdr:rowOff>
        </xdr:from>
        <xdr:to>
          <xdr:col>165</xdr:col>
          <xdr:colOff>333375</xdr:colOff>
          <xdr:row>54</xdr:row>
          <xdr:rowOff>9525</xdr:rowOff>
        </xdr:to>
        <xdr:sp macro="" textlink="">
          <xdr:nvSpPr>
            <xdr:cNvPr id="19079" name="Drop Down 647" hidden="1">
              <a:extLst>
                <a:ext uri="{63B3BB69-23CF-44E3-9099-C40C66FF867C}">
                  <a14:compatExt spid="_x0000_s19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53</xdr:row>
          <xdr:rowOff>0</xdr:rowOff>
        </xdr:from>
        <xdr:to>
          <xdr:col>266</xdr:col>
          <xdr:colOff>161925</xdr:colOff>
          <xdr:row>54</xdr:row>
          <xdr:rowOff>9525</xdr:rowOff>
        </xdr:to>
        <xdr:sp macro="" textlink="">
          <xdr:nvSpPr>
            <xdr:cNvPr id="19080" name="Drop Down 648" hidden="1">
              <a:extLst>
                <a:ext uri="{63B3BB69-23CF-44E3-9099-C40C66FF867C}">
                  <a14:compatExt spid="_x0000_s19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53</xdr:row>
          <xdr:rowOff>0</xdr:rowOff>
        </xdr:from>
        <xdr:to>
          <xdr:col>4</xdr:col>
          <xdr:colOff>190500</xdr:colOff>
          <xdr:row>54</xdr:row>
          <xdr:rowOff>9525</xdr:rowOff>
        </xdr:to>
        <xdr:sp macro="" textlink="">
          <xdr:nvSpPr>
            <xdr:cNvPr id="19081" name="Drop Down 649" hidden="1">
              <a:extLst>
                <a:ext uri="{63B3BB69-23CF-44E3-9099-C40C66FF867C}">
                  <a14:compatExt spid="_x0000_s19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53</xdr:row>
          <xdr:rowOff>0</xdr:rowOff>
        </xdr:from>
        <xdr:to>
          <xdr:col>8</xdr:col>
          <xdr:colOff>9525</xdr:colOff>
          <xdr:row>54</xdr:row>
          <xdr:rowOff>9525</xdr:rowOff>
        </xdr:to>
        <xdr:sp macro="" textlink="">
          <xdr:nvSpPr>
            <xdr:cNvPr id="19082" name="Drop Down 650" hidden="1">
              <a:extLst>
                <a:ext uri="{63B3BB69-23CF-44E3-9099-C40C66FF867C}">
                  <a14:compatExt spid="_x0000_s19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53</xdr:row>
          <xdr:rowOff>0</xdr:rowOff>
        </xdr:from>
        <xdr:to>
          <xdr:col>36</xdr:col>
          <xdr:colOff>9525</xdr:colOff>
          <xdr:row>54</xdr:row>
          <xdr:rowOff>9525</xdr:rowOff>
        </xdr:to>
        <xdr:sp macro="" textlink="">
          <xdr:nvSpPr>
            <xdr:cNvPr id="19083" name="Drop Down 651" hidden="1">
              <a:extLst>
                <a:ext uri="{63B3BB69-23CF-44E3-9099-C40C66FF867C}">
                  <a14:compatExt spid="_x0000_s19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55</xdr:row>
          <xdr:rowOff>0</xdr:rowOff>
        </xdr:from>
        <xdr:to>
          <xdr:col>12</xdr:col>
          <xdr:colOff>257175</xdr:colOff>
          <xdr:row>56</xdr:row>
          <xdr:rowOff>9525</xdr:rowOff>
        </xdr:to>
        <xdr:sp macro="" textlink="">
          <xdr:nvSpPr>
            <xdr:cNvPr id="19084" name="Drop Down 652" hidden="1">
              <a:extLst>
                <a:ext uri="{63B3BB69-23CF-44E3-9099-C40C66FF867C}">
                  <a14:compatExt spid="_x0000_s19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55</xdr:row>
          <xdr:rowOff>0</xdr:rowOff>
        </xdr:from>
        <xdr:to>
          <xdr:col>16</xdr:col>
          <xdr:colOff>190500</xdr:colOff>
          <xdr:row>56</xdr:row>
          <xdr:rowOff>9525</xdr:rowOff>
        </xdr:to>
        <xdr:sp macro="" textlink="">
          <xdr:nvSpPr>
            <xdr:cNvPr id="19085" name="Drop Down 653" hidden="1">
              <a:extLst>
                <a:ext uri="{63B3BB69-23CF-44E3-9099-C40C66FF867C}">
                  <a14:compatExt spid="_x0000_s19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55</xdr:row>
          <xdr:rowOff>0</xdr:rowOff>
        </xdr:from>
        <xdr:to>
          <xdr:col>22</xdr:col>
          <xdr:colOff>190500</xdr:colOff>
          <xdr:row>56</xdr:row>
          <xdr:rowOff>9525</xdr:rowOff>
        </xdr:to>
        <xdr:sp macro="" textlink="">
          <xdr:nvSpPr>
            <xdr:cNvPr id="19086" name="Drop Down 654" hidden="1">
              <a:extLst>
                <a:ext uri="{63B3BB69-23CF-44E3-9099-C40C66FF867C}">
                  <a14:compatExt spid="_x0000_s19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55</xdr:row>
          <xdr:rowOff>0</xdr:rowOff>
        </xdr:from>
        <xdr:to>
          <xdr:col>26</xdr:col>
          <xdr:colOff>190500</xdr:colOff>
          <xdr:row>56</xdr:row>
          <xdr:rowOff>9525</xdr:rowOff>
        </xdr:to>
        <xdr:sp macro="" textlink="">
          <xdr:nvSpPr>
            <xdr:cNvPr id="19087" name="Drop Down 655" hidden="1">
              <a:extLst>
                <a:ext uri="{63B3BB69-23CF-44E3-9099-C40C66FF867C}">
                  <a14:compatExt spid="_x0000_s19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55</xdr:row>
          <xdr:rowOff>0</xdr:rowOff>
        </xdr:from>
        <xdr:to>
          <xdr:col>17</xdr:col>
          <xdr:colOff>342900</xdr:colOff>
          <xdr:row>56</xdr:row>
          <xdr:rowOff>28575</xdr:rowOff>
        </xdr:to>
        <xdr:sp macro="" textlink="">
          <xdr:nvSpPr>
            <xdr:cNvPr id="19088" name="Check Box 656" hidden="1">
              <a:extLst>
                <a:ext uri="{63B3BB69-23CF-44E3-9099-C40C66FF867C}">
                  <a14:compatExt spid="_x0000_s19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55</xdr:row>
          <xdr:rowOff>0</xdr:rowOff>
        </xdr:from>
        <xdr:to>
          <xdr:col>30</xdr:col>
          <xdr:colOff>190500</xdr:colOff>
          <xdr:row>56</xdr:row>
          <xdr:rowOff>9525</xdr:rowOff>
        </xdr:to>
        <xdr:sp macro="" textlink="">
          <xdr:nvSpPr>
            <xdr:cNvPr id="19089" name="Drop Down 657" hidden="1">
              <a:extLst>
                <a:ext uri="{63B3BB69-23CF-44E3-9099-C40C66FF867C}">
                  <a14:compatExt spid="_x0000_s19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55</xdr:row>
          <xdr:rowOff>0</xdr:rowOff>
        </xdr:from>
        <xdr:to>
          <xdr:col>117</xdr:col>
          <xdr:colOff>19050</xdr:colOff>
          <xdr:row>56</xdr:row>
          <xdr:rowOff>9525</xdr:rowOff>
        </xdr:to>
        <xdr:sp macro="" textlink="">
          <xdr:nvSpPr>
            <xdr:cNvPr id="19090" name="Drop Down 658" hidden="1">
              <a:extLst>
                <a:ext uri="{63B3BB69-23CF-44E3-9099-C40C66FF867C}">
                  <a14:compatExt spid="_x0000_s19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55</xdr:row>
          <xdr:rowOff>0</xdr:rowOff>
        </xdr:from>
        <xdr:to>
          <xdr:col>165</xdr:col>
          <xdr:colOff>333375</xdr:colOff>
          <xdr:row>56</xdr:row>
          <xdr:rowOff>9525</xdr:rowOff>
        </xdr:to>
        <xdr:sp macro="" textlink="">
          <xdr:nvSpPr>
            <xdr:cNvPr id="19091" name="Drop Down 659" hidden="1">
              <a:extLst>
                <a:ext uri="{63B3BB69-23CF-44E3-9099-C40C66FF867C}">
                  <a14:compatExt spid="_x0000_s19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55</xdr:row>
          <xdr:rowOff>0</xdr:rowOff>
        </xdr:from>
        <xdr:to>
          <xdr:col>266</xdr:col>
          <xdr:colOff>161925</xdr:colOff>
          <xdr:row>56</xdr:row>
          <xdr:rowOff>9525</xdr:rowOff>
        </xdr:to>
        <xdr:sp macro="" textlink="">
          <xdr:nvSpPr>
            <xdr:cNvPr id="19092" name="Drop Down 660" hidden="1">
              <a:extLst>
                <a:ext uri="{63B3BB69-23CF-44E3-9099-C40C66FF867C}">
                  <a14:compatExt spid="_x0000_s19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55</xdr:row>
          <xdr:rowOff>0</xdr:rowOff>
        </xdr:from>
        <xdr:to>
          <xdr:col>4</xdr:col>
          <xdr:colOff>190500</xdr:colOff>
          <xdr:row>56</xdr:row>
          <xdr:rowOff>9525</xdr:rowOff>
        </xdr:to>
        <xdr:sp macro="" textlink="">
          <xdr:nvSpPr>
            <xdr:cNvPr id="19093" name="Drop Down 661" hidden="1">
              <a:extLst>
                <a:ext uri="{63B3BB69-23CF-44E3-9099-C40C66FF867C}">
                  <a14:compatExt spid="_x0000_s19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55</xdr:row>
          <xdr:rowOff>0</xdr:rowOff>
        </xdr:from>
        <xdr:to>
          <xdr:col>8</xdr:col>
          <xdr:colOff>9525</xdr:colOff>
          <xdr:row>56</xdr:row>
          <xdr:rowOff>9525</xdr:rowOff>
        </xdr:to>
        <xdr:sp macro="" textlink="">
          <xdr:nvSpPr>
            <xdr:cNvPr id="19094" name="Drop Down 662" hidden="1">
              <a:extLst>
                <a:ext uri="{63B3BB69-23CF-44E3-9099-C40C66FF867C}">
                  <a14:compatExt spid="_x0000_s19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55</xdr:row>
          <xdr:rowOff>0</xdr:rowOff>
        </xdr:from>
        <xdr:to>
          <xdr:col>36</xdr:col>
          <xdr:colOff>9525</xdr:colOff>
          <xdr:row>56</xdr:row>
          <xdr:rowOff>9525</xdr:rowOff>
        </xdr:to>
        <xdr:sp macro="" textlink="">
          <xdr:nvSpPr>
            <xdr:cNvPr id="19095" name="Drop Down 663" hidden="1">
              <a:extLst>
                <a:ext uri="{63B3BB69-23CF-44E3-9099-C40C66FF867C}">
                  <a14:compatExt spid="_x0000_s19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57</xdr:row>
          <xdr:rowOff>0</xdr:rowOff>
        </xdr:from>
        <xdr:to>
          <xdr:col>12</xdr:col>
          <xdr:colOff>257175</xdr:colOff>
          <xdr:row>58</xdr:row>
          <xdr:rowOff>9525</xdr:rowOff>
        </xdr:to>
        <xdr:sp macro="" textlink="">
          <xdr:nvSpPr>
            <xdr:cNvPr id="19096" name="Drop Down 664" hidden="1">
              <a:extLst>
                <a:ext uri="{63B3BB69-23CF-44E3-9099-C40C66FF867C}">
                  <a14:compatExt spid="_x0000_s19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57</xdr:row>
          <xdr:rowOff>0</xdr:rowOff>
        </xdr:from>
        <xdr:to>
          <xdr:col>16</xdr:col>
          <xdr:colOff>190500</xdr:colOff>
          <xdr:row>58</xdr:row>
          <xdr:rowOff>9525</xdr:rowOff>
        </xdr:to>
        <xdr:sp macro="" textlink="">
          <xdr:nvSpPr>
            <xdr:cNvPr id="19097" name="Drop Down 665" hidden="1">
              <a:extLst>
                <a:ext uri="{63B3BB69-23CF-44E3-9099-C40C66FF867C}">
                  <a14:compatExt spid="_x0000_s19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57</xdr:row>
          <xdr:rowOff>0</xdr:rowOff>
        </xdr:from>
        <xdr:to>
          <xdr:col>22</xdr:col>
          <xdr:colOff>190500</xdr:colOff>
          <xdr:row>58</xdr:row>
          <xdr:rowOff>9525</xdr:rowOff>
        </xdr:to>
        <xdr:sp macro="" textlink="">
          <xdr:nvSpPr>
            <xdr:cNvPr id="19098" name="Drop Down 666" hidden="1">
              <a:extLst>
                <a:ext uri="{63B3BB69-23CF-44E3-9099-C40C66FF867C}">
                  <a14:compatExt spid="_x0000_s19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57</xdr:row>
          <xdr:rowOff>0</xdr:rowOff>
        </xdr:from>
        <xdr:to>
          <xdr:col>26</xdr:col>
          <xdr:colOff>190500</xdr:colOff>
          <xdr:row>58</xdr:row>
          <xdr:rowOff>9525</xdr:rowOff>
        </xdr:to>
        <xdr:sp macro="" textlink="">
          <xdr:nvSpPr>
            <xdr:cNvPr id="19099" name="Drop Down 667" hidden="1">
              <a:extLst>
                <a:ext uri="{63B3BB69-23CF-44E3-9099-C40C66FF867C}">
                  <a14:compatExt spid="_x0000_s19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0</xdr:rowOff>
        </xdr:from>
        <xdr:to>
          <xdr:col>17</xdr:col>
          <xdr:colOff>342900</xdr:colOff>
          <xdr:row>58</xdr:row>
          <xdr:rowOff>28575</xdr:rowOff>
        </xdr:to>
        <xdr:sp macro="" textlink="">
          <xdr:nvSpPr>
            <xdr:cNvPr id="19100" name="Check Box 668" hidden="1">
              <a:extLst>
                <a:ext uri="{63B3BB69-23CF-44E3-9099-C40C66FF867C}">
                  <a14:compatExt spid="_x0000_s19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57</xdr:row>
          <xdr:rowOff>0</xdr:rowOff>
        </xdr:from>
        <xdr:to>
          <xdr:col>30</xdr:col>
          <xdr:colOff>190500</xdr:colOff>
          <xdr:row>58</xdr:row>
          <xdr:rowOff>9525</xdr:rowOff>
        </xdr:to>
        <xdr:sp macro="" textlink="">
          <xdr:nvSpPr>
            <xdr:cNvPr id="19101" name="Drop Down 669" hidden="1">
              <a:extLst>
                <a:ext uri="{63B3BB69-23CF-44E3-9099-C40C66FF867C}">
                  <a14:compatExt spid="_x0000_s19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57</xdr:row>
          <xdr:rowOff>0</xdr:rowOff>
        </xdr:from>
        <xdr:to>
          <xdr:col>117</xdr:col>
          <xdr:colOff>19050</xdr:colOff>
          <xdr:row>58</xdr:row>
          <xdr:rowOff>9525</xdr:rowOff>
        </xdr:to>
        <xdr:sp macro="" textlink="">
          <xdr:nvSpPr>
            <xdr:cNvPr id="19102" name="Drop Down 670" hidden="1">
              <a:extLst>
                <a:ext uri="{63B3BB69-23CF-44E3-9099-C40C66FF867C}">
                  <a14:compatExt spid="_x0000_s19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57</xdr:row>
          <xdr:rowOff>0</xdr:rowOff>
        </xdr:from>
        <xdr:to>
          <xdr:col>165</xdr:col>
          <xdr:colOff>333375</xdr:colOff>
          <xdr:row>58</xdr:row>
          <xdr:rowOff>9525</xdr:rowOff>
        </xdr:to>
        <xdr:sp macro="" textlink="">
          <xdr:nvSpPr>
            <xdr:cNvPr id="19103" name="Drop Down 671" hidden="1">
              <a:extLst>
                <a:ext uri="{63B3BB69-23CF-44E3-9099-C40C66FF867C}">
                  <a14:compatExt spid="_x0000_s19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57</xdr:row>
          <xdr:rowOff>0</xdr:rowOff>
        </xdr:from>
        <xdr:to>
          <xdr:col>266</xdr:col>
          <xdr:colOff>161925</xdr:colOff>
          <xdr:row>58</xdr:row>
          <xdr:rowOff>9525</xdr:rowOff>
        </xdr:to>
        <xdr:sp macro="" textlink="">
          <xdr:nvSpPr>
            <xdr:cNvPr id="19104" name="Drop Down 672" hidden="1">
              <a:extLst>
                <a:ext uri="{63B3BB69-23CF-44E3-9099-C40C66FF867C}">
                  <a14:compatExt spid="_x0000_s19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57</xdr:row>
          <xdr:rowOff>0</xdr:rowOff>
        </xdr:from>
        <xdr:to>
          <xdr:col>4</xdr:col>
          <xdr:colOff>190500</xdr:colOff>
          <xdr:row>58</xdr:row>
          <xdr:rowOff>9525</xdr:rowOff>
        </xdr:to>
        <xdr:sp macro="" textlink="">
          <xdr:nvSpPr>
            <xdr:cNvPr id="19105" name="Drop Down 673" hidden="1">
              <a:extLst>
                <a:ext uri="{63B3BB69-23CF-44E3-9099-C40C66FF867C}">
                  <a14:compatExt spid="_x0000_s19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57</xdr:row>
          <xdr:rowOff>0</xdr:rowOff>
        </xdr:from>
        <xdr:to>
          <xdr:col>8</xdr:col>
          <xdr:colOff>9525</xdr:colOff>
          <xdr:row>58</xdr:row>
          <xdr:rowOff>9525</xdr:rowOff>
        </xdr:to>
        <xdr:sp macro="" textlink="">
          <xdr:nvSpPr>
            <xdr:cNvPr id="19106" name="Drop Down 674" hidden="1">
              <a:extLst>
                <a:ext uri="{63B3BB69-23CF-44E3-9099-C40C66FF867C}">
                  <a14:compatExt spid="_x0000_s19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57</xdr:row>
          <xdr:rowOff>0</xdr:rowOff>
        </xdr:from>
        <xdr:to>
          <xdr:col>36</xdr:col>
          <xdr:colOff>9525</xdr:colOff>
          <xdr:row>58</xdr:row>
          <xdr:rowOff>9525</xdr:rowOff>
        </xdr:to>
        <xdr:sp macro="" textlink="">
          <xdr:nvSpPr>
            <xdr:cNvPr id="19107" name="Drop Down 675" hidden="1">
              <a:extLst>
                <a:ext uri="{63B3BB69-23CF-44E3-9099-C40C66FF867C}">
                  <a14:compatExt spid="_x0000_s19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59</xdr:row>
          <xdr:rowOff>0</xdr:rowOff>
        </xdr:from>
        <xdr:to>
          <xdr:col>12</xdr:col>
          <xdr:colOff>257175</xdr:colOff>
          <xdr:row>60</xdr:row>
          <xdr:rowOff>9525</xdr:rowOff>
        </xdr:to>
        <xdr:sp macro="" textlink="">
          <xdr:nvSpPr>
            <xdr:cNvPr id="19108" name="Drop Down 676" hidden="1">
              <a:extLst>
                <a:ext uri="{63B3BB69-23CF-44E3-9099-C40C66FF867C}">
                  <a14:compatExt spid="_x0000_s19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59</xdr:row>
          <xdr:rowOff>0</xdr:rowOff>
        </xdr:from>
        <xdr:to>
          <xdr:col>16</xdr:col>
          <xdr:colOff>190500</xdr:colOff>
          <xdr:row>60</xdr:row>
          <xdr:rowOff>9525</xdr:rowOff>
        </xdr:to>
        <xdr:sp macro="" textlink="">
          <xdr:nvSpPr>
            <xdr:cNvPr id="19109" name="Drop Down 677" hidden="1">
              <a:extLst>
                <a:ext uri="{63B3BB69-23CF-44E3-9099-C40C66FF867C}">
                  <a14:compatExt spid="_x0000_s19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59</xdr:row>
          <xdr:rowOff>0</xdr:rowOff>
        </xdr:from>
        <xdr:to>
          <xdr:col>22</xdr:col>
          <xdr:colOff>190500</xdr:colOff>
          <xdr:row>60</xdr:row>
          <xdr:rowOff>9525</xdr:rowOff>
        </xdr:to>
        <xdr:sp macro="" textlink="">
          <xdr:nvSpPr>
            <xdr:cNvPr id="19110" name="Drop Down 678" hidden="1">
              <a:extLst>
                <a:ext uri="{63B3BB69-23CF-44E3-9099-C40C66FF867C}">
                  <a14:compatExt spid="_x0000_s19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59</xdr:row>
          <xdr:rowOff>0</xdr:rowOff>
        </xdr:from>
        <xdr:to>
          <xdr:col>26</xdr:col>
          <xdr:colOff>190500</xdr:colOff>
          <xdr:row>60</xdr:row>
          <xdr:rowOff>9525</xdr:rowOff>
        </xdr:to>
        <xdr:sp macro="" textlink="">
          <xdr:nvSpPr>
            <xdr:cNvPr id="19111" name="Drop Down 679" hidden="1">
              <a:extLst>
                <a:ext uri="{63B3BB69-23CF-44E3-9099-C40C66FF867C}">
                  <a14:compatExt spid="_x0000_s19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59</xdr:row>
          <xdr:rowOff>0</xdr:rowOff>
        </xdr:from>
        <xdr:to>
          <xdr:col>17</xdr:col>
          <xdr:colOff>342900</xdr:colOff>
          <xdr:row>60</xdr:row>
          <xdr:rowOff>28575</xdr:rowOff>
        </xdr:to>
        <xdr:sp macro="" textlink="">
          <xdr:nvSpPr>
            <xdr:cNvPr id="19112" name="Check Box 680" hidden="1">
              <a:extLst>
                <a:ext uri="{63B3BB69-23CF-44E3-9099-C40C66FF867C}">
                  <a14:compatExt spid="_x0000_s19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59</xdr:row>
          <xdr:rowOff>0</xdr:rowOff>
        </xdr:from>
        <xdr:to>
          <xdr:col>30</xdr:col>
          <xdr:colOff>190500</xdr:colOff>
          <xdr:row>60</xdr:row>
          <xdr:rowOff>9525</xdr:rowOff>
        </xdr:to>
        <xdr:sp macro="" textlink="">
          <xdr:nvSpPr>
            <xdr:cNvPr id="19113" name="Drop Down 681" hidden="1">
              <a:extLst>
                <a:ext uri="{63B3BB69-23CF-44E3-9099-C40C66FF867C}">
                  <a14:compatExt spid="_x0000_s19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59</xdr:row>
          <xdr:rowOff>0</xdr:rowOff>
        </xdr:from>
        <xdr:to>
          <xdr:col>117</xdr:col>
          <xdr:colOff>19050</xdr:colOff>
          <xdr:row>60</xdr:row>
          <xdr:rowOff>9525</xdr:rowOff>
        </xdr:to>
        <xdr:sp macro="" textlink="">
          <xdr:nvSpPr>
            <xdr:cNvPr id="19114" name="Drop Down 682" hidden="1">
              <a:extLst>
                <a:ext uri="{63B3BB69-23CF-44E3-9099-C40C66FF867C}">
                  <a14:compatExt spid="_x0000_s19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59</xdr:row>
          <xdr:rowOff>0</xdr:rowOff>
        </xdr:from>
        <xdr:to>
          <xdr:col>165</xdr:col>
          <xdr:colOff>333375</xdr:colOff>
          <xdr:row>60</xdr:row>
          <xdr:rowOff>9525</xdr:rowOff>
        </xdr:to>
        <xdr:sp macro="" textlink="">
          <xdr:nvSpPr>
            <xdr:cNvPr id="19115" name="Drop Down 683" hidden="1">
              <a:extLst>
                <a:ext uri="{63B3BB69-23CF-44E3-9099-C40C66FF867C}">
                  <a14:compatExt spid="_x0000_s19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59</xdr:row>
          <xdr:rowOff>0</xdr:rowOff>
        </xdr:from>
        <xdr:to>
          <xdr:col>266</xdr:col>
          <xdr:colOff>161925</xdr:colOff>
          <xdr:row>60</xdr:row>
          <xdr:rowOff>9525</xdr:rowOff>
        </xdr:to>
        <xdr:sp macro="" textlink="">
          <xdr:nvSpPr>
            <xdr:cNvPr id="19116" name="Drop Down 684" hidden="1">
              <a:extLst>
                <a:ext uri="{63B3BB69-23CF-44E3-9099-C40C66FF867C}">
                  <a14:compatExt spid="_x0000_s19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59</xdr:row>
          <xdr:rowOff>0</xdr:rowOff>
        </xdr:from>
        <xdr:to>
          <xdr:col>4</xdr:col>
          <xdr:colOff>190500</xdr:colOff>
          <xdr:row>60</xdr:row>
          <xdr:rowOff>9525</xdr:rowOff>
        </xdr:to>
        <xdr:sp macro="" textlink="">
          <xdr:nvSpPr>
            <xdr:cNvPr id="19117" name="Drop Down 685" hidden="1">
              <a:extLst>
                <a:ext uri="{63B3BB69-23CF-44E3-9099-C40C66FF867C}">
                  <a14:compatExt spid="_x0000_s19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59</xdr:row>
          <xdr:rowOff>0</xdr:rowOff>
        </xdr:from>
        <xdr:to>
          <xdr:col>8</xdr:col>
          <xdr:colOff>9525</xdr:colOff>
          <xdr:row>60</xdr:row>
          <xdr:rowOff>9525</xdr:rowOff>
        </xdr:to>
        <xdr:sp macro="" textlink="">
          <xdr:nvSpPr>
            <xdr:cNvPr id="19118" name="Drop Down 686" hidden="1">
              <a:extLst>
                <a:ext uri="{63B3BB69-23CF-44E3-9099-C40C66FF867C}">
                  <a14:compatExt spid="_x0000_s19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59</xdr:row>
          <xdr:rowOff>0</xdr:rowOff>
        </xdr:from>
        <xdr:to>
          <xdr:col>36</xdr:col>
          <xdr:colOff>9525</xdr:colOff>
          <xdr:row>60</xdr:row>
          <xdr:rowOff>9525</xdr:rowOff>
        </xdr:to>
        <xdr:sp macro="" textlink="">
          <xdr:nvSpPr>
            <xdr:cNvPr id="19119" name="Drop Down 687" hidden="1">
              <a:extLst>
                <a:ext uri="{63B3BB69-23CF-44E3-9099-C40C66FF867C}">
                  <a14:compatExt spid="_x0000_s19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61</xdr:row>
          <xdr:rowOff>0</xdr:rowOff>
        </xdr:from>
        <xdr:to>
          <xdr:col>12</xdr:col>
          <xdr:colOff>257175</xdr:colOff>
          <xdr:row>62</xdr:row>
          <xdr:rowOff>9525</xdr:rowOff>
        </xdr:to>
        <xdr:sp macro="" textlink="">
          <xdr:nvSpPr>
            <xdr:cNvPr id="19120" name="Drop Down 688" hidden="1">
              <a:extLst>
                <a:ext uri="{63B3BB69-23CF-44E3-9099-C40C66FF867C}">
                  <a14:compatExt spid="_x0000_s19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61</xdr:row>
          <xdr:rowOff>0</xdr:rowOff>
        </xdr:from>
        <xdr:to>
          <xdr:col>16</xdr:col>
          <xdr:colOff>190500</xdr:colOff>
          <xdr:row>62</xdr:row>
          <xdr:rowOff>9525</xdr:rowOff>
        </xdr:to>
        <xdr:sp macro="" textlink="">
          <xdr:nvSpPr>
            <xdr:cNvPr id="19121" name="Drop Down 689" hidden="1">
              <a:extLst>
                <a:ext uri="{63B3BB69-23CF-44E3-9099-C40C66FF867C}">
                  <a14:compatExt spid="_x0000_s19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61</xdr:row>
          <xdr:rowOff>0</xdr:rowOff>
        </xdr:from>
        <xdr:to>
          <xdr:col>22</xdr:col>
          <xdr:colOff>190500</xdr:colOff>
          <xdr:row>62</xdr:row>
          <xdr:rowOff>9525</xdr:rowOff>
        </xdr:to>
        <xdr:sp macro="" textlink="">
          <xdr:nvSpPr>
            <xdr:cNvPr id="19122" name="Drop Down 690" hidden="1">
              <a:extLst>
                <a:ext uri="{63B3BB69-23CF-44E3-9099-C40C66FF867C}">
                  <a14:compatExt spid="_x0000_s19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61</xdr:row>
          <xdr:rowOff>0</xdr:rowOff>
        </xdr:from>
        <xdr:to>
          <xdr:col>26</xdr:col>
          <xdr:colOff>190500</xdr:colOff>
          <xdr:row>62</xdr:row>
          <xdr:rowOff>9525</xdr:rowOff>
        </xdr:to>
        <xdr:sp macro="" textlink="">
          <xdr:nvSpPr>
            <xdr:cNvPr id="19123" name="Drop Down 691" hidden="1">
              <a:extLst>
                <a:ext uri="{63B3BB69-23CF-44E3-9099-C40C66FF867C}">
                  <a14:compatExt spid="_x0000_s19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61</xdr:row>
          <xdr:rowOff>0</xdr:rowOff>
        </xdr:from>
        <xdr:to>
          <xdr:col>17</xdr:col>
          <xdr:colOff>342900</xdr:colOff>
          <xdr:row>62</xdr:row>
          <xdr:rowOff>28575</xdr:rowOff>
        </xdr:to>
        <xdr:sp macro="" textlink="">
          <xdr:nvSpPr>
            <xdr:cNvPr id="19124" name="Check Box 692" hidden="1">
              <a:extLst>
                <a:ext uri="{63B3BB69-23CF-44E3-9099-C40C66FF867C}">
                  <a14:compatExt spid="_x0000_s19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61</xdr:row>
          <xdr:rowOff>0</xdr:rowOff>
        </xdr:from>
        <xdr:to>
          <xdr:col>30</xdr:col>
          <xdr:colOff>190500</xdr:colOff>
          <xdr:row>62</xdr:row>
          <xdr:rowOff>9525</xdr:rowOff>
        </xdr:to>
        <xdr:sp macro="" textlink="">
          <xdr:nvSpPr>
            <xdr:cNvPr id="19125" name="Drop Down 693" hidden="1">
              <a:extLst>
                <a:ext uri="{63B3BB69-23CF-44E3-9099-C40C66FF867C}">
                  <a14:compatExt spid="_x0000_s19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61</xdr:row>
          <xdr:rowOff>0</xdr:rowOff>
        </xdr:from>
        <xdr:to>
          <xdr:col>117</xdr:col>
          <xdr:colOff>19050</xdr:colOff>
          <xdr:row>62</xdr:row>
          <xdr:rowOff>9525</xdr:rowOff>
        </xdr:to>
        <xdr:sp macro="" textlink="">
          <xdr:nvSpPr>
            <xdr:cNvPr id="19126" name="Drop Down 694" hidden="1">
              <a:extLst>
                <a:ext uri="{63B3BB69-23CF-44E3-9099-C40C66FF867C}">
                  <a14:compatExt spid="_x0000_s19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61</xdr:row>
          <xdr:rowOff>0</xdr:rowOff>
        </xdr:from>
        <xdr:to>
          <xdr:col>165</xdr:col>
          <xdr:colOff>333375</xdr:colOff>
          <xdr:row>62</xdr:row>
          <xdr:rowOff>9525</xdr:rowOff>
        </xdr:to>
        <xdr:sp macro="" textlink="">
          <xdr:nvSpPr>
            <xdr:cNvPr id="19127" name="Drop Down 695" hidden="1">
              <a:extLst>
                <a:ext uri="{63B3BB69-23CF-44E3-9099-C40C66FF867C}">
                  <a14:compatExt spid="_x0000_s19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61</xdr:row>
          <xdr:rowOff>0</xdr:rowOff>
        </xdr:from>
        <xdr:to>
          <xdr:col>266</xdr:col>
          <xdr:colOff>161925</xdr:colOff>
          <xdr:row>62</xdr:row>
          <xdr:rowOff>9525</xdr:rowOff>
        </xdr:to>
        <xdr:sp macro="" textlink="">
          <xdr:nvSpPr>
            <xdr:cNvPr id="19128" name="Drop Down 696" hidden="1">
              <a:extLst>
                <a:ext uri="{63B3BB69-23CF-44E3-9099-C40C66FF867C}">
                  <a14:compatExt spid="_x0000_s19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61</xdr:row>
          <xdr:rowOff>0</xdr:rowOff>
        </xdr:from>
        <xdr:to>
          <xdr:col>4</xdr:col>
          <xdr:colOff>190500</xdr:colOff>
          <xdr:row>62</xdr:row>
          <xdr:rowOff>9525</xdr:rowOff>
        </xdr:to>
        <xdr:sp macro="" textlink="">
          <xdr:nvSpPr>
            <xdr:cNvPr id="19129" name="Drop Down 697" hidden="1">
              <a:extLst>
                <a:ext uri="{63B3BB69-23CF-44E3-9099-C40C66FF867C}">
                  <a14:compatExt spid="_x0000_s19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61</xdr:row>
          <xdr:rowOff>0</xdr:rowOff>
        </xdr:from>
        <xdr:to>
          <xdr:col>8</xdr:col>
          <xdr:colOff>9525</xdr:colOff>
          <xdr:row>62</xdr:row>
          <xdr:rowOff>9525</xdr:rowOff>
        </xdr:to>
        <xdr:sp macro="" textlink="">
          <xdr:nvSpPr>
            <xdr:cNvPr id="19130" name="Drop Down 698" hidden="1">
              <a:extLst>
                <a:ext uri="{63B3BB69-23CF-44E3-9099-C40C66FF867C}">
                  <a14:compatExt spid="_x0000_s19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61</xdr:row>
          <xdr:rowOff>0</xdr:rowOff>
        </xdr:from>
        <xdr:to>
          <xdr:col>36</xdr:col>
          <xdr:colOff>9525</xdr:colOff>
          <xdr:row>62</xdr:row>
          <xdr:rowOff>9525</xdr:rowOff>
        </xdr:to>
        <xdr:sp macro="" textlink="">
          <xdr:nvSpPr>
            <xdr:cNvPr id="19131" name="Drop Down 699" hidden="1">
              <a:extLst>
                <a:ext uri="{63B3BB69-23CF-44E3-9099-C40C66FF867C}">
                  <a14:compatExt spid="_x0000_s19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63</xdr:row>
          <xdr:rowOff>0</xdr:rowOff>
        </xdr:from>
        <xdr:to>
          <xdr:col>12</xdr:col>
          <xdr:colOff>257175</xdr:colOff>
          <xdr:row>64</xdr:row>
          <xdr:rowOff>9525</xdr:rowOff>
        </xdr:to>
        <xdr:sp macro="" textlink="">
          <xdr:nvSpPr>
            <xdr:cNvPr id="19132" name="Drop Down 700" hidden="1">
              <a:extLst>
                <a:ext uri="{63B3BB69-23CF-44E3-9099-C40C66FF867C}">
                  <a14:compatExt spid="_x0000_s19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63</xdr:row>
          <xdr:rowOff>0</xdr:rowOff>
        </xdr:from>
        <xdr:to>
          <xdr:col>16</xdr:col>
          <xdr:colOff>190500</xdr:colOff>
          <xdr:row>64</xdr:row>
          <xdr:rowOff>9525</xdr:rowOff>
        </xdr:to>
        <xdr:sp macro="" textlink="">
          <xdr:nvSpPr>
            <xdr:cNvPr id="19133" name="Drop Down 701" hidden="1">
              <a:extLst>
                <a:ext uri="{63B3BB69-23CF-44E3-9099-C40C66FF867C}">
                  <a14:compatExt spid="_x0000_s19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63</xdr:row>
          <xdr:rowOff>0</xdr:rowOff>
        </xdr:from>
        <xdr:to>
          <xdr:col>22</xdr:col>
          <xdr:colOff>190500</xdr:colOff>
          <xdr:row>64</xdr:row>
          <xdr:rowOff>9525</xdr:rowOff>
        </xdr:to>
        <xdr:sp macro="" textlink="">
          <xdr:nvSpPr>
            <xdr:cNvPr id="19134" name="Drop Down 702" hidden="1">
              <a:extLst>
                <a:ext uri="{63B3BB69-23CF-44E3-9099-C40C66FF867C}">
                  <a14:compatExt spid="_x0000_s19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63</xdr:row>
          <xdr:rowOff>0</xdr:rowOff>
        </xdr:from>
        <xdr:to>
          <xdr:col>26</xdr:col>
          <xdr:colOff>190500</xdr:colOff>
          <xdr:row>64</xdr:row>
          <xdr:rowOff>9525</xdr:rowOff>
        </xdr:to>
        <xdr:sp macro="" textlink="">
          <xdr:nvSpPr>
            <xdr:cNvPr id="19135" name="Drop Down 703" hidden="1">
              <a:extLst>
                <a:ext uri="{63B3BB69-23CF-44E3-9099-C40C66FF867C}">
                  <a14:compatExt spid="_x0000_s19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63</xdr:row>
          <xdr:rowOff>0</xdr:rowOff>
        </xdr:from>
        <xdr:to>
          <xdr:col>17</xdr:col>
          <xdr:colOff>342900</xdr:colOff>
          <xdr:row>64</xdr:row>
          <xdr:rowOff>28575</xdr:rowOff>
        </xdr:to>
        <xdr:sp macro="" textlink="">
          <xdr:nvSpPr>
            <xdr:cNvPr id="19136" name="Check Box 704" hidden="1">
              <a:extLst>
                <a:ext uri="{63B3BB69-23CF-44E3-9099-C40C66FF867C}">
                  <a14:compatExt spid="_x0000_s19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63</xdr:row>
          <xdr:rowOff>0</xdr:rowOff>
        </xdr:from>
        <xdr:to>
          <xdr:col>30</xdr:col>
          <xdr:colOff>190500</xdr:colOff>
          <xdr:row>64</xdr:row>
          <xdr:rowOff>9525</xdr:rowOff>
        </xdr:to>
        <xdr:sp macro="" textlink="">
          <xdr:nvSpPr>
            <xdr:cNvPr id="19137" name="Drop Down 705" hidden="1">
              <a:extLst>
                <a:ext uri="{63B3BB69-23CF-44E3-9099-C40C66FF867C}">
                  <a14:compatExt spid="_x0000_s19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63</xdr:row>
          <xdr:rowOff>0</xdr:rowOff>
        </xdr:from>
        <xdr:to>
          <xdr:col>117</xdr:col>
          <xdr:colOff>19050</xdr:colOff>
          <xdr:row>64</xdr:row>
          <xdr:rowOff>9525</xdr:rowOff>
        </xdr:to>
        <xdr:sp macro="" textlink="">
          <xdr:nvSpPr>
            <xdr:cNvPr id="19138" name="Drop Down 706" hidden="1">
              <a:extLst>
                <a:ext uri="{63B3BB69-23CF-44E3-9099-C40C66FF867C}">
                  <a14:compatExt spid="_x0000_s19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63</xdr:row>
          <xdr:rowOff>0</xdr:rowOff>
        </xdr:from>
        <xdr:to>
          <xdr:col>165</xdr:col>
          <xdr:colOff>333375</xdr:colOff>
          <xdr:row>64</xdr:row>
          <xdr:rowOff>9525</xdr:rowOff>
        </xdr:to>
        <xdr:sp macro="" textlink="">
          <xdr:nvSpPr>
            <xdr:cNvPr id="19139" name="Drop Down 707" hidden="1">
              <a:extLst>
                <a:ext uri="{63B3BB69-23CF-44E3-9099-C40C66FF867C}">
                  <a14:compatExt spid="_x0000_s19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63</xdr:row>
          <xdr:rowOff>0</xdr:rowOff>
        </xdr:from>
        <xdr:to>
          <xdr:col>266</xdr:col>
          <xdr:colOff>161925</xdr:colOff>
          <xdr:row>64</xdr:row>
          <xdr:rowOff>9525</xdr:rowOff>
        </xdr:to>
        <xdr:sp macro="" textlink="">
          <xdr:nvSpPr>
            <xdr:cNvPr id="19140" name="Drop Down 708" hidden="1">
              <a:extLst>
                <a:ext uri="{63B3BB69-23CF-44E3-9099-C40C66FF867C}">
                  <a14:compatExt spid="_x0000_s19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63</xdr:row>
          <xdr:rowOff>0</xdr:rowOff>
        </xdr:from>
        <xdr:to>
          <xdr:col>4</xdr:col>
          <xdr:colOff>190500</xdr:colOff>
          <xdr:row>64</xdr:row>
          <xdr:rowOff>9525</xdr:rowOff>
        </xdr:to>
        <xdr:sp macro="" textlink="">
          <xdr:nvSpPr>
            <xdr:cNvPr id="19141" name="Drop Down 709" hidden="1">
              <a:extLst>
                <a:ext uri="{63B3BB69-23CF-44E3-9099-C40C66FF867C}">
                  <a14:compatExt spid="_x0000_s19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63</xdr:row>
          <xdr:rowOff>0</xdr:rowOff>
        </xdr:from>
        <xdr:to>
          <xdr:col>8</xdr:col>
          <xdr:colOff>9525</xdr:colOff>
          <xdr:row>64</xdr:row>
          <xdr:rowOff>9525</xdr:rowOff>
        </xdr:to>
        <xdr:sp macro="" textlink="">
          <xdr:nvSpPr>
            <xdr:cNvPr id="19142" name="Drop Down 710" hidden="1">
              <a:extLst>
                <a:ext uri="{63B3BB69-23CF-44E3-9099-C40C66FF867C}">
                  <a14:compatExt spid="_x0000_s19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63</xdr:row>
          <xdr:rowOff>0</xdr:rowOff>
        </xdr:from>
        <xdr:to>
          <xdr:col>36</xdr:col>
          <xdr:colOff>9525</xdr:colOff>
          <xdr:row>64</xdr:row>
          <xdr:rowOff>9525</xdr:rowOff>
        </xdr:to>
        <xdr:sp macro="" textlink="">
          <xdr:nvSpPr>
            <xdr:cNvPr id="19143" name="Drop Down 711" hidden="1">
              <a:extLst>
                <a:ext uri="{63B3BB69-23CF-44E3-9099-C40C66FF867C}">
                  <a14:compatExt spid="_x0000_s19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65</xdr:row>
          <xdr:rowOff>0</xdr:rowOff>
        </xdr:from>
        <xdr:to>
          <xdr:col>12</xdr:col>
          <xdr:colOff>257175</xdr:colOff>
          <xdr:row>66</xdr:row>
          <xdr:rowOff>9525</xdr:rowOff>
        </xdr:to>
        <xdr:sp macro="" textlink="">
          <xdr:nvSpPr>
            <xdr:cNvPr id="19144" name="Drop Down 712" hidden="1">
              <a:extLst>
                <a:ext uri="{63B3BB69-23CF-44E3-9099-C40C66FF867C}">
                  <a14:compatExt spid="_x0000_s19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65</xdr:row>
          <xdr:rowOff>0</xdr:rowOff>
        </xdr:from>
        <xdr:to>
          <xdr:col>16</xdr:col>
          <xdr:colOff>190500</xdr:colOff>
          <xdr:row>66</xdr:row>
          <xdr:rowOff>9525</xdr:rowOff>
        </xdr:to>
        <xdr:sp macro="" textlink="">
          <xdr:nvSpPr>
            <xdr:cNvPr id="19145" name="Drop Down 713" hidden="1">
              <a:extLst>
                <a:ext uri="{63B3BB69-23CF-44E3-9099-C40C66FF867C}">
                  <a14:compatExt spid="_x0000_s19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65</xdr:row>
          <xdr:rowOff>0</xdr:rowOff>
        </xdr:from>
        <xdr:to>
          <xdr:col>22</xdr:col>
          <xdr:colOff>190500</xdr:colOff>
          <xdr:row>66</xdr:row>
          <xdr:rowOff>9525</xdr:rowOff>
        </xdr:to>
        <xdr:sp macro="" textlink="">
          <xdr:nvSpPr>
            <xdr:cNvPr id="19146" name="Drop Down 714" hidden="1">
              <a:extLst>
                <a:ext uri="{63B3BB69-23CF-44E3-9099-C40C66FF867C}">
                  <a14:compatExt spid="_x0000_s19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65</xdr:row>
          <xdr:rowOff>0</xdr:rowOff>
        </xdr:from>
        <xdr:to>
          <xdr:col>26</xdr:col>
          <xdr:colOff>190500</xdr:colOff>
          <xdr:row>66</xdr:row>
          <xdr:rowOff>9525</xdr:rowOff>
        </xdr:to>
        <xdr:sp macro="" textlink="">
          <xdr:nvSpPr>
            <xdr:cNvPr id="19147" name="Drop Down 715" hidden="1">
              <a:extLst>
                <a:ext uri="{63B3BB69-23CF-44E3-9099-C40C66FF867C}">
                  <a14:compatExt spid="_x0000_s19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65</xdr:row>
          <xdr:rowOff>0</xdr:rowOff>
        </xdr:from>
        <xdr:to>
          <xdr:col>17</xdr:col>
          <xdr:colOff>342900</xdr:colOff>
          <xdr:row>66</xdr:row>
          <xdr:rowOff>28575</xdr:rowOff>
        </xdr:to>
        <xdr:sp macro="" textlink="">
          <xdr:nvSpPr>
            <xdr:cNvPr id="19148" name="Check Box 716" hidden="1">
              <a:extLst>
                <a:ext uri="{63B3BB69-23CF-44E3-9099-C40C66FF867C}">
                  <a14:compatExt spid="_x0000_s19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65</xdr:row>
          <xdr:rowOff>0</xdr:rowOff>
        </xdr:from>
        <xdr:to>
          <xdr:col>30</xdr:col>
          <xdr:colOff>190500</xdr:colOff>
          <xdr:row>66</xdr:row>
          <xdr:rowOff>9525</xdr:rowOff>
        </xdr:to>
        <xdr:sp macro="" textlink="">
          <xdr:nvSpPr>
            <xdr:cNvPr id="19149" name="Drop Down 717" hidden="1">
              <a:extLst>
                <a:ext uri="{63B3BB69-23CF-44E3-9099-C40C66FF867C}">
                  <a14:compatExt spid="_x0000_s19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65</xdr:row>
          <xdr:rowOff>0</xdr:rowOff>
        </xdr:from>
        <xdr:to>
          <xdr:col>117</xdr:col>
          <xdr:colOff>19050</xdr:colOff>
          <xdr:row>66</xdr:row>
          <xdr:rowOff>9525</xdr:rowOff>
        </xdr:to>
        <xdr:sp macro="" textlink="">
          <xdr:nvSpPr>
            <xdr:cNvPr id="19150" name="Drop Down 718" hidden="1">
              <a:extLst>
                <a:ext uri="{63B3BB69-23CF-44E3-9099-C40C66FF867C}">
                  <a14:compatExt spid="_x0000_s19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65</xdr:row>
          <xdr:rowOff>0</xdr:rowOff>
        </xdr:from>
        <xdr:to>
          <xdr:col>165</xdr:col>
          <xdr:colOff>333375</xdr:colOff>
          <xdr:row>66</xdr:row>
          <xdr:rowOff>9525</xdr:rowOff>
        </xdr:to>
        <xdr:sp macro="" textlink="">
          <xdr:nvSpPr>
            <xdr:cNvPr id="19151" name="Drop Down 719" hidden="1">
              <a:extLst>
                <a:ext uri="{63B3BB69-23CF-44E3-9099-C40C66FF867C}">
                  <a14:compatExt spid="_x0000_s19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65</xdr:row>
          <xdr:rowOff>0</xdr:rowOff>
        </xdr:from>
        <xdr:to>
          <xdr:col>266</xdr:col>
          <xdr:colOff>161925</xdr:colOff>
          <xdr:row>66</xdr:row>
          <xdr:rowOff>9525</xdr:rowOff>
        </xdr:to>
        <xdr:sp macro="" textlink="">
          <xdr:nvSpPr>
            <xdr:cNvPr id="19152" name="Drop Down 720" hidden="1">
              <a:extLst>
                <a:ext uri="{63B3BB69-23CF-44E3-9099-C40C66FF867C}">
                  <a14:compatExt spid="_x0000_s19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65</xdr:row>
          <xdr:rowOff>0</xdr:rowOff>
        </xdr:from>
        <xdr:to>
          <xdr:col>4</xdr:col>
          <xdr:colOff>190500</xdr:colOff>
          <xdr:row>66</xdr:row>
          <xdr:rowOff>9525</xdr:rowOff>
        </xdr:to>
        <xdr:sp macro="" textlink="">
          <xdr:nvSpPr>
            <xdr:cNvPr id="19153" name="Drop Down 721" hidden="1">
              <a:extLst>
                <a:ext uri="{63B3BB69-23CF-44E3-9099-C40C66FF867C}">
                  <a14:compatExt spid="_x0000_s19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65</xdr:row>
          <xdr:rowOff>0</xdr:rowOff>
        </xdr:from>
        <xdr:to>
          <xdr:col>8</xdr:col>
          <xdr:colOff>9525</xdr:colOff>
          <xdr:row>66</xdr:row>
          <xdr:rowOff>9525</xdr:rowOff>
        </xdr:to>
        <xdr:sp macro="" textlink="">
          <xdr:nvSpPr>
            <xdr:cNvPr id="19154" name="Drop Down 722" hidden="1">
              <a:extLst>
                <a:ext uri="{63B3BB69-23CF-44E3-9099-C40C66FF867C}">
                  <a14:compatExt spid="_x0000_s19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65</xdr:row>
          <xdr:rowOff>0</xdr:rowOff>
        </xdr:from>
        <xdr:to>
          <xdr:col>36</xdr:col>
          <xdr:colOff>9525</xdr:colOff>
          <xdr:row>66</xdr:row>
          <xdr:rowOff>9525</xdr:rowOff>
        </xdr:to>
        <xdr:sp macro="" textlink="">
          <xdr:nvSpPr>
            <xdr:cNvPr id="19155" name="Drop Down 723" hidden="1">
              <a:extLst>
                <a:ext uri="{63B3BB69-23CF-44E3-9099-C40C66FF867C}">
                  <a14:compatExt spid="_x0000_s19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67</xdr:row>
          <xdr:rowOff>0</xdr:rowOff>
        </xdr:from>
        <xdr:to>
          <xdr:col>12</xdr:col>
          <xdr:colOff>257175</xdr:colOff>
          <xdr:row>68</xdr:row>
          <xdr:rowOff>9525</xdr:rowOff>
        </xdr:to>
        <xdr:sp macro="" textlink="">
          <xdr:nvSpPr>
            <xdr:cNvPr id="19156" name="Drop Down 724" hidden="1">
              <a:extLst>
                <a:ext uri="{63B3BB69-23CF-44E3-9099-C40C66FF867C}">
                  <a14:compatExt spid="_x0000_s19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67</xdr:row>
          <xdr:rowOff>0</xdr:rowOff>
        </xdr:from>
        <xdr:to>
          <xdr:col>16</xdr:col>
          <xdr:colOff>190500</xdr:colOff>
          <xdr:row>68</xdr:row>
          <xdr:rowOff>9525</xdr:rowOff>
        </xdr:to>
        <xdr:sp macro="" textlink="">
          <xdr:nvSpPr>
            <xdr:cNvPr id="19157" name="Drop Down 725" hidden="1">
              <a:extLst>
                <a:ext uri="{63B3BB69-23CF-44E3-9099-C40C66FF867C}">
                  <a14:compatExt spid="_x0000_s19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67</xdr:row>
          <xdr:rowOff>0</xdr:rowOff>
        </xdr:from>
        <xdr:to>
          <xdr:col>22</xdr:col>
          <xdr:colOff>190500</xdr:colOff>
          <xdr:row>68</xdr:row>
          <xdr:rowOff>9525</xdr:rowOff>
        </xdr:to>
        <xdr:sp macro="" textlink="">
          <xdr:nvSpPr>
            <xdr:cNvPr id="19158" name="Drop Down 726" hidden="1">
              <a:extLst>
                <a:ext uri="{63B3BB69-23CF-44E3-9099-C40C66FF867C}">
                  <a14:compatExt spid="_x0000_s19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67</xdr:row>
          <xdr:rowOff>0</xdr:rowOff>
        </xdr:from>
        <xdr:to>
          <xdr:col>26</xdr:col>
          <xdr:colOff>190500</xdr:colOff>
          <xdr:row>68</xdr:row>
          <xdr:rowOff>9525</xdr:rowOff>
        </xdr:to>
        <xdr:sp macro="" textlink="">
          <xdr:nvSpPr>
            <xdr:cNvPr id="19159" name="Drop Down 727" hidden="1">
              <a:extLst>
                <a:ext uri="{63B3BB69-23CF-44E3-9099-C40C66FF867C}">
                  <a14:compatExt spid="_x0000_s19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67</xdr:row>
          <xdr:rowOff>0</xdr:rowOff>
        </xdr:from>
        <xdr:to>
          <xdr:col>17</xdr:col>
          <xdr:colOff>342900</xdr:colOff>
          <xdr:row>68</xdr:row>
          <xdr:rowOff>28575</xdr:rowOff>
        </xdr:to>
        <xdr:sp macro="" textlink="">
          <xdr:nvSpPr>
            <xdr:cNvPr id="19160" name="Check Box 728" hidden="1">
              <a:extLst>
                <a:ext uri="{63B3BB69-23CF-44E3-9099-C40C66FF867C}">
                  <a14:compatExt spid="_x0000_s19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67</xdr:row>
          <xdr:rowOff>0</xdr:rowOff>
        </xdr:from>
        <xdr:to>
          <xdr:col>30</xdr:col>
          <xdr:colOff>190500</xdr:colOff>
          <xdr:row>68</xdr:row>
          <xdr:rowOff>9525</xdr:rowOff>
        </xdr:to>
        <xdr:sp macro="" textlink="">
          <xdr:nvSpPr>
            <xdr:cNvPr id="19161" name="Drop Down 729" hidden="1">
              <a:extLst>
                <a:ext uri="{63B3BB69-23CF-44E3-9099-C40C66FF867C}">
                  <a14:compatExt spid="_x0000_s19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67</xdr:row>
          <xdr:rowOff>0</xdr:rowOff>
        </xdr:from>
        <xdr:to>
          <xdr:col>117</xdr:col>
          <xdr:colOff>19050</xdr:colOff>
          <xdr:row>68</xdr:row>
          <xdr:rowOff>9525</xdr:rowOff>
        </xdr:to>
        <xdr:sp macro="" textlink="">
          <xdr:nvSpPr>
            <xdr:cNvPr id="19162" name="Drop Down 730" hidden="1">
              <a:extLst>
                <a:ext uri="{63B3BB69-23CF-44E3-9099-C40C66FF867C}">
                  <a14:compatExt spid="_x0000_s19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67</xdr:row>
          <xdr:rowOff>0</xdr:rowOff>
        </xdr:from>
        <xdr:to>
          <xdr:col>165</xdr:col>
          <xdr:colOff>333375</xdr:colOff>
          <xdr:row>68</xdr:row>
          <xdr:rowOff>9525</xdr:rowOff>
        </xdr:to>
        <xdr:sp macro="" textlink="">
          <xdr:nvSpPr>
            <xdr:cNvPr id="19163" name="Drop Down 731" hidden="1">
              <a:extLst>
                <a:ext uri="{63B3BB69-23CF-44E3-9099-C40C66FF867C}">
                  <a14:compatExt spid="_x0000_s19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67</xdr:row>
          <xdr:rowOff>0</xdr:rowOff>
        </xdr:from>
        <xdr:to>
          <xdr:col>266</xdr:col>
          <xdr:colOff>161925</xdr:colOff>
          <xdr:row>68</xdr:row>
          <xdr:rowOff>9525</xdr:rowOff>
        </xdr:to>
        <xdr:sp macro="" textlink="">
          <xdr:nvSpPr>
            <xdr:cNvPr id="19164" name="Drop Down 732" hidden="1">
              <a:extLst>
                <a:ext uri="{63B3BB69-23CF-44E3-9099-C40C66FF867C}">
                  <a14:compatExt spid="_x0000_s19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67</xdr:row>
          <xdr:rowOff>0</xdr:rowOff>
        </xdr:from>
        <xdr:to>
          <xdr:col>4</xdr:col>
          <xdr:colOff>190500</xdr:colOff>
          <xdr:row>68</xdr:row>
          <xdr:rowOff>9525</xdr:rowOff>
        </xdr:to>
        <xdr:sp macro="" textlink="">
          <xdr:nvSpPr>
            <xdr:cNvPr id="19165" name="Drop Down 733" hidden="1">
              <a:extLst>
                <a:ext uri="{63B3BB69-23CF-44E3-9099-C40C66FF867C}">
                  <a14:compatExt spid="_x0000_s19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67</xdr:row>
          <xdr:rowOff>0</xdr:rowOff>
        </xdr:from>
        <xdr:to>
          <xdr:col>8</xdr:col>
          <xdr:colOff>9525</xdr:colOff>
          <xdr:row>68</xdr:row>
          <xdr:rowOff>9525</xdr:rowOff>
        </xdr:to>
        <xdr:sp macro="" textlink="">
          <xdr:nvSpPr>
            <xdr:cNvPr id="19166" name="Drop Down 734" hidden="1">
              <a:extLst>
                <a:ext uri="{63B3BB69-23CF-44E3-9099-C40C66FF867C}">
                  <a14:compatExt spid="_x0000_s19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67</xdr:row>
          <xdr:rowOff>0</xdr:rowOff>
        </xdr:from>
        <xdr:to>
          <xdr:col>36</xdr:col>
          <xdr:colOff>9525</xdr:colOff>
          <xdr:row>68</xdr:row>
          <xdr:rowOff>9525</xdr:rowOff>
        </xdr:to>
        <xdr:sp macro="" textlink="">
          <xdr:nvSpPr>
            <xdr:cNvPr id="19167" name="Drop Down 735" hidden="1">
              <a:extLst>
                <a:ext uri="{63B3BB69-23CF-44E3-9099-C40C66FF867C}">
                  <a14:compatExt spid="_x0000_s19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69</xdr:row>
          <xdr:rowOff>0</xdr:rowOff>
        </xdr:from>
        <xdr:to>
          <xdr:col>12</xdr:col>
          <xdr:colOff>257175</xdr:colOff>
          <xdr:row>70</xdr:row>
          <xdr:rowOff>9525</xdr:rowOff>
        </xdr:to>
        <xdr:sp macro="" textlink="">
          <xdr:nvSpPr>
            <xdr:cNvPr id="19168" name="Drop Down 736" hidden="1">
              <a:extLst>
                <a:ext uri="{63B3BB69-23CF-44E3-9099-C40C66FF867C}">
                  <a14:compatExt spid="_x0000_s19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69</xdr:row>
          <xdr:rowOff>0</xdr:rowOff>
        </xdr:from>
        <xdr:to>
          <xdr:col>16</xdr:col>
          <xdr:colOff>190500</xdr:colOff>
          <xdr:row>70</xdr:row>
          <xdr:rowOff>9525</xdr:rowOff>
        </xdr:to>
        <xdr:sp macro="" textlink="">
          <xdr:nvSpPr>
            <xdr:cNvPr id="19169" name="Drop Down 737" hidden="1">
              <a:extLst>
                <a:ext uri="{63B3BB69-23CF-44E3-9099-C40C66FF867C}">
                  <a14:compatExt spid="_x0000_s19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69</xdr:row>
          <xdr:rowOff>0</xdr:rowOff>
        </xdr:from>
        <xdr:to>
          <xdr:col>22</xdr:col>
          <xdr:colOff>190500</xdr:colOff>
          <xdr:row>70</xdr:row>
          <xdr:rowOff>9525</xdr:rowOff>
        </xdr:to>
        <xdr:sp macro="" textlink="">
          <xdr:nvSpPr>
            <xdr:cNvPr id="19170" name="Drop Down 738" hidden="1">
              <a:extLst>
                <a:ext uri="{63B3BB69-23CF-44E3-9099-C40C66FF867C}">
                  <a14:compatExt spid="_x0000_s19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69</xdr:row>
          <xdr:rowOff>0</xdr:rowOff>
        </xdr:from>
        <xdr:to>
          <xdr:col>26</xdr:col>
          <xdr:colOff>190500</xdr:colOff>
          <xdr:row>70</xdr:row>
          <xdr:rowOff>9525</xdr:rowOff>
        </xdr:to>
        <xdr:sp macro="" textlink="">
          <xdr:nvSpPr>
            <xdr:cNvPr id="19171" name="Drop Down 739" hidden="1">
              <a:extLst>
                <a:ext uri="{63B3BB69-23CF-44E3-9099-C40C66FF867C}">
                  <a14:compatExt spid="_x0000_s19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69</xdr:row>
          <xdr:rowOff>0</xdr:rowOff>
        </xdr:from>
        <xdr:to>
          <xdr:col>17</xdr:col>
          <xdr:colOff>342900</xdr:colOff>
          <xdr:row>70</xdr:row>
          <xdr:rowOff>28575</xdr:rowOff>
        </xdr:to>
        <xdr:sp macro="" textlink="">
          <xdr:nvSpPr>
            <xdr:cNvPr id="19172" name="Check Box 740" hidden="1">
              <a:extLst>
                <a:ext uri="{63B3BB69-23CF-44E3-9099-C40C66FF867C}">
                  <a14:compatExt spid="_x0000_s19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69</xdr:row>
          <xdr:rowOff>0</xdr:rowOff>
        </xdr:from>
        <xdr:to>
          <xdr:col>30</xdr:col>
          <xdr:colOff>190500</xdr:colOff>
          <xdr:row>70</xdr:row>
          <xdr:rowOff>9525</xdr:rowOff>
        </xdr:to>
        <xdr:sp macro="" textlink="">
          <xdr:nvSpPr>
            <xdr:cNvPr id="19173" name="Drop Down 741" hidden="1">
              <a:extLst>
                <a:ext uri="{63B3BB69-23CF-44E3-9099-C40C66FF867C}">
                  <a14:compatExt spid="_x0000_s19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69</xdr:row>
          <xdr:rowOff>0</xdr:rowOff>
        </xdr:from>
        <xdr:to>
          <xdr:col>117</xdr:col>
          <xdr:colOff>19050</xdr:colOff>
          <xdr:row>70</xdr:row>
          <xdr:rowOff>9525</xdr:rowOff>
        </xdr:to>
        <xdr:sp macro="" textlink="">
          <xdr:nvSpPr>
            <xdr:cNvPr id="19174" name="Drop Down 742" hidden="1">
              <a:extLst>
                <a:ext uri="{63B3BB69-23CF-44E3-9099-C40C66FF867C}">
                  <a14:compatExt spid="_x0000_s19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69</xdr:row>
          <xdr:rowOff>0</xdr:rowOff>
        </xdr:from>
        <xdr:to>
          <xdr:col>165</xdr:col>
          <xdr:colOff>333375</xdr:colOff>
          <xdr:row>70</xdr:row>
          <xdr:rowOff>9525</xdr:rowOff>
        </xdr:to>
        <xdr:sp macro="" textlink="">
          <xdr:nvSpPr>
            <xdr:cNvPr id="19175" name="Drop Down 743" hidden="1">
              <a:extLst>
                <a:ext uri="{63B3BB69-23CF-44E3-9099-C40C66FF867C}">
                  <a14:compatExt spid="_x0000_s19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69</xdr:row>
          <xdr:rowOff>0</xdr:rowOff>
        </xdr:from>
        <xdr:to>
          <xdr:col>266</xdr:col>
          <xdr:colOff>161925</xdr:colOff>
          <xdr:row>70</xdr:row>
          <xdr:rowOff>9525</xdr:rowOff>
        </xdr:to>
        <xdr:sp macro="" textlink="">
          <xdr:nvSpPr>
            <xdr:cNvPr id="19176" name="Drop Down 744" hidden="1">
              <a:extLst>
                <a:ext uri="{63B3BB69-23CF-44E3-9099-C40C66FF867C}">
                  <a14:compatExt spid="_x0000_s19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69</xdr:row>
          <xdr:rowOff>0</xdr:rowOff>
        </xdr:from>
        <xdr:to>
          <xdr:col>4</xdr:col>
          <xdr:colOff>190500</xdr:colOff>
          <xdr:row>70</xdr:row>
          <xdr:rowOff>9525</xdr:rowOff>
        </xdr:to>
        <xdr:sp macro="" textlink="">
          <xdr:nvSpPr>
            <xdr:cNvPr id="19177" name="Drop Down 745" hidden="1">
              <a:extLst>
                <a:ext uri="{63B3BB69-23CF-44E3-9099-C40C66FF867C}">
                  <a14:compatExt spid="_x0000_s19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69</xdr:row>
          <xdr:rowOff>0</xdr:rowOff>
        </xdr:from>
        <xdr:to>
          <xdr:col>8</xdr:col>
          <xdr:colOff>9525</xdr:colOff>
          <xdr:row>70</xdr:row>
          <xdr:rowOff>9525</xdr:rowOff>
        </xdr:to>
        <xdr:sp macro="" textlink="">
          <xdr:nvSpPr>
            <xdr:cNvPr id="19178" name="Drop Down 746" hidden="1">
              <a:extLst>
                <a:ext uri="{63B3BB69-23CF-44E3-9099-C40C66FF867C}">
                  <a14:compatExt spid="_x0000_s19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69</xdr:row>
          <xdr:rowOff>0</xdr:rowOff>
        </xdr:from>
        <xdr:to>
          <xdr:col>36</xdr:col>
          <xdr:colOff>9525</xdr:colOff>
          <xdr:row>70</xdr:row>
          <xdr:rowOff>9525</xdr:rowOff>
        </xdr:to>
        <xdr:sp macro="" textlink="">
          <xdr:nvSpPr>
            <xdr:cNvPr id="19179" name="Drop Down 747" hidden="1">
              <a:extLst>
                <a:ext uri="{63B3BB69-23CF-44E3-9099-C40C66FF867C}">
                  <a14:compatExt spid="_x0000_s19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71</xdr:row>
          <xdr:rowOff>0</xdr:rowOff>
        </xdr:from>
        <xdr:to>
          <xdr:col>12</xdr:col>
          <xdr:colOff>257175</xdr:colOff>
          <xdr:row>72</xdr:row>
          <xdr:rowOff>9525</xdr:rowOff>
        </xdr:to>
        <xdr:sp macro="" textlink="">
          <xdr:nvSpPr>
            <xdr:cNvPr id="19180" name="Drop Down 748" hidden="1">
              <a:extLst>
                <a:ext uri="{63B3BB69-23CF-44E3-9099-C40C66FF867C}">
                  <a14:compatExt spid="_x0000_s19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71</xdr:row>
          <xdr:rowOff>0</xdr:rowOff>
        </xdr:from>
        <xdr:to>
          <xdr:col>16</xdr:col>
          <xdr:colOff>190500</xdr:colOff>
          <xdr:row>72</xdr:row>
          <xdr:rowOff>9525</xdr:rowOff>
        </xdr:to>
        <xdr:sp macro="" textlink="">
          <xdr:nvSpPr>
            <xdr:cNvPr id="19181" name="Drop Down 749" hidden="1">
              <a:extLst>
                <a:ext uri="{63B3BB69-23CF-44E3-9099-C40C66FF867C}">
                  <a14:compatExt spid="_x0000_s19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71</xdr:row>
          <xdr:rowOff>0</xdr:rowOff>
        </xdr:from>
        <xdr:to>
          <xdr:col>22</xdr:col>
          <xdr:colOff>190500</xdr:colOff>
          <xdr:row>72</xdr:row>
          <xdr:rowOff>9525</xdr:rowOff>
        </xdr:to>
        <xdr:sp macro="" textlink="">
          <xdr:nvSpPr>
            <xdr:cNvPr id="19182" name="Drop Down 750" hidden="1">
              <a:extLst>
                <a:ext uri="{63B3BB69-23CF-44E3-9099-C40C66FF867C}">
                  <a14:compatExt spid="_x0000_s19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71</xdr:row>
          <xdr:rowOff>0</xdr:rowOff>
        </xdr:from>
        <xdr:to>
          <xdr:col>26</xdr:col>
          <xdr:colOff>190500</xdr:colOff>
          <xdr:row>72</xdr:row>
          <xdr:rowOff>9525</xdr:rowOff>
        </xdr:to>
        <xdr:sp macro="" textlink="">
          <xdr:nvSpPr>
            <xdr:cNvPr id="19183" name="Drop Down 751" hidden="1">
              <a:extLst>
                <a:ext uri="{63B3BB69-23CF-44E3-9099-C40C66FF867C}">
                  <a14:compatExt spid="_x0000_s19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71</xdr:row>
          <xdr:rowOff>0</xdr:rowOff>
        </xdr:from>
        <xdr:to>
          <xdr:col>17</xdr:col>
          <xdr:colOff>342900</xdr:colOff>
          <xdr:row>72</xdr:row>
          <xdr:rowOff>28575</xdr:rowOff>
        </xdr:to>
        <xdr:sp macro="" textlink="">
          <xdr:nvSpPr>
            <xdr:cNvPr id="19184" name="Check Box 752" hidden="1">
              <a:extLst>
                <a:ext uri="{63B3BB69-23CF-44E3-9099-C40C66FF867C}">
                  <a14:compatExt spid="_x0000_s19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71</xdr:row>
          <xdr:rowOff>0</xdr:rowOff>
        </xdr:from>
        <xdr:to>
          <xdr:col>30</xdr:col>
          <xdr:colOff>190500</xdr:colOff>
          <xdr:row>72</xdr:row>
          <xdr:rowOff>9525</xdr:rowOff>
        </xdr:to>
        <xdr:sp macro="" textlink="">
          <xdr:nvSpPr>
            <xdr:cNvPr id="19185" name="Drop Down 753" hidden="1">
              <a:extLst>
                <a:ext uri="{63B3BB69-23CF-44E3-9099-C40C66FF867C}">
                  <a14:compatExt spid="_x0000_s19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71</xdr:row>
          <xdr:rowOff>0</xdr:rowOff>
        </xdr:from>
        <xdr:to>
          <xdr:col>117</xdr:col>
          <xdr:colOff>19050</xdr:colOff>
          <xdr:row>72</xdr:row>
          <xdr:rowOff>9525</xdr:rowOff>
        </xdr:to>
        <xdr:sp macro="" textlink="">
          <xdr:nvSpPr>
            <xdr:cNvPr id="19186" name="Drop Down 754" hidden="1">
              <a:extLst>
                <a:ext uri="{63B3BB69-23CF-44E3-9099-C40C66FF867C}">
                  <a14:compatExt spid="_x0000_s19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71</xdr:row>
          <xdr:rowOff>0</xdr:rowOff>
        </xdr:from>
        <xdr:to>
          <xdr:col>165</xdr:col>
          <xdr:colOff>333375</xdr:colOff>
          <xdr:row>72</xdr:row>
          <xdr:rowOff>9525</xdr:rowOff>
        </xdr:to>
        <xdr:sp macro="" textlink="">
          <xdr:nvSpPr>
            <xdr:cNvPr id="19187" name="Drop Down 755" hidden="1">
              <a:extLst>
                <a:ext uri="{63B3BB69-23CF-44E3-9099-C40C66FF867C}">
                  <a14:compatExt spid="_x0000_s19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71</xdr:row>
          <xdr:rowOff>0</xdr:rowOff>
        </xdr:from>
        <xdr:to>
          <xdr:col>266</xdr:col>
          <xdr:colOff>161925</xdr:colOff>
          <xdr:row>72</xdr:row>
          <xdr:rowOff>9525</xdr:rowOff>
        </xdr:to>
        <xdr:sp macro="" textlink="">
          <xdr:nvSpPr>
            <xdr:cNvPr id="19188" name="Drop Down 756" hidden="1">
              <a:extLst>
                <a:ext uri="{63B3BB69-23CF-44E3-9099-C40C66FF867C}">
                  <a14:compatExt spid="_x0000_s19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71</xdr:row>
          <xdr:rowOff>0</xdr:rowOff>
        </xdr:from>
        <xdr:to>
          <xdr:col>4</xdr:col>
          <xdr:colOff>190500</xdr:colOff>
          <xdr:row>72</xdr:row>
          <xdr:rowOff>9525</xdr:rowOff>
        </xdr:to>
        <xdr:sp macro="" textlink="">
          <xdr:nvSpPr>
            <xdr:cNvPr id="19189" name="Drop Down 757" hidden="1">
              <a:extLst>
                <a:ext uri="{63B3BB69-23CF-44E3-9099-C40C66FF867C}">
                  <a14:compatExt spid="_x0000_s19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71</xdr:row>
          <xdr:rowOff>0</xdr:rowOff>
        </xdr:from>
        <xdr:to>
          <xdr:col>8</xdr:col>
          <xdr:colOff>9525</xdr:colOff>
          <xdr:row>72</xdr:row>
          <xdr:rowOff>9525</xdr:rowOff>
        </xdr:to>
        <xdr:sp macro="" textlink="">
          <xdr:nvSpPr>
            <xdr:cNvPr id="19190" name="Drop Down 758" hidden="1">
              <a:extLst>
                <a:ext uri="{63B3BB69-23CF-44E3-9099-C40C66FF867C}">
                  <a14:compatExt spid="_x0000_s19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71</xdr:row>
          <xdr:rowOff>0</xdr:rowOff>
        </xdr:from>
        <xdr:to>
          <xdr:col>36</xdr:col>
          <xdr:colOff>9525</xdr:colOff>
          <xdr:row>72</xdr:row>
          <xdr:rowOff>9525</xdr:rowOff>
        </xdr:to>
        <xdr:sp macro="" textlink="">
          <xdr:nvSpPr>
            <xdr:cNvPr id="19191" name="Drop Down 759" hidden="1">
              <a:extLst>
                <a:ext uri="{63B3BB69-23CF-44E3-9099-C40C66FF867C}">
                  <a14:compatExt spid="_x0000_s19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73</xdr:row>
          <xdr:rowOff>0</xdr:rowOff>
        </xdr:from>
        <xdr:to>
          <xdr:col>12</xdr:col>
          <xdr:colOff>257175</xdr:colOff>
          <xdr:row>74</xdr:row>
          <xdr:rowOff>9525</xdr:rowOff>
        </xdr:to>
        <xdr:sp macro="" textlink="">
          <xdr:nvSpPr>
            <xdr:cNvPr id="19192" name="Drop Down 760" hidden="1">
              <a:extLst>
                <a:ext uri="{63B3BB69-23CF-44E3-9099-C40C66FF867C}">
                  <a14:compatExt spid="_x0000_s19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73</xdr:row>
          <xdr:rowOff>0</xdr:rowOff>
        </xdr:from>
        <xdr:to>
          <xdr:col>16</xdr:col>
          <xdr:colOff>190500</xdr:colOff>
          <xdr:row>74</xdr:row>
          <xdr:rowOff>9525</xdr:rowOff>
        </xdr:to>
        <xdr:sp macro="" textlink="">
          <xdr:nvSpPr>
            <xdr:cNvPr id="19193" name="Drop Down 761" hidden="1">
              <a:extLst>
                <a:ext uri="{63B3BB69-23CF-44E3-9099-C40C66FF867C}">
                  <a14:compatExt spid="_x0000_s19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73</xdr:row>
          <xdr:rowOff>0</xdr:rowOff>
        </xdr:from>
        <xdr:to>
          <xdr:col>22</xdr:col>
          <xdr:colOff>190500</xdr:colOff>
          <xdr:row>74</xdr:row>
          <xdr:rowOff>9525</xdr:rowOff>
        </xdr:to>
        <xdr:sp macro="" textlink="">
          <xdr:nvSpPr>
            <xdr:cNvPr id="19194" name="Drop Down 762" hidden="1">
              <a:extLst>
                <a:ext uri="{63B3BB69-23CF-44E3-9099-C40C66FF867C}">
                  <a14:compatExt spid="_x0000_s19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73</xdr:row>
          <xdr:rowOff>0</xdr:rowOff>
        </xdr:from>
        <xdr:to>
          <xdr:col>26</xdr:col>
          <xdr:colOff>190500</xdr:colOff>
          <xdr:row>74</xdr:row>
          <xdr:rowOff>9525</xdr:rowOff>
        </xdr:to>
        <xdr:sp macro="" textlink="">
          <xdr:nvSpPr>
            <xdr:cNvPr id="19195" name="Drop Down 763" hidden="1">
              <a:extLst>
                <a:ext uri="{63B3BB69-23CF-44E3-9099-C40C66FF867C}">
                  <a14:compatExt spid="_x0000_s19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73</xdr:row>
          <xdr:rowOff>0</xdr:rowOff>
        </xdr:from>
        <xdr:to>
          <xdr:col>17</xdr:col>
          <xdr:colOff>342900</xdr:colOff>
          <xdr:row>74</xdr:row>
          <xdr:rowOff>28575</xdr:rowOff>
        </xdr:to>
        <xdr:sp macro="" textlink="">
          <xdr:nvSpPr>
            <xdr:cNvPr id="19196" name="Check Box 764" hidden="1">
              <a:extLst>
                <a:ext uri="{63B3BB69-23CF-44E3-9099-C40C66FF867C}">
                  <a14:compatExt spid="_x0000_s19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73</xdr:row>
          <xdr:rowOff>0</xdr:rowOff>
        </xdr:from>
        <xdr:to>
          <xdr:col>30</xdr:col>
          <xdr:colOff>190500</xdr:colOff>
          <xdr:row>74</xdr:row>
          <xdr:rowOff>9525</xdr:rowOff>
        </xdr:to>
        <xdr:sp macro="" textlink="">
          <xdr:nvSpPr>
            <xdr:cNvPr id="19197" name="Drop Down 765" hidden="1">
              <a:extLst>
                <a:ext uri="{63B3BB69-23CF-44E3-9099-C40C66FF867C}">
                  <a14:compatExt spid="_x0000_s19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73</xdr:row>
          <xdr:rowOff>0</xdr:rowOff>
        </xdr:from>
        <xdr:to>
          <xdr:col>117</xdr:col>
          <xdr:colOff>19050</xdr:colOff>
          <xdr:row>74</xdr:row>
          <xdr:rowOff>9525</xdr:rowOff>
        </xdr:to>
        <xdr:sp macro="" textlink="">
          <xdr:nvSpPr>
            <xdr:cNvPr id="19198" name="Drop Down 766" hidden="1">
              <a:extLst>
                <a:ext uri="{63B3BB69-23CF-44E3-9099-C40C66FF867C}">
                  <a14:compatExt spid="_x0000_s19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73</xdr:row>
          <xdr:rowOff>0</xdr:rowOff>
        </xdr:from>
        <xdr:to>
          <xdr:col>165</xdr:col>
          <xdr:colOff>333375</xdr:colOff>
          <xdr:row>74</xdr:row>
          <xdr:rowOff>9525</xdr:rowOff>
        </xdr:to>
        <xdr:sp macro="" textlink="">
          <xdr:nvSpPr>
            <xdr:cNvPr id="19199" name="Drop Down 767" hidden="1">
              <a:extLst>
                <a:ext uri="{63B3BB69-23CF-44E3-9099-C40C66FF867C}">
                  <a14:compatExt spid="_x0000_s19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73</xdr:row>
          <xdr:rowOff>0</xdr:rowOff>
        </xdr:from>
        <xdr:to>
          <xdr:col>266</xdr:col>
          <xdr:colOff>161925</xdr:colOff>
          <xdr:row>74</xdr:row>
          <xdr:rowOff>9525</xdr:rowOff>
        </xdr:to>
        <xdr:sp macro="" textlink="">
          <xdr:nvSpPr>
            <xdr:cNvPr id="19200" name="Drop Down 768" hidden="1">
              <a:extLst>
                <a:ext uri="{63B3BB69-23CF-44E3-9099-C40C66FF867C}">
                  <a14:compatExt spid="_x0000_s19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73</xdr:row>
          <xdr:rowOff>0</xdr:rowOff>
        </xdr:from>
        <xdr:to>
          <xdr:col>4</xdr:col>
          <xdr:colOff>190500</xdr:colOff>
          <xdr:row>74</xdr:row>
          <xdr:rowOff>9525</xdr:rowOff>
        </xdr:to>
        <xdr:sp macro="" textlink="">
          <xdr:nvSpPr>
            <xdr:cNvPr id="19201" name="Drop Down 769" hidden="1">
              <a:extLst>
                <a:ext uri="{63B3BB69-23CF-44E3-9099-C40C66FF867C}">
                  <a14:compatExt spid="_x0000_s19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8</xdr:col>
          <xdr:colOff>9525</xdr:colOff>
          <xdr:row>74</xdr:row>
          <xdr:rowOff>9525</xdr:rowOff>
        </xdr:to>
        <xdr:sp macro="" textlink="">
          <xdr:nvSpPr>
            <xdr:cNvPr id="19202" name="Drop Down 770" hidden="1">
              <a:extLst>
                <a:ext uri="{63B3BB69-23CF-44E3-9099-C40C66FF867C}">
                  <a14:compatExt spid="_x0000_s19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73</xdr:row>
          <xdr:rowOff>0</xdr:rowOff>
        </xdr:from>
        <xdr:to>
          <xdr:col>36</xdr:col>
          <xdr:colOff>9525</xdr:colOff>
          <xdr:row>74</xdr:row>
          <xdr:rowOff>9525</xdr:rowOff>
        </xdr:to>
        <xdr:sp macro="" textlink="">
          <xdr:nvSpPr>
            <xdr:cNvPr id="19203" name="Drop Down 771" hidden="1">
              <a:extLst>
                <a:ext uri="{63B3BB69-23CF-44E3-9099-C40C66FF867C}">
                  <a14:compatExt spid="_x0000_s19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75</xdr:row>
          <xdr:rowOff>0</xdr:rowOff>
        </xdr:from>
        <xdr:to>
          <xdr:col>12</xdr:col>
          <xdr:colOff>257175</xdr:colOff>
          <xdr:row>76</xdr:row>
          <xdr:rowOff>9525</xdr:rowOff>
        </xdr:to>
        <xdr:sp macro="" textlink="">
          <xdr:nvSpPr>
            <xdr:cNvPr id="19204" name="Drop Down 772" hidden="1">
              <a:extLst>
                <a:ext uri="{63B3BB69-23CF-44E3-9099-C40C66FF867C}">
                  <a14:compatExt spid="_x0000_s19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75</xdr:row>
          <xdr:rowOff>0</xdr:rowOff>
        </xdr:from>
        <xdr:to>
          <xdr:col>16</xdr:col>
          <xdr:colOff>190500</xdr:colOff>
          <xdr:row>76</xdr:row>
          <xdr:rowOff>9525</xdr:rowOff>
        </xdr:to>
        <xdr:sp macro="" textlink="">
          <xdr:nvSpPr>
            <xdr:cNvPr id="19205" name="Drop Down 773" hidden="1">
              <a:extLst>
                <a:ext uri="{63B3BB69-23CF-44E3-9099-C40C66FF867C}">
                  <a14:compatExt spid="_x0000_s19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75</xdr:row>
          <xdr:rowOff>0</xdr:rowOff>
        </xdr:from>
        <xdr:to>
          <xdr:col>22</xdr:col>
          <xdr:colOff>190500</xdr:colOff>
          <xdr:row>76</xdr:row>
          <xdr:rowOff>9525</xdr:rowOff>
        </xdr:to>
        <xdr:sp macro="" textlink="">
          <xdr:nvSpPr>
            <xdr:cNvPr id="19206" name="Drop Down 774" hidden="1">
              <a:extLst>
                <a:ext uri="{63B3BB69-23CF-44E3-9099-C40C66FF867C}">
                  <a14:compatExt spid="_x0000_s19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75</xdr:row>
          <xdr:rowOff>0</xdr:rowOff>
        </xdr:from>
        <xdr:to>
          <xdr:col>26</xdr:col>
          <xdr:colOff>190500</xdr:colOff>
          <xdr:row>76</xdr:row>
          <xdr:rowOff>9525</xdr:rowOff>
        </xdr:to>
        <xdr:sp macro="" textlink="">
          <xdr:nvSpPr>
            <xdr:cNvPr id="19207" name="Drop Down 775" hidden="1">
              <a:extLst>
                <a:ext uri="{63B3BB69-23CF-44E3-9099-C40C66FF867C}">
                  <a14:compatExt spid="_x0000_s19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75</xdr:row>
          <xdr:rowOff>0</xdr:rowOff>
        </xdr:from>
        <xdr:to>
          <xdr:col>17</xdr:col>
          <xdr:colOff>342900</xdr:colOff>
          <xdr:row>76</xdr:row>
          <xdr:rowOff>28575</xdr:rowOff>
        </xdr:to>
        <xdr:sp macro="" textlink="">
          <xdr:nvSpPr>
            <xdr:cNvPr id="19208" name="Check Box 776" hidden="1">
              <a:extLst>
                <a:ext uri="{63B3BB69-23CF-44E3-9099-C40C66FF867C}">
                  <a14:compatExt spid="_x0000_s19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75</xdr:row>
          <xdr:rowOff>0</xdr:rowOff>
        </xdr:from>
        <xdr:to>
          <xdr:col>30</xdr:col>
          <xdr:colOff>190500</xdr:colOff>
          <xdr:row>76</xdr:row>
          <xdr:rowOff>9525</xdr:rowOff>
        </xdr:to>
        <xdr:sp macro="" textlink="">
          <xdr:nvSpPr>
            <xdr:cNvPr id="19209" name="Drop Down 777" hidden="1">
              <a:extLst>
                <a:ext uri="{63B3BB69-23CF-44E3-9099-C40C66FF867C}">
                  <a14:compatExt spid="_x0000_s19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75</xdr:row>
          <xdr:rowOff>0</xdr:rowOff>
        </xdr:from>
        <xdr:to>
          <xdr:col>117</xdr:col>
          <xdr:colOff>19050</xdr:colOff>
          <xdr:row>76</xdr:row>
          <xdr:rowOff>9525</xdr:rowOff>
        </xdr:to>
        <xdr:sp macro="" textlink="">
          <xdr:nvSpPr>
            <xdr:cNvPr id="19210" name="Drop Down 778" hidden="1">
              <a:extLst>
                <a:ext uri="{63B3BB69-23CF-44E3-9099-C40C66FF867C}">
                  <a14:compatExt spid="_x0000_s19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75</xdr:row>
          <xdr:rowOff>0</xdr:rowOff>
        </xdr:from>
        <xdr:to>
          <xdr:col>165</xdr:col>
          <xdr:colOff>333375</xdr:colOff>
          <xdr:row>76</xdr:row>
          <xdr:rowOff>9525</xdr:rowOff>
        </xdr:to>
        <xdr:sp macro="" textlink="">
          <xdr:nvSpPr>
            <xdr:cNvPr id="19211" name="Drop Down 779" hidden="1">
              <a:extLst>
                <a:ext uri="{63B3BB69-23CF-44E3-9099-C40C66FF867C}">
                  <a14:compatExt spid="_x0000_s19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75</xdr:row>
          <xdr:rowOff>0</xdr:rowOff>
        </xdr:from>
        <xdr:to>
          <xdr:col>266</xdr:col>
          <xdr:colOff>161925</xdr:colOff>
          <xdr:row>76</xdr:row>
          <xdr:rowOff>9525</xdr:rowOff>
        </xdr:to>
        <xdr:sp macro="" textlink="">
          <xdr:nvSpPr>
            <xdr:cNvPr id="19212" name="Drop Down 780" hidden="1">
              <a:extLst>
                <a:ext uri="{63B3BB69-23CF-44E3-9099-C40C66FF867C}">
                  <a14:compatExt spid="_x0000_s19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75</xdr:row>
          <xdr:rowOff>0</xdr:rowOff>
        </xdr:from>
        <xdr:to>
          <xdr:col>4</xdr:col>
          <xdr:colOff>190500</xdr:colOff>
          <xdr:row>76</xdr:row>
          <xdr:rowOff>9525</xdr:rowOff>
        </xdr:to>
        <xdr:sp macro="" textlink="">
          <xdr:nvSpPr>
            <xdr:cNvPr id="19213" name="Drop Down 781" hidden="1">
              <a:extLst>
                <a:ext uri="{63B3BB69-23CF-44E3-9099-C40C66FF867C}">
                  <a14:compatExt spid="_x0000_s19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75</xdr:row>
          <xdr:rowOff>0</xdr:rowOff>
        </xdr:from>
        <xdr:to>
          <xdr:col>8</xdr:col>
          <xdr:colOff>9525</xdr:colOff>
          <xdr:row>76</xdr:row>
          <xdr:rowOff>9525</xdr:rowOff>
        </xdr:to>
        <xdr:sp macro="" textlink="">
          <xdr:nvSpPr>
            <xdr:cNvPr id="19214" name="Drop Down 782" hidden="1">
              <a:extLst>
                <a:ext uri="{63B3BB69-23CF-44E3-9099-C40C66FF867C}">
                  <a14:compatExt spid="_x0000_s19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75</xdr:row>
          <xdr:rowOff>0</xdr:rowOff>
        </xdr:from>
        <xdr:to>
          <xdr:col>36</xdr:col>
          <xdr:colOff>9525</xdr:colOff>
          <xdr:row>76</xdr:row>
          <xdr:rowOff>9525</xdr:rowOff>
        </xdr:to>
        <xdr:sp macro="" textlink="">
          <xdr:nvSpPr>
            <xdr:cNvPr id="19215" name="Drop Down 783" hidden="1">
              <a:extLst>
                <a:ext uri="{63B3BB69-23CF-44E3-9099-C40C66FF867C}">
                  <a14:compatExt spid="_x0000_s19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77</xdr:row>
          <xdr:rowOff>0</xdr:rowOff>
        </xdr:from>
        <xdr:to>
          <xdr:col>12</xdr:col>
          <xdr:colOff>257175</xdr:colOff>
          <xdr:row>78</xdr:row>
          <xdr:rowOff>9525</xdr:rowOff>
        </xdr:to>
        <xdr:sp macro="" textlink="">
          <xdr:nvSpPr>
            <xdr:cNvPr id="19216" name="Drop Down 784" hidden="1">
              <a:extLst>
                <a:ext uri="{63B3BB69-23CF-44E3-9099-C40C66FF867C}">
                  <a14:compatExt spid="_x0000_s19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77</xdr:row>
          <xdr:rowOff>0</xdr:rowOff>
        </xdr:from>
        <xdr:to>
          <xdr:col>16</xdr:col>
          <xdr:colOff>190500</xdr:colOff>
          <xdr:row>78</xdr:row>
          <xdr:rowOff>9525</xdr:rowOff>
        </xdr:to>
        <xdr:sp macro="" textlink="">
          <xdr:nvSpPr>
            <xdr:cNvPr id="19217" name="Drop Down 785" hidden="1">
              <a:extLst>
                <a:ext uri="{63B3BB69-23CF-44E3-9099-C40C66FF867C}">
                  <a14:compatExt spid="_x0000_s19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77</xdr:row>
          <xdr:rowOff>0</xdr:rowOff>
        </xdr:from>
        <xdr:to>
          <xdr:col>22</xdr:col>
          <xdr:colOff>190500</xdr:colOff>
          <xdr:row>78</xdr:row>
          <xdr:rowOff>9525</xdr:rowOff>
        </xdr:to>
        <xdr:sp macro="" textlink="">
          <xdr:nvSpPr>
            <xdr:cNvPr id="19218" name="Drop Down 786" hidden="1">
              <a:extLst>
                <a:ext uri="{63B3BB69-23CF-44E3-9099-C40C66FF867C}">
                  <a14:compatExt spid="_x0000_s19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77</xdr:row>
          <xdr:rowOff>0</xdr:rowOff>
        </xdr:from>
        <xdr:to>
          <xdr:col>26</xdr:col>
          <xdr:colOff>190500</xdr:colOff>
          <xdr:row>78</xdr:row>
          <xdr:rowOff>9525</xdr:rowOff>
        </xdr:to>
        <xdr:sp macro="" textlink="">
          <xdr:nvSpPr>
            <xdr:cNvPr id="19219" name="Drop Down 787" hidden="1">
              <a:extLst>
                <a:ext uri="{63B3BB69-23CF-44E3-9099-C40C66FF867C}">
                  <a14:compatExt spid="_x0000_s19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77</xdr:row>
          <xdr:rowOff>0</xdr:rowOff>
        </xdr:from>
        <xdr:to>
          <xdr:col>17</xdr:col>
          <xdr:colOff>342900</xdr:colOff>
          <xdr:row>78</xdr:row>
          <xdr:rowOff>28575</xdr:rowOff>
        </xdr:to>
        <xdr:sp macro="" textlink="">
          <xdr:nvSpPr>
            <xdr:cNvPr id="19220" name="Check Box 788" hidden="1">
              <a:extLst>
                <a:ext uri="{63B3BB69-23CF-44E3-9099-C40C66FF867C}">
                  <a14:compatExt spid="_x0000_s19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77</xdr:row>
          <xdr:rowOff>0</xdr:rowOff>
        </xdr:from>
        <xdr:to>
          <xdr:col>30</xdr:col>
          <xdr:colOff>190500</xdr:colOff>
          <xdr:row>78</xdr:row>
          <xdr:rowOff>9525</xdr:rowOff>
        </xdr:to>
        <xdr:sp macro="" textlink="">
          <xdr:nvSpPr>
            <xdr:cNvPr id="19221" name="Drop Down 789" hidden="1">
              <a:extLst>
                <a:ext uri="{63B3BB69-23CF-44E3-9099-C40C66FF867C}">
                  <a14:compatExt spid="_x0000_s19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77</xdr:row>
          <xdr:rowOff>0</xdr:rowOff>
        </xdr:from>
        <xdr:to>
          <xdr:col>117</xdr:col>
          <xdr:colOff>19050</xdr:colOff>
          <xdr:row>78</xdr:row>
          <xdr:rowOff>9525</xdr:rowOff>
        </xdr:to>
        <xdr:sp macro="" textlink="">
          <xdr:nvSpPr>
            <xdr:cNvPr id="19222" name="Drop Down 790" hidden="1">
              <a:extLst>
                <a:ext uri="{63B3BB69-23CF-44E3-9099-C40C66FF867C}">
                  <a14:compatExt spid="_x0000_s19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77</xdr:row>
          <xdr:rowOff>0</xdr:rowOff>
        </xdr:from>
        <xdr:to>
          <xdr:col>165</xdr:col>
          <xdr:colOff>333375</xdr:colOff>
          <xdr:row>78</xdr:row>
          <xdr:rowOff>9525</xdr:rowOff>
        </xdr:to>
        <xdr:sp macro="" textlink="">
          <xdr:nvSpPr>
            <xdr:cNvPr id="19223" name="Drop Down 791" hidden="1">
              <a:extLst>
                <a:ext uri="{63B3BB69-23CF-44E3-9099-C40C66FF867C}">
                  <a14:compatExt spid="_x0000_s19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77</xdr:row>
          <xdr:rowOff>0</xdr:rowOff>
        </xdr:from>
        <xdr:to>
          <xdr:col>266</xdr:col>
          <xdr:colOff>161925</xdr:colOff>
          <xdr:row>78</xdr:row>
          <xdr:rowOff>9525</xdr:rowOff>
        </xdr:to>
        <xdr:sp macro="" textlink="">
          <xdr:nvSpPr>
            <xdr:cNvPr id="19224" name="Drop Down 792" hidden="1">
              <a:extLst>
                <a:ext uri="{63B3BB69-23CF-44E3-9099-C40C66FF867C}">
                  <a14:compatExt spid="_x0000_s19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77</xdr:row>
          <xdr:rowOff>0</xdr:rowOff>
        </xdr:from>
        <xdr:to>
          <xdr:col>4</xdr:col>
          <xdr:colOff>190500</xdr:colOff>
          <xdr:row>78</xdr:row>
          <xdr:rowOff>9525</xdr:rowOff>
        </xdr:to>
        <xdr:sp macro="" textlink="">
          <xdr:nvSpPr>
            <xdr:cNvPr id="19225" name="Drop Down 793" hidden="1">
              <a:extLst>
                <a:ext uri="{63B3BB69-23CF-44E3-9099-C40C66FF867C}">
                  <a14:compatExt spid="_x0000_s19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77</xdr:row>
          <xdr:rowOff>0</xdr:rowOff>
        </xdr:from>
        <xdr:to>
          <xdr:col>8</xdr:col>
          <xdr:colOff>9525</xdr:colOff>
          <xdr:row>78</xdr:row>
          <xdr:rowOff>9525</xdr:rowOff>
        </xdr:to>
        <xdr:sp macro="" textlink="">
          <xdr:nvSpPr>
            <xdr:cNvPr id="19226" name="Drop Down 794" hidden="1">
              <a:extLst>
                <a:ext uri="{63B3BB69-23CF-44E3-9099-C40C66FF867C}">
                  <a14:compatExt spid="_x0000_s19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77</xdr:row>
          <xdr:rowOff>0</xdr:rowOff>
        </xdr:from>
        <xdr:to>
          <xdr:col>36</xdr:col>
          <xdr:colOff>9525</xdr:colOff>
          <xdr:row>78</xdr:row>
          <xdr:rowOff>9525</xdr:rowOff>
        </xdr:to>
        <xdr:sp macro="" textlink="">
          <xdr:nvSpPr>
            <xdr:cNvPr id="19227" name="Drop Down 795" hidden="1">
              <a:extLst>
                <a:ext uri="{63B3BB69-23CF-44E3-9099-C40C66FF867C}">
                  <a14:compatExt spid="_x0000_s19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79</xdr:row>
          <xdr:rowOff>0</xdr:rowOff>
        </xdr:from>
        <xdr:to>
          <xdr:col>12</xdr:col>
          <xdr:colOff>257175</xdr:colOff>
          <xdr:row>80</xdr:row>
          <xdr:rowOff>9525</xdr:rowOff>
        </xdr:to>
        <xdr:sp macro="" textlink="">
          <xdr:nvSpPr>
            <xdr:cNvPr id="19228" name="Drop Down 796" hidden="1">
              <a:extLst>
                <a:ext uri="{63B3BB69-23CF-44E3-9099-C40C66FF867C}">
                  <a14:compatExt spid="_x0000_s19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79</xdr:row>
          <xdr:rowOff>0</xdr:rowOff>
        </xdr:from>
        <xdr:to>
          <xdr:col>16</xdr:col>
          <xdr:colOff>190500</xdr:colOff>
          <xdr:row>80</xdr:row>
          <xdr:rowOff>9525</xdr:rowOff>
        </xdr:to>
        <xdr:sp macro="" textlink="">
          <xdr:nvSpPr>
            <xdr:cNvPr id="19229" name="Drop Down 797" hidden="1">
              <a:extLst>
                <a:ext uri="{63B3BB69-23CF-44E3-9099-C40C66FF867C}">
                  <a14:compatExt spid="_x0000_s19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79</xdr:row>
          <xdr:rowOff>0</xdr:rowOff>
        </xdr:from>
        <xdr:to>
          <xdr:col>22</xdr:col>
          <xdr:colOff>190500</xdr:colOff>
          <xdr:row>80</xdr:row>
          <xdr:rowOff>9525</xdr:rowOff>
        </xdr:to>
        <xdr:sp macro="" textlink="">
          <xdr:nvSpPr>
            <xdr:cNvPr id="19230" name="Drop Down 798" hidden="1">
              <a:extLst>
                <a:ext uri="{63B3BB69-23CF-44E3-9099-C40C66FF867C}">
                  <a14:compatExt spid="_x0000_s19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79</xdr:row>
          <xdr:rowOff>0</xdr:rowOff>
        </xdr:from>
        <xdr:to>
          <xdr:col>26</xdr:col>
          <xdr:colOff>190500</xdr:colOff>
          <xdr:row>80</xdr:row>
          <xdr:rowOff>9525</xdr:rowOff>
        </xdr:to>
        <xdr:sp macro="" textlink="">
          <xdr:nvSpPr>
            <xdr:cNvPr id="19231" name="Drop Down 799" hidden="1">
              <a:extLst>
                <a:ext uri="{63B3BB69-23CF-44E3-9099-C40C66FF867C}">
                  <a14:compatExt spid="_x0000_s19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79</xdr:row>
          <xdr:rowOff>0</xdr:rowOff>
        </xdr:from>
        <xdr:to>
          <xdr:col>17</xdr:col>
          <xdr:colOff>342900</xdr:colOff>
          <xdr:row>80</xdr:row>
          <xdr:rowOff>28575</xdr:rowOff>
        </xdr:to>
        <xdr:sp macro="" textlink="">
          <xdr:nvSpPr>
            <xdr:cNvPr id="19232" name="Check Box 800" hidden="1">
              <a:extLst>
                <a:ext uri="{63B3BB69-23CF-44E3-9099-C40C66FF867C}">
                  <a14:compatExt spid="_x0000_s19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79</xdr:row>
          <xdr:rowOff>0</xdr:rowOff>
        </xdr:from>
        <xdr:to>
          <xdr:col>30</xdr:col>
          <xdr:colOff>190500</xdr:colOff>
          <xdr:row>80</xdr:row>
          <xdr:rowOff>9525</xdr:rowOff>
        </xdr:to>
        <xdr:sp macro="" textlink="">
          <xdr:nvSpPr>
            <xdr:cNvPr id="19233" name="Drop Down 801" hidden="1">
              <a:extLst>
                <a:ext uri="{63B3BB69-23CF-44E3-9099-C40C66FF867C}">
                  <a14:compatExt spid="_x0000_s19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79</xdr:row>
          <xdr:rowOff>0</xdr:rowOff>
        </xdr:from>
        <xdr:to>
          <xdr:col>117</xdr:col>
          <xdr:colOff>19050</xdr:colOff>
          <xdr:row>80</xdr:row>
          <xdr:rowOff>9525</xdr:rowOff>
        </xdr:to>
        <xdr:sp macro="" textlink="">
          <xdr:nvSpPr>
            <xdr:cNvPr id="19234" name="Drop Down 802" hidden="1">
              <a:extLst>
                <a:ext uri="{63B3BB69-23CF-44E3-9099-C40C66FF867C}">
                  <a14:compatExt spid="_x0000_s19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79</xdr:row>
          <xdr:rowOff>0</xdr:rowOff>
        </xdr:from>
        <xdr:to>
          <xdr:col>165</xdr:col>
          <xdr:colOff>333375</xdr:colOff>
          <xdr:row>80</xdr:row>
          <xdr:rowOff>9525</xdr:rowOff>
        </xdr:to>
        <xdr:sp macro="" textlink="">
          <xdr:nvSpPr>
            <xdr:cNvPr id="19235" name="Drop Down 803" hidden="1">
              <a:extLst>
                <a:ext uri="{63B3BB69-23CF-44E3-9099-C40C66FF867C}">
                  <a14:compatExt spid="_x0000_s19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79</xdr:row>
          <xdr:rowOff>0</xdr:rowOff>
        </xdr:from>
        <xdr:to>
          <xdr:col>266</xdr:col>
          <xdr:colOff>161925</xdr:colOff>
          <xdr:row>80</xdr:row>
          <xdr:rowOff>9525</xdr:rowOff>
        </xdr:to>
        <xdr:sp macro="" textlink="">
          <xdr:nvSpPr>
            <xdr:cNvPr id="19236" name="Drop Down 804" hidden="1">
              <a:extLst>
                <a:ext uri="{63B3BB69-23CF-44E3-9099-C40C66FF867C}">
                  <a14:compatExt spid="_x0000_s19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79</xdr:row>
          <xdr:rowOff>0</xdr:rowOff>
        </xdr:from>
        <xdr:to>
          <xdr:col>4</xdr:col>
          <xdr:colOff>190500</xdr:colOff>
          <xdr:row>80</xdr:row>
          <xdr:rowOff>9525</xdr:rowOff>
        </xdr:to>
        <xdr:sp macro="" textlink="">
          <xdr:nvSpPr>
            <xdr:cNvPr id="19237" name="Drop Down 805" hidden="1">
              <a:extLst>
                <a:ext uri="{63B3BB69-23CF-44E3-9099-C40C66FF867C}">
                  <a14:compatExt spid="_x0000_s19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79</xdr:row>
          <xdr:rowOff>0</xdr:rowOff>
        </xdr:from>
        <xdr:to>
          <xdr:col>8</xdr:col>
          <xdr:colOff>9525</xdr:colOff>
          <xdr:row>80</xdr:row>
          <xdr:rowOff>9525</xdr:rowOff>
        </xdr:to>
        <xdr:sp macro="" textlink="">
          <xdr:nvSpPr>
            <xdr:cNvPr id="19238" name="Drop Down 806" hidden="1">
              <a:extLst>
                <a:ext uri="{63B3BB69-23CF-44E3-9099-C40C66FF867C}">
                  <a14:compatExt spid="_x0000_s19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79</xdr:row>
          <xdr:rowOff>0</xdr:rowOff>
        </xdr:from>
        <xdr:to>
          <xdr:col>36</xdr:col>
          <xdr:colOff>9525</xdr:colOff>
          <xdr:row>80</xdr:row>
          <xdr:rowOff>9525</xdr:rowOff>
        </xdr:to>
        <xdr:sp macro="" textlink="">
          <xdr:nvSpPr>
            <xdr:cNvPr id="19239" name="Drop Down 807" hidden="1">
              <a:extLst>
                <a:ext uri="{63B3BB69-23CF-44E3-9099-C40C66FF867C}">
                  <a14:compatExt spid="_x0000_s19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81</xdr:row>
          <xdr:rowOff>0</xdr:rowOff>
        </xdr:from>
        <xdr:to>
          <xdr:col>12</xdr:col>
          <xdr:colOff>257175</xdr:colOff>
          <xdr:row>82</xdr:row>
          <xdr:rowOff>9525</xdr:rowOff>
        </xdr:to>
        <xdr:sp macro="" textlink="">
          <xdr:nvSpPr>
            <xdr:cNvPr id="19240" name="Drop Down 808" hidden="1">
              <a:extLst>
                <a:ext uri="{63B3BB69-23CF-44E3-9099-C40C66FF867C}">
                  <a14:compatExt spid="_x0000_s19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81</xdr:row>
          <xdr:rowOff>0</xdr:rowOff>
        </xdr:from>
        <xdr:to>
          <xdr:col>16</xdr:col>
          <xdr:colOff>190500</xdr:colOff>
          <xdr:row>82</xdr:row>
          <xdr:rowOff>9525</xdr:rowOff>
        </xdr:to>
        <xdr:sp macro="" textlink="">
          <xdr:nvSpPr>
            <xdr:cNvPr id="19241" name="Drop Down 809" hidden="1">
              <a:extLst>
                <a:ext uri="{63B3BB69-23CF-44E3-9099-C40C66FF867C}">
                  <a14:compatExt spid="_x0000_s19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81</xdr:row>
          <xdr:rowOff>0</xdr:rowOff>
        </xdr:from>
        <xdr:to>
          <xdr:col>22</xdr:col>
          <xdr:colOff>190500</xdr:colOff>
          <xdr:row>82</xdr:row>
          <xdr:rowOff>9525</xdr:rowOff>
        </xdr:to>
        <xdr:sp macro="" textlink="">
          <xdr:nvSpPr>
            <xdr:cNvPr id="19242" name="Drop Down 810" hidden="1">
              <a:extLst>
                <a:ext uri="{63B3BB69-23CF-44E3-9099-C40C66FF867C}">
                  <a14:compatExt spid="_x0000_s19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81</xdr:row>
          <xdr:rowOff>0</xdr:rowOff>
        </xdr:from>
        <xdr:to>
          <xdr:col>26</xdr:col>
          <xdr:colOff>190500</xdr:colOff>
          <xdr:row>82</xdr:row>
          <xdr:rowOff>9525</xdr:rowOff>
        </xdr:to>
        <xdr:sp macro="" textlink="">
          <xdr:nvSpPr>
            <xdr:cNvPr id="19243" name="Drop Down 811" hidden="1">
              <a:extLst>
                <a:ext uri="{63B3BB69-23CF-44E3-9099-C40C66FF867C}">
                  <a14:compatExt spid="_x0000_s19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81</xdr:row>
          <xdr:rowOff>0</xdr:rowOff>
        </xdr:from>
        <xdr:to>
          <xdr:col>17</xdr:col>
          <xdr:colOff>342900</xdr:colOff>
          <xdr:row>82</xdr:row>
          <xdr:rowOff>28575</xdr:rowOff>
        </xdr:to>
        <xdr:sp macro="" textlink="">
          <xdr:nvSpPr>
            <xdr:cNvPr id="19244" name="Check Box 812" hidden="1">
              <a:extLst>
                <a:ext uri="{63B3BB69-23CF-44E3-9099-C40C66FF867C}">
                  <a14:compatExt spid="_x0000_s19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81</xdr:row>
          <xdr:rowOff>0</xdr:rowOff>
        </xdr:from>
        <xdr:to>
          <xdr:col>30</xdr:col>
          <xdr:colOff>190500</xdr:colOff>
          <xdr:row>82</xdr:row>
          <xdr:rowOff>9525</xdr:rowOff>
        </xdr:to>
        <xdr:sp macro="" textlink="">
          <xdr:nvSpPr>
            <xdr:cNvPr id="19245" name="Drop Down 813" hidden="1">
              <a:extLst>
                <a:ext uri="{63B3BB69-23CF-44E3-9099-C40C66FF867C}">
                  <a14:compatExt spid="_x0000_s19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81</xdr:row>
          <xdr:rowOff>0</xdr:rowOff>
        </xdr:from>
        <xdr:to>
          <xdr:col>117</xdr:col>
          <xdr:colOff>19050</xdr:colOff>
          <xdr:row>82</xdr:row>
          <xdr:rowOff>9525</xdr:rowOff>
        </xdr:to>
        <xdr:sp macro="" textlink="">
          <xdr:nvSpPr>
            <xdr:cNvPr id="19246" name="Drop Down 814" hidden="1">
              <a:extLst>
                <a:ext uri="{63B3BB69-23CF-44E3-9099-C40C66FF867C}">
                  <a14:compatExt spid="_x0000_s19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81</xdr:row>
          <xdr:rowOff>0</xdr:rowOff>
        </xdr:from>
        <xdr:to>
          <xdr:col>165</xdr:col>
          <xdr:colOff>333375</xdr:colOff>
          <xdr:row>82</xdr:row>
          <xdr:rowOff>9525</xdr:rowOff>
        </xdr:to>
        <xdr:sp macro="" textlink="">
          <xdr:nvSpPr>
            <xdr:cNvPr id="19247" name="Drop Down 815" hidden="1">
              <a:extLst>
                <a:ext uri="{63B3BB69-23CF-44E3-9099-C40C66FF867C}">
                  <a14:compatExt spid="_x0000_s19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81</xdr:row>
          <xdr:rowOff>0</xdr:rowOff>
        </xdr:from>
        <xdr:to>
          <xdr:col>266</xdr:col>
          <xdr:colOff>161925</xdr:colOff>
          <xdr:row>82</xdr:row>
          <xdr:rowOff>9525</xdr:rowOff>
        </xdr:to>
        <xdr:sp macro="" textlink="">
          <xdr:nvSpPr>
            <xdr:cNvPr id="19248" name="Drop Down 816" hidden="1">
              <a:extLst>
                <a:ext uri="{63B3BB69-23CF-44E3-9099-C40C66FF867C}">
                  <a14:compatExt spid="_x0000_s19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81</xdr:row>
          <xdr:rowOff>0</xdr:rowOff>
        </xdr:from>
        <xdr:to>
          <xdr:col>4</xdr:col>
          <xdr:colOff>190500</xdr:colOff>
          <xdr:row>82</xdr:row>
          <xdr:rowOff>9525</xdr:rowOff>
        </xdr:to>
        <xdr:sp macro="" textlink="">
          <xdr:nvSpPr>
            <xdr:cNvPr id="19249" name="Drop Down 817" hidden="1">
              <a:extLst>
                <a:ext uri="{63B3BB69-23CF-44E3-9099-C40C66FF867C}">
                  <a14:compatExt spid="_x0000_s19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81</xdr:row>
          <xdr:rowOff>0</xdr:rowOff>
        </xdr:from>
        <xdr:to>
          <xdr:col>8</xdr:col>
          <xdr:colOff>9525</xdr:colOff>
          <xdr:row>82</xdr:row>
          <xdr:rowOff>9525</xdr:rowOff>
        </xdr:to>
        <xdr:sp macro="" textlink="">
          <xdr:nvSpPr>
            <xdr:cNvPr id="19250" name="Drop Down 818" hidden="1">
              <a:extLst>
                <a:ext uri="{63B3BB69-23CF-44E3-9099-C40C66FF867C}">
                  <a14:compatExt spid="_x0000_s19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81</xdr:row>
          <xdr:rowOff>0</xdr:rowOff>
        </xdr:from>
        <xdr:to>
          <xdr:col>36</xdr:col>
          <xdr:colOff>9525</xdr:colOff>
          <xdr:row>82</xdr:row>
          <xdr:rowOff>9525</xdr:rowOff>
        </xdr:to>
        <xdr:sp macro="" textlink="">
          <xdr:nvSpPr>
            <xdr:cNvPr id="19251" name="Drop Down 819" hidden="1">
              <a:extLst>
                <a:ext uri="{63B3BB69-23CF-44E3-9099-C40C66FF867C}">
                  <a14:compatExt spid="_x0000_s19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83</xdr:row>
          <xdr:rowOff>0</xdr:rowOff>
        </xdr:from>
        <xdr:to>
          <xdr:col>12</xdr:col>
          <xdr:colOff>257175</xdr:colOff>
          <xdr:row>84</xdr:row>
          <xdr:rowOff>9525</xdr:rowOff>
        </xdr:to>
        <xdr:sp macro="" textlink="">
          <xdr:nvSpPr>
            <xdr:cNvPr id="19252" name="Drop Down 820" hidden="1">
              <a:extLst>
                <a:ext uri="{63B3BB69-23CF-44E3-9099-C40C66FF867C}">
                  <a14:compatExt spid="_x0000_s19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83</xdr:row>
          <xdr:rowOff>0</xdr:rowOff>
        </xdr:from>
        <xdr:to>
          <xdr:col>16</xdr:col>
          <xdr:colOff>190500</xdr:colOff>
          <xdr:row>84</xdr:row>
          <xdr:rowOff>9525</xdr:rowOff>
        </xdr:to>
        <xdr:sp macro="" textlink="">
          <xdr:nvSpPr>
            <xdr:cNvPr id="19253" name="Drop Down 821" hidden="1">
              <a:extLst>
                <a:ext uri="{63B3BB69-23CF-44E3-9099-C40C66FF867C}">
                  <a14:compatExt spid="_x0000_s19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83</xdr:row>
          <xdr:rowOff>0</xdr:rowOff>
        </xdr:from>
        <xdr:to>
          <xdr:col>22</xdr:col>
          <xdr:colOff>190500</xdr:colOff>
          <xdr:row>84</xdr:row>
          <xdr:rowOff>9525</xdr:rowOff>
        </xdr:to>
        <xdr:sp macro="" textlink="">
          <xdr:nvSpPr>
            <xdr:cNvPr id="19254" name="Drop Down 822" hidden="1">
              <a:extLst>
                <a:ext uri="{63B3BB69-23CF-44E3-9099-C40C66FF867C}">
                  <a14:compatExt spid="_x0000_s19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83</xdr:row>
          <xdr:rowOff>0</xdr:rowOff>
        </xdr:from>
        <xdr:to>
          <xdr:col>26</xdr:col>
          <xdr:colOff>190500</xdr:colOff>
          <xdr:row>84</xdr:row>
          <xdr:rowOff>9525</xdr:rowOff>
        </xdr:to>
        <xdr:sp macro="" textlink="">
          <xdr:nvSpPr>
            <xdr:cNvPr id="19255" name="Drop Down 823" hidden="1">
              <a:extLst>
                <a:ext uri="{63B3BB69-23CF-44E3-9099-C40C66FF867C}">
                  <a14:compatExt spid="_x0000_s19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83</xdr:row>
          <xdr:rowOff>0</xdr:rowOff>
        </xdr:from>
        <xdr:to>
          <xdr:col>17</xdr:col>
          <xdr:colOff>342900</xdr:colOff>
          <xdr:row>84</xdr:row>
          <xdr:rowOff>28575</xdr:rowOff>
        </xdr:to>
        <xdr:sp macro="" textlink="">
          <xdr:nvSpPr>
            <xdr:cNvPr id="19256" name="Check Box 824" hidden="1">
              <a:extLst>
                <a:ext uri="{63B3BB69-23CF-44E3-9099-C40C66FF867C}">
                  <a14:compatExt spid="_x0000_s19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83</xdr:row>
          <xdr:rowOff>0</xdr:rowOff>
        </xdr:from>
        <xdr:to>
          <xdr:col>30</xdr:col>
          <xdr:colOff>190500</xdr:colOff>
          <xdr:row>84</xdr:row>
          <xdr:rowOff>9525</xdr:rowOff>
        </xdr:to>
        <xdr:sp macro="" textlink="">
          <xdr:nvSpPr>
            <xdr:cNvPr id="19257" name="Drop Down 825" hidden="1">
              <a:extLst>
                <a:ext uri="{63B3BB69-23CF-44E3-9099-C40C66FF867C}">
                  <a14:compatExt spid="_x0000_s19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83</xdr:row>
          <xdr:rowOff>0</xdr:rowOff>
        </xdr:from>
        <xdr:to>
          <xdr:col>117</xdr:col>
          <xdr:colOff>19050</xdr:colOff>
          <xdr:row>84</xdr:row>
          <xdr:rowOff>9525</xdr:rowOff>
        </xdr:to>
        <xdr:sp macro="" textlink="">
          <xdr:nvSpPr>
            <xdr:cNvPr id="19258" name="Drop Down 826" hidden="1">
              <a:extLst>
                <a:ext uri="{63B3BB69-23CF-44E3-9099-C40C66FF867C}">
                  <a14:compatExt spid="_x0000_s19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83</xdr:row>
          <xdr:rowOff>0</xdr:rowOff>
        </xdr:from>
        <xdr:to>
          <xdr:col>165</xdr:col>
          <xdr:colOff>333375</xdr:colOff>
          <xdr:row>84</xdr:row>
          <xdr:rowOff>9525</xdr:rowOff>
        </xdr:to>
        <xdr:sp macro="" textlink="">
          <xdr:nvSpPr>
            <xdr:cNvPr id="19259" name="Drop Down 827" hidden="1">
              <a:extLst>
                <a:ext uri="{63B3BB69-23CF-44E3-9099-C40C66FF867C}">
                  <a14:compatExt spid="_x0000_s19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83</xdr:row>
          <xdr:rowOff>0</xdr:rowOff>
        </xdr:from>
        <xdr:to>
          <xdr:col>266</xdr:col>
          <xdr:colOff>161925</xdr:colOff>
          <xdr:row>84</xdr:row>
          <xdr:rowOff>9525</xdr:rowOff>
        </xdr:to>
        <xdr:sp macro="" textlink="">
          <xdr:nvSpPr>
            <xdr:cNvPr id="19260" name="Drop Down 828" hidden="1">
              <a:extLst>
                <a:ext uri="{63B3BB69-23CF-44E3-9099-C40C66FF867C}">
                  <a14:compatExt spid="_x0000_s19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83</xdr:row>
          <xdr:rowOff>0</xdr:rowOff>
        </xdr:from>
        <xdr:to>
          <xdr:col>4</xdr:col>
          <xdr:colOff>190500</xdr:colOff>
          <xdr:row>84</xdr:row>
          <xdr:rowOff>9525</xdr:rowOff>
        </xdr:to>
        <xdr:sp macro="" textlink="">
          <xdr:nvSpPr>
            <xdr:cNvPr id="19261" name="Drop Down 829" hidden="1">
              <a:extLst>
                <a:ext uri="{63B3BB69-23CF-44E3-9099-C40C66FF867C}">
                  <a14:compatExt spid="_x0000_s19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83</xdr:row>
          <xdr:rowOff>0</xdr:rowOff>
        </xdr:from>
        <xdr:to>
          <xdr:col>8</xdr:col>
          <xdr:colOff>9525</xdr:colOff>
          <xdr:row>84</xdr:row>
          <xdr:rowOff>9525</xdr:rowOff>
        </xdr:to>
        <xdr:sp macro="" textlink="">
          <xdr:nvSpPr>
            <xdr:cNvPr id="19262" name="Drop Down 830" hidden="1">
              <a:extLst>
                <a:ext uri="{63B3BB69-23CF-44E3-9099-C40C66FF867C}">
                  <a14:compatExt spid="_x0000_s19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83</xdr:row>
          <xdr:rowOff>0</xdr:rowOff>
        </xdr:from>
        <xdr:to>
          <xdr:col>36</xdr:col>
          <xdr:colOff>9525</xdr:colOff>
          <xdr:row>84</xdr:row>
          <xdr:rowOff>9525</xdr:rowOff>
        </xdr:to>
        <xdr:sp macro="" textlink="">
          <xdr:nvSpPr>
            <xdr:cNvPr id="19263" name="Drop Down 831" hidden="1">
              <a:extLst>
                <a:ext uri="{63B3BB69-23CF-44E3-9099-C40C66FF867C}">
                  <a14:compatExt spid="_x0000_s19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85</xdr:row>
          <xdr:rowOff>0</xdr:rowOff>
        </xdr:from>
        <xdr:to>
          <xdr:col>12</xdr:col>
          <xdr:colOff>257175</xdr:colOff>
          <xdr:row>86</xdr:row>
          <xdr:rowOff>9525</xdr:rowOff>
        </xdr:to>
        <xdr:sp macro="" textlink="">
          <xdr:nvSpPr>
            <xdr:cNvPr id="19264" name="Drop Down 832" hidden="1">
              <a:extLst>
                <a:ext uri="{63B3BB69-23CF-44E3-9099-C40C66FF867C}">
                  <a14:compatExt spid="_x0000_s19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85</xdr:row>
          <xdr:rowOff>0</xdr:rowOff>
        </xdr:from>
        <xdr:to>
          <xdr:col>16</xdr:col>
          <xdr:colOff>190500</xdr:colOff>
          <xdr:row>86</xdr:row>
          <xdr:rowOff>9525</xdr:rowOff>
        </xdr:to>
        <xdr:sp macro="" textlink="">
          <xdr:nvSpPr>
            <xdr:cNvPr id="19265" name="Drop Down 833" hidden="1">
              <a:extLst>
                <a:ext uri="{63B3BB69-23CF-44E3-9099-C40C66FF867C}">
                  <a14:compatExt spid="_x0000_s19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85</xdr:row>
          <xdr:rowOff>0</xdr:rowOff>
        </xdr:from>
        <xdr:to>
          <xdr:col>22</xdr:col>
          <xdr:colOff>190500</xdr:colOff>
          <xdr:row>86</xdr:row>
          <xdr:rowOff>9525</xdr:rowOff>
        </xdr:to>
        <xdr:sp macro="" textlink="">
          <xdr:nvSpPr>
            <xdr:cNvPr id="19266" name="Drop Down 834" hidden="1">
              <a:extLst>
                <a:ext uri="{63B3BB69-23CF-44E3-9099-C40C66FF867C}">
                  <a14:compatExt spid="_x0000_s19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85</xdr:row>
          <xdr:rowOff>0</xdr:rowOff>
        </xdr:from>
        <xdr:to>
          <xdr:col>26</xdr:col>
          <xdr:colOff>190500</xdr:colOff>
          <xdr:row>86</xdr:row>
          <xdr:rowOff>9525</xdr:rowOff>
        </xdr:to>
        <xdr:sp macro="" textlink="">
          <xdr:nvSpPr>
            <xdr:cNvPr id="19267" name="Drop Down 835" hidden="1">
              <a:extLst>
                <a:ext uri="{63B3BB69-23CF-44E3-9099-C40C66FF867C}">
                  <a14:compatExt spid="_x0000_s19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85</xdr:row>
          <xdr:rowOff>0</xdr:rowOff>
        </xdr:from>
        <xdr:to>
          <xdr:col>17</xdr:col>
          <xdr:colOff>342900</xdr:colOff>
          <xdr:row>86</xdr:row>
          <xdr:rowOff>28575</xdr:rowOff>
        </xdr:to>
        <xdr:sp macro="" textlink="">
          <xdr:nvSpPr>
            <xdr:cNvPr id="19268" name="Check Box 836" hidden="1">
              <a:extLst>
                <a:ext uri="{63B3BB69-23CF-44E3-9099-C40C66FF867C}">
                  <a14:compatExt spid="_x0000_s19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85</xdr:row>
          <xdr:rowOff>0</xdr:rowOff>
        </xdr:from>
        <xdr:to>
          <xdr:col>30</xdr:col>
          <xdr:colOff>190500</xdr:colOff>
          <xdr:row>86</xdr:row>
          <xdr:rowOff>9525</xdr:rowOff>
        </xdr:to>
        <xdr:sp macro="" textlink="">
          <xdr:nvSpPr>
            <xdr:cNvPr id="19269" name="Drop Down 837" hidden="1">
              <a:extLst>
                <a:ext uri="{63B3BB69-23CF-44E3-9099-C40C66FF867C}">
                  <a14:compatExt spid="_x0000_s19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85</xdr:row>
          <xdr:rowOff>0</xdr:rowOff>
        </xdr:from>
        <xdr:to>
          <xdr:col>117</xdr:col>
          <xdr:colOff>19050</xdr:colOff>
          <xdr:row>86</xdr:row>
          <xdr:rowOff>9525</xdr:rowOff>
        </xdr:to>
        <xdr:sp macro="" textlink="">
          <xdr:nvSpPr>
            <xdr:cNvPr id="19270" name="Drop Down 838" hidden="1">
              <a:extLst>
                <a:ext uri="{63B3BB69-23CF-44E3-9099-C40C66FF867C}">
                  <a14:compatExt spid="_x0000_s19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85</xdr:row>
          <xdr:rowOff>0</xdr:rowOff>
        </xdr:from>
        <xdr:to>
          <xdr:col>165</xdr:col>
          <xdr:colOff>333375</xdr:colOff>
          <xdr:row>86</xdr:row>
          <xdr:rowOff>9525</xdr:rowOff>
        </xdr:to>
        <xdr:sp macro="" textlink="">
          <xdr:nvSpPr>
            <xdr:cNvPr id="19271" name="Drop Down 839" hidden="1">
              <a:extLst>
                <a:ext uri="{63B3BB69-23CF-44E3-9099-C40C66FF867C}">
                  <a14:compatExt spid="_x0000_s19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85</xdr:row>
          <xdr:rowOff>0</xdr:rowOff>
        </xdr:from>
        <xdr:to>
          <xdr:col>266</xdr:col>
          <xdr:colOff>161925</xdr:colOff>
          <xdr:row>86</xdr:row>
          <xdr:rowOff>9525</xdr:rowOff>
        </xdr:to>
        <xdr:sp macro="" textlink="">
          <xdr:nvSpPr>
            <xdr:cNvPr id="19272" name="Drop Down 840" hidden="1">
              <a:extLst>
                <a:ext uri="{63B3BB69-23CF-44E3-9099-C40C66FF867C}">
                  <a14:compatExt spid="_x0000_s19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85</xdr:row>
          <xdr:rowOff>0</xdr:rowOff>
        </xdr:from>
        <xdr:to>
          <xdr:col>4</xdr:col>
          <xdr:colOff>190500</xdr:colOff>
          <xdr:row>86</xdr:row>
          <xdr:rowOff>9525</xdr:rowOff>
        </xdr:to>
        <xdr:sp macro="" textlink="">
          <xdr:nvSpPr>
            <xdr:cNvPr id="19273" name="Drop Down 841" hidden="1">
              <a:extLst>
                <a:ext uri="{63B3BB69-23CF-44E3-9099-C40C66FF867C}">
                  <a14:compatExt spid="_x0000_s19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85</xdr:row>
          <xdr:rowOff>0</xdr:rowOff>
        </xdr:from>
        <xdr:to>
          <xdr:col>8</xdr:col>
          <xdr:colOff>9525</xdr:colOff>
          <xdr:row>86</xdr:row>
          <xdr:rowOff>9525</xdr:rowOff>
        </xdr:to>
        <xdr:sp macro="" textlink="">
          <xdr:nvSpPr>
            <xdr:cNvPr id="19274" name="Drop Down 842" hidden="1">
              <a:extLst>
                <a:ext uri="{63B3BB69-23CF-44E3-9099-C40C66FF867C}">
                  <a14:compatExt spid="_x0000_s19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85</xdr:row>
          <xdr:rowOff>0</xdr:rowOff>
        </xdr:from>
        <xdr:to>
          <xdr:col>36</xdr:col>
          <xdr:colOff>9525</xdr:colOff>
          <xdr:row>86</xdr:row>
          <xdr:rowOff>9525</xdr:rowOff>
        </xdr:to>
        <xdr:sp macro="" textlink="">
          <xdr:nvSpPr>
            <xdr:cNvPr id="19275" name="Drop Down 843" hidden="1">
              <a:extLst>
                <a:ext uri="{63B3BB69-23CF-44E3-9099-C40C66FF867C}">
                  <a14:compatExt spid="_x0000_s19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87</xdr:row>
          <xdr:rowOff>0</xdr:rowOff>
        </xdr:from>
        <xdr:to>
          <xdr:col>12</xdr:col>
          <xdr:colOff>257175</xdr:colOff>
          <xdr:row>88</xdr:row>
          <xdr:rowOff>9525</xdr:rowOff>
        </xdr:to>
        <xdr:sp macro="" textlink="">
          <xdr:nvSpPr>
            <xdr:cNvPr id="19276" name="Drop Down 844" hidden="1">
              <a:extLst>
                <a:ext uri="{63B3BB69-23CF-44E3-9099-C40C66FF867C}">
                  <a14:compatExt spid="_x0000_s19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87</xdr:row>
          <xdr:rowOff>0</xdr:rowOff>
        </xdr:from>
        <xdr:to>
          <xdr:col>16</xdr:col>
          <xdr:colOff>190500</xdr:colOff>
          <xdr:row>88</xdr:row>
          <xdr:rowOff>9525</xdr:rowOff>
        </xdr:to>
        <xdr:sp macro="" textlink="">
          <xdr:nvSpPr>
            <xdr:cNvPr id="19277" name="Drop Down 845" hidden="1">
              <a:extLst>
                <a:ext uri="{63B3BB69-23CF-44E3-9099-C40C66FF867C}">
                  <a14:compatExt spid="_x0000_s19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87</xdr:row>
          <xdr:rowOff>0</xdr:rowOff>
        </xdr:from>
        <xdr:to>
          <xdr:col>22</xdr:col>
          <xdr:colOff>190500</xdr:colOff>
          <xdr:row>88</xdr:row>
          <xdr:rowOff>9525</xdr:rowOff>
        </xdr:to>
        <xdr:sp macro="" textlink="">
          <xdr:nvSpPr>
            <xdr:cNvPr id="19278" name="Drop Down 846" hidden="1">
              <a:extLst>
                <a:ext uri="{63B3BB69-23CF-44E3-9099-C40C66FF867C}">
                  <a14:compatExt spid="_x0000_s19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87</xdr:row>
          <xdr:rowOff>0</xdr:rowOff>
        </xdr:from>
        <xdr:to>
          <xdr:col>26</xdr:col>
          <xdr:colOff>190500</xdr:colOff>
          <xdr:row>88</xdr:row>
          <xdr:rowOff>9525</xdr:rowOff>
        </xdr:to>
        <xdr:sp macro="" textlink="">
          <xdr:nvSpPr>
            <xdr:cNvPr id="19279" name="Drop Down 847" hidden="1">
              <a:extLst>
                <a:ext uri="{63B3BB69-23CF-44E3-9099-C40C66FF867C}">
                  <a14:compatExt spid="_x0000_s19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87</xdr:row>
          <xdr:rowOff>0</xdr:rowOff>
        </xdr:from>
        <xdr:to>
          <xdr:col>17</xdr:col>
          <xdr:colOff>342900</xdr:colOff>
          <xdr:row>88</xdr:row>
          <xdr:rowOff>28575</xdr:rowOff>
        </xdr:to>
        <xdr:sp macro="" textlink="">
          <xdr:nvSpPr>
            <xdr:cNvPr id="19280" name="Check Box 848" hidden="1">
              <a:extLst>
                <a:ext uri="{63B3BB69-23CF-44E3-9099-C40C66FF867C}">
                  <a14:compatExt spid="_x0000_s19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87</xdr:row>
          <xdr:rowOff>0</xdr:rowOff>
        </xdr:from>
        <xdr:to>
          <xdr:col>30</xdr:col>
          <xdr:colOff>190500</xdr:colOff>
          <xdr:row>88</xdr:row>
          <xdr:rowOff>9525</xdr:rowOff>
        </xdr:to>
        <xdr:sp macro="" textlink="">
          <xdr:nvSpPr>
            <xdr:cNvPr id="19281" name="Drop Down 849" hidden="1">
              <a:extLst>
                <a:ext uri="{63B3BB69-23CF-44E3-9099-C40C66FF867C}">
                  <a14:compatExt spid="_x0000_s19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87</xdr:row>
          <xdr:rowOff>0</xdr:rowOff>
        </xdr:from>
        <xdr:to>
          <xdr:col>117</xdr:col>
          <xdr:colOff>19050</xdr:colOff>
          <xdr:row>88</xdr:row>
          <xdr:rowOff>9525</xdr:rowOff>
        </xdr:to>
        <xdr:sp macro="" textlink="">
          <xdr:nvSpPr>
            <xdr:cNvPr id="19282" name="Drop Down 850" hidden="1">
              <a:extLst>
                <a:ext uri="{63B3BB69-23CF-44E3-9099-C40C66FF867C}">
                  <a14:compatExt spid="_x0000_s19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87</xdr:row>
          <xdr:rowOff>0</xdr:rowOff>
        </xdr:from>
        <xdr:to>
          <xdr:col>165</xdr:col>
          <xdr:colOff>333375</xdr:colOff>
          <xdr:row>88</xdr:row>
          <xdr:rowOff>9525</xdr:rowOff>
        </xdr:to>
        <xdr:sp macro="" textlink="">
          <xdr:nvSpPr>
            <xdr:cNvPr id="19283" name="Drop Down 851" hidden="1">
              <a:extLst>
                <a:ext uri="{63B3BB69-23CF-44E3-9099-C40C66FF867C}">
                  <a14:compatExt spid="_x0000_s19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87</xdr:row>
          <xdr:rowOff>0</xdr:rowOff>
        </xdr:from>
        <xdr:to>
          <xdr:col>266</xdr:col>
          <xdr:colOff>161925</xdr:colOff>
          <xdr:row>88</xdr:row>
          <xdr:rowOff>9525</xdr:rowOff>
        </xdr:to>
        <xdr:sp macro="" textlink="">
          <xdr:nvSpPr>
            <xdr:cNvPr id="19284" name="Drop Down 852" hidden="1">
              <a:extLst>
                <a:ext uri="{63B3BB69-23CF-44E3-9099-C40C66FF867C}">
                  <a14:compatExt spid="_x0000_s19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87</xdr:row>
          <xdr:rowOff>0</xdr:rowOff>
        </xdr:from>
        <xdr:to>
          <xdr:col>4</xdr:col>
          <xdr:colOff>190500</xdr:colOff>
          <xdr:row>88</xdr:row>
          <xdr:rowOff>9525</xdr:rowOff>
        </xdr:to>
        <xdr:sp macro="" textlink="">
          <xdr:nvSpPr>
            <xdr:cNvPr id="19285" name="Drop Down 853" hidden="1">
              <a:extLst>
                <a:ext uri="{63B3BB69-23CF-44E3-9099-C40C66FF867C}">
                  <a14:compatExt spid="_x0000_s19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87</xdr:row>
          <xdr:rowOff>0</xdr:rowOff>
        </xdr:from>
        <xdr:to>
          <xdr:col>8</xdr:col>
          <xdr:colOff>9525</xdr:colOff>
          <xdr:row>88</xdr:row>
          <xdr:rowOff>9525</xdr:rowOff>
        </xdr:to>
        <xdr:sp macro="" textlink="">
          <xdr:nvSpPr>
            <xdr:cNvPr id="19286" name="Drop Down 854" hidden="1">
              <a:extLst>
                <a:ext uri="{63B3BB69-23CF-44E3-9099-C40C66FF867C}">
                  <a14:compatExt spid="_x0000_s19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87</xdr:row>
          <xdr:rowOff>0</xdr:rowOff>
        </xdr:from>
        <xdr:to>
          <xdr:col>36</xdr:col>
          <xdr:colOff>9525</xdr:colOff>
          <xdr:row>88</xdr:row>
          <xdr:rowOff>9525</xdr:rowOff>
        </xdr:to>
        <xdr:sp macro="" textlink="">
          <xdr:nvSpPr>
            <xdr:cNvPr id="19287" name="Drop Down 855" hidden="1">
              <a:extLst>
                <a:ext uri="{63B3BB69-23CF-44E3-9099-C40C66FF867C}">
                  <a14:compatExt spid="_x0000_s19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89</xdr:row>
          <xdr:rowOff>0</xdr:rowOff>
        </xdr:from>
        <xdr:to>
          <xdr:col>12</xdr:col>
          <xdr:colOff>257175</xdr:colOff>
          <xdr:row>90</xdr:row>
          <xdr:rowOff>9525</xdr:rowOff>
        </xdr:to>
        <xdr:sp macro="" textlink="">
          <xdr:nvSpPr>
            <xdr:cNvPr id="19288" name="Drop Down 856" hidden="1">
              <a:extLst>
                <a:ext uri="{63B3BB69-23CF-44E3-9099-C40C66FF867C}">
                  <a14:compatExt spid="_x0000_s19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89</xdr:row>
          <xdr:rowOff>0</xdr:rowOff>
        </xdr:from>
        <xdr:to>
          <xdr:col>16</xdr:col>
          <xdr:colOff>190500</xdr:colOff>
          <xdr:row>90</xdr:row>
          <xdr:rowOff>9525</xdr:rowOff>
        </xdr:to>
        <xdr:sp macro="" textlink="">
          <xdr:nvSpPr>
            <xdr:cNvPr id="19289" name="Drop Down 857" hidden="1">
              <a:extLst>
                <a:ext uri="{63B3BB69-23CF-44E3-9099-C40C66FF867C}">
                  <a14:compatExt spid="_x0000_s19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89</xdr:row>
          <xdr:rowOff>0</xdr:rowOff>
        </xdr:from>
        <xdr:to>
          <xdr:col>22</xdr:col>
          <xdr:colOff>190500</xdr:colOff>
          <xdr:row>90</xdr:row>
          <xdr:rowOff>9525</xdr:rowOff>
        </xdr:to>
        <xdr:sp macro="" textlink="">
          <xdr:nvSpPr>
            <xdr:cNvPr id="19290" name="Drop Down 858" hidden="1">
              <a:extLst>
                <a:ext uri="{63B3BB69-23CF-44E3-9099-C40C66FF867C}">
                  <a14:compatExt spid="_x0000_s19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89</xdr:row>
          <xdr:rowOff>0</xdr:rowOff>
        </xdr:from>
        <xdr:to>
          <xdr:col>26</xdr:col>
          <xdr:colOff>190500</xdr:colOff>
          <xdr:row>90</xdr:row>
          <xdr:rowOff>9525</xdr:rowOff>
        </xdr:to>
        <xdr:sp macro="" textlink="">
          <xdr:nvSpPr>
            <xdr:cNvPr id="19291" name="Drop Down 859" hidden="1">
              <a:extLst>
                <a:ext uri="{63B3BB69-23CF-44E3-9099-C40C66FF867C}">
                  <a14:compatExt spid="_x0000_s19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89</xdr:row>
          <xdr:rowOff>0</xdr:rowOff>
        </xdr:from>
        <xdr:to>
          <xdr:col>17</xdr:col>
          <xdr:colOff>342900</xdr:colOff>
          <xdr:row>90</xdr:row>
          <xdr:rowOff>28575</xdr:rowOff>
        </xdr:to>
        <xdr:sp macro="" textlink="">
          <xdr:nvSpPr>
            <xdr:cNvPr id="19292" name="Check Box 860" hidden="1">
              <a:extLst>
                <a:ext uri="{63B3BB69-23CF-44E3-9099-C40C66FF867C}">
                  <a14:compatExt spid="_x0000_s19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89</xdr:row>
          <xdr:rowOff>0</xdr:rowOff>
        </xdr:from>
        <xdr:to>
          <xdr:col>30</xdr:col>
          <xdr:colOff>190500</xdr:colOff>
          <xdr:row>90</xdr:row>
          <xdr:rowOff>9525</xdr:rowOff>
        </xdr:to>
        <xdr:sp macro="" textlink="">
          <xdr:nvSpPr>
            <xdr:cNvPr id="19293" name="Drop Down 861" hidden="1">
              <a:extLst>
                <a:ext uri="{63B3BB69-23CF-44E3-9099-C40C66FF867C}">
                  <a14:compatExt spid="_x0000_s19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89</xdr:row>
          <xdr:rowOff>0</xdr:rowOff>
        </xdr:from>
        <xdr:to>
          <xdr:col>117</xdr:col>
          <xdr:colOff>19050</xdr:colOff>
          <xdr:row>90</xdr:row>
          <xdr:rowOff>9525</xdr:rowOff>
        </xdr:to>
        <xdr:sp macro="" textlink="">
          <xdr:nvSpPr>
            <xdr:cNvPr id="19294" name="Drop Down 862" hidden="1">
              <a:extLst>
                <a:ext uri="{63B3BB69-23CF-44E3-9099-C40C66FF867C}">
                  <a14:compatExt spid="_x0000_s19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89</xdr:row>
          <xdr:rowOff>0</xdr:rowOff>
        </xdr:from>
        <xdr:to>
          <xdr:col>165</xdr:col>
          <xdr:colOff>333375</xdr:colOff>
          <xdr:row>90</xdr:row>
          <xdr:rowOff>9525</xdr:rowOff>
        </xdr:to>
        <xdr:sp macro="" textlink="">
          <xdr:nvSpPr>
            <xdr:cNvPr id="19295" name="Drop Down 863" hidden="1">
              <a:extLst>
                <a:ext uri="{63B3BB69-23CF-44E3-9099-C40C66FF867C}">
                  <a14:compatExt spid="_x0000_s19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89</xdr:row>
          <xdr:rowOff>0</xdr:rowOff>
        </xdr:from>
        <xdr:to>
          <xdr:col>266</xdr:col>
          <xdr:colOff>161925</xdr:colOff>
          <xdr:row>90</xdr:row>
          <xdr:rowOff>9525</xdr:rowOff>
        </xdr:to>
        <xdr:sp macro="" textlink="">
          <xdr:nvSpPr>
            <xdr:cNvPr id="19296" name="Drop Down 864" hidden="1">
              <a:extLst>
                <a:ext uri="{63B3BB69-23CF-44E3-9099-C40C66FF867C}">
                  <a14:compatExt spid="_x0000_s19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89</xdr:row>
          <xdr:rowOff>0</xdr:rowOff>
        </xdr:from>
        <xdr:to>
          <xdr:col>4</xdr:col>
          <xdr:colOff>190500</xdr:colOff>
          <xdr:row>90</xdr:row>
          <xdr:rowOff>9525</xdr:rowOff>
        </xdr:to>
        <xdr:sp macro="" textlink="">
          <xdr:nvSpPr>
            <xdr:cNvPr id="19297" name="Drop Down 865" hidden="1">
              <a:extLst>
                <a:ext uri="{63B3BB69-23CF-44E3-9099-C40C66FF867C}">
                  <a14:compatExt spid="_x0000_s19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89</xdr:row>
          <xdr:rowOff>0</xdr:rowOff>
        </xdr:from>
        <xdr:to>
          <xdr:col>8</xdr:col>
          <xdr:colOff>9525</xdr:colOff>
          <xdr:row>90</xdr:row>
          <xdr:rowOff>9525</xdr:rowOff>
        </xdr:to>
        <xdr:sp macro="" textlink="">
          <xdr:nvSpPr>
            <xdr:cNvPr id="19298" name="Drop Down 866" hidden="1">
              <a:extLst>
                <a:ext uri="{63B3BB69-23CF-44E3-9099-C40C66FF867C}">
                  <a14:compatExt spid="_x0000_s19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89</xdr:row>
          <xdr:rowOff>0</xdr:rowOff>
        </xdr:from>
        <xdr:to>
          <xdr:col>36</xdr:col>
          <xdr:colOff>9525</xdr:colOff>
          <xdr:row>90</xdr:row>
          <xdr:rowOff>9525</xdr:rowOff>
        </xdr:to>
        <xdr:sp macro="" textlink="">
          <xdr:nvSpPr>
            <xdr:cNvPr id="19299" name="Drop Down 867" hidden="1">
              <a:extLst>
                <a:ext uri="{63B3BB69-23CF-44E3-9099-C40C66FF867C}">
                  <a14:compatExt spid="_x0000_s19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91</xdr:row>
          <xdr:rowOff>0</xdr:rowOff>
        </xdr:from>
        <xdr:to>
          <xdr:col>12</xdr:col>
          <xdr:colOff>257175</xdr:colOff>
          <xdr:row>92</xdr:row>
          <xdr:rowOff>9525</xdr:rowOff>
        </xdr:to>
        <xdr:sp macro="" textlink="">
          <xdr:nvSpPr>
            <xdr:cNvPr id="19300" name="Drop Down 868" hidden="1">
              <a:extLst>
                <a:ext uri="{63B3BB69-23CF-44E3-9099-C40C66FF867C}">
                  <a14:compatExt spid="_x0000_s19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91</xdr:row>
          <xdr:rowOff>0</xdr:rowOff>
        </xdr:from>
        <xdr:to>
          <xdr:col>16</xdr:col>
          <xdr:colOff>190500</xdr:colOff>
          <xdr:row>92</xdr:row>
          <xdr:rowOff>9525</xdr:rowOff>
        </xdr:to>
        <xdr:sp macro="" textlink="">
          <xdr:nvSpPr>
            <xdr:cNvPr id="19301" name="Drop Down 869" hidden="1">
              <a:extLst>
                <a:ext uri="{63B3BB69-23CF-44E3-9099-C40C66FF867C}">
                  <a14:compatExt spid="_x0000_s19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91</xdr:row>
          <xdr:rowOff>0</xdr:rowOff>
        </xdr:from>
        <xdr:to>
          <xdr:col>22</xdr:col>
          <xdr:colOff>190500</xdr:colOff>
          <xdr:row>92</xdr:row>
          <xdr:rowOff>9525</xdr:rowOff>
        </xdr:to>
        <xdr:sp macro="" textlink="">
          <xdr:nvSpPr>
            <xdr:cNvPr id="19302" name="Drop Down 870" hidden="1">
              <a:extLst>
                <a:ext uri="{63B3BB69-23CF-44E3-9099-C40C66FF867C}">
                  <a14:compatExt spid="_x0000_s19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91</xdr:row>
          <xdr:rowOff>0</xdr:rowOff>
        </xdr:from>
        <xdr:to>
          <xdr:col>26</xdr:col>
          <xdr:colOff>190500</xdr:colOff>
          <xdr:row>92</xdr:row>
          <xdr:rowOff>9525</xdr:rowOff>
        </xdr:to>
        <xdr:sp macro="" textlink="">
          <xdr:nvSpPr>
            <xdr:cNvPr id="19303" name="Drop Down 871" hidden="1">
              <a:extLst>
                <a:ext uri="{63B3BB69-23CF-44E3-9099-C40C66FF867C}">
                  <a14:compatExt spid="_x0000_s19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91</xdr:row>
          <xdr:rowOff>0</xdr:rowOff>
        </xdr:from>
        <xdr:to>
          <xdr:col>17</xdr:col>
          <xdr:colOff>342900</xdr:colOff>
          <xdr:row>92</xdr:row>
          <xdr:rowOff>28575</xdr:rowOff>
        </xdr:to>
        <xdr:sp macro="" textlink="">
          <xdr:nvSpPr>
            <xdr:cNvPr id="19304" name="Check Box 872" hidden="1">
              <a:extLst>
                <a:ext uri="{63B3BB69-23CF-44E3-9099-C40C66FF867C}">
                  <a14:compatExt spid="_x0000_s19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91</xdr:row>
          <xdr:rowOff>0</xdr:rowOff>
        </xdr:from>
        <xdr:to>
          <xdr:col>30</xdr:col>
          <xdr:colOff>190500</xdr:colOff>
          <xdr:row>92</xdr:row>
          <xdr:rowOff>9525</xdr:rowOff>
        </xdr:to>
        <xdr:sp macro="" textlink="">
          <xdr:nvSpPr>
            <xdr:cNvPr id="19305" name="Drop Down 873" hidden="1">
              <a:extLst>
                <a:ext uri="{63B3BB69-23CF-44E3-9099-C40C66FF867C}">
                  <a14:compatExt spid="_x0000_s19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91</xdr:row>
          <xdr:rowOff>0</xdr:rowOff>
        </xdr:from>
        <xdr:to>
          <xdr:col>117</xdr:col>
          <xdr:colOff>19050</xdr:colOff>
          <xdr:row>92</xdr:row>
          <xdr:rowOff>9525</xdr:rowOff>
        </xdr:to>
        <xdr:sp macro="" textlink="">
          <xdr:nvSpPr>
            <xdr:cNvPr id="19306" name="Drop Down 874" hidden="1">
              <a:extLst>
                <a:ext uri="{63B3BB69-23CF-44E3-9099-C40C66FF867C}">
                  <a14:compatExt spid="_x0000_s19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91</xdr:row>
          <xdr:rowOff>0</xdr:rowOff>
        </xdr:from>
        <xdr:to>
          <xdr:col>165</xdr:col>
          <xdr:colOff>333375</xdr:colOff>
          <xdr:row>92</xdr:row>
          <xdr:rowOff>9525</xdr:rowOff>
        </xdr:to>
        <xdr:sp macro="" textlink="">
          <xdr:nvSpPr>
            <xdr:cNvPr id="19307" name="Drop Down 875" hidden="1">
              <a:extLst>
                <a:ext uri="{63B3BB69-23CF-44E3-9099-C40C66FF867C}">
                  <a14:compatExt spid="_x0000_s19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91</xdr:row>
          <xdr:rowOff>0</xdr:rowOff>
        </xdr:from>
        <xdr:to>
          <xdr:col>266</xdr:col>
          <xdr:colOff>161925</xdr:colOff>
          <xdr:row>92</xdr:row>
          <xdr:rowOff>9525</xdr:rowOff>
        </xdr:to>
        <xdr:sp macro="" textlink="">
          <xdr:nvSpPr>
            <xdr:cNvPr id="19308" name="Drop Down 876" hidden="1">
              <a:extLst>
                <a:ext uri="{63B3BB69-23CF-44E3-9099-C40C66FF867C}">
                  <a14:compatExt spid="_x0000_s19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91</xdr:row>
          <xdr:rowOff>0</xdr:rowOff>
        </xdr:from>
        <xdr:to>
          <xdr:col>4</xdr:col>
          <xdr:colOff>190500</xdr:colOff>
          <xdr:row>92</xdr:row>
          <xdr:rowOff>9525</xdr:rowOff>
        </xdr:to>
        <xdr:sp macro="" textlink="">
          <xdr:nvSpPr>
            <xdr:cNvPr id="19309" name="Drop Down 877" hidden="1">
              <a:extLst>
                <a:ext uri="{63B3BB69-23CF-44E3-9099-C40C66FF867C}">
                  <a14:compatExt spid="_x0000_s19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91</xdr:row>
          <xdr:rowOff>0</xdr:rowOff>
        </xdr:from>
        <xdr:to>
          <xdr:col>8</xdr:col>
          <xdr:colOff>9525</xdr:colOff>
          <xdr:row>92</xdr:row>
          <xdr:rowOff>9525</xdr:rowOff>
        </xdr:to>
        <xdr:sp macro="" textlink="">
          <xdr:nvSpPr>
            <xdr:cNvPr id="19310" name="Drop Down 878" hidden="1">
              <a:extLst>
                <a:ext uri="{63B3BB69-23CF-44E3-9099-C40C66FF867C}">
                  <a14:compatExt spid="_x0000_s19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91</xdr:row>
          <xdr:rowOff>0</xdr:rowOff>
        </xdr:from>
        <xdr:to>
          <xdr:col>36</xdr:col>
          <xdr:colOff>9525</xdr:colOff>
          <xdr:row>92</xdr:row>
          <xdr:rowOff>9525</xdr:rowOff>
        </xdr:to>
        <xdr:sp macro="" textlink="">
          <xdr:nvSpPr>
            <xdr:cNvPr id="19311" name="Drop Down 879" hidden="1">
              <a:extLst>
                <a:ext uri="{63B3BB69-23CF-44E3-9099-C40C66FF867C}">
                  <a14:compatExt spid="_x0000_s19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93</xdr:row>
          <xdr:rowOff>0</xdr:rowOff>
        </xdr:from>
        <xdr:to>
          <xdr:col>12</xdr:col>
          <xdr:colOff>257175</xdr:colOff>
          <xdr:row>94</xdr:row>
          <xdr:rowOff>9525</xdr:rowOff>
        </xdr:to>
        <xdr:sp macro="" textlink="">
          <xdr:nvSpPr>
            <xdr:cNvPr id="19312" name="Drop Down 880" hidden="1">
              <a:extLst>
                <a:ext uri="{63B3BB69-23CF-44E3-9099-C40C66FF867C}">
                  <a14:compatExt spid="_x0000_s19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93</xdr:row>
          <xdr:rowOff>0</xdr:rowOff>
        </xdr:from>
        <xdr:to>
          <xdr:col>16</xdr:col>
          <xdr:colOff>190500</xdr:colOff>
          <xdr:row>94</xdr:row>
          <xdr:rowOff>9525</xdr:rowOff>
        </xdr:to>
        <xdr:sp macro="" textlink="">
          <xdr:nvSpPr>
            <xdr:cNvPr id="19313" name="Drop Down 881" hidden="1">
              <a:extLst>
                <a:ext uri="{63B3BB69-23CF-44E3-9099-C40C66FF867C}">
                  <a14:compatExt spid="_x0000_s19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93</xdr:row>
          <xdr:rowOff>0</xdr:rowOff>
        </xdr:from>
        <xdr:to>
          <xdr:col>22</xdr:col>
          <xdr:colOff>190500</xdr:colOff>
          <xdr:row>94</xdr:row>
          <xdr:rowOff>9525</xdr:rowOff>
        </xdr:to>
        <xdr:sp macro="" textlink="">
          <xdr:nvSpPr>
            <xdr:cNvPr id="19314" name="Drop Down 882" hidden="1">
              <a:extLst>
                <a:ext uri="{63B3BB69-23CF-44E3-9099-C40C66FF867C}">
                  <a14:compatExt spid="_x0000_s19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93</xdr:row>
          <xdr:rowOff>0</xdr:rowOff>
        </xdr:from>
        <xdr:to>
          <xdr:col>26</xdr:col>
          <xdr:colOff>190500</xdr:colOff>
          <xdr:row>94</xdr:row>
          <xdr:rowOff>9525</xdr:rowOff>
        </xdr:to>
        <xdr:sp macro="" textlink="">
          <xdr:nvSpPr>
            <xdr:cNvPr id="19315" name="Drop Down 883" hidden="1">
              <a:extLst>
                <a:ext uri="{63B3BB69-23CF-44E3-9099-C40C66FF867C}">
                  <a14:compatExt spid="_x0000_s19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93</xdr:row>
          <xdr:rowOff>0</xdr:rowOff>
        </xdr:from>
        <xdr:to>
          <xdr:col>17</xdr:col>
          <xdr:colOff>342900</xdr:colOff>
          <xdr:row>94</xdr:row>
          <xdr:rowOff>28575</xdr:rowOff>
        </xdr:to>
        <xdr:sp macro="" textlink="">
          <xdr:nvSpPr>
            <xdr:cNvPr id="19316" name="Check Box 884" hidden="1">
              <a:extLst>
                <a:ext uri="{63B3BB69-23CF-44E3-9099-C40C66FF867C}">
                  <a14:compatExt spid="_x0000_s19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93</xdr:row>
          <xdr:rowOff>0</xdr:rowOff>
        </xdr:from>
        <xdr:to>
          <xdr:col>30</xdr:col>
          <xdr:colOff>190500</xdr:colOff>
          <xdr:row>94</xdr:row>
          <xdr:rowOff>9525</xdr:rowOff>
        </xdr:to>
        <xdr:sp macro="" textlink="">
          <xdr:nvSpPr>
            <xdr:cNvPr id="19317" name="Drop Down 885" hidden="1">
              <a:extLst>
                <a:ext uri="{63B3BB69-23CF-44E3-9099-C40C66FF867C}">
                  <a14:compatExt spid="_x0000_s19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93</xdr:row>
          <xdr:rowOff>0</xdr:rowOff>
        </xdr:from>
        <xdr:to>
          <xdr:col>117</xdr:col>
          <xdr:colOff>19050</xdr:colOff>
          <xdr:row>94</xdr:row>
          <xdr:rowOff>9525</xdr:rowOff>
        </xdr:to>
        <xdr:sp macro="" textlink="">
          <xdr:nvSpPr>
            <xdr:cNvPr id="19318" name="Drop Down 886" hidden="1">
              <a:extLst>
                <a:ext uri="{63B3BB69-23CF-44E3-9099-C40C66FF867C}">
                  <a14:compatExt spid="_x0000_s19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93</xdr:row>
          <xdr:rowOff>0</xdr:rowOff>
        </xdr:from>
        <xdr:to>
          <xdr:col>165</xdr:col>
          <xdr:colOff>333375</xdr:colOff>
          <xdr:row>94</xdr:row>
          <xdr:rowOff>9525</xdr:rowOff>
        </xdr:to>
        <xdr:sp macro="" textlink="">
          <xdr:nvSpPr>
            <xdr:cNvPr id="19319" name="Drop Down 887" hidden="1">
              <a:extLst>
                <a:ext uri="{63B3BB69-23CF-44E3-9099-C40C66FF867C}">
                  <a14:compatExt spid="_x0000_s19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93</xdr:row>
          <xdr:rowOff>0</xdr:rowOff>
        </xdr:from>
        <xdr:to>
          <xdr:col>266</xdr:col>
          <xdr:colOff>161925</xdr:colOff>
          <xdr:row>94</xdr:row>
          <xdr:rowOff>9525</xdr:rowOff>
        </xdr:to>
        <xdr:sp macro="" textlink="">
          <xdr:nvSpPr>
            <xdr:cNvPr id="19320" name="Drop Down 888" hidden="1">
              <a:extLst>
                <a:ext uri="{63B3BB69-23CF-44E3-9099-C40C66FF867C}">
                  <a14:compatExt spid="_x0000_s19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93</xdr:row>
          <xdr:rowOff>0</xdr:rowOff>
        </xdr:from>
        <xdr:to>
          <xdr:col>4</xdr:col>
          <xdr:colOff>190500</xdr:colOff>
          <xdr:row>94</xdr:row>
          <xdr:rowOff>9525</xdr:rowOff>
        </xdr:to>
        <xdr:sp macro="" textlink="">
          <xdr:nvSpPr>
            <xdr:cNvPr id="19321" name="Drop Down 889" hidden="1">
              <a:extLst>
                <a:ext uri="{63B3BB69-23CF-44E3-9099-C40C66FF867C}">
                  <a14:compatExt spid="_x0000_s19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93</xdr:row>
          <xdr:rowOff>0</xdr:rowOff>
        </xdr:from>
        <xdr:to>
          <xdr:col>8</xdr:col>
          <xdr:colOff>9525</xdr:colOff>
          <xdr:row>94</xdr:row>
          <xdr:rowOff>9525</xdr:rowOff>
        </xdr:to>
        <xdr:sp macro="" textlink="">
          <xdr:nvSpPr>
            <xdr:cNvPr id="19322" name="Drop Down 890" hidden="1">
              <a:extLst>
                <a:ext uri="{63B3BB69-23CF-44E3-9099-C40C66FF867C}">
                  <a14:compatExt spid="_x0000_s19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93</xdr:row>
          <xdr:rowOff>0</xdr:rowOff>
        </xdr:from>
        <xdr:to>
          <xdr:col>36</xdr:col>
          <xdr:colOff>9525</xdr:colOff>
          <xdr:row>94</xdr:row>
          <xdr:rowOff>9525</xdr:rowOff>
        </xdr:to>
        <xdr:sp macro="" textlink="">
          <xdr:nvSpPr>
            <xdr:cNvPr id="19323" name="Drop Down 891" hidden="1">
              <a:extLst>
                <a:ext uri="{63B3BB69-23CF-44E3-9099-C40C66FF867C}">
                  <a14:compatExt spid="_x0000_s19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95</xdr:row>
          <xdr:rowOff>0</xdr:rowOff>
        </xdr:from>
        <xdr:to>
          <xdr:col>12</xdr:col>
          <xdr:colOff>257175</xdr:colOff>
          <xdr:row>96</xdr:row>
          <xdr:rowOff>9525</xdr:rowOff>
        </xdr:to>
        <xdr:sp macro="" textlink="">
          <xdr:nvSpPr>
            <xdr:cNvPr id="19324" name="Drop Down 892" hidden="1">
              <a:extLst>
                <a:ext uri="{63B3BB69-23CF-44E3-9099-C40C66FF867C}">
                  <a14:compatExt spid="_x0000_s19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95</xdr:row>
          <xdr:rowOff>0</xdr:rowOff>
        </xdr:from>
        <xdr:to>
          <xdr:col>16</xdr:col>
          <xdr:colOff>190500</xdr:colOff>
          <xdr:row>96</xdr:row>
          <xdr:rowOff>9525</xdr:rowOff>
        </xdr:to>
        <xdr:sp macro="" textlink="">
          <xdr:nvSpPr>
            <xdr:cNvPr id="19325" name="Drop Down 893" hidden="1">
              <a:extLst>
                <a:ext uri="{63B3BB69-23CF-44E3-9099-C40C66FF867C}">
                  <a14:compatExt spid="_x0000_s19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22</xdr:col>
          <xdr:colOff>190500</xdr:colOff>
          <xdr:row>96</xdr:row>
          <xdr:rowOff>9525</xdr:rowOff>
        </xdr:to>
        <xdr:sp macro="" textlink="">
          <xdr:nvSpPr>
            <xdr:cNvPr id="19326" name="Drop Down 894" hidden="1">
              <a:extLst>
                <a:ext uri="{63B3BB69-23CF-44E3-9099-C40C66FF867C}">
                  <a14:compatExt spid="_x0000_s19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95</xdr:row>
          <xdr:rowOff>0</xdr:rowOff>
        </xdr:from>
        <xdr:to>
          <xdr:col>26</xdr:col>
          <xdr:colOff>190500</xdr:colOff>
          <xdr:row>96</xdr:row>
          <xdr:rowOff>9525</xdr:rowOff>
        </xdr:to>
        <xdr:sp macro="" textlink="">
          <xdr:nvSpPr>
            <xdr:cNvPr id="19327" name="Drop Down 895" hidden="1">
              <a:extLst>
                <a:ext uri="{63B3BB69-23CF-44E3-9099-C40C66FF867C}">
                  <a14:compatExt spid="_x0000_s19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95</xdr:row>
          <xdr:rowOff>0</xdr:rowOff>
        </xdr:from>
        <xdr:to>
          <xdr:col>17</xdr:col>
          <xdr:colOff>342900</xdr:colOff>
          <xdr:row>96</xdr:row>
          <xdr:rowOff>28575</xdr:rowOff>
        </xdr:to>
        <xdr:sp macro="" textlink="">
          <xdr:nvSpPr>
            <xdr:cNvPr id="19328" name="Check Box 896" hidden="1">
              <a:extLst>
                <a:ext uri="{63B3BB69-23CF-44E3-9099-C40C66FF867C}">
                  <a14:compatExt spid="_x0000_s19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95</xdr:row>
          <xdr:rowOff>0</xdr:rowOff>
        </xdr:from>
        <xdr:to>
          <xdr:col>30</xdr:col>
          <xdr:colOff>190500</xdr:colOff>
          <xdr:row>96</xdr:row>
          <xdr:rowOff>9525</xdr:rowOff>
        </xdr:to>
        <xdr:sp macro="" textlink="">
          <xdr:nvSpPr>
            <xdr:cNvPr id="19329" name="Drop Down 897" hidden="1">
              <a:extLst>
                <a:ext uri="{63B3BB69-23CF-44E3-9099-C40C66FF867C}">
                  <a14:compatExt spid="_x0000_s19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95</xdr:row>
          <xdr:rowOff>0</xdr:rowOff>
        </xdr:from>
        <xdr:to>
          <xdr:col>117</xdr:col>
          <xdr:colOff>19050</xdr:colOff>
          <xdr:row>96</xdr:row>
          <xdr:rowOff>9525</xdr:rowOff>
        </xdr:to>
        <xdr:sp macro="" textlink="">
          <xdr:nvSpPr>
            <xdr:cNvPr id="19330" name="Drop Down 898" hidden="1">
              <a:extLst>
                <a:ext uri="{63B3BB69-23CF-44E3-9099-C40C66FF867C}">
                  <a14:compatExt spid="_x0000_s19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95</xdr:row>
          <xdr:rowOff>0</xdr:rowOff>
        </xdr:from>
        <xdr:to>
          <xdr:col>165</xdr:col>
          <xdr:colOff>333375</xdr:colOff>
          <xdr:row>96</xdr:row>
          <xdr:rowOff>9525</xdr:rowOff>
        </xdr:to>
        <xdr:sp macro="" textlink="">
          <xdr:nvSpPr>
            <xdr:cNvPr id="19331" name="Drop Down 899" hidden="1">
              <a:extLst>
                <a:ext uri="{63B3BB69-23CF-44E3-9099-C40C66FF867C}">
                  <a14:compatExt spid="_x0000_s19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95</xdr:row>
          <xdr:rowOff>0</xdr:rowOff>
        </xdr:from>
        <xdr:to>
          <xdr:col>266</xdr:col>
          <xdr:colOff>161925</xdr:colOff>
          <xdr:row>96</xdr:row>
          <xdr:rowOff>9525</xdr:rowOff>
        </xdr:to>
        <xdr:sp macro="" textlink="">
          <xdr:nvSpPr>
            <xdr:cNvPr id="19332" name="Drop Down 900" hidden="1">
              <a:extLst>
                <a:ext uri="{63B3BB69-23CF-44E3-9099-C40C66FF867C}">
                  <a14:compatExt spid="_x0000_s19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95</xdr:row>
          <xdr:rowOff>0</xdr:rowOff>
        </xdr:from>
        <xdr:to>
          <xdr:col>4</xdr:col>
          <xdr:colOff>190500</xdr:colOff>
          <xdr:row>96</xdr:row>
          <xdr:rowOff>9525</xdr:rowOff>
        </xdr:to>
        <xdr:sp macro="" textlink="">
          <xdr:nvSpPr>
            <xdr:cNvPr id="19333" name="Drop Down 901" hidden="1">
              <a:extLst>
                <a:ext uri="{63B3BB69-23CF-44E3-9099-C40C66FF867C}">
                  <a14:compatExt spid="_x0000_s19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95</xdr:row>
          <xdr:rowOff>0</xdr:rowOff>
        </xdr:from>
        <xdr:to>
          <xdr:col>8</xdr:col>
          <xdr:colOff>9525</xdr:colOff>
          <xdr:row>96</xdr:row>
          <xdr:rowOff>9525</xdr:rowOff>
        </xdr:to>
        <xdr:sp macro="" textlink="">
          <xdr:nvSpPr>
            <xdr:cNvPr id="19334" name="Drop Down 902" hidden="1">
              <a:extLst>
                <a:ext uri="{63B3BB69-23CF-44E3-9099-C40C66FF867C}">
                  <a14:compatExt spid="_x0000_s19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95</xdr:row>
          <xdr:rowOff>0</xdr:rowOff>
        </xdr:from>
        <xdr:to>
          <xdr:col>36</xdr:col>
          <xdr:colOff>9525</xdr:colOff>
          <xdr:row>96</xdr:row>
          <xdr:rowOff>9525</xdr:rowOff>
        </xdr:to>
        <xdr:sp macro="" textlink="">
          <xdr:nvSpPr>
            <xdr:cNvPr id="19335" name="Drop Down 903" hidden="1">
              <a:extLst>
                <a:ext uri="{63B3BB69-23CF-44E3-9099-C40C66FF867C}">
                  <a14:compatExt spid="_x0000_s19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97</xdr:row>
          <xdr:rowOff>0</xdr:rowOff>
        </xdr:from>
        <xdr:to>
          <xdr:col>12</xdr:col>
          <xdr:colOff>257175</xdr:colOff>
          <xdr:row>98</xdr:row>
          <xdr:rowOff>9525</xdr:rowOff>
        </xdr:to>
        <xdr:sp macro="" textlink="">
          <xdr:nvSpPr>
            <xdr:cNvPr id="19336" name="Drop Down 904" hidden="1">
              <a:extLst>
                <a:ext uri="{63B3BB69-23CF-44E3-9099-C40C66FF867C}">
                  <a14:compatExt spid="_x0000_s19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97</xdr:row>
          <xdr:rowOff>0</xdr:rowOff>
        </xdr:from>
        <xdr:to>
          <xdr:col>16</xdr:col>
          <xdr:colOff>190500</xdr:colOff>
          <xdr:row>98</xdr:row>
          <xdr:rowOff>9525</xdr:rowOff>
        </xdr:to>
        <xdr:sp macro="" textlink="">
          <xdr:nvSpPr>
            <xdr:cNvPr id="19337" name="Drop Down 905" hidden="1">
              <a:extLst>
                <a:ext uri="{63B3BB69-23CF-44E3-9099-C40C66FF867C}">
                  <a14:compatExt spid="_x0000_s19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97</xdr:row>
          <xdr:rowOff>0</xdr:rowOff>
        </xdr:from>
        <xdr:to>
          <xdr:col>22</xdr:col>
          <xdr:colOff>190500</xdr:colOff>
          <xdr:row>98</xdr:row>
          <xdr:rowOff>9525</xdr:rowOff>
        </xdr:to>
        <xdr:sp macro="" textlink="">
          <xdr:nvSpPr>
            <xdr:cNvPr id="19338" name="Drop Down 906" hidden="1">
              <a:extLst>
                <a:ext uri="{63B3BB69-23CF-44E3-9099-C40C66FF867C}">
                  <a14:compatExt spid="_x0000_s19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97</xdr:row>
          <xdr:rowOff>0</xdr:rowOff>
        </xdr:from>
        <xdr:to>
          <xdr:col>26</xdr:col>
          <xdr:colOff>190500</xdr:colOff>
          <xdr:row>98</xdr:row>
          <xdr:rowOff>9525</xdr:rowOff>
        </xdr:to>
        <xdr:sp macro="" textlink="">
          <xdr:nvSpPr>
            <xdr:cNvPr id="19339" name="Drop Down 907" hidden="1">
              <a:extLst>
                <a:ext uri="{63B3BB69-23CF-44E3-9099-C40C66FF867C}">
                  <a14:compatExt spid="_x0000_s19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97</xdr:row>
          <xdr:rowOff>0</xdr:rowOff>
        </xdr:from>
        <xdr:to>
          <xdr:col>17</xdr:col>
          <xdr:colOff>342900</xdr:colOff>
          <xdr:row>98</xdr:row>
          <xdr:rowOff>28575</xdr:rowOff>
        </xdr:to>
        <xdr:sp macro="" textlink="">
          <xdr:nvSpPr>
            <xdr:cNvPr id="19340" name="Check Box 908" hidden="1">
              <a:extLst>
                <a:ext uri="{63B3BB69-23CF-44E3-9099-C40C66FF867C}">
                  <a14:compatExt spid="_x0000_s19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97</xdr:row>
          <xdr:rowOff>0</xdr:rowOff>
        </xdr:from>
        <xdr:to>
          <xdr:col>30</xdr:col>
          <xdr:colOff>190500</xdr:colOff>
          <xdr:row>98</xdr:row>
          <xdr:rowOff>9525</xdr:rowOff>
        </xdr:to>
        <xdr:sp macro="" textlink="">
          <xdr:nvSpPr>
            <xdr:cNvPr id="19341" name="Drop Down 909" hidden="1">
              <a:extLst>
                <a:ext uri="{63B3BB69-23CF-44E3-9099-C40C66FF867C}">
                  <a14:compatExt spid="_x0000_s19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97</xdr:row>
          <xdr:rowOff>0</xdr:rowOff>
        </xdr:from>
        <xdr:to>
          <xdr:col>117</xdr:col>
          <xdr:colOff>19050</xdr:colOff>
          <xdr:row>98</xdr:row>
          <xdr:rowOff>9525</xdr:rowOff>
        </xdr:to>
        <xdr:sp macro="" textlink="">
          <xdr:nvSpPr>
            <xdr:cNvPr id="19342" name="Drop Down 910" hidden="1">
              <a:extLst>
                <a:ext uri="{63B3BB69-23CF-44E3-9099-C40C66FF867C}">
                  <a14:compatExt spid="_x0000_s19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97</xdr:row>
          <xdr:rowOff>0</xdr:rowOff>
        </xdr:from>
        <xdr:to>
          <xdr:col>165</xdr:col>
          <xdr:colOff>333375</xdr:colOff>
          <xdr:row>98</xdr:row>
          <xdr:rowOff>9525</xdr:rowOff>
        </xdr:to>
        <xdr:sp macro="" textlink="">
          <xdr:nvSpPr>
            <xdr:cNvPr id="19343" name="Drop Down 911" hidden="1">
              <a:extLst>
                <a:ext uri="{63B3BB69-23CF-44E3-9099-C40C66FF867C}">
                  <a14:compatExt spid="_x0000_s19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97</xdr:row>
          <xdr:rowOff>0</xdr:rowOff>
        </xdr:from>
        <xdr:to>
          <xdr:col>266</xdr:col>
          <xdr:colOff>161925</xdr:colOff>
          <xdr:row>98</xdr:row>
          <xdr:rowOff>9525</xdr:rowOff>
        </xdr:to>
        <xdr:sp macro="" textlink="">
          <xdr:nvSpPr>
            <xdr:cNvPr id="19344" name="Drop Down 912" hidden="1">
              <a:extLst>
                <a:ext uri="{63B3BB69-23CF-44E3-9099-C40C66FF867C}">
                  <a14:compatExt spid="_x0000_s19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97</xdr:row>
          <xdr:rowOff>0</xdr:rowOff>
        </xdr:from>
        <xdr:to>
          <xdr:col>4</xdr:col>
          <xdr:colOff>190500</xdr:colOff>
          <xdr:row>98</xdr:row>
          <xdr:rowOff>9525</xdr:rowOff>
        </xdr:to>
        <xdr:sp macro="" textlink="">
          <xdr:nvSpPr>
            <xdr:cNvPr id="19345" name="Drop Down 913" hidden="1">
              <a:extLst>
                <a:ext uri="{63B3BB69-23CF-44E3-9099-C40C66FF867C}">
                  <a14:compatExt spid="_x0000_s19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97</xdr:row>
          <xdr:rowOff>0</xdr:rowOff>
        </xdr:from>
        <xdr:to>
          <xdr:col>8</xdr:col>
          <xdr:colOff>9525</xdr:colOff>
          <xdr:row>98</xdr:row>
          <xdr:rowOff>9525</xdr:rowOff>
        </xdr:to>
        <xdr:sp macro="" textlink="">
          <xdr:nvSpPr>
            <xdr:cNvPr id="19346" name="Drop Down 914" hidden="1">
              <a:extLst>
                <a:ext uri="{63B3BB69-23CF-44E3-9099-C40C66FF867C}">
                  <a14:compatExt spid="_x0000_s19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97</xdr:row>
          <xdr:rowOff>0</xdr:rowOff>
        </xdr:from>
        <xdr:to>
          <xdr:col>36</xdr:col>
          <xdr:colOff>9525</xdr:colOff>
          <xdr:row>98</xdr:row>
          <xdr:rowOff>9525</xdr:rowOff>
        </xdr:to>
        <xdr:sp macro="" textlink="">
          <xdr:nvSpPr>
            <xdr:cNvPr id="19347" name="Drop Down 915" hidden="1">
              <a:extLst>
                <a:ext uri="{63B3BB69-23CF-44E3-9099-C40C66FF867C}">
                  <a14:compatExt spid="_x0000_s19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99</xdr:row>
          <xdr:rowOff>0</xdr:rowOff>
        </xdr:from>
        <xdr:to>
          <xdr:col>12</xdr:col>
          <xdr:colOff>257175</xdr:colOff>
          <xdr:row>100</xdr:row>
          <xdr:rowOff>9525</xdr:rowOff>
        </xdr:to>
        <xdr:sp macro="" textlink="">
          <xdr:nvSpPr>
            <xdr:cNvPr id="19348" name="Drop Down 916" hidden="1">
              <a:extLst>
                <a:ext uri="{63B3BB69-23CF-44E3-9099-C40C66FF867C}">
                  <a14:compatExt spid="_x0000_s19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99</xdr:row>
          <xdr:rowOff>0</xdr:rowOff>
        </xdr:from>
        <xdr:to>
          <xdr:col>16</xdr:col>
          <xdr:colOff>190500</xdr:colOff>
          <xdr:row>100</xdr:row>
          <xdr:rowOff>9525</xdr:rowOff>
        </xdr:to>
        <xdr:sp macro="" textlink="">
          <xdr:nvSpPr>
            <xdr:cNvPr id="19349" name="Drop Down 917" hidden="1">
              <a:extLst>
                <a:ext uri="{63B3BB69-23CF-44E3-9099-C40C66FF867C}">
                  <a14:compatExt spid="_x0000_s19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99</xdr:row>
          <xdr:rowOff>0</xdr:rowOff>
        </xdr:from>
        <xdr:to>
          <xdr:col>22</xdr:col>
          <xdr:colOff>190500</xdr:colOff>
          <xdr:row>100</xdr:row>
          <xdr:rowOff>9525</xdr:rowOff>
        </xdr:to>
        <xdr:sp macro="" textlink="">
          <xdr:nvSpPr>
            <xdr:cNvPr id="19350" name="Drop Down 918" hidden="1">
              <a:extLst>
                <a:ext uri="{63B3BB69-23CF-44E3-9099-C40C66FF867C}">
                  <a14:compatExt spid="_x0000_s19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99</xdr:row>
          <xdr:rowOff>0</xdr:rowOff>
        </xdr:from>
        <xdr:to>
          <xdr:col>26</xdr:col>
          <xdr:colOff>190500</xdr:colOff>
          <xdr:row>100</xdr:row>
          <xdr:rowOff>9525</xdr:rowOff>
        </xdr:to>
        <xdr:sp macro="" textlink="">
          <xdr:nvSpPr>
            <xdr:cNvPr id="19351" name="Drop Down 919" hidden="1">
              <a:extLst>
                <a:ext uri="{63B3BB69-23CF-44E3-9099-C40C66FF867C}">
                  <a14:compatExt spid="_x0000_s19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99</xdr:row>
          <xdr:rowOff>0</xdr:rowOff>
        </xdr:from>
        <xdr:to>
          <xdr:col>17</xdr:col>
          <xdr:colOff>342900</xdr:colOff>
          <xdr:row>100</xdr:row>
          <xdr:rowOff>28575</xdr:rowOff>
        </xdr:to>
        <xdr:sp macro="" textlink="">
          <xdr:nvSpPr>
            <xdr:cNvPr id="19352" name="Check Box 920" hidden="1">
              <a:extLst>
                <a:ext uri="{63B3BB69-23CF-44E3-9099-C40C66FF867C}">
                  <a14:compatExt spid="_x0000_s19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99</xdr:row>
          <xdr:rowOff>0</xdr:rowOff>
        </xdr:from>
        <xdr:to>
          <xdr:col>30</xdr:col>
          <xdr:colOff>190500</xdr:colOff>
          <xdr:row>100</xdr:row>
          <xdr:rowOff>9525</xdr:rowOff>
        </xdr:to>
        <xdr:sp macro="" textlink="">
          <xdr:nvSpPr>
            <xdr:cNvPr id="19353" name="Drop Down 921" hidden="1">
              <a:extLst>
                <a:ext uri="{63B3BB69-23CF-44E3-9099-C40C66FF867C}">
                  <a14:compatExt spid="_x0000_s19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99</xdr:row>
          <xdr:rowOff>0</xdr:rowOff>
        </xdr:from>
        <xdr:to>
          <xdr:col>117</xdr:col>
          <xdr:colOff>19050</xdr:colOff>
          <xdr:row>100</xdr:row>
          <xdr:rowOff>9525</xdr:rowOff>
        </xdr:to>
        <xdr:sp macro="" textlink="">
          <xdr:nvSpPr>
            <xdr:cNvPr id="19354" name="Drop Down 922" hidden="1">
              <a:extLst>
                <a:ext uri="{63B3BB69-23CF-44E3-9099-C40C66FF867C}">
                  <a14:compatExt spid="_x0000_s19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99</xdr:row>
          <xdr:rowOff>0</xdr:rowOff>
        </xdr:from>
        <xdr:to>
          <xdr:col>165</xdr:col>
          <xdr:colOff>333375</xdr:colOff>
          <xdr:row>100</xdr:row>
          <xdr:rowOff>9525</xdr:rowOff>
        </xdr:to>
        <xdr:sp macro="" textlink="">
          <xdr:nvSpPr>
            <xdr:cNvPr id="19355" name="Drop Down 923" hidden="1">
              <a:extLst>
                <a:ext uri="{63B3BB69-23CF-44E3-9099-C40C66FF867C}">
                  <a14:compatExt spid="_x0000_s19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99</xdr:row>
          <xdr:rowOff>0</xdr:rowOff>
        </xdr:from>
        <xdr:to>
          <xdr:col>266</xdr:col>
          <xdr:colOff>161925</xdr:colOff>
          <xdr:row>100</xdr:row>
          <xdr:rowOff>9525</xdr:rowOff>
        </xdr:to>
        <xdr:sp macro="" textlink="">
          <xdr:nvSpPr>
            <xdr:cNvPr id="19356" name="Drop Down 924" hidden="1">
              <a:extLst>
                <a:ext uri="{63B3BB69-23CF-44E3-9099-C40C66FF867C}">
                  <a14:compatExt spid="_x0000_s19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99</xdr:row>
          <xdr:rowOff>0</xdr:rowOff>
        </xdr:from>
        <xdr:to>
          <xdr:col>4</xdr:col>
          <xdr:colOff>190500</xdr:colOff>
          <xdr:row>100</xdr:row>
          <xdr:rowOff>9525</xdr:rowOff>
        </xdr:to>
        <xdr:sp macro="" textlink="">
          <xdr:nvSpPr>
            <xdr:cNvPr id="19357" name="Drop Down 925" hidden="1">
              <a:extLst>
                <a:ext uri="{63B3BB69-23CF-44E3-9099-C40C66FF867C}">
                  <a14:compatExt spid="_x0000_s19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99</xdr:row>
          <xdr:rowOff>0</xdr:rowOff>
        </xdr:from>
        <xdr:to>
          <xdr:col>8</xdr:col>
          <xdr:colOff>9525</xdr:colOff>
          <xdr:row>100</xdr:row>
          <xdr:rowOff>9525</xdr:rowOff>
        </xdr:to>
        <xdr:sp macro="" textlink="">
          <xdr:nvSpPr>
            <xdr:cNvPr id="19358" name="Drop Down 926" hidden="1">
              <a:extLst>
                <a:ext uri="{63B3BB69-23CF-44E3-9099-C40C66FF867C}">
                  <a14:compatExt spid="_x0000_s19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99</xdr:row>
          <xdr:rowOff>0</xdr:rowOff>
        </xdr:from>
        <xdr:to>
          <xdr:col>36</xdr:col>
          <xdr:colOff>9525</xdr:colOff>
          <xdr:row>100</xdr:row>
          <xdr:rowOff>9525</xdr:rowOff>
        </xdr:to>
        <xdr:sp macro="" textlink="">
          <xdr:nvSpPr>
            <xdr:cNvPr id="19359" name="Drop Down 927" hidden="1">
              <a:extLst>
                <a:ext uri="{63B3BB69-23CF-44E3-9099-C40C66FF867C}">
                  <a14:compatExt spid="_x0000_s19359"/>
                </a:ext>
              </a:extLst>
            </xdr:cNvPr>
            <xdr:cNvSpPr/>
          </xdr:nvSpPr>
          <xdr:spPr>
            <a:xfrm>
              <a:off x="0" y="0"/>
              <a:ext cx="0" cy="0"/>
            </a:xfrm>
            <a:prstGeom prst="rect">
              <a:avLst/>
            </a:prstGeom>
          </xdr:spPr>
        </xdr:sp>
        <xdr:clientData/>
      </xdr:twoCellAnchor>
    </mc:Choice>
    <mc:Fallback/>
  </mc:AlternateContent>
  <xdr:twoCellAnchor>
    <xdr:from>
      <xdr:col>130</xdr:col>
      <xdr:colOff>76200</xdr:colOff>
      <xdr:row>0</xdr:row>
      <xdr:rowOff>38100</xdr:rowOff>
    </xdr:from>
    <xdr:to>
      <xdr:col>143</xdr:col>
      <xdr:colOff>38100</xdr:colOff>
      <xdr:row>11</xdr:row>
      <xdr:rowOff>9525</xdr:rowOff>
    </xdr:to>
    <xdr:pic>
      <xdr:nvPicPr>
        <xdr:cNvPr id="508" name="Billede 507">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234350" y="38100"/>
          <a:ext cx="3876675"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2</xdr:row>
          <xdr:rowOff>0</xdr:rowOff>
        </xdr:from>
        <xdr:to>
          <xdr:col>10</xdr:col>
          <xdr:colOff>200025</xdr:colOff>
          <xdr:row>3</xdr:row>
          <xdr:rowOff>9525</xdr:rowOff>
        </xdr:to>
        <xdr:sp macro="" textlink="">
          <xdr:nvSpPr>
            <xdr:cNvPr id="5121" name="Drop Down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40</xdr:row>
          <xdr:rowOff>0</xdr:rowOff>
        </xdr:from>
        <xdr:to>
          <xdr:col>10</xdr:col>
          <xdr:colOff>76200</xdr:colOff>
          <xdr:row>41</xdr:row>
          <xdr:rowOff>19050</xdr:rowOff>
        </xdr:to>
        <xdr:sp macro="" textlink="">
          <xdr:nvSpPr>
            <xdr:cNvPr id="5122" name="Drop Down 2" hidden="1">
              <a:extLst>
                <a:ext uri="{63B3BB69-23CF-44E3-9099-C40C66FF867C}">
                  <a14:compatExt spid="_x0000_s5122"/>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sn\AppData\Local\Microsoft\Windows\Temporary%20Internet%20Files\Content.Outlook\804JH68Y\skh20130314_Klima_DK-variat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egn"/>
      <sheetName val="Udskrift"/>
      <sheetName val="Data"/>
      <sheetName val="Ctool_input"/>
      <sheetName val="Scenarier"/>
      <sheetName val="Ark2"/>
      <sheetName val="Ark1"/>
    </sheetNames>
    <sheetDataSet>
      <sheetData sheetId="0"/>
      <sheetData sheetId="1"/>
      <sheetData sheetId="2"/>
      <sheetData sheetId="3">
        <row r="6">
          <cell r="A6">
            <v>1</v>
          </cell>
          <cell r="B6" t="str">
            <v>JB 1</v>
          </cell>
          <cell r="C6">
            <v>4</v>
          </cell>
          <cell r="D6">
            <v>6</v>
          </cell>
          <cell r="E6">
            <v>9</v>
          </cell>
          <cell r="F6">
            <v>11</v>
          </cell>
          <cell r="G6">
            <v>3.4</v>
          </cell>
          <cell r="H6">
            <v>3.3</v>
          </cell>
          <cell r="I6">
            <v>0</v>
          </cell>
          <cell r="J6">
            <v>0.313</v>
          </cell>
          <cell r="K6">
            <v>0.75</v>
          </cell>
          <cell r="L6">
            <v>8.0000000000000002E-3</v>
          </cell>
          <cell r="M6">
            <v>0.01</v>
          </cell>
          <cell r="N6">
            <v>1.2E-2</v>
          </cell>
          <cell r="O6">
            <v>3.7499999999999999E-2</v>
          </cell>
          <cell r="P6">
            <v>4.3749999999999997E-2</v>
          </cell>
          <cell r="Q6">
            <v>0.05</v>
          </cell>
          <cell r="R6">
            <v>3.7499999999999999E-2</v>
          </cell>
          <cell r="S6">
            <v>4.3749999999999997E-2</v>
          </cell>
          <cell r="T6">
            <v>0.05</v>
          </cell>
          <cell r="U6">
            <v>1.4239999999999999</v>
          </cell>
          <cell r="V6">
            <v>1.48</v>
          </cell>
          <cell r="W6">
            <v>1.5269999999999999</v>
          </cell>
          <cell r="X6">
            <v>1.5660000000000001</v>
          </cell>
          <cell r="Y6">
            <v>1</v>
          </cell>
        </row>
        <row r="7">
          <cell r="A7">
            <v>2</v>
          </cell>
          <cell r="B7" t="str">
            <v>JB 2</v>
          </cell>
          <cell r="C7">
            <v>5</v>
          </cell>
          <cell r="D7">
            <v>6</v>
          </cell>
          <cell r="E7">
            <v>10</v>
          </cell>
          <cell r="F7">
            <v>11</v>
          </cell>
          <cell r="G7">
            <v>2.8</v>
          </cell>
          <cell r="H7">
            <v>3.4</v>
          </cell>
          <cell r="I7">
            <v>0.45</v>
          </cell>
          <cell r="J7">
            <v>1</v>
          </cell>
          <cell r="K7">
            <v>1.75</v>
          </cell>
          <cell r="L7">
            <v>1.2E-2</v>
          </cell>
          <cell r="M7">
            <v>1.6E-2</v>
          </cell>
          <cell r="N7">
            <v>0.02</v>
          </cell>
          <cell r="O7">
            <v>0.05</v>
          </cell>
          <cell r="P7">
            <v>6.25E-2</v>
          </cell>
          <cell r="Q7">
            <v>7.4999999999999997E-2</v>
          </cell>
          <cell r="R7">
            <v>0.05</v>
          </cell>
          <cell r="S7">
            <v>6.25E-2</v>
          </cell>
          <cell r="T7">
            <v>7.4999999999999997E-2</v>
          </cell>
          <cell r="U7">
            <v>1.403</v>
          </cell>
          <cell r="V7">
            <v>1.4370000000000001</v>
          </cell>
          <cell r="W7">
            <v>1.4870000000000001</v>
          </cell>
          <cell r="X7">
            <v>1.583</v>
          </cell>
          <cell r="Y7">
            <v>2</v>
          </cell>
        </row>
        <row r="8">
          <cell r="A8">
            <v>3</v>
          </cell>
          <cell r="B8" t="str">
            <v>JB 3</v>
          </cell>
          <cell r="C8">
            <v>4</v>
          </cell>
          <cell r="D8">
            <v>6</v>
          </cell>
          <cell r="E8">
            <v>9</v>
          </cell>
          <cell r="F8">
            <v>11</v>
          </cell>
          <cell r="G8">
            <v>3.2</v>
          </cell>
          <cell r="H8">
            <v>6.4</v>
          </cell>
          <cell r="I8">
            <v>1.375</v>
          </cell>
          <cell r="J8">
            <v>2.25</v>
          </cell>
          <cell r="K8">
            <v>3.3250000000000002</v>
          </cell>
          <cell r="L8">
            <v>0.02</v>
          </cell>
          <cell r="M8">
            <v>2.4E-2</v>
          </cell>
          <cell r="N8">
            <v>0.28000000000000003</v>
          </cell>
          <cell r="O8">
            <v>7.4999999999999997E-2</v>
          </cell>
          <cell r="P8">
            <v>8.7499999999999994E-2</v>
          </cell>
          <cell r="Q8">
            <v>0.1</v>
          </cell>
          <cell r="R8">
            <v>7.4999999999999997E-2</v>
          </cell>
          <cell r="S8">
            <v>8.7499999999999994E-2</v>
          </cell>
          <cell r="T8">
            <v>0.1</v>
          </cell>
          <cell r="U8">
            <v>1.4450000000000001</v>
          </cell>
          <cell r="V8">
            <v>1.4790000000000001</v>
          </cell>
          <cell r="W8">
            <v>1.571</v>
          </cell>
          <cell r="X8">
            <v>1.5720000000000001</v>
          </cell>
          <cell r="Y8">
            <v>3</v>
          </cell>
        </row>
        <row r="9">
          <cell r="A9">
            <v>4</v>
          </cell>
          <cell r="B9" t="str">
            <v>JB 4</v>
          </cell>
          <cell r="C9">
            <v>5</v>
          </cell>
          <cell r="D9">
            <v>6</v>
          </cell>
          <cell r="E9">
            <v>10</v>
          </cell>
          <cell r="F9">
            <v>11</v>
          </cell>
          <cell r="G9">
            <v>3.7</v>
          </cell>
          <cell r="H9">
            <v>7.2</v>
          </cell>
          <cell r="I9">
            <v>2.8</v>
          </cell>
          <cell r="J9">
            <v>4.5</v>
          </cell>
          <cell r="K9">
            <v>6.6</v>
          </cell>
          <cell r="L9">
            <v>2.8000000000000001E-2</v>
          </cell>
          <cell r="M9">
            <v>3.5999999999999997E-2</v>
          </cell>
          <cell r="N9">
            <v>4.3999999999999997E-2</v>
          </cell>
          <cell r="O9">
            <v>0.1</v>
          </cell>
          <cell r="P9">
            <v>0.125</v>
          </cell>
          <cell r="Q9">
            <v>0.15</v>
          </cell>
          <cell r="R9">
            <v>0.1</v>
          </cell>
          <cell r="S9">
            <v>0.125</v>
          </cell>
          <cell r="T9">
            <v>0.15</v>
          </cell>
          <cell r="U9">
            <v>1.425</v>
          </cell>
          <cell r="V9">
            <v>1.5609999999999999</v>
          </cell>
          <cell r="W9">
            <v>1.6140000000000001</v>
          </cell>
          <cell r="X9">
            <v>1.663</v>
          </cell>
          <cell r="Y9">
            <v>4</v>
          </cell>
        </row>
        <row r="10">
          <cell r="A10">
            <v>5</v>
          </cell>
          <cell r="B10" t="str">
            <v>JB 5</v>
          </cell>
          <cell r="C10">
            <v>7</v>
          </cell>
          <cell r="D10">
            <v>7</v>
          </cell>
          <cell r="E10">
            <v>12</v>
          </cell>
          <cell r="F10">
            <v>12</v>
          </cell>
          <cell r="G10">
            <v>2.7</v>
          </cell>
          <cell r="H10">
            <v>12.1</v>
          </cell>
          <cell r="I10">
            <v>4.8</v>
          </cell>
          <cell r="J10">
            <v>7.5</v>
          </cell>
          <cell r="K10">
            <v>10.8</v>
          </cell>
          <cell r="L10">
            <v>3.2000000000000001E-2</v>
          </cell>
          <cell r="M10">
            <v>0.04</v>
          </cell>
          <cell r="N10">
            <v>4.8000000000000001E-2</v>
          </cell>
          <cell r="O10">
            <v>0.1125</v>
          </cell>
          <cell r="P10">
            <v>0.13750000000000001</v>
          </cell>
          <cell r="Q10">
            <v>0.16250000000000001</v>
          </cell>
          <cell r="R10">
            <v>0.1125</v>
          </cell>
          <cell r="S10">
            <v>0.13750000000000001</v>
          </cell>
          <cell r="T10">
            <v>0.16250000000000001</v>
          </cell>
          <cell r="U10">
            <v>1.5389999999999999</v>
          </cell>
          <cell r="V10">
            <v>1.5589999999999999</v>
          </cell>
          <cell r="W10">
            <v>1.5940000000000001</v>
          </cell>
          <cell r="X10">
            <v>1.601</v>
          </cell>
          <cell r="Y10">
            <v>5</v>
          </cell>
        </row>
        <row r="11">
          <cell r="A11">
            <v>6</v>
          </cell>
          <cell r="B11" t="str">
            <v>JB 6</v>
          </cell>
          <cell r="C11">
            <v>7</v>
          </cell>
          <cell r="D11">
            <v>7</v>
          </cell>
          <cell r="E11">
            <v>12</v>
          </cell>
          <cell r="F11">
            <v>12</v>
          </cell>
          <cell r="G11">
            <v>3</v>
          </cell>
          <cell r="H11">
            <v>12</v>
          </cell>
          <cell r="I11">
            <v>7.25</v>
          </cell>
          <cell r="J11">
            <v>10.5</v>
          </cell>
          <cell r="K11">
            <v>14.35</v>
          </cell>
          <cell r="L11">
            <v>0.04</v>
          </cell>
          <cell r="M11">
            <v>4.8000000000000001E-2</v>
          </cell>
          <cell r="N11">
            <v>5.6000000000000001E-2</v>
          </cell>
          <cell r="O11">
            <v>0.13750000000000001</v>
          </cell>
          <cell r="P11">
            <v>0.16250000000000001</v>
          </cell>
          <cell r="Q11">
            <v>0.1875</v>
          </cell>
          <cell r="R11">
            <v>0.13750000000000001</v>
          </cell>
          <cell r="S11">
            <v>0.16250000000000001</v>
          </cell>
          <cell r="T11">
            <v>0.1875</v>
          </cell>
          <cell r="U11">
            <v>1.5069999999999999</v>
          </cell>
          <cell r="V11">
            <v>1.57</v>
          </cell>
          <cell r="W11">
            <v>1.5780000000000001</v>
          </cell>
          <cell r="X11">
            <v>1.6339999999999999</v>
          </cell>
          <cell r="Y11">
            <v>6</v>
          </cell>
        </row>
        <row r="12">
          <cell r="A12">
            <v>7</v>
          </cell>
          <cell r="B12" t="str">
            <v>JB 7</v>
          </cell>
          <cell r="C12">
            <v>8</v>
          </cell>
          <cell r="D12">
            <v>8</v>
          </cell>
          <cell r="E12">
            <v>13</v>
          </cell>
          <cell r="F12">
            <v>13</v>
          </cell>
          <cell r="G12">
            <v>2.9</v>
          </cell>
          <cell r="H12">
            <v>17.3</v>
          </cell>
          <cell r="I12">
            <v>10.199999999999999</v>
          </cell>
          <cell r="J12">
            <v>14</v>
          </cell>
          <cell r="K12">
            <v>18.399999999999999</v>
          </cell>
          <cell r="L12">
            <v>4.8000000000000001E-2</v>
          </cell>
          <cell r="M12">
            <v>5.6000000000000001E-2</v>
          </cell>
          <cell r="N12">
            <v>6.4000000000000001E-2</v>
          </cell>
          <cell r="O12">
            <v>0.16250000000000001</v>
          </cell>
          <cell r="P12">
            <v>0.1875</v>
          </cell>
          <cell r="Q12">
            <v>0.21249999999999999</v>
          </cell>
          <cell r="R12">
            <v>0.16250000000000001</v>
          </cell>
          <cell r="S12">
            <v>0.1875</v>
          </cell>
          <cell r="T12">
            <v>0.21249999999999999</v>
          </cell>
          <cell r="U12">
            <v>1.5309999999999999</v>
          </cell>
          <cell r="V12">
            <v>1.597</v>
          </cell>
          <cell r="W12">
            <v>1.605</v>
          </cell>
          <cell r="X12">
            <v>1.633</v>
          </cell>
          <cell r="Y12">
            <v>7</v>
          </cell>
        </row>
        <row r="13">
          <cell r="A13">
            <v>8</v>
          </cell>
          <cell r="B13" t="str">
            <v>JB 8</v>
          </cell>
          <cell r="C13">
            <v>8</v>
          </cell>
          <cell r="D13">
            <v>8</v>
          </cell>
          <cell r="E13">
            <v>13</v>
          </cell>
          <cell r="F13">
            <v>13</v>
          </cell>
          <cell r="G13">
            <v>4.7</v>
          </cell>
          <cell r="H13">
            <v>28.8</v>
          </cell>
          <cell r="I13">
            <v>14</v>
          </cell>
          <cell r="J13">
            <v>20</v>
          </cell>
          <cell r="K13">
            <v>27</v>
          </cell>
          <cell r="L13">
            <v>5.6000000000000001E-2</v>
          </cell>
          <cell r="M13">
            <v>6.4000000000000001E-2</v>
          </cell>
          <cell r="N13">
            <v>7.1999999999999995E-2</v>
          </cell>
          <cell r="O13">
            <v>0.1875</v>
          </cell>
          <cell r="P13">
            <v>0.21249999999999999</v>
          </cell>
          <cell r="Q13">
            <v>0.23749999999999999</v>
          </cell>
          <cell r="R13">
            <v>0.1875</v>
          </cell>
          <cell r="S13">
            <v>0.21249999999999999</v>
          </cell>
          <cell r="T13">
            <v>0.23749999999999999</v>
          </cell>
          <cell r="U13">
            <v>1.5309999999999999</v>
          </cell>
          <cell r="V13">
            <v>1.597</v>
          </cell>
          <cell r="W13">
            <v>1.605</v>
          </cell>
          <cell r="X13">
            <v>1.633</v>
          </cell>
          <cell r="Y13">
            <v>7</v>
          </cell>
        </row>
        <row r="14">
          <cell r="A14">
            <v>9</v>
          </cell>
          <cell r="B14" t="str">
            <v>JB 9</v>
          </cell>
          <cell r="C14">
            <v>8</v>
          </cell>
          <cell r="D14">
            <v>8</v>
          </cell>
          <cell r="E14">
            <v>13</v>
          </cell>
          <cell r="F14">
            <v>13</v>
          </cell>
          <cell r="G14">
            <v>4.7</v>
          </cell>
          <cell r="H14">
            <v>51.1</v>
          </cell>
          <cell r="I14">
            <v>14</v>
          </cell>
          <cell r="J14">
            <v>20</v>
          </cell>
          <cell r="K14">
            <v>27</v>
          </cell>
          <cell r="L14">
            <v>5.6000000000000001E-2</v>
          </cell>
          <cell r="M14">
            <v>6.4000000000000001E-2</v>
          </cell>
          <cell r="N14">
            <v>7.1999999999999995E-2</v>
          </cell>
          <cell r="O14">
            <v>0.1875</v>
          </cell>
          <cell r="P14">
            <v>0.21249999999999999</v>
          </cell>
          <cell r="Q14">
            <v>0.23749999999999999</v>
          </cell>
          <cell r="R14">
            <v>0.1875</v>
          </cell>
          <cell r="S14">
            <v>0.21249999999999999</v>
          </cell>
          <cell r="T14">
            <v>0.23749999999999999</v>
          </cell>
          <cell r="U14">
            <v>1.5309999999999999</v>
          </cell>
          <cell r="V14">
            <v>1.597</v>
          </cell>
          <cell r="W14">
            <v>1.605</v>
          </cell>
          <cell r="X14">
            <v>1.633</v>
          </cell>
          <cell r="Y14">
            <v>7</v>
          </cell>
        </row>
        <row r="15">
          <cell r="A15">
            <v>10</v>
          </cell>
          <cell r="B15" t="str">
            <v>JB 10</v>
          </cell>
          <cell r="C15">
            <v>8</v>
          </cell>
          <cell r="D15">
            <v>8</v>
          </cell>
          <cell r="E15">
            <v>13</v>
          </cell>
          <cell r="F15">
            <v>13</v>
          </cell>
          <cell r="G15">
            <v>3</v>
          </cell>
          <cell r="H15">
            <v>12</v>
          </cell>
        </row>
        <row r="16">
          <cell r="A16">
            <v>11</v>
          </cell>
          <cell r="B16" t="str">
            <v>JB 11</v>
          </cell>
          <cell r="C16">
            <v>8</v>
          </cell>
          <cell r="D16">
            <v>8</v>
          </cell>
          <cell r="E16">
            <v>13</v>
          </cell>
          <cell r="F16">
            <v>13</v>
          </cell>
          <cell r="G16">
            <v>26</v>
          </cell>
          <cell r="H16">
            <v>5</v>
          </cell>
        </row>
        <row r="17">
          <cell r="A17">
            <v>12</v>
          </cell>
          <cell r="B17" t="str">
            <v>JB 12</v>
          </cell>
          <cell r="C17">
            <v>8</v>
          </cell>
          <cell r="D17">
            <v>8</v>
          </cell>
          <cell r="E17">
            <v>13</v>
          </cell>
          <cell r="F17">
            <v>13</v>
          </cell>
        </row>
      </sheetData>
      <sheetData sheetId="4"/>
      <sheetData sheetId="5"/>
      <sheetData sheetId="6"/>
      <sheetData sheetId="7"/>
    </sheetDataSet>
  </externalBook>
</externalLink>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landbrugsinfo.dk/Itvaerktoejer/Planteavl/Sider/pl_km_10_155.aspx" TargetMode="External"/><Relationship Id="rId2" Type="http://schemas.openxmlformats.org/officeDocument/2006/relationships/hyperlink" Target="http://www.landbrugsinfo.dk/Itvaerktoejer/Planteavl/Sider/pl_km_10_155.aspx" TargetMode="External"/><Relationship Id="rId1" Type="http://schemas.openxmlformats.org/officeDocument/2006/relationships/hyperlink" Target="http://www.landbrugsinfo.dk/Sider/vilkaar.aspx"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trlProp" Target="../ctrlProps/ctrlProp852.xml"/><Relationship Id="rId2" Type="http://schemas.openxmlformats.org/officeDocument/2006/relationships/vmlDrawing" Target="../drawings/vmlDrawing8.vml"/><Relationship Id="rId1" Type="http://schemas.openxmlformats.org/officeDocument/2006/relationships/drawing" Target="../drawings/drawing4.xml"/><Relationship Id="rId5" Type="http://schemas.openxmlformats.org/officeDocument/2006/relationships/comments" Target="../comments8.xml"/><Relationship Id="rId4" Type="http://schemas.openxmlformats.org/officeDocument/2006/relationships/ctrlProp" Target="../ctrlProps/ctrlProp853.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303" Type="http://schemas.openxmlformats.org/officeDocument/2006/relationships/ctrlProp" Target="../ctrlProps/ctrlProp300.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324" Type="http://schemas.openxmlformats.org/officeDocument/2006/relationships/ctrlProp" Target="../ctrlProps/ctrlProp321.xml"/><Relationship Id="rId345" Type="http://schemas.openxmlformats.org/officeDocument/2006/relationships/comments" Target="../comments1.xml"/><Relationship Id="rId170" Type="http://schemas.openxmlformats.org/officeDocument/2006/relationships/ctrlProp" Target="../ctrlProps/ctrlProp167.xml"/><Relationship Id="rId191" Type="http://schemas.openxmlformats.org/officeDocument/2006/relationships/ctrlProp" Target="../ctrlProps/ctrlProp188.xml"/><Relationship Id="rId205" Type="http://schemas.openxmlformats.org/officeDocument/2006/relationships/ctrlProp" Target="../ctrlProps/ctrlProp202.xml"/><Relationship Id="rId226" Type="http://schemas.openxmlformats.org/officeDocument/2006/relationships/ctrlProp" Target="../ctrlProps/ctrlProp223.xml"/><Relationship Id="rId247" Type="http://schemas.openxmlformats.org/officeDocument/2006/relationships/ctrlProp" Target="../ctrlProps/ctrlProp244.xml"/><Relationship Id="rId107" Type="http://schemas.openxmlformats.org/officeDocument/2006/relationships/ctrlProp" Target="../ctrlProps/ctrlProp104.xml"/><Relationship Id="rId268" Type="http://schemas.openxmlformats.org/officeDocument/2006/relationships/ctrlProp" Target="../ctrlProps/ctrlProp265.xml"/><Relationship Id="rId289" Type="http://schemas.openxmlformats.org/officeDocument/2006/relationships/ctrlProp" Target="../ctrlProps/ctrlProp286.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314" Type="http://schemas.openxmlformats.org/officeDocument/2006/relationships/ctrlProp" Target="../ctrlProps/ctrlProp311.xml"/><Relationship Id="rId335" Type="http://schemas.openxmlformats.org/officeDocument/2006/relationships/ctrlProp" Target="../ctrlProps/ctrlProp332.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16" Type="http://schemas.openxmlformats.org/officeDocument/2006/relationships/ctrlProp" Target="../ctrlProps/ctrlProp213.xml"/><Relationship Id="rId237" Type="http://schemas.openxmlformats.org/officeDocument/2006/relationships/ctrlProp" Target="../ctrlProps/ctrlProp234.xml"/><Relationship Id="rId258" Type="http://schemas.openxmlformats.org/officeDocument/2006/relationships/ctrlProp" Target="../ctrlProps/ctrlProp255.xml"/><Relationship Id="rId279" Type="http://schemas.openxmlformats.org/officeDocument/2006/relationships/ctrlProp" Target="../ctrlProps/ctrlProp276.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25" Type="http://schemas.openxmlformats.org/officeDocument/2006/relationships/ctrlProp" Target="../ctrlProps/ctrlProp322.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206" Type="http://schemas.openxmlformats.org/officeDocument/2006/relationships/ctrlProp" Target="../ctrlProps/ctrlProp203.xml"/><Relationship Id="rId227" Type="http://schemas.openxmlformats.org/officeDocument/2006/relationships/ctrlProp" Target="../ctrlProps/ctrlProp224.xml"/><Relationship Id="rId248" Type="http://schemas.openxmlformats.org/officeDocument/2006/relationships/ctrlProp" Target="../ctrlProps/ctrlProp245.xml"/><Relationship Id="rId269" Type="http://schemas.openxmlformats.org/officeDocument/2006/relationships/ctrlProp" Target="../ctrlProps/ctrlProp266.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280" Type="http://schemas.openxmlformats.org/officeDocument/2006/relationships/ctrlProp" Target="../ctrlProps/ctrlProp277.xml"/><Relationship Id="rId315" Type="http://schemas.openxmlformats.org/officeDocument/2006/relationships/ctrlProp" Target="../ctrlProps/ctrlProp312.xml"/><Relationship Id="rId336" Type="http://schemas.openxmlformats.org/officeDocument/2006/relationships/ctrlProp" Target="../ctrlProps/ctrlProp333.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217" Type="http://schemas.openxmlformats.org/officeDocument/2006/relationships/ctrlProp" Target="../ctrlProps/ctrlProp214.xml"/><Relationship Id="rId6" Type="http://schemas.openxmlformats.org/officeDocument/2006/relationships/ctrlProp" Target="../ctrlProps/ctrlProp3.xml"/><Relationship Id="rId238" Type="http://schemas.openxmlformats.org/officeDocument/2006/relationships/ctrlProp" Target="../ctrlProps/ctrlProp235.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291" Type="http://schemas.openxmlformats.org/officeDocument/2006/relationships/ctrlProp" Target="../ctrlProps/ctrlProp288.xml"/><Relationship Id="rId305" Type="http://schemas.openxmlformats.org/officeDocument/2006/relationships/ctrlProp" Target="../ctrlProps/ctrlProp302.xml"/><Relationship Id="rId326" Type="http://schemas.openxmlformats.org/officeDocument/2006/relationships/ctrlProp" Target="../ctrlProps/ctrlProp323.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281" Type="http://schemas.openxmlformats.org/officeDocument/2006/relationships/ctrlProp" Target="../ctrlProps/ctrlProp278.xml"/><Relationship Id="rId316" Type="http://schemas.openxmlformats.org/officeDocument/2006/relationships/ctrlProp" Target="../ctrlProps/ctrlProp313.xml"/><Relationship Id="rId337" Type="http://schemas.openxmlformats.org/officeDocument/2006/relationships/ctrlProp" Target="../ctrlProps/ctrlProp334.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250" Type="http://schemas.openxmlformats.org/officeDocument/2006/relationships/ctrlProp" Target="../ctrlProps/ctrlProp247.xml"/><Relationship Id="rId271" Type="http://schemas.openxmlformats.org/officeDocument/2006/relationships/ctrlProp" Target="../ctrlProps/ctrlProp268.xml"/><Relationship Id="rId292" Type="http://schemas.openxmlformats.org/officeDocument/2006/relationships/ctrlProp" Target="../ctrlProps/ctrlProp289.xml"/><Relationship Id="rId306" Type="http://schemas.openxmlformats.org/officeDocument/2006/relationships/ctrlProp" Target="../ctrlProps/ctrlProp303.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327" Type="http://schemas.openxmlformats.org/officeDocument/2006/relationships/ctrlProp" Target="../ctrlProps/ctrlProp324.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240" Type="http://schemas.openxmlformats.org/officeDocument/2006/relationships/ctrlProp" Target="../ctrlProps/ctrlProp237.xml"/><Relationship Id="rId261" Type="http://schemas.openxmlformats.org/officeDocument/2006/relationships/ctrlProp" Target="../ctrlProps/ctrlProp258.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17" Type="http://schemas.openxmlformats.org/officeDocument/2006/relationships/ctrlProp" Target="../ctrlProps/ctrlProp314.xml"/><Relationship Id="rId338" Type="http://schemas.openxmlformats.org/officeDocument/2006/relationships/ctrlProp" Target="../ctrlProps/ctrlProp335.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230" Type="http://schemas.openxmlformats.org/officeDocument/2006/relationships/ctrlProp" Target="../ctrlProps/ctrlProp227.xml"/><Relationship Id="rId251" Type="http://schemas.openxmlformats.org/officeDocument/2006/relationships/ctrlProp" Target="../ctrlProps/ctrlProp248.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72" Type="http://schemas.openxmlformats.org/officeDocument/2006/relationships/ctrlProp" Target="../ctrlProps/ctrlProp269.xml"/><Relationship Id="rId293" Type="http://schemas.openxmlformats.org/officeDocument/2006/relationships/ctrlProp" Target="../ctrlProps/ctrlProp290.xml"/><Relationship Id="rId302" Type="http://schemas.openxmlformats.org/officeDocument/2006/relationships/ctrlProp" Target="../ctrlProps/ctrlProp299.xml"/><Relationship Id="rId307" Type="http://schemas.openxmlformats.org/officeDocument/2006/relationships/ctrlProp" Target="../ctrlProps/ctrlProp304.xml"/><Relationship Id="rId323" Type="http://schemas.openxmlformats.org/officeDocument/2006/relationships/ctrlProp" Target="../ctrlProps/ctrlProp320.xml"/><Relationship Id="rId328" Type="http://schemas.openxmlformats.org/officeDocument/2006/relationships/ctrlProp" Target="../ctrlProps/ctrlProp325.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79" Type="http://schemas.openxmlformats.org/officeDocument/2006/relationships/ctrlProp" Target="../ctrlProps/ctrlProp176.xml"/><Relationship Id="rId195" Type="http://schemas.openxmlformats.org/officeDocument/2006/relationships/ctrlProp" Target="../ctrlProps/ctrlProp192.xml"/><Relationship Id="rId209" Type="http://schemas.openxmlformats.org/officeDocument/2006/relationships/ctrlProp" Target="../ctrlProps/ctrlProp206.xml"/><Relationship Id="rId190" Type="http://schemas.openxmlformats.org/officeDocument/2006/relationships/ctrlProp" Target="../ctrlProps/ctrlProp187.xml"/><Relationship Id="rId204" Type="http://schemas.openxmlformats.org/officeDocument/2006/relationships/ctrlProp" Target="../ctrlProps/ctrlProp201.xml"/><Relationship Id="rId220" Type="http://schemas.openxmlformats.org/officeDocument/2006/relationships/ctrlProp" Target="../ctrlProps/ctrlProp217.xml"/><Relationship Id="rId225" Type="http://schemas.openxmlformats.org/officeDocument/2006/relationships/ctrlProp" Target="../ctrlProps/ctrlProp222.xml"/><Relationship Id="rId241" Type="http://schemas.openxmlformats.org/officeDocument/2006/relationships/ctrlProp" Target="../ctrlProps/ctrlProp238.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262" Type="http://schemas.openxmlformats.org/officeDocument/2006/relationships/ctrlProp" Target="../ctrlProps/ctrlProp259.xml"/><Relationship Id="rId283" Type="http://schemas.openxmlformats.org/officeDocument/2006/relationships/ctrlProp" Target="../ctrlProps/ctrlProp280.xml"/><Relationship Id="rId313" Type="http://schemas.openxmlformats.org/officeDocument/2006/relationships/ctrlProp" Target="../ctrlProps/ctrlProp310.xml"/><Relationship Id="rId318" Type="http://schemas.openxmlformats.org/officeDocument/2006/relationships/ctrlProp" Target="../ctrlProps/ctrlProp315.xml"/><Relationship Id="rId339" Type="http://schemas.openxmlformats.org/officeDocument/2006/relationships/ctrlProp" Target="../ctrlProps/ctrlProp336.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185" Type="http://schemas.openxmlformats.org/officeDocument/2006/relationships/ctrlProp" Target="../ctrlProps/ctrlProp182.xml"/><Relationship Id="rId334" Type="http://schemas.openxmlformats.org/officeDocument/2006/relationships/ctrlProp" Target="../ctrlProps/ctrlProp331.xml"/><Relationship Id="rId4" Type="http://schemas.openxmlformats.org/officeDocument/2006/relationships/ctrlProp" Target="../ctrlProps/ctrlProp1.xml"/><Relationship Id="rId9" Type="http://schemas.openxmlformats.org/officeDocument/2006/relationships/ctrlProp" Target="../ctrlProps/ctrlProp6.xml"/><Relationship Id="rId180" Type="http://schemas.openxmlformats.org/officeDocument/2006/relationships/ctrlProp" Target="../ctrlProps/ctrlProp177.xml"/><Relationship Id="rId210" Type="http://schemas.openxmlformats.org/officeDocument/2006/relationships/ctrlProp" Target="../ctrlProps/ctrlProp20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329" Type="http://schemas.openxmlformats.org/officeDocument/2006/relationships/ctrlProp" Target="../ctrlProps/ctrlProp326.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1.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46.xml"/><Relationship Id="rId3" Type="http://schemas.openxmlformats.org/officeDocument/2006/relationships/vmlDrawing" Target="../drawings/vmlDrawing2.vml"/><Relationship Id="rId7" Type="http://schemas.openxmlformats.org/officeDocument/2006/relationships/ctrlProp" Target="../ctrlProps/ctrlProp345.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44.xml"/><Relationship Id="rId5" Type="http://schemas.openxmlformats.org/officeDocument/2006/relationships/ctrlProp" Target="../ctrlProps/ctrlProp343.xml"/><Relationship Id="rId4" Type="http://schemas.openxmlformats.org/officeDocument/2006/relationships/ctrlProp" Target="../ctrlProps/ctrlProp342.xml"/><Relationship Id="rId9"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460.xml"/><Relationship Id="rId299" Type="http://schemas.openxmlformats.org/officeDocument/2006/relationships/ctrlProp" Target="../ctrlProps/ctrlProp642.xml"/><Relationship Id="rId21" Type="http://schemas.openxmlformats.org/officeDocument/2006/relationships/ctrlProp" Target="../ctrlProps/ctrlProp364.xml"/><Relationship Id="rId63" Type="http://schemas.openxmlformats.org/officeDocument/2006/relationships/ctrlProp" Target="../ctrlProps/ctrlProp406.xml"/><Relationship Id="rId159" Type="http://schemas.openxmlformats.org/officeDocument/2006/relationships/ctrlProp" Target="../ctrlProps/ctrlProp502.xml"/><Relationship Id="rId324" Type="http://schemas.openxmlformats.org/officeDocument/2006/relationships/ctrlProp" Target="../ctrlProps/ctrlProp667.xml"/><Relationship Id="rId366" Type="http://schemas.openxmlformats.org/officeDocument/2006/relationships/ctrlProp" Target="../ctrlProps/ctrlProp709.xml"/><Relationship Id="rId170" Type="http://schemas.openxmlformats.org/officeDocument/2006/relationships/ctrlProp" Target="../ctrlProps/ctrlProp513.xml"/><Relationship Id="rId226" Type="http://schemas.openxmlformats.org/officeDocument/2006/relationships/ctrlProp" Target="../ctrlProps/ctrlProp569.xml"/><Relationship Id="rId433" Type="http://schemas.openxmlformats.org/officeDocument/2006/relationships/ctrlProp" Target="../ctrlProps/ctrlProp776.xml"/><Relationship Id="rId268" Type="http://schemas.openxmlformats.org/officeDocument/2006/relationships/ctrlProp" Target="../ctrlProps/ctrlProp611.xml"/><Relationship Id="rId475" Type="http://schemas.openxmlformats.org/officeDocument/2006/relationships/ctrlProp" Target="../ctrlProps/ctrlProp818.xml"/><Relationship Id="rId32" Type="http://schemas.openxmlformats.org/officeDocument/2006/relationships/ctrlProp" Target="../ctrlProps/ctrlProp375.xml"/><Relationship Id="rId74" Type="http://schemas.openxmlformats.org/officeDocument/2006/relationships/ctrlProp" Target="../ctrlProps/ctrlProp417.xml"/><Relationship Id="rId128" Type="http://schemas.openxmlformats.org/officeDocument/2006/relationships/ctrlProp" Target="../ctrlProps/ctrlProp471.xml"/><Relationship Id="rId335" Type="http://schemas.openxmlformats.org/officeDocument/2006/relationships/ctrlProp" Target="../ctrlProps/ctrlProp678.xml"/><Relationship Id="rId377" Type="http://schemas.openxmlformats.org/officeDocument/2006/relationships/ctrlProp" Target="../ctrlProps/ctrlProp720.xml"/><Relationship Id="rId500" Type="http://schemas.openxmlformats.org/officeDocument/2006/relationships/ctrlProp" Target="../ctrlProps/ctrlProp843.xml"/><Relationship Id="rId5" Type="http://schemas.openxmlformats.org/officeDocument/2006/relationships/ctrlProp" Target="../ctrlProps/ctrlProp348.xml"/><Relationship Id="rId181" Type="http://schemas.openxmlformats.org/officeDocument/2006/relationships/ctrlProp" Target="../ctrlProps/ctrlProp524.xml"/><Relationship Id="rId237" Type="http://schemas.openxmlformats.org/officeDocument/2006/relationships/ctrlProp" Target="../ctrlProps/ctrlProp580.xml"/><Relationship Id="rId402" Type="http://schemas.openxmlformats.org/officeDocument/2006/relationships/ctrlProp" Target="../ctrlProps/ctrlProp745.xml"/><Relationship Id="rId279" Type="http://schemas.openxmlformats.org/officeDocument/2006/relationships/ctrlProp" Target="../ctrlProps/ctrlProp622.xml"/><Relationship Id="rId444" Type="http://schemas.openxmlformats.org/officeDocument/2006/relationships/ctrlProp" Target="../ctrlProps/ctrlProp787.xml"/><Relationship Id="rId486" Type="http://schemas.openxmlformats.org/officeDocument/2006/relationships/ctrlProp" Target="../ctrlProps/ctrlProp829.xml"/><Relationship Id="rId43" Type="http://schemas.openxmlformats.org/officeDocument/2006/relationships/ctrlProp" Target="../ctrlProps/ctrlProp386.xml"/><Relationship Id="rId139" Type="http://schemas.openxmlformats.org/officeDocument/2006/relationships/ctrlProp" Target="../ctrlProps/ctrlProp482.xml"/><Relationship Id="rId290" Type="http://schemas.openxmlformats.org/officeDocument/2006/relationships/ctrlProp" Target="../ctrlProps/ctrlProp633.xml"/><Relationship Id="rId304" Type="http://schemas.openxmlformats.org/officeDocument/2006/relationships/ctrlProp" Target="../ctrlProps/ctrlProp647.xml"/><Relationship Id="rId346" Type="http://schemas.openxmlformats.org/officeDocument/2006/relationships/ctrlProp" Target="../ctrlProps/ctrlProp689.xml"/><Relationship Id="rId388" Type="http://schemas.openxmlformats.org/officeDocument/2006/relationships/ctrlProp" Target="../ctrlProps/ctrlProp731.xml"/><Relationship Id="rId85" Type="http://schemas.openxmlformats.org/officeDocument/2006/relationships/ctrlProp" Target="../ctrlProps/ctrlProp428.xml"/><Relationship Id="rId150" Type="http://schemas.openxmlformats.org/officeDocument/2006/relationships/ctrlProp" Target="../ctrlProps/ctrlProp493.xml"/><Relationship Id="rId192" Type="http://schemas.openxmlformats.org/officeDocument/2006/relationships/ctrlProp" Target="../ctrlProps/ctrlProp535.xml"/><Relationship Id="rId206" Type="http://schemas.openxmlformats.org/officeDocument/2006/relationships/ctrlProp" Target="../ctrlProps/ctrlProp549.xml"/><Relationship Id="rId413" Type="http://schemas.openxmlformats.org/officeDocument/2006/relationships/ctrlProp" Target="../ctrlProps/ctrlProp756.xml"/><Relationship Id="rId248" Type="http://schemas.openxmlformats.org/officeDocument/2006/relationships/ctrlProp" Target="../ctrlProps/ctrlProp591.xml"/><Relationship Id="rId455" Type="http://schemas.openxmlformats.org/officeDocument/2006/relationships/ctrlProp" Target="../ctrlProps/ctrlProp798.xml"/><Relationship Id="rId497" Type="http://schemas.openxmlformats.org/officeDocument/2006/relationships/ctrlProp" Target="../ctrlProps/ctrlProp840.xml"/><Relationship Id="rId12" Type="http://schemas.openxmlformats.org/officeDocument/2006/relationships/ctrlProp" Target="../ctrlProps/ctrlProp355.xml"/><Relationship Id="rId108" Type="http://schemas.openxmlformats.org/officeDocument/2006/relationships/ctrlProp" Target="../ctrlProps/ctrlProp451.xml"/><Relationship Id="rId315" Type="http://schemas.openxmlformats.org/officeDocument/2006/relationships/ctrlProp" Target="../ctrlProps/ctrlProp658.xml"/><Relationship Id="rId357" Type="http://schemas.openxmlformats.org/officeDocument/2006/relationships/ctrlProp" Target="../ctrlProps/ctrlProp700.xml"/><Relationship Id="rId54" Type="http://schemas.openxmlformats.org/officeDocument/2006/relationships/ctrlProp" Target="../ctrlProps/ctrlProp397.xml"/><Relationship Id="rId96" Type="http://schemas.openxmlformats.org/officeDocument/2006/relationships/ctrlProp" Target="../ctrlProps/ctrlProp439.xml"/><Relationship Id="rId161" Type="http://schemas.openxmlformats.org/officeDocument/2006/relationships/ctrlProp" Target="../ctrlProps/ctrlProp504.xml"/><Relationship Id="rId217" Type="http://schemas.openxmlformats.org/officeDocument/2006/relationships/ctrlProp" Target="../ctrlProps/ctrlProp560.xml"/><Relationship Id="rId399" Type="http://schemas.openxmlformats.org/officeDocument/2006/relationships/ctrlProp" Target="../ctrlProps/ctrlProp742.xml"/><Relationship Id="rId259" Type="http://schemas.openxmlformats.org/officeDocument/2006/relationships/ctrlProp" Target="../ctrlProps/ctrlProp602.xml"/><Relationship Id="rId424" Type="http://schemas.openxmlformats.org/officeDocument/2006/relationships/ctrlProp" Target="../ctrlProps/ctrlProp767.xml"/><Relationship Id="rId466" Type="http://schemas.openxmlformats.org/officeDocument/2006/relationships/ctrlProp" Target="../ctrlProps/ctrlProp809.xml"/><Relationship Id="rId23" Type="http://schemas.openxmlformats.org/officeDocument/2006/relationships/ctrlProp" Target="../ctrlProps/ctrlProp366.xml"/><Relationship Id="rId119" Type="http://schemas.openxmlformats.org/officeDocument/2006/relationships/ctrlProp" Target="../ctrlProps/ctrlProp462.xml"/><Relationship Id="rId270" Type="http://schemas.openxmlformats.org/officeDocument/2006/relationships/ctrlProp" Target="../ctrlProps/ctrlProp613.xml"/><Relationship Id="rId326" Type="http://schemas.openxmlformats.org/officeDocument/2006/relationships/ctrlProp" Target="../ctrlProps/ctrlProp669.xml"/><Relationship Id="rId65" Type="http://schemas.openxmlformats.org/officeDocument/2006/relationships/ctrlProp" Target="../ctrlProps/ctrlProp408.xml"/><Relationship Id="rId130" Type="http://schemas.openxmlformats.org/officeDocument/2006/relationships/ctrlProp" Target="../ctrlProps/ctrlProp473.xml"/><Relationship Id="rId368" Type="http://schemas.openxmlformats.org/officeDocument/2006/relationships/ctrlProp" Target="../ctrlProps/ctrlProp711.xml"/><Relationship Id="rId172" Type="http://schemas.openxmlformats.org/officeDocument/2006/relationships/ctrlProp" Target="../ctrlProps/ctrlProp515.xml"/><Relationship Id="rId228" Type="http://schemas.openxmlformats.org/officeDocument/2006/relationships/ctrlProp" Target="../ctrlProps/ctrlProp571.xml"/><Relationship Id="rId435" Type="http://schemas.openxmlformats.org/officeDocument/2006/relationships/ctrlProp" Target="../ctrlProps/ctrlProp778.xml"/><Relationship Id="rId477" Type="http://schemas.openxmlformats.org/officeDocument/2006/relationships/ctrlProp" Target="../ctrlProps/ctrlProp820.xml"/><Relationship Id="rId281" Type="http://schemas.openxmlformats.org/officeDocument/2006/relationships/ctrlProp" Target="../ctrlProps/ctrlProp624.xml"/><Relationship Id="rId337" Type="http://schemas.openxmlformats.org/officeDocument/2006/relationships/ctrlProp" Target="../ctrlProps/ctrlProp680.xml"/><Relationship Id="rId502" Type="http://schemas.openxmlformats.org/officeDocument/2006/relationships/ctrlProp" Target="../ctrlProps/ctrlProp845.xml"/><Relationship Id="rId34" Type="http://schemas.openxmlformats.org/officeDocument/2006/relationships/ctrlProp" Target="../ctrlProps/ctrlProp377.xml"/><Relationship Id="rId76" Type="http://schemas.openxmlformats.org/officeDocument/2006/relationships/ctrlProp" Target="../ctrlProps/ctrlProp419.xml"/><Relationship Id="rId141" Type="http://schemas.openxmlformats.org/officeDocument/2006/relationships/ctrlProp" Target="../ctrlProps/ctrlProp484.xml"/><Relationship Id="rId379" Type="http://schemas.openxmlformats.org/officeDocument/2006/relationships/ctrlProp" Target="../ctrlProps/ctrlProp722.xml"/><Relationship Id="rId7" Type="http://schemas.openxmlformats.org/officeDocument/2006/relationships/ctrlProp" Target="../ctrlProps/ctrlProp350.xml"/><Relationship Id="rId183" Type="http://schemas.openxmlformats.org/officeDocument/2006/relationships/ctrlProp" Target="../ctrlProps/ctrlProp526.xml"/><Relationship Id="rId239" Type="http://schemas.openxmlformats.org/officeDocument/2006/relationships/ctrlProp" Target="../ctrlProps/ctrlProp582.xml"/><Relationship Id="rId390" Type="http://schemas.openxmlformats.org/officeDocument/2006/relationships/ctrlProp" Target="../ctrlProps/ctrlProp733.xml"/><Relationship Id="rId404" Type="http://schemas.openxmlformats.org/officeDocument/2006/relationships/ctrlProp" Target="../ctrlProps/ctrlProp747.xml"/><Relationship Id="rId446" Type="http://schemas.openxmlformats.org/officeDocument/2006/relationships/ctrlProp" Target="../ctrlProps/ctrlProp789.xml"/><Relationship Id="rId250" Type="http://schemas.openxmlformats.org/officeDocument/2006/relationships/ctrlProp" Target="../ctrlProps/ctrlProp593.xml"/><Relationship Id="rId292" Type="http://schemas.openxmlformats.org/officeDocument/2006/relationships/ctrlProp" Target="../ctrlProps/ctrlProp635.xml"/><Relationship Id="rId306" Type="http://schemas.openxmlformats.org/officeDocument/2006/relationships/ctrlProp" Target="../ctrlProps/ctrlProp649.xml"/><Relationship Id="rId488" Type="http://schemas.openxmlformats.org/officeDocument/2006/relationships/ctrlProp" Target="../ctrlProps/ctrlProp831.xml"/><Relationship Id="rId45" Type="http://schemas.openxmlformats.org/officeDocument/2006/relationships/ctrlProp" Target="../ctrlProps/ctrlProp388.xml"/><Relationship Id="rId87" Type="http://schemas.openxmlformats.org/officeDocument/2006/relationships/ctrlProp" Target="../ctrlProps/ctrlProp430.xml"/><Relationship Id="rId110" Type="http://schemas.openxmlformats.org/officeDocument/2006/relationships/ctrlProp" Target="../ctrlProps/ctrlProp453.xml"/><Relationship Id="rId348" Type="http://schemas.openxmlformats.org/officeDocument/2006/relationships/ctrlProp" Target="../ctrlProps/ctrlProp691.xml"/><Relationship Id="rId152" Type="http://schemas.openxmlformats.org/officeDocument/2006/relationships/ctrlProp" Target="../ctrlProps/ctrlProp495.xml"/><Relationship Id="rId173" Type="http://schemas.openxmlformats.org/officeDocument/2006/relationships/ctrlProp" Target="../ctrlProps/ctrlProp516.xml"/><Relationship Id="rId194" Type="http://schemas.openxmlformats.org/officeDocument/2006/relationships/ctrlProp" Target="../ctrlProps/ctrlProp537.xml"/><Relationship Id="rId208" Type="http://schemas.openxmlformats.org/officeDocument/2006/relationships/ctrlProp" Target="../ctrlProps/ctrlProp551.xml"/><Relationship Id="rId229" Type="http://schemas.openxmlformats.org/officeDocument/2006/relationships/ctrlProp" Target="../ctrlProps/ctrlProp572.xml"/><Relationship Id="rId380" Type="http://schemas.openxmlformats.org/officeDocument/2006/relationships/ctrlProp" Target="../ctrlProps/ctrlProp723.xml"/><Relationship Id="rId415" Type="http://schemas.openxmlformats.org/officeDocument/2006/relationships/ctrlProp" Target="../ctrlProps/ctrlProp758.xml"/><Relationship Id="rId436" Type="http://schemas.openxmlformats.org/officeDocument/2006/relationships/ctrlProp" Target="../ctrlProps/ctrlProp779.xml"/><Relationship Id="rId457" Type="http://schemas.openxmlformats.org/officeDocument/2006/relationships/ctrlProp" Target="../ctrlProps/ctrlProp800.xml"/><Relationship Id="rId240" Type="http://schemas.openxmlformats.org/officeDocument/2006/relationships/ctrlProp" Target="../ctrlProps/ctrlProp583.xml"/><Relationship Id="rId261" Type="http://schemas.openxmlformats.org/officeDocument/2006/relationships/ctrlProp" Target="../ctrlProps/ctrlProp604.xml"/><Relationship Id="rId478" Type="http://schemas.openxmlformats.org/officeDocument/2006/relationships/ctrlProp" Target="../ctrlProps/ctrlProp821.xml"/><Relationship Id="rId499" Type="http://schemas.openxmlformats.org/officeDocument/2006/relationships/ctrlProp" Target="../ctrlProps/ctrlProp842.xml"/><Relationship Id="rId14" Type="http://schemas.openxmlformats.org/officeDocument/2006/relationships/ctrlProp" Target="../ctrlProps/ctrlProp357.xml"/><Relationship Id="rId35" Type="http://schemas.openxmlformats.org/officeDocument/2006/relationships/ctrlProp" Target="../ctrlProps/ctrlProp378.xml"/><Relationship Id="rId56" Type="http://schemas.openxmlformats.org/officeDocument/2006/relationships/ctrlProp" Target="../ctrlProps/ctrlProp399.xml"/><Relationship Id="rId77" Type="http://schemas.openxmlformats.org/officeDocument/2006/relationships/ctrlProp" Target="../ctrlProps/ctrlProp420.xml"/><Relationship Id="rId100" Type="http://schemas.openxmlformats.org/officeDocument/2006/relationships/ctrlProp" Target="../ctrlProps/ctrlProp443.xml"/><Relationship Id="rId282" Type="http://schemas.openxmlformats.org/officeDocument/2006/relationships/ctrlProp" Target="../ctrlProps/ctrlProp625.xml"/><Relationship Id="rId317" Type="http://schemas.openxmlformats.org/officeDocument/2006/relationships/ctrlProp" Target="../ctrlProps/ctrlProp660.xml"/><Relationship Id="rId338" Type="http://schemas.openxmlformats.org/officeDocument/2006/relationships/ctrlProp" Target="../ctrlProps/ctrlProp681.xml"/><Relationship Id="rId359" Type="http://schemas.openxmlformats.org/officeDocument/2006/relationships/ctrlProp" Target="../ctrlProps/ctrlProp702.xml"/><Relationship Id="rId503" Type="http://schemas.openxmlformats.org/officeDocument/2006/relationships/ctrlProp" Target="../ctrlProps/ctrlProp846.xml"/><Relationship Id="rId8" Type="http://schemas.openxmlformats.org/officeDocument/2006/relationships/ctrlProp" Target="../ctrlProps/ctrlProp351.xml"/><Relationship Id="rId98" Type="http://schemas.openxmlformats.org/officeDocument/2006/relationships/ctrlProp" Target="../ctrlProps/ctrlProp441.xml"/><Relationship Id="rId121" Type="http://schemas.openxmlformats.org/officeDocument/2006/relationships/ctrlProp" Target="../ctrlProps/ctrlProp464.xml"/><Relationship Id="rId142" Type="http://schemas.openxmlformats.org/officeDocument/2006/relationships/ctrlProp" Target="../ctrlProps/ctrlProp485.xml"/><Relationship Id="rId163" Type="http://schemas.openxmlformats.org/officeDocument/2006/relationships/ctrlProp" Target="../ctrlProps/ctrlProp506.xml"/><Relationship Id="rId184" Type="http://schemas.openxmlformats.org/officeDocument/2006/relationships/ctrlProp" Target="../ctrlProps/ctrlProp527.xml"/><Relationship Id="rId219" Type="http://schemas.openxmlformats.org/officeDocument/2006/relationships/ctrlProp" Target="../ctrlProps/ctrlProp562.xml"/><Relationship Id="rId370" Type="http://schemas.openxmlformats.org/officeDocument/2006/relationships/ctrlProp" Target="../ctrlProps/ctrlProp713.xml"/><Relationship Id="rId391" Type="http://schemas.openxmlformats.org/officeDocument/2006/relationships/ctrlProp" Target="../ctrlProps/ctrlProp734.xml"/><Relationship Id="rId405" Type="http://schemas.openxmlformats.org/officeDocument/2006/relationships/ctrlProp" Target="../ctrlProps/ctrlProp748.xml"/><Relationship Id="rId426" Type="http://schemas.openxmlformats.org/officeDocument/2006/relationships/ctrlProp" Target="../ctrlProps/ctrlProp769.xml"/><Relationship Id="rId447" Type="http://schemas.openxmlformats.org/officeDocument/2006/relationships/ctrlProp" Target="../ctrlProps/ctrlProp790.xml"/><Relationship Id="rId230" Type="http://schemas.openxmlformats.org/officeDocument/2006/relationships/ctrlProp" Target="../ctrlProps/ctrlProp573.xml"/><Relationship Id="rId251" Type="http://schemas.openxmlformats.org/officeDocument/2006/relationships/ctrlProp" Target="../ctrlProps/ctrlProp594.xml"/><Relationship Id="rId468" Type="http://schemas.openxmlformats.org/officeDocument/2006/relationships/ctrlProp" Target="../ctrlProps/ctrlProp811.xml"/><Relationship Id="rId489" Type="http://schemas.openxmlformats.org/officeDocument/2006/relationships/ctrlProp" Target="../ctrlProps/ctrlProp832.xml"/><Relationship Id="rId25" Type="http://schemas.openxmlformats.org/officeDocument/2006/relationships/ctrlProp" Target="../ctrlProps/ctrlProp368.xml"/><Relationship Id="rId46" Type="http://schemas.openxmlformats.org/officeDocument/2006/relationships/ctrlProp" Target="../ctrlProps/ctrlProp389.xml"/><Relationship Id="rId67" Type="http://schemas.openxmlformats.org/officeDocument/2006/relationships/ctrlProp" Target="../ctrlProps/ctrlProp410.xml"/><Relationship Id="rId272" Type="http://schemas.openxmlformats.org/officeDocument/2006/relationships/ctrlProp" Target="../ctrlProps/ctrlProp615.xml"/><Relationship Id="rId293" Type="http://schemas.openxmlformats.org/officeDocument/2006/relationships/ctrlProp" Target="../ctrlProps/ctrlProp636.xml"/><Relationship Id="rId307" Type="http://schemas.openxmlformats.org/officeDocument/2006/relationships/ctrlProp" Target="../ctrlProps/ctrlProp650.xml"/><Relationship Id="rId328" Type="http://schemas.openxmlformats.org/officeDocument/2006/relationships/ctrlProp" Target="../ctrlProps/ctrlProp671.xml"/><Relationship Id="rId349" Type="http://schemas.openxmlformats.org/officeDocument/2006/relationships/ctrlProp" Target="../ctrlProps/ctrlProp692.xml"/><Relationship Id="rId88" Type="http://schemas.openxmlformats.org/officeDocument/2006/relationships/ctrlProp" Target="../ctrlProps/ctrlProp431.xml"/><Relationship Id="rId111" Type="http://schemas.openxmlformats.org/officeDocument/2006/relationships/ctrlProp" Target="../ctrlProps/ctrlProp454.xml"/><Relationship Id="rId132" Type="http://schemas.openxmlformats.org/officeDocument/2006/relationships/ctrlProp" Target="../ctrlProps/ctrlProp475.xml"/><Relationship Id="rId153" Type="http://schemas.openxmlformats.org/officeDocument/2006/relationships/ctrlProp" Target="../ctrlProps/ctrlProp496.xml"/><Relationship Id="rId174" Type="http://schemas.openxmlformats.org/officeDocument/2006/relationships/ctrlProp" Target="../ctrlProps/ctrlProp517.xml"/><Relationship Id="rId195" Type="http://schemas.openxmlformats.org/officeDocument/2006/relationships/ctrlProp" Target="../ctrlProps/ctrlProp538.xml"/><Relationship Id="rId209" Type="http://schemas.openxmlformats.org/officeDocument/2006/relationships/ctrlProp" Target="../ctrlProps/ctrlProp552.xml"/><Relationship Id="rId360" Type="http://schemas.openxmlformats.org/officeDocument/2006/relationships/ctrlProp" Target="../ctrlProps/ctrlProp703.xml"/><Relationship Id="rId381" Type="http://schemas.openxmlformats.org/officeDocument/2006/relationships/ctrlProp" Target="../ctrlProps/ctrlProp724.xml"/><Relationship Id="rId416" Type="http://schemas.openxmlformats.org/officeDocument/2006/relationships/ctrlProp" Target="../ctrlProps/ctrlProp759.xml"/><Relationship Id="rId220" Type="http://schemas.openxmlformats.org/officeDocument/2006/relationships/ctrlProp" Target="../ctrlProps/ctrlProp563.xml"/><Relationship Id="rId241" Type="http://schemas.openxmlformats.org/officeDocument/2006/relationships/ctrlProp" Target="../ctrlProps/ctrlProp584.xml"/><Relationship Id="rId437" Type="http://schemas.openxmlformats.org/officeDocument/2006/relationships/ctrlProp" Target="../ctrlProps/ctrlProp780.xml"/><Relationship Id="rId458" Type="http://schemas.openxmlformats.org/officeDocument/2006/relationships/ctrlProp" Target="../ctrlProps/ctrlProp801.xml"/><Relationship Id="rId479" Type="http://schemas.openxmlformats.org/officeDocument/2006/relationships/ctrlProp" Target="../ctrlProps/ctrlProp822.xml"/><Relationship Id="rId15" Type="http://schemas.openxmlformats.org/officeDocument/2006/relationships/ctrlProp" Target="../ctrlProps/ctrlProp358.xml"/><Relationship Id="rId36" Type="http://schemas.openxmlformats.org/officeDocument/2006/relationships/ctrlProp" Target="../ctrlProps/ctrlProp379.xml"/><Relationship Id="rId57" Type="http://schemas.openxmlformats.org/officeDocument/2006/relationships/ctrlProp" Target="../ctrlProps/ctrlProp400.xml"/><Relationship Id="rId262" Type="http://schemas.openxmlformats.org/officeDocument/2006/relationships/ctrlProp" Target="../ctrlProps/ctrlProp605.xml"/><Relationship Id="rId283" Type="http://schemas.openxmlformats.org/officeDocument/2006/relationships/ctrlProp" Target="../ctrlProps/ctrlProp626.xml"/><Relationship Id="rId318" Type="http://schemas.openxmlformats.org/officeDocument/2006/relationships/ctrlProp" Target="../ctrlProps/ctrlProp661.xml"/><Relationship Id="rId339" Type="http://schemas.openxmlformats.org/officeDocument/2006/relationships/ctrlProp" Target="../ctrlProps/ctrlProp682.xml"/><Relationship Id="rId490" Type="http://schemas.openxmlformats.org/officeDocument/2006/relationships/ctrlProp" Target="../ctrlProps/ctrlProp833.xml"/><Relationship Id="rId504" Type="http://schemas.openxmlformats.org/officeDocument/2006/relationships/ctrlProp" Target="../ctrlProps/ctrlProp847.xml"/><Relationship Id="rId78" Type="http://schemas.openxmlformats.org/officeDocument/2006/relationships/ctrlProp" Target="../ctrlProps/ctrlProp421.xml"/><Relationship Id="rId99" Type="http://schemas.openxmlformats.org/officeDocument/2006/relationships/ctrlProp" Target="../ctrlProps/ctrlProp442.xml"/><Relationship Id="rId101" Type="http://schemas.openxmlformats.org/officeDocument/2006/relationships/ctrlProp" Target="../ctrlProps/ctrlProp444.xml"/><Relationship Id="rId122" Type="http://schemas.openxmlformats.org/officeDocument/2006/relationships/ctrlProp" Target="../ctrlProps/ctrlProp465.xml"/><Relationship Id="rId143" Type="http://schemas.openxmlformats.org/officeDocument/2006/relationships/ctrlProp" Target="../ctrlProps/ctrlProp486.xml"/><Relationship Id="rId164" Type="http://schemas.openxmlformats.org/officeDocument/2006/relationships/ctrlProp" Target="../ctrlProps/ctrlProp507.xml"/><Relationship Id="rId185" Type="http://schemas.openxmlformats.org/officeDocument/2006/relationships/ctrlProp" Target="../ctrlProps/ctrlProp528.xml"/><Relationship Id="rId350" Type="http://schemas.openxmlformats.org/officeDocument/2006/relationships/ctrlProp" Target="../ctrlProps/ctrlProp693.xml"/><Relationship Id="rId371" Type="http://schemas.openxmlformats.org/officeDocument/2006/relationships/ctrlProp" Target="../ctrlProps/ctrlProp714.xml"/><Relationship Id="rId406" Type="http://schemas.openxmlformats.org/officeDocument/2006/relationships/ctrlProp" Target="../ctrlProps/ctrlProp749.xml"/><Relationship Id="rId9" Type="http://schemas.openxmlformats.org/officeDocument/2006/relationships/ctrlProp" Target="../ctrlProps/ctrlProp352.xml"/><Relationship Id="rId210" Type="http://schemas.openxmlformats.org/officeDocument/2006/relationships/ctrlProp" Target="../ctrlProps/ctrlProp553.xml"/><Relationship Id="rId392" Type="http://schemas.openxmlformats.org/officeDocument/2006/relationships/ctrlProp" Target="../ctrlProps/ctrlProp735.xml"/><Relationship Id="rId427" Type="http://schemas.openxmlformats.org/officeDocument/2006/relationships/ctrlProp" Target="../ctrlProps/ctrlProp770.xml"/><Relationship Id="rId448" Type="http://schemas.openxmlformats.org/officeDocument/2006/relationships/ctrlProp" Target="../ctrlProps/ctrlProp791.xml"/><Relationship Id="rId469" Type="http://schemas.openxmlformats.org/officeDocument/2006/relationships/ctrlProp" Target="../ctrlProps/ctrlProp812.xml"/><Relationship Id="rId26" Type="http://schemas.openxmlformats.org/officeDocument/2006/relationships/ctrlProp" Target="../ctrlProps/ctrlProp369.xml"/><Relationship Id="rId231" Type="http://schemas.openxmlformats.org/officeDocument/2006/relationships/ctrlProp" Target="../ctrlProps/ctrlProp574.xml"/><Relationship Id="rId252" Type="http://schemas.openxmlformats.org/officeDocument/2006/relationships/ctrlProp" Target="../ctrlProps/ctrlProp595.xml"/><Relationship Id="rId273" Type="http://schemas.openxmlformats.org/officeDocument/2006/relationships/ctrlProp" Target="../ctrlProps/ctrlProp616.xml"/><Relationship Id="rId294" Type="http://schemas.openxmlformats.org/officeDocument/2006/relationships/ctrlProp" Target="../ctrlProps/ctrlProp637.xml"/><Relationship Id="rId308" Type="http://schemas.openxmlformats.org/officeDocument/2006/relationships/ctrlProp" Target="../ctrlProps/ctrlProp651.xml"/><Relationship Id="rId329" Type="http://schemas.openxmlformats.org/officeDocument/2006/relationships/ctrlProp" Target="../ctrlProps/ctrlProp672.xml"/><Relationship Id="rId480" Type="http://schemas.openxmlformats.org/officeDocument/2006/relationships/ctrlProp" Target="../ctrlProps/ctrlProp823.xml"/><Relationship Id="rId47" Type="http://schemas.openxmlformats.org/officeDocument/2006/relationships/ctrlProp" Target="../ctrlProps/ctrlProp390.xml"/><Relationship Id="rId68" Type="http://schemas.openxmlformats.org/officeDocument/2006/relationships/ctrlProp" Target="../ctrlProps/ctrlProp411.xml"/><Relationship Id="rId89" Type="http://schemas.openxmlformats.org/officeDocument/2006/relationships/ctrlProp" Target="../ctrlProps/ctrlProp432.xml"/><Relationship Id="rId112" Type="http://schemas.openxmlformats.org/officeDocument/2006/relationships/ctrlProp" Target="../ctrlProps/ctrlProp455.xml"/><Relationship Id="rId133" Type="http://schemas.openxmlformats.org/officeDocument/2006/relationships/ctrlProp" Target="../ctrlProps/ctrlProp476.xml"/><Relationship Id="rId154" Type="http://schemas.openxmlformats.org/officeDocument/2006/relationships/ctrlProp" Target="../ctrlProps/ctrlProp497.xml"/><Relationship Id="rId175" Type="http://schemas.openxmlformats.org/officeDocument/2006/relationships/ctrlProp" Target="../ctrlProps/ctrlProp518.xml"/><Relationship Id="rId340" Type="http://schemas.openxmlformats.org/officeDocument/2006/relationships/ctrlProp" Target="../ctrlProps/ctrlProp683.xml"/><Relationship Id="rId361" Type="http://schemas.openxmlformats.org/officeDocument/2006/relationships/ctrlProp" Target="../ctrlProps/ctrlProp704.xml"/><Relationship Id="rId196" Type="http://schemas.openxmlformats.org/officeDocument/2006/relationships/ctrlProp" Target="../ctrlProps/ctrlProp539.xml"/><Relationship Id="rId200" Type="http://schemas.openxmlformats.org/officeDocument/2006/relationships/ctrlProp" Target="../ctrlProps/ctrlProp543.xml"/><Relationship Id="rId382" Type="http://schemas.openxmlformats.org/officeDocument/2006/relationships/ctrlProp" Target="../ctrlProps/ctrlProp725.xml"/><Relationship Id="rId417" Type="http://schemas.openxmlformats.org/officeDocument/2006/relationships/ctrlProp" Target="../ctrlProps/ctrlProp760.xml"/><Relationship Id="rId438" Type="http://schemas.openxmlformats.org/officeDocument/2006/relationships/ctrlProp" Target="../ctrlProps/ctrlProp781.xml"/><Relationship Id="rId459" Type="http://schemas.openxmlformats.org/officeDocument/2006/relationships/ctrlProp" Target="../ctrlProps/ctrlProp802.xml"/><Relationship Id="rId16" Type="http://schemas.openxmlformats.org/officeDocument/2006/relationships/ctrlProp" Target="../ctrlProps/ctrlProp359.xml"/><Relationship Id="rId221" Type="http://schemas.openxmlformats.org/officeDocument/2006/relationships/ctrlProp" Target="../ctrlProps/ctrlProp564.xml"/><Relationship Id="rId242" Type="http://schemas.openxmlformats.org/officeDocument/2006/relationships/ctrlProp" Target="../ctrlProps/ctrlProp585.xml"/><Relationship Id="rId263" Type="http://schemas.openxmlformats.org/officeDocument/2006/relationships/ctrlProp" Target="../ctrlProps/ctrlProp606.xml"/><Relationship Id="rId284" Type="http://schemas.openxmlformats.org/officeDocument/2006/relationships/ctrlProp" Target="../ctrlProps/ctrlProp627.xml"/><Relationship Id="rId319" Type="http://schemas.openxmlformats.org/officeDocument/2006/relationships/ctrlProp" Target="../ctrlProps/ctrlProp662.xml"/><Relationship Id="rId470" Type="http://schemas.openxmlformats.org/officeDocument/2006/relationships/ctrlProp" Target="../ctrlProps/ctrlProp813.xml"/><Relationship Id="rId491" Type="http://schemas.openxmlformats.org/officeDocument/2006/relationships/ctrlProp" Target="../ctrlProps/ctrlProp834.xml"/><Relationship Id="rId505" Type="http://schemas.openxmlformats.org/officeDocument/2006/relationships/ctrlProp" Target="../ctrlProps/ctrlProp848.xml"/><Relationship Id="rId37" Type="http://schemas.openxmlformats.org/officeDocument/2006/relationships/ctrlProp" Target="../ctrlProps/ctrlProp380.xml"/><Relationship Id="rId58" Type="http://schemas.openxmlformats.org/officeDocument/2006/relationships/ctrlProp" Target="../ctrlProps/ctrlProp401.xml"/><Relationship Id="rId79" Type="http://schemas.openxmlformats.org/officeDocument/2006/relationships/ctrlProp" Target="../ctrlProps/ctrlProp422.xml"/><Relationship Id="rId102" Type="http://schemas.openxmlformats.org/officeDocument/2006/relationships/ctrlProp" Target="../ctrlProps/ctrlProp445.xml"/><Relationship Id="rId123" Type="http://schemas.openxmlformats.org/officeDocument/2006/relationships/ctrlProp" Target="../ctrlProps/ctrlProp466.xml"/><Relationship Id="rId144" Type="http://schemas.openxmlformats.org/officeDocument/2006/relationships/ctrlProp" Target="../ctrlProps/ctrlProp487.xml"/><Relationship Id="rId330" Type="http://schemas.openxmlformats.org/officeDocument/2006/relationships/ctrlProp" Target="../ctrlProps/ctrlProp673.xml"/><Relationship Id="rId90" Type="http://schemas.openxmlformats.org/officeDocument/2006/relationships/ctrlProp" Target="../ctrlProps/ctrlProp433.xml"/><Relationship Id="rId165" Type="http://schemas.openxmlformats.org/officeDocument/2006/relationships/ctrlProp" Target="../ctrlProps/ctrlProp508.xml"/><Relationship Id="rId186" Type="http://schemas.openxmlformats.org/officeDocument/2006/relationships/ctrlProp" Target="../ctrlProps/ctrlProp529.xml"/><Relationship Id="rId351" Type="http://schemas.openxmlformats.org/officeDocument/2006/relationships/ctrlProp" Target="../ctrlProps/ctrlProp694.xml"/><Relationship Id="rId372" Type="http://schemas.openxmlformats.org/officeDocument/2006/relationships/ctrlProp" Target="../ctrlProps/ctrlProp715.xml"/><Relationship Id="rId393" Type="http://schemas.openxmlformats.org/officeDocument/2006/relationships/ctrlProp" Target="../ctrlProps/ctrlProp736.xml"/><Relationship Id="rId407" Type="http://schemas.openxmlformats.org/officeDocument/2006/relationships/ctrlProp" Target="../ctrlProps/ctrlProp750.xml"/><Relationship Id="rId428" Type="http://schemas.openxmlformats.org/officeDocument/2006/relationships/ctrlProp" Target="../ctrlProps/ctrlProp771.xml"/><Relationship Id="rId449" Type="http://schemas.openxmlformats.org/officeDocument/2006/relationships/ctrlProp" Target="../ctrlProps/ctrlProp792.xml"/><Relationship Id="rId211" Type="http://schemas.openxmlformats.org/officeDocument/2006/relationships/ctrlProp" Target="../ctrlProps/ctrlProp554.xml"/><Relationship Id="rId232" Type="http://schemas.openxmlformats.org/officeDocument/2006/relationships/ctrlProp" Target="../ctrlProps/ctrlProp575.xml"/><Relationship Id="rId253" Type="http://schemas.openxmlformats.org/officeDocument/2006/relationships/ctrlProp" Target="../ctrlProps/ctrlProp596.xml"/><Relationship Id="rId274" Type="http://schemas.openxmlformats.org/officeDocument/2006/relationships/ctrlProp" Target="../ctrlProps/ctrlProp617.xml"/><Relationship Id="rId295" Type="http://schemas.openxmlformats.org/officeDocument/2006/relationships/ctrlProp" Target="../ctrlProps/ctrlProp638.xml"/><Relationship Id="rId309" Type="http://schemas.openxmlformats.org/officeDocument/2006/relationships/ctrlProp" Target="../ctrlProps/ctrlProp652.xml"/><Relationship Id="rId460" Type="http://schemas.openxmlformats.org/officeDocument/2006/relationships/ctrlProp" Target="../ctrlProps/ctrlProp803.xml"/><Relationship Id="rId481" Type="http://schemas.openxmlformats.org/officeDocument/2006/relationships/ctrlProp" Target="../ctrlProps/ctrlProp824.xml"/><Relationship Id="rId27" Type="http://schemas.openxmlformats.org/officeDocument/2006/relationships/ctrlProp" Target="../ctrlProps/ctrlProp370.xml"/><Relationship Id="rId48" Type="http://schemas.openxmlformats.org/officeDocument/2006/relationships/ctrlProp" Target="../ctrlProps/ctrlProp391.xml"/><Relationship Id="rId69" Type="http://schemas.openxmlformats.org/officeDocument/2006/relationships/ctrlProp" Target="../ctrlProps/ctrlProp412.xml"/><Relationship Id="rId113" Type="http://schemas.openxmlformats.org/officeDocument/2006/relationships/ctrlProp" Target="../ctrlProps/ctrlProp456.xml"/><Relationship Id="rId134" Type="http://schemas.openxmlformats.org/officeDocument/2006/relationships/ctrlProp" Target="../ctrlProps/ctrlProp477.xml"/><Relationship Id="rId320" Type="http://schemas.openxmlformats.org/officeDocument/2006/relationships/ctrlProp" Target="../ctrlProps/ctrlProp663.xml"/><Relationship Id="rId80" Type="http://schemas.openxmlformats.org/officeDocument/2006/relationships/ctrlProp" Target="../ctrlProps/ctrlProp423.xml"/><Relationship Id="rId155" Type="http://schemas.openxmlformats.org/officeDocument/2006/relationships/ctrlProp" Target="../ctrlProps/ctrlProp498.xml"/><Relationship Id="rId176" Type="http://schemas.openxmlformats.org/officeDocument/2006/relationships/ctrlProp" Target="../ctrlProps/ctrlProp519.xml"/><Relationship Id="rId197" Type="http://schemas.openxmlformats.org/officeDocument/2006/relationships/ctrlProp" Target="../ctrlProps/ctrlProp540.xml"/><Relationship Id="rId341" Type="http://schemas.openxmlformats.org/officeDocument/2006/relationships/ctrlProp" Target="../ctrlProps/ctrlProp684.xml"/><Relationship Id="rId362" Type="http://schemas.openxmlformats.org/officeDocument/2006/relationships/ctrlProp" Target="../ctrlProps/ctrlProp705.xml"/><Relationship Id="rId383" Type="http://schemas.openxmlformats.org/officeDocument/2006/relationships/ctrlProp" Target="../ctrlProps/ctrlProp726.xml"/><Relationship Id="rId418" Type="http://schemas.openxmlformats.org/officeDocument/2006/relationships/ctrlProp" Target="../ctrlProps/ctrlProp761.xml"/><Relationship Id="rId439" Type="http://schemas.openxmlformats.org/officeDocument/2006/relationships/ctrlProp" Target="../ctrlProps/ctrlProp782.xml"/><Relationship Id="rId201" Type="http://schemas.openxmlformats.org/officeDocument/2006/relationships/ctrlProp" Target="../ctrlProps/ctrlProp544.xml"/><Relationship Id="rId222" Type="http://schemas.openxmlformats.org/officeDocument/2006/relationships/ctrlProp" Target="../ctrlProps/ctrlProp565.xml"/><Relationship Id="rId243" Type="http://schemas.openxmlformats.org/officeDocument/2006/relationships/ctrlProp" Target="../ctrlProps/ctrlProp586.xml"/><Relationship Id="rId264" Type="http://schemas.openxmlformats.org/officeDocument/2006/relationships/ctrlProp" Target="../ctrlProps/ctrlProp607.xml"/><Relationship Id="rId285" Type="http://schemas.openxmlformats.org/officeDocument/2006/relationships/ctrlProp" Target="../ctrlProps/ctrlProp628.xml"/><Relationship Id="rId450" Type="http://schemas.openxmlformats.org/officeDocument/2006/relationships/ctrlProp" Target="../ctrlProps/ctrlProp793.xml"/><Relationship Id="rId471" Type="http://schemas.openxmlformats.org/officeDocument/2006/relationships/ctrlProp" Target="../ctrlProps/ctrlProp814.xml"/><Relationship Id="rId506" Type="http://schemas.openxmlformats.org/officeDocument/2006/relationships/ctrlProp" Target="../ctrlProps/ctrlProp849.xml"/><Relationship Id="rId17" Type="http://schemas.openxmlformats.org/officeDocument/2006/relationships/ctrlProp" Target="../ctrlProps/ctrlProp360.xml"/><Relationship Id="rId38" Type="http://schemas.openxmlformats.org/officeDocument/2006/relationships/ctrlProp" Target="../ctrlProps/ctrlProp381.xml"/><Relationship Id="rId59" Type="http://schemas.openxmlformats.org/officeDocument/2006/relationships/ctrlProp" Target="../ctrlProps/ctrlProp402.xml"/><Relationship Id="rId103" Type="http://schemas.openxmlformats.org/officeDocument/2006/relationships/ctrlProp" Target="../ctrlProps/ctrlProp446.xml"/><Relationship Id="rId124" Type="http://schemas.openxmlformats.org/officeDocument/2006/relationships/ctrlProp" Target="../ctrlProps/ctrlProp467.xml"/><Relationship Id="rId310" Type="http://schemas.openxmlformats.org/officeDocument/2006/relationships/ctrlProp" Target="../ctrlProps/ctrlProp653.xml"/><Relationship Id="rId492" Type="http://schemas.openxmlformats.org/officeDocument/2006/relationships/ctrlProp" Target="../ctrlProps/ctrlProp835.xml"/><Relationship Id="rId70" Type="http://schemas.openxmlformats.org/officeDocument/2006/relationships/ctrlProp" Target="../ctrlProps/ctrlProp413.xml"/><Relationship Id="rId91" Type="http://schemas.openxmlformats.org/officeDocument/2006/relationships/ctrlProp" Target="../ctrlProps/ctrlProp434.xml"/><Relationship Id="rId145" Type="http://schemas.openxmlformats.org/officeDocument/2006/relationships/ctrlProp" Target="../ctrlProps/ctrlProp488.xml"/><Relationship Id="rId166" Type="http://schemas.openxmlformats.org/officeDocument/2006/relationships/ctrlProp" Target="../ctrlProps/ctrlProp509.xml"/><Relationship Id="rId187" Type="http://schemas.openxmlformats.org/officeDocument/2006/relationships/ctrlProp" Target="../ctrlProps/ctrlProp530.xml"/><Relationship Id="rId331" Type="http://schemas.openxmlformats.org/officeDocument/2006/relationships/ctrlProp" Target="../ctrlProps/ctrlProp674.xml"/><Relationship Id="rId352" Type="http://schemas.openxmlformats.org/officeDocument/2006/relationships/ctrlProp" Target="../ctrlProps/ctrlProp695.xml"/><Relationship Id="rId373" Type="http://schemas.openxmlformats.org/officeDocument/2006/relationships/ctrlProp" Target="../ctrlProps/ctrlProp716.xml"/><Relationship Id="rId394" Type="http://schemas.openxmlformats.org/officeDocument/2006/relationships/ctrlProp" Target="../ctrlProps/ctrlProp737.xml"/><Relationship Id="rId408" Type="http://schemas.openxmlformats.org/officeDocument/2006/relationships/ctrlProp" Target="../ctrlProps/ctrlProp751.xml"/><Relationship Id="rId429" Type="http://schemas.openxmlformats.org/officeDocument/2006/relationships/ctrlProp" Target="../ctrlProps/ctrlProp772.xml"/><Relationship Id="rId1" Type="http://schemas.openxmlformats.org/officeDocument/2006/relationships/printerSettings" Target="../printerSettings/printerSettings7.bin"/><Relationship Id="rId212" Type="http://schemas.openxmlformats.org/officeDocument/2006/relationships/ctrlProp" Target="../ctrlProps/ctrlProp555.xml"/><Relationship Id="rId233" Type="http://schemas.openxmlformats.org/officeDocument/2006/relationships/ctrlProp" Target="../ctrlProps/ctrlProp576.xml"/><Relationship Id="rId254" Type="http://schemas.openxmlformats.org/officeDocument/2006/relationships/ctrlProp" Target="../ctrlProps/ctrlProp597.xml"/><Relationship Id="rId440" Type="http://schemas.openxmlformats.org/officeDocument/2006/relationships/ctrlProp" Target="../ctrlProps/ctrlProp783.xml"/><Relationship Id="rId28" Type="http://schemas.openxmlformats.org/officeDocument/2006/relationships/ctrlProp" Target="../ctrlProps/ctrlProp371.xml"/><Relationship Id="rId49" Type="http://schemas.openxmlformats.org/officeDocument/2006/relationships/ctrlProp" Target="../ctrlProps/ctrlProp392.xml"/><Relationship Id="rId114" Type="http://schemas.openxmlformats.org/officeDocument/2006/relationships/ctrlProp" Target="../ctrlProps/ctrlProp457.xml"/><Relationship Id="rId275" Type="http://schemas.openxmlformats.org/officeDocument/2006/relationships/ctrlProp" Target="../ctrlProps/ctrlProp618.xml"/><Relationship Id="rId296" Type="http://schemas.openxmlformats.org/officeDocument/2006/relationships/ctrlProp" Target="../ctrlProps/ctrlProp639.xml"/><Relationship Id="rId300" Type="http://schemas.openxmlformats.org/officeDocument/2006/relationships/ctrlProp" Target="../ctrlProps/ctrlProp643.xml"/><Relationship Id="rId461" Type="http://schemas.openxmlformats.org/officeDocument/2006/relationships/ctrlProp" Target="../ctrlProps/ctrlProp804.xml"/><Relationship Id="rId482" Type="http://schemas.openxmlformats.org/officeDocument/2006/relationships/ctrlProp" Target="../ctrlProps/ctrlProp825.xml"/><Relationship Id="rId60" Type="http://schemas.openxmlformats.org/officeDocument/2006/relationships/ctrlProp" Target="../ctrlProps/ctrlProp403.xml"/><Relationship Id="rId81" Type="http://schemas.openxmlformats.org/officeDocument/2006/relationships/ctrlProp" Target="../ctrlProps/ctrlProp424.xml"/><Relationship Id="rId135" Type="http://schemas.openxmlformats.org/officeDocument/2006/relationships/ctrlProp" Target="../ctrlProps/ctrlProp478.xml"/><Relationship Id="rId156" Type="http://schemas.openxmlformats.org/officeDocument/2006/relationships/ctrlProp" Target="../ctrlProps/ctrlProp499.xml"/><Relationship Id="rId177" Type="http://schemas.openxmlformats.org/officeDocument/2006/relationships/ctrlProp" Target="../ctrlProps/ctrlProp520.xml"/><Relationship Id="rId198" Type="http://schemas.openxmlformats.org/officeDocument/2006/relationships/ctrlProp" Target="../ctrlProps/ctrlProp541.xml"/><Relationship Id="rId321" Type="http://schemas.openxmlformats.org/officeDocument/2006/relationships/ctrlProp" Target="../ctrlProps/ctrlProp664.xml"/><Relationship Id="rId342" Type="http://schemas.openxmlformats.org/officeDocument/2006/relationships/ctrlProp" Target="../ctrlProps/ctrlProp685.xml"/><Relationship Id="rId363" Type="http://schemas.openxmlformats.org/officeDocument/2006/relationships/ctrlProp" Target="../ctrlProps/ctrlProp706.xml"/><Relationship Id="rId384" Type="http://schemas.openxmlformats.org/officeDocument/2006/relationships/ctrlProp" Target="../ctrlProps/ctrlProp727.xml"/><Relationship Id="rId419" Type="http://schemas.openxmlformats.org/officeDocument/2006/relationships/ctrlProp" Target="../ctrlProps/ctrlProp762.xml"/><Relationship Id="rId202" Type="http://schemas.openxmlformats.org/officeDocument/2006/relationships/ctrlProp" Target="../ctrlProps/ctrlProp545.xml"/><Relationship Id="rId223" Type="http://schemas.openxmlformats.org/officeDocument/2006/relationships/ctrlProp" Target="../ctrlProps/ctrlProp566.xml"/><Relationship Id="rId244" Type="http://schemas.openxmlformats.org/officeDocument/2006/relationships/ctrlProp" Target="../ctrlProps/ctrlProp587.xml"/><Relationship Id="rId430" Type="http://schemas.openxmlformats.org/officeDocument/2006/relationships/ctrlProp" Target="../ctrlProps/ctrlProp773.xml"/><Relationship Id="rId18" Type="http://schemas.openxmlformats.org/officeDocument/2006/relationships/ctrlProp" Target="../ctrlProps/ctrlProp361.xml"/><Relationship Id="rId39" Type="http://schemas.openxmlformats.org/officeDocument/2006/relationships/ctrlProp" Target="../ctrlProps/ctrlProp382.xml"/><Relationship Id="rId265" Type="http://schemas.openxmlformats.org/officeDocument/2006/relationships/ctrlProp" Target="../ctrlProps/ctrlProp608.xml"/><Relationship Id="rId286" Type="http://schemas.openxmlformats.org/officeDocument/2006/relationships/ctrlProp" Target="../ctrlProps/ctrlProp629.xml"/><Relationship Id="rId451" Type="http://schemas.openxmlformats.org/officeDocument/2006/relationships/ctrlProp" Target="../ctrlProps/ctrlProp794.xml"/><Relationship Id="rId472" Type="http://schemas.openxmlformats.org/officeDocument/2006/relationships/ctrlProp" Target="../ctrlProps/ctrlProp815.xml"/><Relationship Id="rId493" Type="http://schemas.openxmlformats.org/officeDocument/2006/relationships/ctrlProp" Target="../ctrlProps/ctrlProp836.xml"/><Relationship Id="rId507" Type="http://schemas.openxmlformats.org/officeDocument/2006/relationships/ctrlProp" Target="../ctrlProps/ctrlProp850.xml"/><Relationship Id="rId50" Type="http://schemas.openxmlformats.org/officeDocument/2006/relationships/ctrlProp" Target="../ctrlProps/ctrlProp393.xml"/><Relationship Id="rId104" Type="http://schemas.openxmlformats.org/officeDocument/2006/relationships/ctrlProp" Target="../ctrlProps/ctrlProp447.xml"/><Relationship Id="rId125" Type="http://schemas.openxmlformats.org/officeDocument/2006/relationships/ctrlProp" Target="../ctrlProps/ctrlProp468.xml"/><Relationship Id="rId146" Type="http://schemas.openxmlformats.org/officeDocument/2006/relationships/ctrlProp" Target="../ctrlProps/ctrlProp489.xml"/><Relationship Id="rId167" Type="http://schemas.openxmlformats.org/officeDocument/2006/relationships/ctrlProp" Target="../ctrlProps/ctrlProp510.xml"/><Relationship Id="rId188" Type="http://schemas.openxmlformats.org/officeDocument/2006/relationships/ctrlProp" Target="../ctrlProps/ctrlProp531.xml"/><Relationship Id="rId311" Type="http://schemas.openxmlformats.org/officeDocument/2006/relationships/ctrlProp" Target="../ctrlProps/ctrlProp654.xml"/><Relationship Id="rId332" Type="http://schemas.openxmlformats.org/officeDocument/2006/relationships/ctrlProp" Target="../ctrlProps/ctrlProp675.xml"/><Relationship Id="rId353" Type="http://schemas.openxmlformats.org/officeDocument/2006/relationships/ctrlProp" Target="../ctrlProps/ctrlProp696.xml"/><Relationship Id="rId374" Type="http://schemas.openxmlformats.org/officeDocument/2006/relationships/ctrlProp" Target="../ctrlProps/ctrlProp717.xml"/><Relationship Id="rId395" Type="http://schemas.openxmlformats.org/officeDocument/2006/relationships/ctrlProp" Target="../ctrlProps/ctrlProp738.xml"/><Relationship Id="rId409" Type="http://schemas.openxmlformats.org/officeDocument/2006/relationships/ctrlProp" Target="../ctrlProps/ctrlProp752.xml"/><Relationship Id="rId71" Type="http://schemas.openxmlformats.org/officeDocument/2006/relationships/ctrlProp" Target="../ctrlProps/ctrlProp414.xml"/><Relationship Id="rId92" Type="http://schemas.openxmlformats.org/officeDocument/2006/relationships/ctrlProp" Target="../ctrlProps/ctrlProp435.xml"/><Relationship Id="rId213" Type="http://schemas.openxmlformats.org/officeDocument/2006/relationships/ctrlProp" Target="../ctrlProps/ctrlProp556.xml"/><Relationship Id="rId234" Type="http://schemas.openxmlformats.org/officeDocument/2006/relationships/ctrlProp" Target="../ctrlProps/ctrlProp577.xml"/><Relationship Id="rId420" Type="http://schemas.openxmlformats.org/officeDocument/2006/relationships/ctrlProp" Target="../ctrlProps/ctrlProp763.xml"/><Relationship Id="rId2" Type="http://schemas.openxmlformats.org/officeDocument/2006/relationships/drawing" Target="../drawings/drawing3.xml"/><Relationship Id="rId29" Type="http://schemas.openxmlformats.org/officeDocument/2006/relationships/ctrlProp" Target="../ctrlProps/ctrlProp372.xml"/><Relationship Id="rId255" Type="http://schemas.openxmlformats.org/officeDocument/2006/relationships/ctrlProp" Target="../ctrlProps/ctrlProp598.xml"/><Relationship Id="rId276" Type="http://schemas.openxmlformats.org/officeDocument/2006/relationships/ctrlProp" Target="../ctrlProps/ctrlProp619.xml"/><Relationship Id="rId297" Type="http://schemas.openxmlformats.org/officeDocument/2006/relationships/ctrlProp" Target="../ctrlProps/ctrlProp640.xml"/><Relationship Id="rId441" Type="http://schemas.openxmlformats.org/officeDocument/2006/relationships/ctrlProp" Target="../ctrlProps/ctrlProp784.xml"/><Relationship Id="rId462" Type="http://schemas.openxmlformats.org/officeDocument/2006/relationships/ctrlProp" Target="../ctrlProps/ctrlProp805.xml"/><Relationship Id="rId483" Type="http://schemas.openxmlformats.org/officeDocument/2006/relationships/ctrlProp" Target="../ctrlProps/ctrlProp826.xml"/><Relationship Id="rId40" Type="http://schemas.openxmlformats.org/officeDocument/2006/relationships/ctrlProp" Target="../ctrlProps/ctrlProp383.xml"/><Relationship Id="rId115" Type="http://schemas.openxmlformats.org/officeDocument/2006/relationships/ctrlProp" Target="../ctrlProps/ctrlProp458.xml"/><Relationship Id="rId136" Type="http://schemas.openxmlformats.org/officeDocument/2006/relationships/ctrlProp" Target="../ctrlProps/ctrlProp479.xml"/><Relationship Id="rId157" Type="http://schemas.openxmlformats.org/officeDocument/2006/relationships/ctrlProp" Target="../ctrlProps/ctrlProp500.xml"/><Relationship Id="rId178" Type="http://schemas.openxmlformats.org/officeDocument/2006/relationships/ctrlProp" Target="../ctrlProps/ctrlProp521.xml"/><Relationship Id="rId301" Type="http://schemas.openxmlformats.org/officeDocument/2006/relationships/ctrlProp" Target="../ctrlProps/ctrlProp644.xml"/><Relationship Id="rId322" Type="http://schemas.openxmlformats.org/officeDocument/2006/relationships/ctrlProp" Target="../ctrlProps/ctrlProp665.xml"/><Relationship Id="rId343" Type="http://schemas.openxmlformats.org/officeDocument/2006/relationships/ctrlProp" Target="../ctrlProps/ctrlProp686.xml"/><Relationship Id="rId364" Type="http://schemas.openxmlformats.org/officeDocument/2006/relationships/ctrlProp" Target="../ctrlProps/ctrlProp707.xml"/><Relationship Id="rId61" Type="http://schemas.openxmlformats.org/officeDocument/2006/relationships/ctrlProp" Target="../ctrlProps/ctrlProp404.xml"/><Relationship Id="rId82" Type="http://schemas.openxmlformats.org/officeDocument/2006/relationships/ctrlProp" Target="../ctrlProps/ctrlProp425.xml"/><Relationship Id="rId199" Type="http://schemas.openxmlformats.org/officeDocument/2006/relationships/ctrlProp" Target="../ctrlProps/ctrlProp542.xml"/><Relationship Id="rId203" Type="http://schemas.openxmlformats.org/officeDocument/2006/relationships/ctrlProp" Target="../ctrlProps/ctrlProp546.xml"/><Relationship Id="rId385" Type="http://schemas.openxmlformats.org/officeDocument/2006/relationships/ctrlProp" Target="../ctrlProps/ctrlProp728.xml"/><Relationship Id="rId19" Type="http://schemas.openxmlformats.org/officeDocument/2006/relationships/ctrlProp" Target="../ctrlProps/ctrlProp362.xml"/><Relationship Id="rId224" Type="http://schemas.openxmlformats.org/officeDocument/2006/relationships/ctrlProp" Target="../ctrlProps/ctrlProp567.xml"/><Relationship Id="rId245" Type="http://schemas.openxmlformats.org/officeDocument/2006/relationships/ctrlProp" Target="../ctrlProps/ctrlProp588.xml"/><Relationship Id="rId266" Type="http://schemas.openxmlformats.org/officeDocument/2006/relationships/ctrlProp" Target="../ctrlProps/ctrlProp609.xml"/><Relationship Id="rId287" Type="http://schemas.openxmlformats.org/officeDocument/2006/relationships/ctrlProp" Target="../ctrlProps/ctrlProp630.xml"/><Relationship Id="rId410" Type="http://schemas.openxmlformats.org/officeDocument/2006/relationships/ctrlProp" Target="../ctrlProps/ctrlProp753.xml"/><Relationship Id="rId431" Type="http://schemas.openxmlformats.org/officeDocument/2006/relationships/ctrlProp" Target="../ctrlProps/ctrlProp774.xml"/><Relationship Id="rId452" Type="http://schemas.openxmlformats.org/officeDocument/2006/relationships/ctrlProp" Target="../ctrlProps/ctrlProp795.xml"/><Relationship Id="rId473" Type="http://schemas.openxmlformats.org/officeDocument/2006/relationships/ctrlProp" Target="../ctrlProps/ctrlProp816.xml"/><Relationship Id="rId494" Type="http://schemas.openxmlformats.org/officeDocument/2006/relationships/ctrlProp" Target="../ctrlProps/ctrlProp837.xml"/><Relationship Id="rId508" Type="http://schemas.openxmlformats.org/officeDocument/2006/relationships/ctrlProp" Target="../ctrlProps/ctrlProp851.xml"/><Relationship Id="rId30" Type="http://schemas.openxmlformats.org/officeDocument/2006/relationships/ctrlProp" Target="../ctrlProps/ctrlProp373.xml"/><Relationship Id="rId105" Type="http://schemas.openxmlformats.org/officeDocument/2006/relationships/ctrlProp" Target="../ctrlProps/ctrlProp448.xml"/><Relationship Id="rId126" Type="http://schemas.openxmlformats.org/officeDocument/2006/relationships/ctrlProp" Target="../ctrlProps/ctrlProp469.xml"/><Relationship Id="rId147" Type="http://schemas.openxmlformats.org/officeDocument/2006/relationships/ctrlProp" Target="../ctrlProps/ctrlProp490.xml"/><Relationship Id="rId168" Type="http://schemas.openxmlformats.org/officeDocument/2006/relationships/ctrlProp" Target="../ctrlProps/ctrlProp511.xml"/><Relationship Id="rId312" Type="http://schemas.openxmlformats.org/officeDocument/2006/relationships/ctrlProp" Target="../ctrlProps/ctrlProp655.xml"/><Relationship Id="rId333" Type="http://schemas.openxmlformats.org/officeDocument/2006/relationships/ctrlProp" Target="../ctrlProps/ctrlProp676.xml"/><Relationship Id="rId354" Type="http://schemas.openxmlformats.org/officeDocument/2006/relationships/ctrlProp" Target="../ctrlProps/ctrlProp697.xml"/><Relationship Id="rId51" Type="http://schemas.openxmlformats.org/officeDocument/2006/relationships/ctrlProp" Target="../ctrlProps/ctrlProp394.xml"/><Relationship Id="rId72" Type="http://schemas.openxmlformats.org/officeDocument/2006/relationships/ctrlProp" Target="../ctrlProps/ctrlProp415.xml"/><Relationship Id="rId93" Type="http://schemas.openxmlformats.org/officeDocument/2006/relationships/ctrlProp" Target="../ctrlProps/ctrlProp436.xml"/><Relationship Id="rId189" Type="http://schemas.openxmlformats.org/officeDocument/2006/relationships/ctrlProp" Target="../ctrlProps/ctrlProp532.xml"/><Relationship Id="rId375" Type="http://schemas.openxmlformats.org/officeDocument/2006/relationships/ctrlProp" Target="../ctrlProps/ctrlProp718.xml"/><Relationship Id="rId396" Type="http://schemas.openxmlformats.org/officeDocument/2006/relationships/ctrlProp" Target="../ctrlProps/ctrlProp739.xml"/><Relationship Id="rId3" Type="http://schemas.openxmlformats.org/officeDocument/2006/relationships/vmlDrawing" Target="../drawings/vmlDrawing6.vml"/><Relationship Id="rId214" Type="http://schemas.openxmlformats.org/officeDocument/2006/relationships/ctrlProp" Target="../ctrlProps/ctrlProp557.xml"/><Relationship Id="rId235" Type="http://schemas.openxmlformats.org/officeDocument/2006/relationships/ctrlProp" Target="../ctrlProps/ctrlProp578.xml"/><Relationship Id="rId256" Type="http://schemas.openxmlformats.org/officeDocument/2006/relationships/ctrlProp" Target="../ctrlProps/ctrlProp599.xml"/><Relationship Id="rId277" Type="http://schemas.openxmlformats.org/officeDocument/2006/relationships/ctrlProp" Target="../ctrlProps/ctrlProp620.xml"/><Relationship Id="rId298" Type="http://schemas.openxmlformats.org/officeDocument/2006/relationships/ctrlProp" Target="../ctrlProps/ctrlProp641.xml"/><Relationship Id="rId400" Type="http://schemas.openxmlformats.org/officeDocument/2006/relationships/ctrlProp" Target="../ctrlProps/ctrlProp743.xml"/><Relationship Id="rId421" Type="http://schemas.openxmlformats.org/officeDocument/2006/relationships/ctrlProp" Target="../ctrlProps/ctrlProp764.xml"/><Relationship Id="rId442" Type="http://schemas.openxmlformats.org/officeDocument/2006/relationships/ctrlProp" Target="../ctrlProps/ctrlProp785.xml"/><Relationship Id="rId463" Type="http://schemas.openxmlformats.org/officeDocument/2006/relationships/ctrlProp" Target="../ctrlProps/ctrlProp806.xml"/><Relationship Id="rId484" Type="http://schemas.openxmlformats.org/officeDocument/2006/relationships/ctrlProp" Target="../ctrlProps/ctrlProp827.xml"/><Relationship Id="rId116" Type="http://schemas.openxmlformats.org/officeDocument/2006/relationships/ctrlProp" Target="../ctrlProps/ctrlProp459.xml"/><Relationship Id="rId137" Type="http://schemas.openxmlformats.org/officeDocument/2006/relationships/ctrlProp" Target="../ctrlProps/ctrlProp480.xml"/><Relationship Id="rId158" Type="http://schemas.openxmlformats.org/officeDocument/2006/relationships/ctrlProp" Target="../ctrlProps/ctrlProp501.xml"/><Relationship Id="rId302" Type="http://schemas.openxmlformats.org/officeDocument/2006/relationships/ctrlProp" Target="../ctrlProps/ctrlProp645.xml"/><Relationship Id="rId323" Type="http://schemas.openxmlformats.org/officeDocument/2006/relationships/ctrlProp" Target="../ctrlProps/ctrlProp666.xml"/><Relationship Id="rId344" Type="http://schemas.openxmlformats.org/officeDocument/2006/relationships/ctrlProp" Target="../ctrlProps/ctrlProp687.xml"/><Relationship Id="rId20" Type="http://schemas.openxmlformats.org/officeDocument/2006/relationships/ctrlProp" Target="../ctrlProps/ctrlProp363.xml"/><Relationship Id="rId41" Type="http://schemas.openxmlformats.org/officeDocument/2006/relationships/ctrlProp" Target="../ctrlProps/ctrlProp384.xml"/><Relationship Id="rId62" Type="http://schemas.openxmlformats.org/officeDocument/2006/relationships/ctrlProp" Target="../ctrlProps/ctrlProp405.xml"/><Relationship Id="rId83" Type="http://schemas.openxmlformats.org/officeDocument/2006/relationships/ctrlProp" Target="../ctrlProps/ctrlProp426.xml"/><Relationship Id="rId179" Type="http://schemas.openxmlformats.org/officeDocument/2006/relationships/ctrlProp" Target="../ctrlProps/ctrlProp522.xml"/><Relationship Id="rId365" Type="http://schemas.openxmlformats.org/officeDocument/2006/relationships/ctrlProp" Target="../ctrlProps/ctrlProp708.xml"/><Relationship Id="rId386" Type="http://schemas.openxmlformats.org/officeDocument/2006/relationships/ctrlProp" Target="../ctrlProps/ctrlProp729.xml"/><Relationship Id="rId190" Type="http://schemas.openxmlformats.org/officeDocument/2006/relationships/ctrlProp" Target="../ctrlProps/ctrlProp533.xml"/><Relationship Id="rId204" Type="http://schemas.openxmlformats.org/officeDocument/2006/relationships/ctrlProp" Target="../ctrlProps/ctrlProp547.xml"/><Relationship Id="rId225" Type="http://schemas.openxmlformats.org/officeDocument/2006/relationships/ctrlProp" Target="../ctrlProps/ctrlProp568.xml"/><Relationship Id="rId246" Type="http://schemas.openxmlformats.org/officeDocument/2006/relationships/ctrlProp" Target="../ctrlProps/ctrlProp589.xml"/><Relationship Id="rId267" Type="http://schemas.openxmlformats.org/officeDocument/2006/relationships/ctrlProp" Target="../ctrlProps/ctrlProp610.xml"/><Relationship Id="rId288" Type="http://schemas.openxmlformats.org/officeDocument/2006/relationships/ctrlProp" Target="../ctrlProps/ctrlProp631.xml"/><Relationship Id="rId411" Type="http://schemas.openxmlformats.org/officeDocument/2006/relationships/ctrlProp" Target="../ctrlProps/ctrlProp754.xml"/><Relationship Id="rId432" Type="http://schemas.openxmlformats.org/officeDocument/2006/relationships/ctrlProp" Target="../ctrlProps/ctrlProp775.xml"/><Relationship Id="rId453" Type="http://schemas.openxmlformats.org/officeDocument/2006/relationships/ctrlProp" Target="../ctrlProps/ctrlProp796.xml"/><Relationship Id="rId474" Type="http://schemas.openxmlformats.org/officeDocument/2006/relationships/ctrlProp" Target="../ctrlProps/ctrlProp817.xml"/><Relationship Id="rId509" Type="http://schemas.openxmlformats.org/officeDocument/2006/relationships/comments" Target="../comments6.xml"/><Relationship Id="rId106" Type="http://schemas.openxmlformats.org/officeDocument/2006/relationships/ctrlProp" Target="../ctrlProps/ctrlProp449.xml"/><Relationship Id="rId127" Type="http://schemas.openxmlformats.org/officeDocument/2006/relationships/ctrlProp" Target="../ctrlProps/ctrlProp470.xml"/><Relationship Id="rId313" Type="http://schemas.openxmlformats.org/officeDocument/2006/relationships/ctrlProp" Target="../ctrlProps/ctrlProp656.xml"/><Relationship Id="rId495" Type="http://schemas.openxmlformats.org/officeDocument/2006/relationships/ctrlProp" Target="../ctrlProps/ctrlProp838.xml"/><Relationship Id="rId10" Type="http://schemas.openxmlformats.org/officeDocument/2006/relationships/ctrlProp" Target="../ctrlProps/ctrlProp353.xml"/><Relationship Id="rId31" Type="http://schemas.openxmlformats.org/officeDocument/2006/relationships/ctrlProp" Target="../ctrlProps/ctrlProp374.xml"/><Relationship Id="rId52" Type="http://schemas.openxmlformats.org/officeDocument/2006/relationships/ctrlProp" Target="../ctrlProps/ctrlProp395.xml"/><Relationship Id="rId73" Type="http://schemas.openxmlformats.org/officeDocument/2006/relationships/ctrlProp" Target="../ctrlProps/ctrlProp416.xml"/><Relationship Id="rId94" Type="http://schemas.openxmlformats.org/officeDocument/2006/relationships/ctrlProp" Target="../ctrlProps/ctrlProp437.xml"/><Relationship Id="rId148" Type="http://schemas.openxmlformats.org/officeDocument/2006/relationships/ctrlProp" Target="../ctrlProps/ctrlProp491.xml"/><Relationship Id="rId169" Type="http://schemas.openxmlformats.org/officeDocument/2006/relationships/ctrlProp" Target="../ctrlProps/ctrlProp512.xml"/><Relationship Id="rId334" Type="http://schemas.openxmlformats.org/officeDocument/2006/relationships/ctrlProp" Target="../ctrlProps/ctrlProp677.xml"/><Relationship Id="rId355" Type="http://schemas.openxmlformats.org/officeDocument/2006/relationships/ctrlProp" Target="../ctrlProps/ctrlProp698.xml"/><Relationship Id="rId376" Type="http://schemas.openxmlformats.org/officeDocument/2006/relationships/ctrlProp" Target="../ctrlProps/ctrlProp719.xml"/><Relationship Id="rId397" Type="http://schemas.openxmlformats.org/officeDocument/2006/relationships/ctrlProp" Target="../ctrlProps/ctrlProp740.xml"/><Relationship Id="rId4" Type="http://schemas.openxmlformats.org/officeDocument/2006/relationships/ctrlProp" Target="../ctrlProps/ctrlProp347.xml"/><Relationship Id="rId180" Type="http://schemas.openxmlformats.org/officeDocument/2006/relationships/ctrlProp" Target="../ctrlProps/ctrlProp523.xml"/><Relationship Id="rId215" Type="http://schemas.openxmlformats.org/officeDocument/2006/relationships/ctrlProp" Target="../ctrlProps/ctrlProp558.xml"/><Relationship Id="rId236" Type="http://schemas.openxmlformats.org/officeDocument/2006/relationships/ctrlProp" Target="../ctrlProps/ctrlProp579.xml"/><Relationship Id="rId257" Type="http://schemas.openxmlformats.org/officeDocument/2006/relationships/ctrlProp" Target="../ctrlProps/ctrlProp600.xml"/><Relationship Id="rId278" Type="http://schemas.openxmlformats.org/officeDocument/2006/relationships/ctrlProp" Target="../ctrlProps/ctrlProp621.xml"/><Relationship Id="rId401" Type="http://schemas.openxmlformats.org/officeDocument/2006/relationships/ctrlProp" Target="../ctrlProps/ctrlProp744.xml"/><Relationship Id="rId422" Type="http://schemas.openxmlformats.org/officeDocument/2006/relationships/ctrlProp" Target="../ctrlProps/ctrlProp765.xml"/><Relationship Id="rId443" Type="http://schemas.openxmlformats.org/officeDocument/2006/relationships/ctrlProp" Target="../ctrlProps/ctrlProp786.xml"/><Relationship Id="rId464" Type="http://schemas.openxmlformats.org/officeDocument/2006/relationships/ctrlProp" Target="../ctrlProps/ctrlProp807.xml"/><Relationship Id="rId303" Type="http://schemas.openxmlformats.org/officeDocument/2006/relationships/ctrlProp" Target="../ctrlProps/ctrlProp646.xml"/><Relationship Id="rId485" Type="http://schemas.openxmlformats.org/officeDocument/2006/relationships/ctrlProp" Target="../ctrlProps/ctrlProp828.xml"/><Relationship Id="rId42" Type="http://schemas.openxmlformats.org/officeDocument/2006/relationships/ctrlProp" Target="../ctrlProps/ctrlProp385.xml"/><Relationship Id="rId84" Type="http://schemas.openxmlformats.org/officeDocument/2006/relationships/ctrlProp" Target="../ctrlProps/ctrlProp427.xml"/><Relationship Id="rId138" Type="http://schemas.openxmlformats.org/officeDocument/2006/relationships/ctrlProp" Target="../ctrlProps/ctrlProp481.xml"/><Relationship Id="rId345" Type="http://schemas.openxmlformats.org/officeDocument/2006/relationships/ctrlProp" Target="../ctrlProps/ctrlProp688.xml"/><Relationship Id="rId387" Type="http://schemas.openxmlformats.org/officeDocument/2006/relationships/ctrlProp" Target="../ctrlProps/ctrlProp730.xml"/><Relationship Id="rId191" Type="http://schemas.openxmlformats.org/officeDocument/2006/relationships/ctrlProp" Target="../ctrlProps/ctrlProp534.xml"/><Relationship Id="rId205" Type="http://schemas.openxmlformats.org/officeDocument/2006/relationships/ctrlProp" Target="../ctrlProps/ctrlProp548.xml"/><Relationship Id="rId247" Type="http://schemas.openxmlformats.org/officeDocument/2006/relationships/ctrlProp" Target="../ctrlProps/ctrlProp590.xml"/><Relationship Id="rId412" Type="http://schemas.openxmlformats.org/officeDocument/2006/relationships/ctrlProp" Target="../ctrlProps/ctrlProp755.xml"/><Relationship Id="rId107" Type="http://schemas.openxmlformats.org/officeDocument/2006/relationships/ctrlProp" Target="../ctrlProps/ctrlProp450.xml"/><Relationship Id="rId289" Type="http://schemas.openxmlformats.org/officeDocument/2006/relationships/ctrlProp" Target="../ctrlProps/ctrlProp632.xml"/><Relationship Id="rId454" Type="http://schemas.openxmlformats.org/officeDocument/2006/relationships/ctrlProp" Target="../ctrlProps/ctrlProp797.xml"/><Relationship Id="rId496" Type="http://schemas.openxmlformats.org/officeDocument/2006/relationships/ctrlProp" Target="../ctrlProps/ctrlProp839.xml"/><Relationship Id="rId11" Type="http://schemas.openxmlformats.org/officeDocument/2006/relationships/ctrlProp" Target="../ctrlProps/ctrlProp354.xml"/><Relationship Id="rId53" Type="http://schemas.openxmlformats.org/officeDocument/2006/relationships/ctrlProp" Target="../ctrlProps/ctrlProp396.xml"/><Relationship Id="rId149" Type="http://schemas.openxmlformats.org/officeDocument/2006/relationships/ctrlProp" Target="../ctrlProps/ctrlProp492.xml"/><Relationship Id="rId314" Type="http://schemas.openxmlformats.org/officeDocument/2006/relationships/ctrlProp" Target="../ctrlProps/ctrlProp657.xml"/><Relationship Id="rId356" Type="http://schemas.openxmlformats.org/officeDocument/2006/relationships/ctrlProp" Target="../ctrlProps/ctrlProp699.xml"/><Relationship Id="rId398" Type="http://schemas.openxmlformats.org/officeDocument/2006/relationships/ctrlProp" Target="../ctrlProps/ctrlProp741.xml"/><Relationship Id="rId95" Type="http://schemas.openxmlformats.org/officeDocument/2006/relationships/ctrlProp" Target="../ctrlProps/ctrlProp438.xml"/><Relationship Id="rId160" Type="http://schemas.openxmlformats.org/officeDocument/2006/relationships/ctrlProp" Target="../ctrlProps/ctrlProp503.xml"/><Relationship Id="rId216" Type="http://schemas.openxmlformats.org/officeDocument/2006/relationships/ctrlProp" Target="../ctrlProps/ctrlProp559.xml"/><Relationship Id="rId423" Type="http://schemas.openxmlformats.org/officeDocument/2006/relationships/ctrlProp" Target="../ctrlProps/ctrlProp766.xml"/><Relationship Id="rId258" Type="http://schemas.openxmlformats.org/officeDocument/2006/relationships/ctrlProp" Target="../ctrlProps/ctrlProp601.xml"/><Relationship Id="rId465" Type="http://schemas.openxmlformats.org/officeDocument/2006/relationships/ctrlProp" Target="../ctrlProps/ctrlProp808.xml"/><Relationship Id="rId22" Type="http://schemas.openxmlformats.org/officeDocument/2006/relationships/ctrlProp" Target="../ctrlProps/ctrlProp365.xml"/><Relationship Id="rId64" Type="http://schemas.openxmlformats.org/officeDocument/2006/relationships/ctrlProp" Target="../ctrlProps/ctrlProp407.xml"/><Relationship Id="rId118" Type="http://schemas.openxmlformats.org/officeDocument/2006/relationships/ctrlProp" Target="../ctrlProps/ctrlProp461.xml"/><Relationship Id="rId325" Type="http://schemas.openxmlformats.org/officeDocument/2006/relationships/ctrlProp" Target="../ctrlProps/ctrlProp668.xml"/><Relationship Id="rId367" Type="http://schemas.openxmlformats.org/officeDocument/2006/relationships/ctrlProp" Target="../ctrlProps/ctrlProp710.xml"/><Relationship Id="rId171" Type="http://schemas.openxmlformats.org/officeDocument/2006/relationships/ctrlProp" Target="../ctrlProps/ctrlProp514.xml"/><Relationship Id="rId227" Type="http://schemas.openxmlformats.org/officeDocument/2006/relationships/ctrlProp" Target="../ctrlProps/ctrlProp570.xml"/><Relationship Id="rId269" Type="http://schemas.openxmlformats.org/officeDocument/2006/relationships/ctrlProp" Target="../ctrlProps/ctrlProp612.xml"/><Relationship Id="rId434" Type="http://schemas.openxmlformats.org/officeDocument/2006/relationships/ctrlProp" Target="../ctrlProps/ctrlProp777.xml"/><Relationship Id="rId476" Type="http://schemas.openxmlformats.org/officeDocument/2006/relationships/ctrlProp" Target="../ctrlProps/ctrlProp819.xml"/><Relationship Id="rId33" Type="http://schemas.openxmlformats.org/officeDocument/2006/relationships/ctrlProp" Target="../ctrlProps/ctrlProp376.xml"/><Relationship Id="rId129" Type="http://schemas.openxmlformats.org/officeDocument/2006/relationships/ctrlProp" Target="../ctrlProps/ctrlProp472.xml"/><Relationship Id="rId280" Type="http://schemas.openxmlformats.org/officeDocument/2006/relationships/ctrlProp" Target="../ctrlProps/ctrlProp623.xml"/><Relationship Id="rId336" Type="http://schemas.openxmlformats.org/officeDocument/2006/relationships/ctrlProp" Target="../ctrlProps/ctrlProp679.xml"/><Relationship Id="rId501" Type="http://schemas.openxmlformats.org/officeDocument/2006/relationships/ctrlProp" Target="../ctrlProps/ctrlProp844.xml"/><Relationship Id="rId75" Type="http://schemas.openxmlformats.org/officeDocument/2006/relationships/ctrlProp" Target="../ctrlProps/ctrlProp418.xml"/><Relationship Id="rId140" Type="http://schemas.openxmlformats.org/officeDocument/2006/relationships/ctrlProp" Target="../ctrlProps/ctrlProp483.xml"/><Relationship Id="rId182" Type="http://schemas.openxmlformats.org/officeDocument/2006/relationships/ctrlProp" Target="../ctrlProps/ctrlProp525.xml"/><Relationship Id="rId378" Type="http://schemas.openxmlformats.org/officeDocument/2006/relationships/ctrlProp" Target="../ctrlProps/ctrlProp721.xml"/><Relationship Id="rId403" Type="http://schemas.openxmlformats.org/officeDocument/2006/relationships/ctrlProp" Target="../ctrlProps/ctrlProp746.xml"/><Relationship Id="rId6" Type="http://schemas.openxmlformats.org/officeDocument/2006/relationships/ctrlProp" Target="../ctrlProps/ctrlProp349.xml"/><Relationship Id="rId238" Type="http://schemas.openxmlformats.org/officeDocument/2006/relationships/ctrlProp" Target="../ctrlProps/ctrlProp581.xml"/><Relationship Id="rId445" Type="http://schemas.openxmlformats.org/officeDocument/2006/relationships/ctrlProp" Target="../ctrlProps/ctrlProp788.xml"/><Relationship Id="rId487" Type="http://schemas.openxmlformats.org/officeDocument/2006/relationships/ctrlProp" Target="../ctrlProps/ctrlProp830.xml"/><Relationship Id="rId291" Type="http://schemas.openxmlformats.org/officeDocument/2006/relationships/ctrlProp" Target="../ctrlProps/ctrlProp634.xml"/><Relationship Id="rId305" Type="http://schemas.openxmlformats.org/officeDocument/2006/relationships/ctrlProp" Target="../ctrlProps/ctrlProp648.xml"/><Relationship Id="rId347" Type="http://schemas.openxmlformats.org/officeDocument/2006/relationships/ctrlProp" Target="../ctrlProps/ctrlProp690.xml"/><Relationship Id="rId44" Type="http://schemas.openxmlformats.org/officeDocument/2006/relationships/ctrlProp" Target="../ctrlProps/ctrlProp387.xml"/><Relationship Id="rId86" Type="http://schemas.openxmlformats.org/officeDocument/2006/relationships/ctrlProp" Target="../ctrlProps/ctrlProp429.xml"/><Relationship Id="rId151" Type="http://schemas.openxmlformats.org/officeDocument/2006/relationships/ctrlProp" Target="../ctrlProps/ctrlProp494.xml"/><Relationship Id="rId389" Type="http://schemas.openxmlformats.org/officeDocument/2006/relationships/ctrlProp" Target="../ctrlProps/ctrlProp732.xml"/><Relationship Id="rId193" Type="http://schemas.openxmlformats.org/officeDocument/2006/relationships/ctrlProp" Target="../ctrlProps/ctrlProp536.xml"/><Relationship Id="rId207" Type="http://schemas.openxmlformats.org/officeDocument/2006/relationships/ctrlProp" Target="../ctrlProps/ctrlProp550.xml"/><Relationship Id="rId249" Type="http://schemas.openxmlformats.org/officeDocument/2006/relationships/ctrlProp" Target="../ctrlProps/ctrlProp592.xml"/><Relationship Id="rId414" Type="http://schemas.openxmlformats.org/officeDocument/2006/relationships/ctrlProp" Target="../ctrlProps/ctrlProp757.xml"/><Relationship Id="rId456" Type="http://schemas.openxmlformats.org/officeDocument/2006/relationships/ctrlProp" Target="../ctrlProps/ctrlProp799.xml"/><Relationship Id="rId498" Type="http://schemas.openxmlformats.org/officeDocument/2006/relationships/ctrlProp" Target="../ctrlProps/ctrlProp841.xml"/><Relationship Id="rId13" Type="http://schemas.openxmlformats.org/officeDocument/2006/relationships/ctrlProp" Target="../ctrlProps/ctrlProp356.xml"/><Relationship Id="rId109" Type="http://schemas.openxmlformats.org/officeDocument/2006/relationships/ctrlProp" Target="../ctrlProps/ctrlProp452.xml"/><Relationship Id="rId260" Type="http://schemas.openxmlformats.org/officeDocument/2006/relationships/ctrlProp" Target="../ctrlProps/ctrlProp603.xml"/><Relationship Id="rId316" Type="http://schemas.openxmlformats.org/officeDocument/2006/relationships/ctrlProp" Target="../ctrlProps/ctrlProp659.xml"/><Relationship Id="rId55" Type="http://schemas.openxmlformats.org/officeDocument/2006/relationships/ctrlProp" Target="../ctrlProps/ctrlProp398.xml"/><Relationship Id="rId97" Type="http://schemas.openxmlformats.org/officeDocument/2006/relationships/ctrlProp" Target="../ctrlProps/ctrlProp440.xml"/><Relationship Id="rId120" Type="http://schemas.openxmlformats.org/officeDocument/2006/relationships/ctrlProp" Target="../ctrlProps/ctrlProp463.xml"/><Relationship Id="rId358" Type="http://schemas.openxmlformats.org/officeDocument/2006/relationships/ctrlProp" Target="../ctrlProps/ctrlProp701.xml"/><Relationship Id="rId162" Type="http://schemas.openxmlformats.org/officeDocument/2006/relationships/ctrlProp" Target="../ctrlProps/ctrlProp505.xml"/><Relationship Id="rId218" Type="http://schemas.openxmlformats.org/officeDocument/2006/relationships/ctrlProp" Target="../ctrlProps/ctrlProp561.xml"/><Relationship Id="rId425" Type="http://schemas.openxmlformats.org/officeDocument/2006/relationships/ctrlProp" Target="../ctrlProps/ctrlProp768.xml"/><Relationship Id="rId467" Type="http://schemas.openxmlformats.org/officeDocument/2006/relationships/ctrlProp" Target="../ctrlProps/ctrlProp810.xml"/><Relationship Id="rId271" Type="http://schemas.openxmlformats.org/officeDocument/2006/relationships/ctrlProp" Target="../ctrlProps/ctrlProp614.xml"/><Relationship Id="rId24" Type="http://schemas.openxmlformats.org/officeDocument/2006/relationships/ctrlProp" Target="../ctrlProps/ctrlProp367.xml"/><Relationship Id="rId66" Type="http://schemas.openxmlformats.org/officeDocument/2006/relationships/ctrlProp" Target="../ctrlProps/ctrlProp409.xml"/><Relationship Id="rId131" Type="http://schemas.openxmlformats.org/officeDocument/2006/relationships/ctrlProp" Target="../ctrlProps/ctrlProp474.xml"/><Relationship Id="rId327" Type="http://schemas.openxmlformats.org/officeDocument/2006/relationships/ctrlProp" Target="../ctrlProps/ctrlProp670.xml"/><Relationship Id="rId369" Type="http://schemas.openxmlformats.org/officeDocument/2006/relationships/ctrlProp" Target="../ctrlProps/ctrlProp7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27"/>
  <sheetViews>
    <sheetView workbookViewId="0"/>
  </sheetViews>
  <sheetFormatPr defaultRowHeight="14.25" x14ac:dyDescent="0.2"/>
  <cols>
    <col min="1" max="42" width="5.7109375" style="155" customWidth="1"/>
    <col min="43" max="16384" width="9.140625" style="155"/>
  </cols>
  <sheetData>
    <row r="2" spans="2:2" ht="23.25" x14ac:dyDescent="0.35">
      <c r="B2" s="154" t="s">
        <v>1951</v>
      </c>
    </row>
    <row r="5" spans="2:2" x14ac:dyDescent="0.2">
      <c r="B5" s="155" t="s">
        <v>1967</v>
      </c>
    </row>
    <row r="6" spans="2:2" x14ac:dyDescent="0.2">
      <c r="B6" s="155" t="s">
        <v>1952</v>
      </c>
    </row>
    <row r="8" spans="2:2" x14ac:dyDescent="0.2">
      <c r="B8" s="155" t="s">
        <v>1968</v>
      </c>
    </row>
    <row r="9" spans="2:2" x14ac:dyDescent="0.2">
      <c r="B9" s="155" t="s">
        <v>1953</v>
      </c>
    </row>
    <row r="11" spans="2:2" x14ac:dyDescent="0.2">
      <c r="B11" s="155" t="s">
        <v>1966</v>
      </c>
    </row>
    <row r="12" spans="2:2" x14ac:dyDescent="0.2">
      <c r="B12" s="155" t="s">
        <v>1954</v>
      </c>
    </row>
    <row r="14" spans="2:2" ht="15" x14ac:dyDescent="0.25">
      <c r="B14" s="169" t="s">
        <v>1995</v>
      </c>
    </row>
    <row r="15" spans="2:2" x14ac:dyDescent="0.2">
      <c r="B15" s="155" t="s">
        <v>1996</v>
      </c>
    </row>
    <row r="16" spans="2:2" x14ac:dyDescent="0.2">
      <c r="B16" s="155" t="s">
        <v>1998</v>
      </c>
    </row>
    <row r="17" spans="2:13" x14ac:dyDescent="0.2">
      <c r="B17" s="155" t="s">
        <v>1999</v>
      </c>
    </row>
    <row r="18" spans="2:13" ht="15" x14ac:dyDescent="0.25">
      <c r="B18" s="250" t="s">
        <v>1997</v>
      </c>
      <c r="C18" s="253"/>
      <c r="D18" s="253"/>
    </row>
    <row r="20" spans="2:13" ht="15" x14ac:dyDescent="0.25">
      <c r="B20" s="159" t="s">
        <v>1955</v>
      </c>
      <c r="C20" s="160"/>
      <c r="D20" s="160"/>
      <c r="E20" s="160"/>
      <c r="F20" s="160" t="s">
        <v>1965</v>
      </c>
      <c r="G20" s="161"/>
      <c r="H20" s="160"/>
      <c r="I20" s="160"/>
      <c r="J20" s="160"/>
      <c r="K20" s="160"/>
      <c r="L20" s="160"/>
      <c r="M20" s="162"/>
    </row>
    <row r="21" spans="2:13" ht="15" x14ac:dyDescent="0.25">
      <c r="B21" s="163"/>
      <c r="C21" s="156"/>
      <c r="D21" s="156"/>
      <c r="E21" s="156"/>
      <c r="F21" s="156" t="s">
        <v>1956</v>
      </c>
      <c r="G21" s="157"/>
      <c r="H21" s="156"/>
      <c r="I21" s="156"/>
      <c r="J21" s="156"/>
      <c r="K21" s="156"/>
      <c r="L21" s="156"/>
      <c r="M21" s="164"/>
    </row>
    <row r="22" spans="2:13" ht="15" x14ac:dyDescent="0.25">
      <c r="B22" s="163" t="s">
        <v>1957</v>
      </c>
      <c r="C22" s="156"/>
      <c r="D22" s="156"/>
      <c r="E22" s="156"/>
      <c r="F22" s="158" t="s">
        <v>2236</v>
      </c>
      <c r="G22" s="157"/>
      <c r="H22" s="156"/>
      <c r="I22" s="156"/>
      <c r="J22" s="156"/>
      <c r="K22" s="156"/>
      <c r="L22" s="156"/>
      <c r="M22" s="164"/>
    </row>
    <row r="23" spans="2:13" ht="15" x14ac:dyDescent="0.25">
      <c r="B23" s="163" t="s">
        <v>1958</v>
      </c>
      <c r="C23" s="156"/>
      <c r="D23" s="156"/>
      <c r="E23" s="156"/>
      <c r="F23" s="157" t="s">
        <v>1959</v>
      </c>
      <c r="G23" s="157"/>
      <c r="H23" s="156"/>
      <c r="I23" s="156"/>
      <c r="J23" s="156"/>
      <c r="K23" s="156"/>
      <c r="L23" s="156"/>
      <c r="M23" s="164"/>
    </row>
    <row r="24" spans="2:13" ht="15" x14ac:dyDescent="0.25">
      <c r="B24" s="163" t="s">
        <v>1960</v>
      </c>
      <c r="C24" s="156"/>
      <c r="D24" s="156"/>
      <c r="E24" s="156"/>
      <c r="F24" s="157" t="s">
        <v>2235</v>
      </c>
      <c r="G24" s="157"/>
      <c r="H24" s="156"/>
      <c r="I24" s="156"/>
      <c r="J24" s="156"/>
      <c r="K24" s="156"/>
      <c r="L24" s="156"/>
      <c r="M24" s="164"/>
    </row>
    <row r="25" spans="2:13" ht="15" x14ac:dyDescent="0.25">
      <c r="B25" s="163" t="s">
        <v>1961</v>
      </c>
      <c r="C25" s="156"/>
      <c r="D25" s="156"/>
      <c r="E25" s="156"/>
      <c r="F25" s="157" t="s">
        <v>2223</v>
      </c>
      <c r="G25" s="157"/>
      <c r="H25" s="156"/>
      <c r="I25" s="156"/>
      <c r="J25" s="156"/>
      <c r="K25" s="156"/>
      <c r="L25" s="156"/>
      <c r="M25" s="164"/>
    </row>
    <row r="26" spans="2:13" ht="15" x14ac:dyDescent="0.25">
      <c r="B26" s="165" t="s">
        <v>1962</v>
      </c>
      <c r="C26" s="156"/>
      <c r="D26" s="156"/>
      <c r="E26" s="156"/>
      <c r="F26" s="250" t="s">
        <v>1963</v>
      </c>
      <c r="G26" s="250"/>
      <c r="H26" s="250"/>
      <c r="I26" s="156"/>
      <c r="J26" s="156"/>
      <c r="K26" s="156"/>
      <c r="L26" s="156"/>
      <c r="M26" s="164"/>
    </row>
    <row r="27" spans="2:13" ht="15" x14ac:dyDescent="0.25">
      <c r="B27" s="166" t="s">
        <v>1964</v>
      </c>
      <c r="C27" s="167"/>
      <c r="D27" s="167"/>
      <c r="E27" s="167"/>
      <c r="F27" s="251" t="s">
        <v>1980</v>
      </c>
      <c r="G27" s="252"/>
      <c r="H27" s="252"/>
      <c r="I27" s="167"/>
      <c r="J27" s="167"/>
      <c r="K27" s="167"/>
      <c r="L27" s="167"/>
      <c r="M27" s="168"/>
    </row>
  </sheetData>
  <sheetProtection sheet="1" objects="1" scenarios="1"/>
  <mergeCells count="3">
    <mergeCell ref="F26:H26"/>
    <mergeCell ref="F27:H27"/>
    <mergeCell ref="B18:D18"/>
  </mergeCells>
  <hyperlinks>
    <hyperlink ref="F27:H27" r:id="rId1" display="Vilkår"/>
    <hyperlink ref="B18" r:id="rId2"/>
    <hyperlink ref="F26:H26" r:id="rId3" display="Meddelelse"/>
  </hyperlinks>
  <pageMargins left="0.7" right="0.7" top="0.75" bottom="0.75" header="0.3" footer="0.3"/>
  <pageSetup paperSize="9" orientation="portrait"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RX102"/>
  <sheetViews>
    <sheetView topLeftCell="A8" workbookViewId="0">
      <pane xSplit="1" ySplit="9" topLeftCell="B85" activePane="bottomRight" state="frozen"/>
      <selection activeCell="A8" sqref="A8"/>
      <selection pane="topRight" activeCell="B8" sqref="B8"/>
      <selection pane="bottomLeft" activeCell="A17" sqref="A17"/>
      <selection pane="bottomRight" activeCell="A103" sqref="A103"/>
    </sheetView>
  </sheetViews>
  <sheetFormatPr defaultRowHeight="15" x14ac:dyDescent="0.25"/>
  <cols>
    <col min="227" max="227" width="11.5703125" bestFit="1" customWidth="1"/>
    <col min="243" max="243" width="11.42578125" customWidth="1"/>
    <col min="253" max="253" width="12.5703125" bestFit="1" customWidth="1"/>
  </cols>
  <sheetData>
    <row r="2" spans="1:492" ht="21" x14ac:dyDescent="0.35">
      <c r="B2" s="152" t="s">
        <v>1947</v>
      </c>
      <c r="D2" s="152" t="s">
        <v>1948</v>
      </c>
    </row>
    <row r="3" spans="1:492" ht="21" x14ac:dyDescent="0.35">
      <c r="B3" s="153"/>
    </row>
    <row r="4" spans="1:492" x14ac:dyDescent="0.25">
      <c r="B4" s="51" t="s">
        <v>1578</v>
      </c>
      <c r="C4" s="44"/>
      <c r="D4" s="44"/>
      <c r="E4" s="45"/>
      <c r="G4" s="51" t="s">
        <v>1579</v>
      </c>
      <c r="H4" s="44"/>
      <c r="I4" s="44"/>
      <c r="J4" s="44"/>
      <c r="K4" s="44"/>
      <c r="L4" s="44"/>
      <c r="M4" s="44"/>
      <c r="N4" s="44"/>
      <c r="O4" s="44"/>
      <c r="P4" s="44"/>
      <c r="Q4" s="45"/>
      <c r="R4" s="12"/>
      <c r="AF4" s="12"/>
    </row>
    <row r="5" spans="1:492" x14ac:dyDescent="0.25">
      <c r="B5" s="46" t="s">
        <v>484</v>
      </c>
      <c r="C5" s="22" t="s">
        <v>475</v>
      </c>
      <c r="D5" s="22"/>
      <c r="E5" s="47"/>
      <c r="G5" s="46" t="s">
        <v>2</v>
      </c>
      <c r="H5" s="22"/>
      <c r="I5" s="22" t="s">
        <v>3</v>
      </c>
      <c r="J5" s="22"/>
      <c r="K5" s="22" t="s">
        <v>1248</v>
      </c>
      <c r="L5" s="22"/>
      <c r="M5" s="22"/>
      <c r="N5" s="22"/>
      <c r="O5" s="22" t="s">
        <v>499</v>
      </c>
      <c r="P5" s="22" t="s">
        <v>261</v>
      </c>
      <c r="Q5" s="47"/>
      <c r="S5" t="s">
        <v>1673</v>
      </c>
      <c r="T5" t="s">
        <v>1674</v>
      </c>
      <c r="U5" t="s">
        <v>1562</v>
      </c>
      <c r="V5" t="s">
        <v>1564</v>
      </c>
      <c r="W5" t="s">
        <v>1559</v>
      </c>
      <c r="X5" t="s">
        <v>1580</v>
      </c>
      <c r="Y5" t="s">
        <v>1581</v>
      </c>
      <c r="AA5" t="s">
        <v>2309</v>
      </c>
    </row>
    <row r="6" spans="1:492" x14ac:dyDescent="0.25">
      <c r="B6" s="48">
        <f>VLOOKUP(HdgDyreart,HdgType,3)</f>
        <v>75</v>
      </c>
      <c r="C6" s="49">
        <f>HdgDEIalt*VLOOKUP(HdgDyreart,HdgType,4)</f>
        <v>0</v>
      </c>
      <c r="D6" s="49"/>
      <c r="E6" s="50"/>
      <c r="G6" s="48">
        <f>IF(Normer!J11&lt;&gt;"",Normer!J11,Normer!G11)</f>
        <v>100</v>
      </c>
      <c r="H6" s="49">
        <f>G6*0.01</f>
        <v>1</v>
      </c>
      <c r="I6" s="49">
        <f>IF(Normer!J13&lt;&gt;"",Normer!J13,Normer!G13)</f>
        <v>100</v>
      </c>
      <c r="J6" s="49">
        <f>I6*0.01</f>
        <v>1</v>
      </c>
      <c r="K6" s="49">
        <f>IF(Normer!J15&lt;&gt;"",Normer!J15,Normer!G15)</f>
        <v>100</v>
      </c>
      <c r="L6" s="49">
        <f>K6*0.01</f>
        <v>1</v>
      </c>
      <c r="M6" s="49"/>
      <c r="N6" s="49"/>
      <c r="O6" s="49">
        <v>1</v>
      </c>
      <c r="P6" s="49">
        <v>15</v>
      </c>
      <c r="Q6" s="50"/>
      <c r="S6">
        <f>HdgDEIalt-DEAfsatEkstra12</f>
        <v>0</v>
      </c>
      <c r="T6">
        <f>S6*VLOOKUP(HdgDyreart,HdgType,4)</f>
        <v>0</v>
      </c>
      <c r="U6">
        <f>IF(ISERROR(HdgDEIaltKorr12/Harmoniareal12),0,HdgDEIaltKorr12/Harmoniareal12)</f>
        <v>0</v>
      </c>
      <c r="V6">
        <f>IF(U6&gt;=0.8,2,1)</f>
        <v>1</v>
      </c>
      <c r="W6">
        <v>2</v>
      </c>
      <c r="X6">
        <f>IF($V6=1,KvoteredukUnder08DE,KvoteredukOver08DE)</f>
        <v>56</v>
      </c>
      <c r="Y6">
        <f>IF($V6=1,KvoteTillaegUnder08DE,KvoteTillaegOver08DE)</f>
        <v>15</v>
      </c>
      <c r="AA6">
        <v>1</v>
      </c>
    </row>
    <row r="7" spans="1:492" x14ac:dyDescent="0.25">
      <c r="E7" s="12"/>
      <c r="F7" s="12"/>
      <c r="G7" s="12"/>
      <c r="H7" s="12"/>
      <c r="HA7" s="4" t="s">
        <v>327</v>
      </c>
    </row>
    <row r="8" spans="1:492" x14ac:dyDescent="0.25">
      <c r="GQ8" s="4" t="s">
        <v>309</v>
      </c>
    </row>
    <row r="9" spans="1:492" x14ac:dyDescent="0.25">
      <c r="E9" s="12"/>
      <c r="F9" s="12"/>
      <c r="G9" s="12"/>
      <c r="H9" s="12"/>
      <c r="GS9" s="12"/>
      <c r="GW9" s="12"/>
      <c r="GY9" s="12"/>
    </row>
    <row r="10" spans="1:492" x14ac:dyDescent="0.25">
      <c r="GS10" s="12"/>
      <c r="GW10" s="12"/>
      <c r="GY10" s="12"/>
    </row>
    <row r="11" spans="1:492" x14ac:dyDescent="0.25">
      <c r="G11" s="12"/>
    </row>
    <row r="12" spans="1:492" x14ac:dyDescent="0.25">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4" t="s">
        <v>2265</v>
      </c>
      <c r="GR12" s="4"/>
      <c r="GS12" s="4"/>
      <c r="GT12" s="4"/>
      <c r="HD12" t="s">
        <v>2026</v>
      </c>
      <c r="RK12" t="s">
        <v>2310</v>
      </c>
    </row>
    <row r="13" spans="1:492" x14ac:dyDescent="0.25">
      <c r="BQ13" s="12"/>
      <c r="BR13" s="12"/>
      <c r="BS13" s="12"/>
      <c r="BT13" s="12"/>
      <c r="BU13" s="12"/>
      <c r="BV13" s="12"/>
      <c r="FS13" s="4" t="s">
        <v>262</v>
      </c>
      <c r="GK13" s="3" t="s">
        <v>2319</v>
      </c>
    </row>
    <row r="14" spans="1:492" ht="60" x14ac:dyDescent="0.25">
      <c r="Q14" s="12"/>
      <c r="EU14" s="3" t="s">
        <v>1753</v>
      </c>
      <c r="FF14" s="3" t="s">
        <v>2303</v>
      </c>
      <c r="FG14" s="3"/>
      <c r="GQ14" s="6" t="s">
        <v>266</v>
      </c>
      <c r="GR14" s="6" t="s">
        <v>267</v>
      </c>
      <c r="GS14" s="6" t="s">
        <v>268</v>
      </c>
      <c r="GT14" s="6" t="s">
        <v>269</v>
      </c>
      <c r="GU14" s="6" t="s">
        <v>232</v>
      </c>
      <c r="GV14" s="6" t="s">
        <v>270</v>
      </c>
      <c r="GW14" s="6" t="s">
        <v>271</v>
      </c>
      <c r="GX14" s="6" t="s">
        <v>272</v>
      </c>
      <c r="GY14" s="6" t="s">
        <v>273</v>
      </c>
      <c r="GZ14" s="7" t="s">
        <v>273</v>
      </c>
      <c r="HA14" s="6" t="s">
        <v>274</v>
      </c>
      <c r="HB14" s="6" t="s">
        <v>275</v>
      </c>
      <c r="HC14" s="6"/>
      <c r="HD14" s="6"/>
      <c r="HE14" s="6" t="s">
        <v>276</v>
      </c>
      <c r="HF14" s="6"/>
      <c r="HG14" s="6"/>
      <c r="HH14" s="6" t="s">
        <v>277</v>
      </c>
      <c r="HI14" s="6" t="s">
        <v>278</v>
      </c>
      <c r="HJ14" s="6" t="s">
        <v>279</v>
      </c>
      <c r="HK14" s="6" t="s">
        <v>280</v>
      </c>
      <c r="HL14" s="6" t="s">
        <v>281</v>
      </c>
      <c r="HM14" s="6" t="s">
        <v>282</v>
      </c>
      <c r="HN14" s="6" t="s">
        <v>283</v>
      </c>
      <c r="HO14" s="6" t="s">
        <v>284</v>
      </c>
      <c r="HP14" s="6" t="s">
        <v>285</v>
      </c>
      <c r="HQ14" s="6" t="s">
        <v>286</v>
      </c>
      <c r="HR14" s="6" t="s">
        <v>287</v>
      </c>
      <c r="HS14" s="6"/>
      <c r="HT14" s="6"/>
      <c r="HU14" s="6" t="s">
        <v>288</v>
      </c>
      <c r="HV14" s="6"/>
      <c r="HW14" s="6"/>
      <c r="HX14" s="6" t="s">
        <v>110</v>
      </c>
      <c r="HY14" s="6"/>
      <c r="HZ14" s="6" t="s">
        <v>111</v>
      </c>
      <c r="IA14" s="6" t="s">
        <v>289</v>
      </c>
      <c r="IB14" s="6" t="s">
        <v>1949</v>
      </c>
      <c r="IC14" s="8" t="s">
        <v>290</v>
      </c>
      <c r="ID14" s="6" t="s">
        <v>1234</v>
      </c>
      <c r="IE14" s="6" t="s">
        <v>2277</v>
      </c>
      <c r="IF14" s="6" t="s">
        <v>1242</v>
      </c>
      <c r="IG14" s="6" t="s">
        <v>1243</v>
      </c>
      <c r="IH14" s="6" t="s">
        <v>1250</v>
      </c>
      <c r="II14" s="6" t="s">
        <v>1252</v>
      </c>
      <c r="IJ14" s="6" t="s">
        <v>1253</v>
      </c>
      <c r="IK14" s="6"/>
      <c r="IL14" s="5" t="s">
        <v>1864</v>
      </c>
      <c r="IM14" s="6"/>
      <c r="IN14" s="6"/>
      <c r="IO14" s="3" t="s">
        <v>330</v>
      </c>
      <c r="JY14" s="3" t="s">
        <v>348</v>
      </c>
      <c r="LU14" s="3" t="s">
        <v>331</v>
      </c>
      <c r="NB14" s="3" t="s">
        <v>417</v>
      </c>
      <c r="OJ14" s="3" t="s">
        <v>1144</v>
      </c>
      <c r="OK14" s="3"/>
      <c r="OO14" s="3" t="s">
        <v>1149</v>
      </c>
      <c r="PB14" s="3" t="s">
        <v>1161</v>
      </c>
      <c r="PL14" s="3" t="s">
        <v>1306</v>
      </c>
      <c r="PQ14" s="3" t="s">
        <v>1329</v>
      </c>
      <c r="PT14" s="3" t="s">
        <v>473</v>
      </c>
      <c r="PU14" s="3"/>
      <c r="PY14" t="s">
        <v>1419</v>
      </c>
      <c r="QB14" t="s">
        <v>1421</v>
      </c>
      <c r="QE14" s="3" t="s">
        <v>1173</v>
      </c>
      <c r="QF14" s="3"/>
      <c r="RA14" t="s">
        <v>1802</v>
      </c>
      <c r="RO14" s="3" t="s">
        <v>2327</v>
      </c>
    </row>
    <row r="15" spans="1:492" ht="45" x14ac:dyDescent="0.25">
      <c r="AB15" s="3" t="s">
        <v>132</v>
      </c>
      <c r="AG15" s="3"/>
      <c r="AH15" s="3" t="s">
        <v>216</v>
      </c>
      <c r="AI15" s="3"/>
      <c r="AR15" s="3" t="s">
        <v>185</v>
      </c>
      <c r="AW15" s="3" t="s">
        <v>1337</v>
      </c>
      <c r="BA15" s="3" t="s">
        <v>2270</v>
      </c>
      <c r="BB15" s="3"/>
      <c r="BH15" s="3" t="s">
        <v>217</v>
      </c>
      <c r="BN15" s="3" t="s">
        <v>1746</v>
      </c>
      <c r="BO15" s="3"/>
      <c r="BQ15" s="3" t="s">
        <v>218</v>
      </c>
      <c r="BZ15" t="s">
        <v>2248</v>
      </c>
      <c r="CQ15" t="s">
        <v>2289</v>
      </c>
      <c r="CT15" t="s">
        <v>2294</v>
      </c>
      <c r="CW15" t="s">
        <v>2249</v>
      </c>
      <c r="CY15" t="s">
        <v>2296</v>
      </c>
      <c r="DB15" t="s">
        <v>2297</v>
      </c>
      <c r="DE15" t="s">
        <v>2250</v>
      </c>
      <c r="DG15" t="s">
        <v>489</v>
      </c>
      <c r="DS15" t="s">
        <v>492</v>
      </c>
      <c r="DV15" t="s">
        <v>502</v>
      </c>
      <c r="DY15" t="s">
        <v>490</v>
      </c>
      <c r="EE15" t="s">
        <v>494</v>
      </c>
      <c r="EH15" t="s">
        <v>504</v>
      </c>
      <c r="EK15" t="s">
        <v>491</v>
      </c>
      <c r="EO15" t="s">
        <v>500</v>
      </c>
      <c r="ER15" t="s">
        <v>505</v>
      </c>
      <c r="EU15" t="s">
        <v>256</v>
      </c>
      <c r="FA15" t="s">
        <v>78</v>
      </c>
      <c r="FB15" t="s">
        <v>545</v>
      </c>
      <c r="FF15" t="s">
        <v>2318</v>
      </c>
      <c r="FW15" t="s">
        <v>1493</v>
      </c>
      <c r="GD15" t="s">
        <v>1499</v>
      </c>
      <c r="GQ15" s="6"/>
      <c r="GR15" s="6"/>
      <c r="GS15" s="6"/>
      <c r="GT15" s="6"/>
      <c r="GU15" s="6"/>
      <c r="GV15" s="6"/>
      <c r="GW15" s="6"/>
      <c r="GX15" s="6"/>
      <c r="GY15" s="6"/>
      <c r="GZ15" s="6"/>
      <c r="HA15" s="6"/>
      <c r="HB15" s="6"/>
      <c r="HC15" s="6"/>
      <c r="HD15" s="6"/>
      <c r="HE15" s="9"/>
      <c r="HF15" s="6"/>
      <c r="HG15" s="6"/>
      <c r="HH15" s="6"/>
      <c r="HI15" s="6"/>
      <c r="HJ15" s="6"/>
      <c r="HK15" s="6"/>
      <c r="HL15" s="6"/>
      <c r="HM15" s="6"/>
      <c r="HN15" s="6"/>
      <c r="HO15" s="6"/>
      <c r="HP15" s="6"/>
      <c r="HQ15" s="6"/>
      <c r="HR15" s="6"/>
      <c r="HS15" s="6"/>
      <c r="HT15" s="6"/>
      <c r="HU15" s="6"/>
      <c r="HV15" s="6"/>
      <c r="HW15" s="6"/>
      <c r="HX15" s="6"/>
      <c r="HY15" s="6"/>
      <c r="HZ15" s="6"/>
      <c r="IA15" s="6"/>
      <c r="IB15" s="6"/>
      <c r="IV15" s="109" t="s">
        <v>2295</v>
      </c>
      <c r="IW15" s="109"/>
      <c r="IX15" s="109"/>
      <c r="JD15" s="109" t="s">
        <v>2295</v>
      </c>
      <c r="JE15" s="109"/>
      <c r="JF15" s="12"/>
      <c r="MB15" s="109" t="s">
        <v>2298</v>
      </c>
      <c r="MH15" s="109" t="s">
        <v>2298</v>
      </c>
      <c r="OD15" s="3" t="s">
        <v>1867</v>
      </c>
      <c r="RH15" s="3" t="s">
        <v>2311</v>
      </c>
      <c r="RO15" s="220" t="s">
        <v>2305</v>
      </c>
      <c r="RP15" s="220"/>
      <c r="RQ15" s="220" t="s">
        <v>2312</v>
      </c>
      <c r="RR15" s="220"/>
      <c r="RU15" s="220" t="s">
        <v>2307</v>
      </c>
      <c r="RW15" t="s">
        <v>28</v>
      </c>
      <c r="RX15" s="3" t="s">
        <v>1211</v>
      </c>
    </row>
    <row r="16" spans="1:492" ht="105" x14ac:dyDescent="0.25">
      <c r="A16" t="s">
        <v>2241</v>
      </c>
      <c r="B16" t="s">
        <v>87</v>
      </c>
      <c r="C16" t="s">
        <v>2251</v>
      </c>
      <c r="D16" t="s">
        <v>1263</v>
      </c>
      <c r="E16" t="s">
        <v>1326</v>
      </c>
      <c r="F16" t="s">
        <v>1899</v>
      </c>
      <c r="G16" t="s">
        <v>1264</v>
      </c>
      <c r="H16" t="s">
        <v>1265</v>
      </c>
      <c r="I16" t="s">
        <v>1262</v>
      </c>
      <c r="J16" t="s">
        <v>1266</v>
      </c>
      <c r="K16" t="s">
        <v>1267</v>
      </c>
      <c r="L16" t="s">
        <v>1269</v>
      </c>
      <c r="M16" t="s">
        <v>1268</v>
      </c>
      <c r="O16" t="s">
        <v>76</v>
      </c>
      <c r="P16" t="s">
        <v>80</v>
      </c>
      <c r="Q16" t="s">
        <v>81</v>
      </c>
      <c r="R16" t="s">
        <v>28</v>
      </c>
      <c r="S16" t="s">
        <v>194</v>
      </c>
      <c r="T16" t="s">
        <v>78</v>
      </c>
      <c r="U16" t="s">
        <v>426</v>
      </c>
      <c r="V16" t="s">
        <v>15</v>
      </c>
      <c r="X16" t="s">
        <v>83</v>
      </c>
      <c r="Z16" t="s">
        <v>2252</v>
      </c>
      <c r="AA16" s="1" t="s">
        <v>2262</v>
      </c>
      <c r="AB16" t="s">
        <v>133</v>
      </c>
      <c r="AC16" t="s">
        <v>134</v>
      </c>
      <c r="AD16" t="s">
        <v>135</v>
      </c>
      <c r="AE16" t="s">
        <v>86</v>
      </c>
      <c r="AF16" t="s">
        <v>1315</v>
      </c>
      <c r="AG16" s="1"/>
      <c r="AH16" t="s">
        <v>133</v>
      </c>
      <c r="AI16" s="1" t="s">
        <v>76</v>
      </c>
      <c r="AJ16" t="s">
        <v>78</v>
      </c>
      <c r="AK16" s="1" t="s">
        <v>1913</v>
      </c>
      <c r="AL16" t="s">
        <v>1912</v>
      </c>
      <c r="AM16" s="1" t="s">
        <v>454</v>
      </c>
      <c r="AN16" s="1" t="s">
        <v>1219</v>
      </c>
      <c r="AO16" t="s">
        <v>29</v>
      </c>
      <c r="AP16" t="s">
        <v>1748</v>
      </c>
      <c r="AR16" t="s">
        <v>186</v>
      </c>
      <c r="AS16" t="s">
        <v>187</v>
      </c>
      <c r="AT16" t="s">
        <v>1856</v>
      </c>
      <c r="AU16" t="s">
        <v>1855</v>
      </c>
      <c r="AW16" t="s">
        <v>1342</v>
      </c>
      <c r="AX16" t="s">
        <v>1343</v>
      </c>
      <c r="AY16" t="s">
        <v>1344</v>
      </c>
      <c r="BA16" t="s">
        <v>191</v>
      </c>
      <c r="BB16" t="s">
        <v>1914</v>
      </c>
      <c r="BC16" t="s">
        <v>193</v>
      </c>
      <c r="BD16" t="s">
        <v>1220</v>
      </c>
      <c r="BG16" t="s">
        <v>1860</v>
      </c>
      <c r="BH16" t="s">
        <v>1859</v>
      </c>
      <c r="BI16" t="s">
        <v>198</v>
      </c>
      <c r="BJ16" t="s">
        <v>199</v>
      </c>
      <c r="BK16" t="s">
        <v>1858</v>
      </c>
      <c r="BL16" t="s">
        <v>1857</v>
      </c>
      <c r="BN16" t="s">
        <v>133</v>
      </c>
      <c r="BO16" s="1" t="s">
        <v>2023</v>
      </c>
      <c r="BQ16" t="s">
        <v>253</v>
      </c>
      <c r="BR16" t="s">
        <v>254</v>
      </c>
      <c r="BS16" t="s">
        <v>1221</v>
      </c>
      <c r="BT16" t="s">
        <v>29</v>
      </c>
      <c r="BU16" t="s">
        <v>1862</v>
      </c>
      <c r="BV16" t="s">
        <v>1861</v>
      </c>
      <c r="BW16" t="s">
        <v>209</v>
      </c>
      <c r="BX16" t="s">
        <v>255</v>
      </c>
      <c r="BZ16" s="212" t="s">
        <v>2283</v>
      </c>
      <c r="CA16" s="220" t="s">
        <v>2282</v>
      </c>
      <c r="CB16" s="220" t="s">
        <v>2284</v>
      </c>
      <c r="CC16" s="212" t="s">
        <v>2279</v>
      </c>
      <c r="CD16" s="212" t="s">
        <v>2285</v>
      </c>
      <c r="CE16" s="212" t="s">
        <v>2267</v>
      </c>
      <c r="CF16" s="220" t="s">
        <v>2286</v>
      </c>
      <c r="CG16" s="220" t="s">
        <v>2280</v>
      </c>
      <c r="CH16" s="212" t="s">
        <v>2266</v>
      </c>
      <c r="CI16" s="220" t="s">
        <v>2320</v>
      </c>
      <c r="CJ16" s="212" t="s">
        <v>2268</v>
      </c>
      <c r="CK16" s="220" t="s">
        <v>2287</v>
      </c>
      <c r="CL16" s="220" t="s">
        <v>2281</v>
      </c>
      <c r="CM16" s="212" t="s">
        <v>2288</v>
      </c>
      <c r="CN16" s="212" t="s">
        <v>2269</v>
      </c>
      <c r="CO16" t="s">
        <v>2247</v>
      </c>
      <c r="CQ16" s="220" t="s">
        <v>2290</v>
      </c>
      <c r="CR16" s="220" t="s">
        <v>2291</v>
      </c>
      <c r="CS16" s="241" t="s">
        <v>1211</v>
      </c>
      <c r="CT16" s="220" t="s">
        <v>2292</v>
      </c>
      <c r="CU16" s="220" t="s">
        <v>2293</v>
      </c>
      <c r="CV16" s="241" t="s">
        <v>1211</v>
      </c>
      <c r="CW16" s="220" t="s">
        <v>1211</v>
      </c>
      <c r="CY16" s="220" t="s">
        <v>2290</v>
      </c>
      <c r="CZ16" s="220" t="s">
        <v>2291</v>
      </c>
      <c r="DA16" s="241" t="s">
        <v>1211</v>
      </c>
      <c r="DB16" s="220" t="s">
        <v>2292</v>
      </c>
      <c r="DC16" s="220" t="s">
        <v>2293</v>
      </c>
      <c r="DD16" s="241" t="s">
        <v>1211</v>
      </c>
      <c r="DE16" s="220" t="s">
        <v>1211</v>
      </c>
      <c r="DG16" t="s">
        <v>202</v>
      </c>
      <c r="DH16" t="s">
        <v>1449</v>
      </c>
      <c r="DI16" t="s">
        <v>1936</v>
      </c>
      <c r="DJ16" t="s">
        <v>1915</v>
      </c>
      <c r="DK16" t="s">
        <v>1141</v>
      </c>
      <c r="DL16" t="s">
        <v>1142</v>
      </c>
      <c r="DM16" t="s">
        <v>212</v>
      </c>
      <c r="DN16" t="s">
        <v>214</v>
      </c>
      <c r="DO16" t="s">
        <v>1451</v>
      </c>
      <c r="DP16" t="s">
        <v>258</v>
      </c>
      <c r="DQ16" t="s">
        <v>1223</v>
      </c>
      <c r="DS16" t="s">
        <v>493</v>
      </c>
      <c r="DT16" t="s">
        <v>1224</v>
      </c>
      <c r="DV16" t="s">
        <v>503</v>
      </c>
      <c r="DW16" t="s">
        <v>1225</v>
      </c>
      <c r="DY16" t="s">
        <v>1916</v>
      </c>
      <c r="DZ16" t="s">
        <v>213</v>
      </c>
      <c r="EA16" t="s">
        <v>215</v>
      </c>
      <c r="EB16" t="s">
        <v>259</v>
      </c>
      <c r="EC16" t="s">
        <v>1226</v>
      </c>
      <c r="EE16" t="s">
        <v>493</v>
      </c>
      <c r="EF16" t="s">
        <v>1227</v>
      </c>
      <c r="EH16" t="s">
        <v>503</v>
      </c>
      <c r="EI16" t="s">
        <v>1228</v>
      </c>
      <c r="EK16" t="s">
        <v>257</v>
      </c>
      <c r="EL16" t="s">
        <v>260</v>
      </c>
      <c r="EM16" t="s">
        <v>1229</v>
      </c>
      <c r="EO16" t="s">
        <v>529</v>
      </c>
      <c r="EP16" t="s">
        <v>1224</v>
      </c>
      <c r="ER16" t="s">
        <v>529</v>
      </c>
      <c r="ES16" t="s">
        <v>1225</v>
      </c>
      <c r="EU16" s="6" t="s">
        <v>221</v>
      </c>
      <c r="EV16" s="6" t="s">
        <v>222</v>
      </c>
      <c r="EW16" s="6" t="s">
        <v>223</v>
      </c>
      <c r="EX16" s="1" t="s">
        <v>224</v>
      </c>
      <c r="EY16" s="1" t="s">
        <v>542</v>
      </c>
      <c r="EZ16" s="1" t="s">
        <v>225</v>
      </c>
      <c r="FA16" s="1" t="s">
        <v>542</v>
      </c>
      <c r="FB16" s="1" t="s">
        <v>539</v>
      </c>
      <c r="FC16" s="1" t="s">
        <v>546</v>
      </c>
      <c r="FD16" s="1" t="s">
        <v>545</v>
      </c>
      <c r="FF16" s="1" t="s">
        <v>2242</v>
      </c>
      <c r="FG16" s="241" t="s">
        <v>1211</v>
      </c>
      <c r="FH16" s="1" t="s">
        <v>138</v>
      </c>
      <c r="FI16" s="241" t="s">
        <v>1211</v>
      </c>
      <c r="FJ16" s="1" t="s">
        <v>2</v>
      </c>
      <c r="FK16" s="241" t="s">
        <v>1211</v>
      </c>
      <c r="FL16" s="1" t="s">
        <v>261</v>
      </c>
      <c r="FM16" s="241" t="s">
        <v>1211</v>
      </c>
      <c r="FN16" s="1" t="s">
        <v>236</v>
      </c>
      <c r="FO16" s="241" t="s">
        <v>1211</v>
      </c>
      <c r="FP16" s="1" t="s">
        <v>1230</v>
      </c>
      <c r="FQ16" s="1" t="s">
        <v>1232</v>
      </c>
      <c r="FR16" s="1" t="s">
        <v>1231</v>
      </c>
      <c r="FS16" s="1" t="s">
        <v>263</v>
      </c>
      <c r="FT16" s="1" t="s">
        <v>264</v>
      </c>
      <c r="FU16" s="1" t="s">
        <v>1233</v>
      </c>
      <c r="FW16" s="1" t="s">
        <v>1494</v>
      </c>
      <c r="FX16" s="241" t="s">
        <v>1211</v>
      </c>
      <c r="FY16" s="1" t="s">
        <v>1495</v>
      </c>
      <c r="FZ16" s="241" t="s">
        <v>1211</v>
      </c>
      <c r="GA16" s="1" t="s">
        <v>1496</v>
      </c>
      <c r="GB16" s="1" t="s">
        <v>1497</v>
      </c>
      <c r="GD16" s="1" t="s">
        <v>1494</v>
      </c>
      <c r="GE16" s="241" t="s">
        <v>1235</v>
      </c>
      <c r="GF16" s="1" t="s">
        <v>1495</v>
      </c>
      <c r="GG16" s="241" t="s">
        <v>1211</v>
      </c>
      <c r="GH16" s="1" t="s">
        <v>1500</v>
      </c>
      <c r="GI16" s="1" t="s">
        <v>1501</v>
      </c>
      <c r="GK16" s="212" t="s">
        <v>2263</v>
      </c>
      <c r="GL16" s="212" t="s">
        <v>2264</v>
      </c>
      <c r="GM16" s="222" t="s">
        <v>2333</v>
      </c>
      <c r="GN16" s="222" t="s">
        <v>2334</v>
      </c>
      <c r="GO16" s="222" t="s">
        <v>2335</v>
      </c>
      <c r="GP16" s="222" t="s">
        <v>2336</v>
      </c>
      <c r="GQ16" s="6" t="s">
        <v>266</v>
      </c>
      <c r="GR16" s="6" t="s">
        <v>2238</v>
      </c>
      <c r="GS16" s="6"/>
      <c r="GT16" s="6" t="s">
        <v>300</v>
      </c>
      <c r="GU16" s="6" t="s">
        <v>300</v>
      </c>
      <c r="GV16" s="6" t="s">
        <v>2238</v>
      </c>
      <c r="GW16" s="6"/>
      <c r="GX16" s="6"/>
      <c r="GY16" s="6" t="s">
        <v>300</v>
      </c>
      <c r="GZ16" s="10" t="s">
        <v>301</v>
      </c>
      <c r="HA16" s="6" t="s">
        <v>300</v>
      </c>
      <c r="HB16" s="6" t="s">
        <v>2238</v>
      </c>
      <c r="HC16" s="10" t="s">
        <v>302</v>
      </c>
      <c r="HD16" s="10" t="s">
        <v>303</v>
      </c>
      <c r="HE16" s="7" t="s">
        <v>304</v>
      </c>
      <c r="HF16" s="7" t="s">
        <v>305</v>
      </c>
      <c r="HG16" s="7" t="s">
        <v>549</v>
      </c>
      <c r="HH16" s="6"/>
      <c r="HI16" s="6"/>
      <c r="HJ16" s="6" t="s">
        <v>2239</v>
      </c>
      <c r="HK16" s="6" t="s">
        <v>2239</v>
      </c>
      <c r="HL16" s="6"/>
      <c r="HM16" s="6"/>
      <c r="HN16" s="6" t="s">
        <v>2239</v>
      </c>
      <c r="HO16" s="6"/>
      <c r="HP16" s="6"/>
      <c r="HQ16" s="6" t="s">
        <v>2239</v>
      </c>
      <c r="HR16" s="6" t="s">
        <v>2275</v>
      </c>
      <c r="HS16" s="6" t="s">
        <v>2276</v>
      </c>
      <c r="HT16" s="6" t="s">
        <v>2239</v>
      </c>
      <c r="HU16" s="6" t="s">
        <v>2275</v>
      </c>
      <c r="HV16" s="6" t="s">
        <v>2276</v>
      </c>
      <c r="HW16" s="6" t="s">
        <v>2239</v>
      </c>
      <c r="HX16" s="6" t="s">
        <v>308</v>
      </c>
      <c r="HY16" s="6" t="s">
        <v>2239</v>
      </c>
      <c r="HZ16" s="6" t="s">
        <v>308</v>
      </c>
      <c r="IA16" s="6" t="s">
        <v>2239</v>
      </c>
      <c r="IB16" s="6"/>
      <c r="IC16" s="6"/>
      <c r="IH16" t="s">
        <v>1251</v>
      </c>
      <c r="II16" t="s">
        <v>1508</v>
      </c>
      <c r="IJ16" t="s">
        <v>1254</v>
      </c>
      <c r="IL16" s="6" t="s">
        <v>1863</v>
      </c>
      <c r="IO16" t="s">
        <v>2</v>
      </c>
      <c r="IQ16" t="s">
        <v>1211</v>
      </c>
      <c r="IS16" t="s">
        <v>506</v>
      </c>
      <c r="IT16" t="s">
        <v>1211</v>
      </c>
      <c r="IV16" t="s">
        <v>6</v>
      </c>
      <c r="IW16" t="s">
        <v>7</v>
      </c>
      <c r="IX16" t="s">
        <v>510</v>
      </c>
      <c r="IY16" t="s">
        <v>1490</v>
      </c>
      <c r="IZ16" t="s">
        <v>1491</v>
      </c>
      <c r="JA16" t="s">
        <v>516</v>
      </c>
      <c r="JB16" t="s">
        <v>1211</v>
      </c>
      <c r="JD16" t="s">
        <v>518</v>
      </c>
      <c r="JE16" t="s">
        <v>519</v>
      </c>
      <c r="JF16" t="s">
        <v>520</v>
      </c>
      <c r="JG16" t="s">
        <v>1492</v>
      </c>
      <c r="JH16" t="s">
        <v>521</v>
      </c>
      <c r="JI16" t="s">
        <v>1235</v>
      </c>
      <c r="JK16" t="s">
        <v>522</v>
      </c>
      <c r="JM16" t="s">
        <v>1211</v>
      </c>
      <c r="JO16" t="s">
        <v>3</v>
      </c>
      <c r="JQ16" t="s">
        <v>1211</v>
      </c>
      <c r="JS16" t="s">
        <v>332</v>
      </c>
      <c r="JU16" t="s">
        <v>1211</v>
      </c>
      <c r="JW16" t="s">
        <v>1865</v>
      </c>
      <c r="JY16" t="s">
        <v>17</v>
      </c>
      <c r="JZ16" t="s">
        <v>353</v>
      </c>
      <c r="KA16" t="s">
        <v>361</v>
      </c>
      <c r="KC16" t="s">
        <v>1211</v>
      </c>
      <c r="KE16" t="s">
        <v>338</v>
      </c>
      <c r="KF16" t="s">
        <v>354</v>
      </c>
      <c r="KG16" t="s">
        <v>356</v>
      </c>
      <c r="KH16" t="s">
        <v>357</v>
      </c>
      <c r="KI16" t="s">
        <v>358</v>
      </c>
      <c r="KJ16" t="s">
        <v>1826</v>
      </c>
      <c r="KK16" t="s">
        <v>343</v>
      </c>
      <c r="KL16" t="s">
        <v>359</v>
      </c>
      <c r="KN16" t="s">
        <v>1211</v>
      </c>
      <c r="KP16" t="s">
        <v>364</v>
      </c>
      <c r="KR16" t="s">
        <v>1211</v>
      </c>
      <c r="KT16" t="s">
        <v>365</v>
      </c>
      <c r="KV16" t="s">
        <v>1211</v>
      </c>
      <c r="KX16" t="s">
        <v>104</v>
      </c>
      <c r="LA16" t="s">
        <v>1236</v>
      </c>
      <c r="LB16" t="s">
        <v>1211</v>
      </c>
      <c r="LD16" t="s">
        <v>388</v>
      </c>
      <c r="LE16" t="s">
        <v>389</v>
      </c>
      <c r="LF16" t="s">
        <v>390</v>
      </c>
      <c r="LG16" t="s">
        <v>402</v>
      </c>
      <c r="LH16" s="3" t="s">
        <v>404</v>
      </c>
      <c r="LI16" s="3" t="s">
        <v>1211</v>
      </c>
      <c r="LJ16" s="3"/>
      <c r="LK16" t="s">
        <v>396</v>
      </c>
      <c r="LL16" t="s">
        <v>397</v>
      </c>
      <c r="LM16" t="s">
        <v>403</v>
      </c>
      <c r="LN16" s="3" t="s">
        <v>406</v>
      </c>
      <c r="LO16" s="3" t="s">
        <v>1211</v>
      </c>
      <c r="LQ16" t="s">
        <v>15</v>
      </c>
      <c r="LR16" s="3" t="s">
        <v>413</v>
      </c>
      <c r="LS16" s="3" t="s">
        <v>1211</v>
      </c>
      <c r="LU16" t="s">
        <v>414</v>
      </c>
      <c r="LW16" t="s">
        <v>1211</v>
      </c>
      <c r="LY16" t="s">
        <v>524</v>
      </c>
      <c r="LZ16" t="s">
        <v>1211</v>
      </c>
      <c r="MB16" t="s">
        <v>510</v>
      </c>
      <c r="MC16" t="s">
        <v>1490</v>
      </c>
      <c r="MD16" t="s">
        <v>1491</v>
      </c>
      <c r="ME16" t="s">
        <v>516</v>
      </c>
      <c r="MF16" t="s">
        <v>1211</v>
      </c>
      <c r="MH16" t="s">
        <v>519</v>
      </c>
      <c r="MI16" t="s">
        <v>1498</v>
      </c>
      <c r="MJ16" t="s">
        <v>1492</v>
      </c>
      <c r="MK16" t="s">
        <v>521</v>
      </c>
      <c r="ML16" t="s">
        <v>1211</v>
      </c>
      <c r="MN16" t="s">
        <v>522</v>
      </c>
      <c r="MP16" t="s">
        <v>1211</v>
      </c>
      <c r="MR16" t="s">
        <v>3</v>
      </c>
      <c r="MT16" t="s">
        <v>1211</v>
      </c>
      <c r="MV16" t="s">
        <v>332</v>
      </c>
      <c r="MX16" t="s">
        <v>1211</v>
      </c>
      <c r="MZ16" t="s">
        <v>1866</v>
      </c>
      <c r="NB16" t="s">
        <v>20</v>
      </c>
      <c r="ND16" t="s">
        <v>1211</v>
      </c>
      <c r="NF16" t="s">
        <v>364</v>
      </c>
      <c r="NH16" t="s">
        <v>1211</v>
      </c>
      <c r="NJ16" t="s">
        <v>365</v>
      </c>
      <c r="NL16" t="s">
        <v>1211</v>
      </c>
      <c r="NN16" t="s">
        <v>104</v>
      </c>
      <c r="NR16" t="s">
        <v>1211</v>
      </c>
      <c r="NT16" t="s">
        <v>388</v>
      </c>
      <c r="NU16" t="s">
        <v>390</v>
      </c>
      <c r="NV16" t="s">
        <v>402</v>
      </c>
      <c r="NW16" s="3" t="s">
        <v>404</v>
      </c>
      <c r="NX16" s="3" t="s">
        <v>1211</v>
      </c>
      <c r="NZ16" t="s">
        <v>429</v>
      </c>
      <c r="OB16" t="s">
        <v>1211</v>
      </c>
      <c r="OD16" t="s">
        <v>1863</v>
      </c>
      <c r="OE16" t="s">
        <v>1865</v>
      </c>
      <c r="OF16" t="s">
        <v>1868</v>
      </c>
      <c r="OG16" t="s">
        <v>1869</v>
      </c>
      <c r="OH16" t="s">
        <v>1870</v>
      </c>
      <c r="OJ16" t="s">
        <v>1146</v>
      </c>
      <c r="OK16" t="s">
        <v>1147</v>
      </c>
      <c r="OL16" t="s">
        <v>1146</v>
      </c>
      <c r="OM16" t="s">
        <v>1147</v>
      </c>
      <c r="OO16" t="s">
        <v>1153</v>
      </c>
      <c r="OP16" t="s">
        <v>1154</v>
      </c>
      <c r="OQ16" t="s">
        <v>1155</v>
      </c>
      <c r="OR16" t="s">
        <v>1156</v>
      </c>
      <c r="OS16" t="s">
        <v>1157</v>
      </c>
      <c r="OT16" t="s">
        <v>1352</v>
      </c>
      <c r="OV16" t="s">
        <v>1153</v>
      </c>
      <c r="OW16" t="s">
        <v>1154</v>
      </c>
      <c r="OX16" t="s">
        <v>1155</v>
      </c>
      <c r="OY16" t="s">
        <v>1156</v>
      </c>
      <c r="OZ16" t="s">
        <v>1157</v>
      </c>
      <c r="PB16" t="s">
        <v>1165</v>
      </c>
      <c r="PC16" t="s">
        <v>1154</v>
      </c>
      <c r="PD16" t="s">
        <v>1155</v>
      </c>
      <c r="PE16" t="s">
        <v>1166</v>
      </c>
      <c r="PG16" t="s">
        <v>1165</v>
      </c>
      <c r="PH16" t="s">
        <v>1154</v>
      </c>
      <c r="PI16" t="s">
        <v>1155</v>
      </c>
      <c r="PJ16" t="s">
        <v>1166</v>
      </c>
      <c r="PQ16" t="s">
        <v>2240</v>
      </c>
      <c r="PR16" t="s">
        <v>1331</v>
      </c>
      <c r="PT16" s="1" t="s">
        <v>1171</v>
      </c>
      <c r="PU16" s="1" t="s">
        <v>1147</v>
      </c>
      <c r="PV16" s="1" t="s">
        <v>1172</v>
      </c>
      <c r="PW16" s="1" t="s">
        <v>1147</v>
      </c>
      <c r="PY16" s="1" t="s">
        <v>1420</v>
      </c>
      <c r="PZ16" s="1" t="s">
        <v>1147</v>
      </c>
      <c r="QB16" s="1" t="s">
        <v>1422</v>
      </c>
      <c r="QC16" s="1" t="s">
        <v>1423</v>
      </c>
      <c r="QE16" s="1" t="s">
        <v>1720</v>
      </c>
      <c r="QF16" s="1" t="s">
        <v>1211</v>
      </c>
      <c r="QI16" t="s">
        <v>1211</v>
      </c>
      <c r="QK16" t="s">
        <v>1211</v>
      </c>
      <c r="QM16" t="s">
        <v>1211</v>
      </c>
      <c r="QO16" t="s">
        <v>1211</v>
      </c>
      <c r="QR16" t="s">
        <v>1256</v>
      </c>
      <c r="QS16" t="s">
        <v>1256</v>
      </c>
      <c r="QT16" t="s">
        <v>1256</v>
      </c>
      <c r="QU16" t="s">
        <v>1256</v>
      </c>
      <c r="QV16" t="s">
        <v>1256</v>
      </c>
      <c r="QW16" t="s">
        <v>1256</v>
      </c>
      <c r="QX16" t="s">
        <v>1256</v>
      </c>
      <c r="RA16" t="s">
        <v>1803</v>
      </c>
      <c r="RB16" t="s">
        <v>2</v>
      </c>
      <c r="RC16" t="s">
        <v>3</v>
      </c>
      <c r="RD16" t="s">
        <v>20</v>
      </c>
      <c r="RE16" t="s">
        <v>1805</v>
      </c>
      <c r="RH16" s="220" t="s">
        <v>2304</v>
      </c>
      <c r="RI16" s="220" t="s">
        <v>2305</v>
      </c>
      <c r="RJ16" s="220" t="s">
        <v>2306</v>
      </c>
      <c r="RK16" s="220" t="s">
        <v>2307</v>
      </c>
      <c r="RL16" s="220" t="s">
        <v>2308</v>
      </c>
      <c r="RM16" s="221" t="s">
        <v>1211</v>
      </c>
      <c r="RO16" s="220" t="s">
        <v>2316</v>
      </c>
      <c r="RP16" s="220" t="s">
        <v>2314</v>
      </c>
      <c r="RQ16" s="220" t="s">
        <v>2321</v>
      </c>
      <c r="RR16" s="220" t="s">
        <v>2322</v>
      </c>
      <c r="RS16" s="220" t="s">
        <v>2313</v>
      </c>
      <c r="RT16" s="220" t="s">
        <v>2315</v>
      </c>
      <c r="RU16" s="220" t="s">
        <v>2316</v>
      </c>
      <c r="RV16" s="220" t="s">
        <v>2317</v>
      </c>
      <c r="RW16" s="220" t="s">
        <v>2317</v>
      </c>
      <c r="RX16" s="220" t="s">
        <v>2317</v>
      </c>
    </row>
    <row r="17" spans="1:492" x14ac:dyDescent="0.25">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6"/>
      <c r="HS17" s="6"/>
      <c r="HT17" s="1"/>
      <c r="HU17" s="1"/>
      <c r="HV17" s="220"/>
      <c r="HW17" s="1"/>
      <c r="HX17" s="1"/>
      <c r="HY17" s="1"/>
      <c r="HZ17" s="1"/>
      <c r="IA17" s="1"/>
      <c r="IB17" s="1"/>
      <c r="IC17" s="1"/>
      <c r="LR17" s="3"/>
      <c r="LS17" s="3"/>
      <c r="RM17" s="3"/>
    </row>
    <row r="18" spans="1:492" x14ac:dyDescent="0.25">
      <c r="A18" s="214" t="str">
        <f>Nbal!B18</f>
        <v>1-0</v>
      </c>
      <c r="B18">
        <v>6</v>
      </c>
      <c r="C18">
        <v>1</v>
      </c>
      <c r="D18">
        <f>IF(C18=1,VLOOKUP(B18,Jordtype,Data!$K$112),VLOOKUP(B18,Jordtype,Data!$L$112))</f>
        <v>9</v>
      </c>
      <c r="E18">
        <f>IF(C18=1,VLOOKUP(B18,Jordtype,Data!$M$112),VLOOKUP(B18,Jordtype,Data!$N$112))</f>
        <v>14</v>
      </c>
      <c r="F18">
        <f>IF(OR(B18=1,B18=3),0,IF(OR(B18=2,B18=4),1,IF(OR(B18=5,B18=6),2,3)))</f>
        <v>2</v>
      </c>
      <c r="G18">
        <f>IF(C18=1,VLOOKUP(B18,Jordtype,Data!$Q$112),VLOOKUP(B18,Jordtype,Data!$R$112))</f>
        <v>25</v>
      </c>
      <c r="H18">
        <f>IF(C18=1,VLOOKUP(B18,Jordtype,Data!$O$112),VLOOKUP(B18,Jordtype,Data!$P$112))</f>
        <v>19</v>
      </c>
      <c r="I18">
        <f>IF(B18&lt;5,0,1)</f>
        <v>1</v>
      </c>
      <c r="J18">
        <f>IF(B18&lt;5,PlojJB,1)</f>
        <v>1</v>
      </c>
      <c r="K18">
        <f>IF(B18&lt;5,SaaJB,1)</f>
        <v>1</v>
      </c>
      <c r="L18">
        <f>IF(C18=1,VLOOKUP(B18,Jordtype,Data!$S$112),VLOOKUP(B18,Jordtype,Data!$T$112))</f>
        <v>8</v>
      </c>
      <c r="M18">
        <f>IF(C18=1,VLOOKUP(B18,Jordtype,Data!$U$112),VLOOKUP(B18,Jordtype,Data!$V$112))</f>
        <v>13</v>
      </c>
      <c r="O18">
        <v>40</v>
      </c>
      <c r="P18">
        <v>4</v>
      </c>
      <c r="Q18" t="b">
        <v>0</v>
      </c>
      <c r="R18">
        <v>40</v>
      </c>
      <c r="S18">
        <v>1</v>
      </c>
      <c r="T18">
        <v>4</v>
      </c>
      <c r="U18">
        <v>2</v>
      </c>
      <c r="V18">
        <v>1</v>
      </c>
      <c r="X18">
        <v>40</v>
      </c>
      <c r="Z18">
        <f>Nbal!AG18</f>
        <v>8.16</v>
      </c>
      <c r="AA18">
        <v>1</v>
      </c>
      <c r="AB18">
        <f>VLOOKUP($R18,Afgr,G18)</f>
        <v>110</v>
      </c>
      <c r="AC18">
        <f>VLOOKUP($O18,Afgr,Data!$AI$3)*VLOOKUP(R18,Afgr,Data!$AJ$3)</f>
        <v>0</v>
      </c>
      <c r="AD18">
        <f>IF($Q18,0,VLOOKUP($P18,Efgr,(Data!$W$53+$V$6-1)))</f>
        <v>17</v>
      </c>
      <c r="AE18">
        <f>AB18-AC18-AD18</f>
        <v>93</v>
      </c>
      <c r="AF18">
        <f>AE18*Z18</f>
        <v>758.88</v>
      </c>
      <c r="AH18">
        <f>VLOOKUP(R18,Afgr,D18)</f>
        <v>56</v>
      </c>
      <c r="AI18">
        <f>VLOOKUP(O18,Afgr,Data!$AL$3)*VLOOKUP(R18,Afgr,E18)</f>
        <v>0</v>
      </c>
      <c r="AJ18">
        <f>VLOOKUP(P18,Efgr,(Data!$Y$53+I18))</f>
        <v>0</v>
      </c>
      <c r="AK18">
        <f>AH18+AI18+AJ18</f>
        <v>56</v>
      </c>
      <c r="AL18">
        <f>AH18+AI18+AJ18</f>
        <v>56</v>
      </c>
      <c r="AM18" s="3">
        <f>IF(Nbal!CK18&lt;&gt;"",Nbal!CK18,AL18)</f>
        <v>66</v>
      </c>
      <c r="AN18">
        <f>AM18*Z18</f>
        <v>538.56000000000006</v>
      </c>
      <c r="AO18" t="str">
        <f>VLOOKUP(R18,Afgr,3)</f>
        <v>hkg</v>
      </c>
      <c r="AP18">
        <f>IF(AO18="FE",VLOOKUP($R18,Afgr,Data!$AV$3),0)</f>
        <v>0</v>
      </c>
      <c r="AR18">
        <f>VLOOKUP(R18,Afgr,4)</f>
        <v>145</v>
      </c>
      <c r="AS18" s="3">
        <f>IF(Nbal!CW18&lt;&gt;"",Nbal!CW18,AR18)</f>
        <v>145</v>
      </c>
      <c r="AT18" s="3">
        <f>AM18*AS18</f>
        <v>9570</v>
      </c>
      <c r="AU18" s="3">
        <f>AN18*AS18</f>
        <v>78091.200000000012</v>
      </c>
      <c r="AW18">
        <f>VLOOKUP(R18,Afgr,Data!$AN$3)</f>
        <v>0</v>
      </c>
      <c r="AX18" s="3">
        <f>IF(Nbal!DC18&lt;&gt;"",Nbal!DC18,AW18)</f>
        <v>0</v>
      </c>
      <c r="AY18" s="3">
        <f>AX18*Z18</f>
        <v>0</v>
      </c>
      <c r="BA18">
        <f>VLOOKUP(R18,Afgr,H18)</f>
        <v>3000</v>
      </c>
      <c r="BB18">
        <f>IF(ISERROR(BA18*AM18/AK18),0,(BA18*AM18/AK18))</f>
        <v>3535.7142857142858</v>
      </c>
      <c r="BC18" s="3">
        <f>IF(Nbal!DI18&lt;&gt;"",Nbal!DI18,BB18)</f>
        <v>3535.7142857142858</v>
      </c>
      <c r="BD18">
        <f>BC18*Z18</f>
        <v>28851.428571428572</v>
      </c>
      <c r="BG18">
        <f>IF($S18=1,BC18,0)</f>
        <v>3535.7142857142858</v>
      </c>
      <c r="BH18">
        <f>IF($S18=1,BD18,0)</f>
        <v>28851.428571428572</v>
      </c>
      <c r="BI18">
        <f>VLOOKUP(R18,Afgr,Data!$AM$3)</f>
        <v>0.5</v>
      </c>
      <c r="BJ18">
        <f>IF(Nbal!DR18&lt;&gt;"",Nbal!DR18,BI18)</f>
        <v>0.5</v>
      </c>
      <c r="BK18">
        <f>BG18*BJ18</f>
        <v>1767.8571428571429</v>
      </c>
      <c r="BL18">
        <f>BH18*BJ18</f>
        <v>14425.714285714286</v>
      </c>
      <c r="BN18">
        <f>VLOOKUP($T18,Efgr,M18)</f>
        <v>0</v>
      </c>
      <c r="BO18">
        <f>BN18*Z18</f>
        <v>0</v>
      </c>
      <c r="BQ18">
        <f>VLOOKUP(T18,Efgr,NormudbKolonneNrEfgr1)</f>
        <v>0</v>
      </c>
      <c r="BR18" s="3">
        <f>IF(Nbal!FE18&lt;&gt;"",Nbal!FE18,BQ18)</f>
        <v>0</v>
      </c>
      <c r="BS18">
        <f>BR18*Z18</f>
        <v>0</v>
      </c>
      <c r="BT18" t="s">
        <v>37</v>
      </c>
      <c r="BU18">
        <f>BR18*Efterslaetpris</f>
        <v>0</v>
      </c>
      <c r="BV18">
        <f>BS18*Efterslaetpris</f>
        <v>0</v>
      </c>
      <c r="BW18">
        <f>VLOOKUP(T18,Efgr,Data!$AG$53)</f>
        <v>0</v>
      </c>
      <c r="BX18">
        <f>BR18*BW18</f>
        <v>0</v>
      </c>
      <c r="BZ18">
        <f>Nbal!AQ18</f>
        <v>0</v>
      </c>
      <c r="CA18" s="211">
        <f>Nbal!AT18</f>
        <v>41</v>
      </c>
      <c r="CB18" s="2">
        <f>Nbal!DZ18</f>
        <v>0</v>
      </c>
      <c r="CC18" s="211">
        <f>Nbal!AT18+Nbal!DZ18</f>
        <v>41</v>
      </c>
      <c r="CD18" s="211">
        <f>Nbal!AX18</f>
        <v>0</v>
      </c>
      <c r="CE18">
        <f>Nbal!BH18</f>
        <v>0</v>
      </c>
      <c r="CF18" s="211">
        <f>Nbal!BM18</f>
        <v>85</v>
      </c>
      <c r="CG18" s="2">
        <f>Nbal!EI18</f>
        <v>0</v>
      </c>
      <c r="CH18" s="211">
        <f>Nbal!BM18+Nbal!EI18</f>
        <v>85</v>
      </c>
      <c r="CI18" s="211">
        <f>Nbal!BW18</f>
        <v>0</v>
      </c>
      <c r="CJ18" s="211">
        <f>Nbal!BH18*Nbal!BJ18*0.01</f>
        <v>0</v>
      </c>
      <c r="CK18" s="211">
        <f>(Nbal!BM18*Nbal!BP18*0.01)</f>
        <v>63.095500000000001</v>
      </c>
      <c r="CL18" s="211">
        <f>(Nbal!EI18*Nbal!EL18*0.01)</f>
        <v>0</v>
      </c>
      <c r="CM18" s="211">
        <f>(Nbal!BM18*Nbal!BP18*0.01)+(Nbal!EI18*Nbal!EL18*0.01)</f>
        <v>63.095500000000001</v>
      </c>
      <c r="CN18" s="211">
        <f>Nbal!BW18*Nbal!BY18*0.01</f>
        <v>0</v>
      </c>
      <c r="CO18">
        <f>Nbal!BT18+Nbal!ER18</f>
        <v>0</v>
      </c>
      <c r="CQ18">
        <f>Nbal!BA18</f>
        <v>0</v>
      </c>
      <c r="CR18">
        <f>Nbal!EC18</f>
        <v>0</v>
      </c>
      <c r="CS18">
        <f>(CQ18+CR18)*Z18</f>
        <v>0</v>
      </c>
      <c r="CT18">
        <f>Nbal!CB18</f>
        <v>18</v>
      </c>
      <c r="CU18">
        <f>Nbal!EV18</f>
        <v>0</v>
      </c>
      <c r="CV18">
        <f>(CT18+CU18)*Z18</f>
        <v>146.88</v>
      </c>
      <c r="CW18">
        <f>Nbal!BA18+Nbal!CB18+Nbal!EC18+Nbal!EV18</f>
        <v>18</v>
      </c>
      <c r="CY18">
        <f>Nbal!BD18</f>
        <v>0</v>
      </c>
      <c r="CZ18">
        <f>Nbal!EF18</f>
        <v>0</v>
      </c>
      <c r="DA18">
        <f>(CY18+CZ18)*Z18</f>
        <v>0</v>
      </c>
      <c r="DB18">
        <f>Nbal!CE18</f>
        <v>44</v>
      </c>
      <c r="DC18">
        <f>Nbal!EY18</f>
        <v>0</v>
      </c>
      <c r="DD18">
        <f>(DB18+DC18)*Z18</f>
        <v>359.04</v>
      </c>
      <c r="DE18">
        <f>Nbal!BD18+Nbal!CE18+Nbal!EF18+Nbal!EY18</f>
        <v>44</v>
      </c>
      <c r="DG18">
        <f>VLOOKUP($R18,Afgr,Data!$AW$3)</f>
        <v>11.1875</v>
      </c>
      <c r="DH18">
        <f>IF($AO18="FE",$AM18*$AP18*$DG18*0.01,$AM18*100*$DM18*0.01*$DG18*0.01)</f>
        <v>627.61874999999998</v>
      </c>
      <c r="DI18">
        <f>IF(VLOOKUP(R18,Afgr,Data!$BO$3)=1,DH18,0)*Z18</f>
        <v>5121.3689999999997</v>
      </c>
      <c r="DJ18" s="12">
        <f>(BZ18+CC18+CJ18-AE18)*VLOOKUP($R18,Afgr,Data!$AX$3)</f>
        <v>-1.04</v>
      </c>
      <c r="DK18">
        <f>DG18+DJ18</f>
        <v>10.147500000000001</v>
      </c>
      <c r="DL18">
        <f>IF(Nbal!CQ18&lt;&gt;"",Nbal!CQ18,DK18)</f>
        <v>10.147500000000001</v>
      </c>
      <c r="DM18">
        <f>VLOOKUP(R18,Afgr,Data!$AT$3)</f>
        <v>85</v>
      </c>
      <c r="DN18">
        <f>IF($AO18="FE",$AM18*$AP18*$DL18*0.01,$AM18*100*$DM18*0.01*DL18*0.01)</f>
        <v>569.27475000000004</v>
      </c>
      <c r="DO18">
        <f>IF(VLOOKUP(R18,Afgr,Data!$BO$3)=1,DN18,0)*Z18</f>
        <v>4645.2819600000003</v>
      </c>
      <c r="DP18">
        <f>IF(ISERROR(DN18/VLOOKUP(R18,Afgr,Data!$AY$3)),0,DN18/VLOOKUP(R18,Afgr,Data!$AY$3))</f>
        <v>91.083960000000005</v>
      </c>
      <c r="DQ18">
        <f>DP18*Z18</f>
        <v>743.24511360000008</v>
      </c>
      <c r="DS18">
        <f>IF($AO18="FE",$AM18*$AP18*VLOOKUP($R18,Afgr,Data!$BC$3)*0.001,$AM18*100*$DM18*0.01*VLOOKUP($R18,Afgr,Data!$BC$3)*0.001)</f>
        <v>21.318000000000001</v>
      </c>
      <c r="DT18">
        <f>DS18*Z18</f>
        <v>173.95488</v>
      </c>
      <c r="DV18">
        <f>IF($AO18="FE",$AM18*$AP18*VLOOKUP($R18,Afgr,Data!$BF$3)*0.001,$AM18*100*$DM18*0.01*VLOOKUP($R18,Afgr,Data!$BF$3)*0.001)</f>
        <v>26.367000000000001</v>
      </c>
      <c r="DW18">
        <f>DV18*Z18</f>
        <v>215.15472</v>
      </c>
      <c r="DY18">
        <f>IF(ISERROR(VLOOKUP(R18,Afgr,Data!$AZ$3)*DL18/DG18),0,VLOOKUP(R18,Afgr,Data!$AZ$3)*DL18/DG18)</f>
        <v>3.6281564245810061</v>
      </c>
      <c r="DZ18">
        <f>VLOOKUP(R18,Afgr,Data!$AU$3)</f>
        <v>85</v>
      </c>
      <c r="EA18">
        <f>IF($S18=1,$BC18*$DZ18*0.01*DY18*0.01,0)</f>
        <v>109.03905826017561</v>
      </c>
      <c r="EB18">
        <f>EA18/6.25</f>
        <v>17.446249321628098</v>
      </c>
      <c r="EC18">
        <f>EB18*Z18</f>
        <v>142.36139446448527</v>
      </c>
      <c r="EE18">
        <f>IF($S18=1,$BC18*$DZ18*0.01*VLOOKUP($R18,Afgr,Data!$BD$3)*0.001,0)</f>
        <v>2.7048214285714289</v>
      </c>
      <c r="EF18">
        <f>EE18*Z18</f>
        <v>22.071342857142859</v>
      </c>
      <c r="EH18">
        <f>IF($S18=1,$BC18*$DZ18*0.01*VLOOKUP($R18,Afgr,Data!$BG$3)*0.001,0)</f>
        <v>36.064285714285717</v>
      </c>
      <c r="EI18">
        <f>EH18*Z18</f>
        <v>294.28457142857144</v>
      </c>
      <c r="EK18">
        <f>VLOOKUP(T18,Efgr,Data!$AI$53)</f>
        <v>0</v>
      </c>
      <c r="EL18">
        <f>BX18*EK18*0.01/6.25</f>
        <v>0</v>
      </c>
      <c r="EM18">
        <f>EL18*Z18</f>
        <v>0</v>
      </c>
      <c r="EO18">
        <f>$BX18*VLOOKUP($T18,Efgr,Data!$AJ$53)*0.001</f>
        <v>0</v>
      </c>
      <c r="EP18">
        <f>EO18*Z18</f>
        <v>0</v>
      </c>
      <c r="ER18">
        <f>$BX18*VLOOKUP($T18,Efgr,Data!$AK$53)*0.001</f>
        <v>0</v>
      </c>
      <c r="ES18">
        <f>ER18*Z18</f>
        <v>0</v>
      </c>
      <c r="EU18">
        <f>IF(VLOOKUP(R18,Afgr,Data!$DS$3)=1,DP18*VLOOKUP(R18,Afgr,(Data!$DT$3+EftervirkningUdb1))*VLOOKUP(R18,Afgr,Data!$DV$3),0)</f>
        <v>0</v>
      </c>
      <c r="EV18">
        <f>IF(VLOOKUP(R18,Afgr,Data!$DS$3)=2,VLOOKUP(R18,Afgr,Data!$DX$3),0)</f>
        <v>0</v>
      </c>
      <c r="EW18">
        <f>IF(VLOOKUP(R18,Afgr,Data!$DS$3)=3,$DP18*VLOOKUP($R18,Afgr,IF(Jordtype1&lt;5,Data!$DT$3,Data!$DU$3))*VLOOKUP($R18,Afgr,Data!$DV$3),0)</f>
        <v>0</v>
      </c>
      <c r="EX18">
        <f>IF(VLOOKUP(R18,Afgr,Data!$DS$3)=4,(1.232+0.00469*AM18*100+(0.000256*AM18*100+0.089)*60),0)</f>
        <v>0</v>
      </c>
      <c r="EY18" s="211">
        <f>BZ18+CA18+CJ18+CK18</f>
        <v>104.0955</v>
      </c>
      <c r="EZ18">
        <f>IF(VLOOKUP($R18,Afgr,Data!$DS$3)=5,($AM18*0.02742-$AM18*0.0001*$EY18+$AM18*0.0000001111*$EY18*$EY18),0)</f>
        <v>0</v>
      </c>
      <c r="FA18" s="2">
        <f>CB18+CL18</f>
        <v>0</v>
      </c>
      <c r="FB18">
        <f>IF(VLOOKUP($T18,Efgr,Data!$BH$53)=5,($BR18*0.02742-$BR18*0.0001*$FA18+$BR18*0.0000001111*$FA18*$FA18),0)</f>
        <v>0</v>
      </c>
      <c r="FC18" s="3">
        <f>EU18+EV18+EW18+EX18+EZ18+FB18</f>
        <v>0</v>
      </c>
      <c r="FD18" s="3">
        <f>FC18*Z18</f>
        <v>0</v>
      </c>
      <c r="FF18" s="211">
        <f>BZ18+CC18</f>
        <v>41</v>
      </c>
      <c r="FG18" s="211">
        <f>FF18*Z18</f>
        <v>334.56</v>
      </c>
      <c r="FH18" s="211">
        <f>CE18+CH18+CO18</f>
        <v>85</v>
      </c>
      <c r="FI18" s="211">
        <f>FH18*Z18</f>
        <v>693.6</v>
      </c>
      <c r="FJ18">
        <f>VLOOKUP($R18,Afgr,Data!$DK$3)*VLOOKUP($R18,Afgr,Data!$AT$3)*0.01*VLOOKUP($R18,Afgr,Data!$AW$3)*0.01/6.25</f>
        <v>2.4344000000000001</v>
      </c>
      <c r="FK18">
        <f>FJ18*Z18</f>
        <v>19.864704</v>
      </c>
      <c r="FL18" s="4">
        <f>IF(R18&gt;1,Deposition,0)</f>
        <v>15</v>
      </c>
      <c r="FM18" s="4">
        <f>FL18*Z18</f>
        <v>122.4</v>
      </c>
      <c r="FN18">
        <f>FC18</f>
        <v>0</v>
      </c>
      <c r="FO18">
        <f>FN18*Z18</f>
        <v>0</v>
      </c>
      <c r="FP18" s="211">
        <f>SUM(FF18,FH18,FJ18,FL18,FN18)</f>
        <v>143.43440000000001</v>
      </c>
      <c r="FQ18">
        <f>DP18+EB18+EL18</f>
        <v>108.53020932162811</v>
      </c>
      <c r="FR18" s="3">
        <f>FP18-FQ18</f>
        <v>34.904190678371904</v>
      </c>
      <c r="FS18" s="19">
        <f>FP18*Z18</f>
        <v>1170.424704</v>
      </c>
      <c r="FT18" s="19">
        <f>FQ18*Z18</f>
        <v>885.60650806448541</v>
      </c>
      <c r="FU18" s="3">
        <f>FR18*Z18</f>
        <v>284.81819593551472</v>
      </c>
      <c r="FW18">
        <f>CW18</f>
        <v>18</v>
      </c>
      <c r="FX18">
        <f>FW18*Z18</f>
        <v>146.88</v>
      </c>
      <c r="FY18">
        <f>IX18+MB18</f>
        <v>24.022821428571429</v>
      </c>
      <c r="FZ18">
        <f>FY18*Z18</f>
        <v>196.02622285714287</v>
      </c>
      <c r="GA18">
        <f>FW18-FY18</f>
        <v>-6.0228214285714294</v>
      </c>
      <c r="GB18">
        <f>GA18*Z18</f>
        <v>-49.146222857142867</v>
      </c>
      <c r="GD18">
        <f>DE18</f>
        <v>44</v>
      </c>
      <c r="GE18">
        <f>GD18*Z18</f>
        <v>359.04</v>
      </c>
      <c r="GF18">
        <f>JE18+MH18</f>
        <v>62.431285714285721</v>
      </c>
      <c r="GG18">
        <f>GF18*Z18</f>
        <v>509.43929142857149</v>
      </c>
      <c r="GH18">
        <f>GD18-GF18</f>
        <v>-18.431285714285721</v>
      </c>
      <c r="GI18">
        <f>GH18*Z18</f>
        <v>-150.39929142857147</v>
      </c>
      <c r="GK18">
        <f>AA18</f>
        <v>1</v>
      </c>
      <c r="GL18" s="211">
        <f>FF18+FH18+FN18</f>
        <v>126</v>
      </c>
      <c r="GM18" s="211">
        <f>IF(R18=1,"",IF(GK18=1,GL18,""))</f>
        <v>126</v>
      </c>
      <c r="GN18" s="211" t="str">
        <f>IF(R18=1,"",IF(GK18=2,GL18,""))</f>
        <v/>
      </c>
      <c r="GO18" s="211" t="str">
        <f>IF(R18=1,"",IF(GK18=3,GL18,""))</f>
        <v/>
      </c>
      <c r="GP18" s="211" t="str">
        <f>IF(R18=1,"",IF(GK18=4,GL18,""))</f>
        <v/>
      </c>
      <c r="GQ18" s="149">
        <f>IF(OR(R18=1,VLOOKUP(R18,Afgr,Data!$BV$3)=1,VLOOKUP(R18,Afgr,Data!$BW$3)=1),0,IF(GK18=1,Nniveau1,IF(GK18=2,Nniveau2,IF(GK18=3,Nniveau3,IF(GK18=4,Nniveau4,GL18)))))</f>
        <v>173.16922222222217</v>
      </c>
      <c r="GR18" s="1">
        <v>0.32550000000000001</v>
      </c>
      <c r="GS18" s="6">
        <v>0</v>
      </c>
      <c r="GT18" s="149">
        <f>CC18+CM18</f>
        <v>104.0955</v>
      </c>
      <c r="GU18" s="6">
        <f>$FN18</f>
        <v>0</v>
      </c>
      <c r="GV18" s="1">
        <v>0.25280000000000002</v>
      </c>
      <c r="GW18">
        <f>CO18</f>
        <v>0</v>
      </c>
      <c r="GX18" s="1">
        <v>0.376</v>
      </c>
      <c r="GY18" s="149">
        <f>CD18+CN18</f>
        <v>0</v>
      </c>
      <c r="GZ18" s="1">
        <f>IF(B18&gt;3,0.3539,1.0749)</f>
        <v>0.35389999999999999</v>
      </c>
      <c r="HA18" s="11">
        <f>$FQ18</f>
        <v>108.53020932162811</v>
      </c>
      <c r="HB18" s="1">
        <v>0.19359999999999999</v>
      </c>
      <c r="HC18" s="1">
        <f>VLOOKUP($R18,Afgr,Data!$DM$3)</f>
        <v>1</v>
      </c>
      <c r="HD18" s="24">
        <f>IF($HC18&gt;1,0,(VLOOKUP($X18,Afgr,Data!$DP$3)+IF(VLOOKUP($X18,Afgr,Data!$DP$3)=0,VLOOKUP($T18,Efgr,Data!$BI$53,0))))+IF(AND($HC18=7,VLOOKUP($X18,Afgr,Data!$DQ$3)=-2),-2,0)+IF(AND($HC18=6,VLOOKUP($T18,Efgr,Data!$BI$53)=2),8,0)</f>
        <v>2</v>
      </c>
      <c r="HE18" s="6">
        <f>VLOOKUP(SUM(HC18:HD18),Nlesafgr,3)</f>
        <v>-98.6</v>
      </c>
      <c r="HF18" s="7">
        <f>VLOOKUP($O18,Afgr,Data!$DN$3)</f>
        <v>1</v>
      </c>
      <c r="HG18" s="24">
        <f>IF(HF18&gt;1,0,VLOOKUP($R18,Afgr,Data!$DO$3)+IF(VLOOKUP($R18,Afgr,Data!$DO$3)=1,0,VLOOKUP($P18,Efgr,Data!$BJ$53)))</f>
        <v>1</v>
      </c>
      <c r="HH18" s="6">
        <f>VLOOKUP(SUM(HF18:HG18),Nlesforfrugt,3)</f>
        <v>14.2</v>
      </c>
      <c r="HI18" s="1">
        <f>GR18*GQ18+GV18*(GT18+GU18)+GX18*GW18+GZ18*GY18-HB18*HA18+HE18+HH18</f>
        <v>-22.729524291333878</v>
      </c>
      <c r="HJ18" s="1">
        <f>Nlesafskaering</f>
        <v>59.6</v>
      </c>
      <c r="HK18" s="1">
        <f>Teknologi1</f>
        <v>2455</v>
      </c>
      <c r="HL18" s="6">
        <v>2001</v>
      </c>
      <c r="HM18" s="1">
        <f>Teknologi2</f>
        <v>1962.2</v>
      </c>
      <c r="HN18" s="1">
        <f>Tandel</f>
        <v>0.54659999999999997</v>
      </c>
      <c r="HO18" s="1">
        <f>IF(OR(HI18&gt;0,HI18=0),HJ18+HK18/(HL18-HM18),HJ18+HK18/(HL18-HM18)+HN18*HI18)</f>
        <v>110.44923789864563</v>
      </c>
      <c r="HP18" s="1">
        <f>IF(HI18&gt;0,HI18,0.001)</f>
        <v>1E-3</v>
      </c>
      <c r="HQ18" s="1">
        <v>1.5020000000000001E-3</v>
      </c>
      <c r="HR18" s="24">
        <f>IF(R18=1,0,VLOOKUP(PostnrNbal,AfstromData,VLOOKUP($R18,Afgr,Data!$DL$3)+IF(Jordtype1&lt;7,Jordtype1,6),FALSE)-VLOOKUP(T18,Efgr,Data!$AA$53))</f>
        <v>284.76666666666603</v>
      </c>
      <c r="HS18" s="24">
        <f>IF(Nbal!GA18&lt;&gt;"",Nbal!GA18,Regn2!HR18)</f>
        <v>284.76666666666603</v>
      </c>
      <c r="HT18" s="1">
        <v>5.5400000000000002E-4</v>
      </c>
      <c r="HU18" s="24">
        <f>IF(R18=1,0,VLOOKUP(PostnrNbal,AfstromData,VLOOKUP($O18,Afgr,Data!$DL$3)+IF(B18&lt;7,B18,6),FALSE)-VLOOKUP(P18,Efgr,Data!$AA$53))</f>
        <v>284.76666666666603</v>
      </c>
      <c r="HV18" s="24">
        <f>IF(Nbal!FU18&lt;&gt;"",Nbal!FU18,Regn2!HU18)</f>
        <v>284.76666666666603</v>
      </c>
      <c r="HW18" s="1">
        <v>0.10639999999999999</v>
      </c>
      <c r="HX18" s="6">
        <f>VLOOKUP(B18,Jordtype,Data!$W$112)</f>
        <v>3</v>
      </c>
      <c r="HY18" s="1">
        <v>3.2500000000000001E-2</v>
      </c>
      <c r="HZ18" s="6">
        <f>VLOOKUP(B18,Jordtype,Data!$X$112)</f>
        <v>12</v>
      </c>
      <c r="IA18" s="1">
        <v>1.2453000000000001</v>
      </c>
      <c r="IB18" s="1">
        <f>IF(VLOOKUP(T18,Efgr,Data!$AO$53)=1,MlafgrNUdvask,0)</f>
        <v>0</v>
      </c>
      <c r="IC18" s="20">
        <f>IF(ISERROR((HO18+POWER(HP18,1.2))*(1-EXP(-HQ18*HS18))*EXP(-HT18*HV18)*EXP(-HW18*HX18)*EXP(-HY18*HZ18)*IA18),0,(HO18+POWER(HP18,1.2))*(1-EXP(-HQ18*HS18))*EXP(-HT18*HV18)*EXP(-HW18*HX18)*EXP(-HY18*HZ18)*IA18+IB18)</f>
        <v>20.114435753294487</v>
      </c>
      <c r="ID18">
        <f>IC18*Z18</f>
        <v>164.13379574688301</v>
      </c>
      <c r="IE18">
        <f>IF(Nbal!GF18&lt;&gt;"",Nbal!GF18,RetentionNbal)</f>
        <v>65</v>
      </c>
      <c r="IF18">
        <f>IC18*(100-IE18)*0.01</f>
        <v>7.0400525136530705</v>
      </c>
      <c r="IG18">
        <f>IF18*Z18</f>
        <v>57.446828511409059</v>
      </c>
      <c r="IH18" s="2">
        <f>HS18*10000</f>
        <v>2847666.6666666605</v>
      </c>
      <c r="II18" s="2">
        <f>IH18*Z18</f>
        <v>23236959.999999952</v>
      </c>
      <c r="IJ18">
        <f>IF(ISERROR(IC18*1000*1000/IH18),0,IC18*1000*1000/IH18)</f>
        <v>7.0634797213957148</v>
      </c>
      <c r="IL18">
        <f>AT18+AX18+BK18+BU18</f>
        <v>11337.857142857143</v>
      </c>
      <c r="IO18">
        <f>VLOOKUP(R18,Afgr,Data!$AP$3)*UdsaedJust</f>
        <v>488</v>
      </c>
      <c r="IP18" s="3">
        <f>IF(Nbal!GN18&lt;&gt;"",Nbal!GN18,IO18)</f>
        <v>488</v>
      </c>
      <c r="IQ18" s="3">
        <f>IP18*Z18</f>
        <v>3982.08</v>
      </c>
      <c r="IS18" s="3">
        <f>IF(HdgVaerdiNbal=1,(BZ18+CA18)*Npris,(BZ18+CA18+CJ18+CK18)*Npris)</f>
        <v>346.45</v>
      </c>
      <c r="IT18" s="3">
        <f>IS18*Z18</f>
        <v>2827.0320000000002</v>
      </c>
      <c r="IV18">
        <f>VLOOKUP($R18,Afgr,Data!$BA$3)</f>
        <v>0</v>
      </c>
      <c r="IW18">
        <f>VLOOKUP($R18,Afgr,Data!$BB$3)</f>
        <v>2.5</v>
      </c>
      <c r="IX18">
        <f>$DS18+$EE18</f>
        <v>24.022821428571429</v>
      </c>
      <c r="IY18">
        <f>CT18</f>
        <v>18</v>
      </c>
      <c r="IZ18">
        <f>CQ18</f>
        <v>0</v>
      </c>
      <c r="JA18" s="3">
        <f>IF(HdgVaerdiNbal=1,(IZ18)*Ppris,(IY18+IZ18)*Ppris)</f>
        <v>0</v>
      </c>
      <c r="JB18" s="3">
        <f>JA18*Z18</f>
        <v>0</v>
      </c>
      <c r="JD18">
        <f>IF(AND(R18&gt;1,OR(Jordtype1=1,Jordtype1=3,Markvand1=2)),Kudvask,0)</f>
        <v>0</v>
      </c>
      <c r="JE18">
        <f>$DV18+$EH18</f>
        <v>62.431285714285721</v>
      </c>
      <c r="JF18">
        <f>DB18</f>
        <v>44</v>
      </c>
      <c r="JG18">
        <f>CY18</f>
        <v>0</v>
      </c>
      <c r="JH18" s="3">
        <f>IF(HdgVaerdiNbal=1,JG18*Kpris,(JF18+JG18)*Kpris)</f>
        <v>0</v>
      </c>
      <c r="JI18" s="3">
        <f>JH18*Z18</f>
        <v>0</v>
      </c>
      <c r="JK18">
        <f>IS18+JA18+JH18</f>
        <v>346.45</v>
      </c>
      <c r="JL18" s="3">
        <f>IF(Nbal!GT18&lt;&gt;"",Nbal!GT18,$JK18)</f>
        <v>346.45</v>
      </c>
      <c r="JM18" s="3">
        <f>JL18*Z18</f>
        <v>2827.0320000000002</v>
      </c>
      <c r="JO18">
        <f>VLOOKUP(R18,Afgr,Data!$AQ$3)*PlantevJust</f>
        <v>283</v>
      </c>
      <c r="JP18" s="3">
        <f>IF(Nbal!GZ18&lt;&gt;"",Nbal!GZ18,JO18)</f>
        <v>283</v>
      </c>
      <c r="JQ18" s="3">
        <f>JP18*Z18</f>
        <v>2309.2800000000002</v>
      </c>
      <c r="JS18">
        <f>VLOOKUP(R18,Afgr,Data!$AR$3)+AM18*VLOOKUP(R18,Afgr,Data!$BH$3)</f>
        <v>0</v>
      </c>
      <c r="JT18" s="3">
        <f>IF(Nbal!HF18&lt;&gt;"",Nbal!HF18,JS18)</f>
        <v>0</v>
      </c>
      <c r="JU18">
        <f>JT18*Z18</f>
        <v>0</v>
      </c>
      <c r="JW18">
        <f>IP18+JL18+JP18+JT18</f>
        <v>1117.45</v>
      </c>
      <c r="JY18">
        <f>IF(VLOOKUP(R18,Afgr,Data!$BY$3)&gt;0,Data!$K$259*J18,0)</f>
        <v>600</v>
      </c>
      <c r="JZ18">
        <f>IF(VLOOKUP(R18,Afgr,Data!$BZ$3)&gt;0,Data!$K$260*J18,0)</f>
        <v>0</v>
      </c>
      <c r="KA18">
        <f>(JY18+JZ18)*MaskJust</f>
        <v>600</v>
      </c>
      <c r="KB18" s="3">
        <f>IF(Nbal!HL18&lt;&gt;"",Nbal!HL18,KA18)</f>
        <v>600</v>
      </c>
      <c r="KC18" s="3">
        <f>KB18*Z18</f>
        <v>4896</v>
      </c>
      <c r="KE18">
        <f>IF(VLOOKUP(R18,Afgr,Data!$CA$3)&gt;0,VLOOKUP(R18,Afgr,Data!$CA$3)*Data!$K$261*K18,0)</f>
        <v>0</v>
      </c>
      <c r="KF18">
        <f>IF(VLOOKUP(R18,Afgr,Data!$CC$3)&gt;0,Data!$K$262*K18,0)</f>
        <v>350</v>
      </c>
      <c r="KG18">
        <f>IF(VLOOKUP(R18,Afgr,Data!$CD$3)&gt;0,VLOOKUP(R18,Afgr,Data!$CD$3)*Data!$K$263*K18,0)</f>
        <v>0</v>
      </c>
      <c r="KH18">
        <f>IF(VLOOKUP(R18,Afgr,Data!$CE$3)&gt;0,Data!$K$264*K18,0)</f>
        <v>0</v>
      </c>
      <c r="KI18">
        <f>IF(VLOOKUP(R18,Afgr,Data!$CF$3)&gt;0,Data!$K$265*K18,0)</f>
        <v>0</v>
      </c>
      <c r="KJ18">
        <f>IF(VLOOKUP(R18,Afgr,Data!$CV$3)&gt;0,Data!$K$266,0)</f>
        <v>0</v>
      </c>
      <c r="KK18">
        <f>IF(VLOOKUP(R18,Afgr,Data!$CG$3)&gt;0,Data!$K$267*K18,0)</f>
        <v>0</v>
      </c>
      <c r="KL18">
        <f>(KE18+KF18+KG18+KH18+KI18+KJ18+KK18)*MaskJust</f>
        <v>350</v>
      </c>
      <c r="KM18" s="3">
        <f>IF(Nbal!HR18&lt;&gt;"",Nbal!HR18,KL18)</f>
        <v>350</v>
      </c>
      <c r="KN18" s="3">
        <f>KM18*Z18</f>
        <v>2856</v>
      </c>
      <c r="KP18">
        <f>IF(VLOOKUP(R18,Afgr,Data!$CJ$3)&gt;0,VLOOKUP(R18,Afgr,Data!$CJ$3)*Data!$K$268*K18,0)*MaskJust</f>
        <v>140</v>
      </c>
      <c r="KQ18" s="3">
        <f>IF(Nbal!HX18&lt;&gt;"",Nbal!HX18,KP18)</f>
        <v>140</v>
      </c>
      <c r="KR18" s="3">
        <f>KQ18*Z18</f>
        <v>1142.4000000000001</v>
      </c>
      <c r="KT18">
        <f>IF(VLOOKUP(R18,Afgr,Data!$CI$3)&gt;0,VLOOKUP(R18,Afgr,Data!$CI$3)*Data!$K$269,0)*MaskJust</f>
        <v>300</v>
      </c>
      <c r="KU18" s="3">
        <f>IF(Nbal!ID18&lt;&gt;"",Nbal!ID18,KT18)</f>
        <v>300</v>
      </c>
      <c r="KV18" s="3">
        <f>KU18*Z18</f>
        <v>2448</v>
      </c>
      <c r="KX18">
        <f>IF(C18=2,VLOOKUP($R18,Afgr,Data!$CY$3),0)</f>
        <v>0</v>
      </c>
      <c r="KY18">
        <f>IF(Nbal!IJ18&lt;&gt;"",Nbal!IJ18,$KX18)</f>
        <v>0</v>
      </c>
      <c r="KZ18">
        <f>IF(AND(R18&gt;1,C18=2),Vandmaskin+$KY18*Flytning/mmprgang+$KY18*Prisprmm,0)</f>
        <v>0</v>
      </c>
      <c r="LA18" s="3">
        <f>IF(Nbal!IP18&lt;&gt;"",Nbal!IP18,$KZ18)</f>
        <v>0</v>
      </c>
      <c r="LB18" s="3">
        <f>LA18*Z18</f>
        <v>0</v>
      </c>
      <c r="LD18">
        <f>IF(VLOOKUP($R18,Afgr,Data!$CK$3)&gt;0,((1+AM18/VLOOKUP($R18,Afgr,Data!$CK$3))/2)*VLOOKUP($R18,Afgr,Data!$CL$3)*VLOOKUP($R18,Afgr,Data!$CN$3)+VLOOKUP($R18,Afgr,Data!$CM$3),0)</f>
        <v>799.41176470588232</v>
      </c>
      <c r="LE18">
        <f>IF(VLOOKUP($R18,Afgr,Data!$CK$3)&gt;0,IF(AND($S18=2,$BA18&gt;0),Data!$K$271,0),0)</f>
        <v>0</v>
      </c>
      <c r="LF18">
        <f>IF(VLOOKUP($R18,Afgr,Data!$CK$3)&gt;0,(AM18/VLOOKUP($R18,Afgr,Data!$CK$3))*VLOOKUP($R18,Afgr,Data!$CO$3)*VLOOKUP($R18,Afgr,Data!$CN$3),0)</f>
        <v>252.35294117647058</v>
      </c>
      <c r="LG18">
        <f>(LD18+LE18+LF18)*MaskJust</f>
        <v>1051.7647058823529</v>
      </c>
      <c r="LH18" s="3">
        <f>IF(Nbal!IV18&lt;&gt;"",Nbal!IV18,LG18)</f>
        <v>1051.7647058823529</v>
      </c>
      <c r="LI18" s="3">
        <f>LH18*Z18</f>
        <v>8582.4</v>
      </c>
      <c r="LJ18" s="3"/>
      <c r="LK18">
        <f>IF(AND($S18=1,VLOOKUP($R18,Afgr,Data!$CP$3)&gt;0),((1+$BC18/VLOOKUP($R18,Afgr,Data!$CP$3))/2)*VLOOKUP($R18,Afgr,Data!$CQ$3),0)</f>
        <v>571.87500000000011</v>
      </c>
      <c r="LL18">
        <f>IF(AND($S18=1,VLOOKUP($R18,Afgr,Data!$CP$3)&gt;0),($BC18/VLOOKUP($R18,Afgr,Data!$CP$3))*VLOOKUP($R18,Afgr,Data!$CR$3),0)</f>
        <v>235.71428571428572</v>
      </c>
      <c r="LM18">
        <f>(LK18+LL18)*MaskJust</f>
        <v>807.58928571428578</v>
      </c>
      <c r="LN18" s="3">
        <f>IF(Nbal!JB18&lt;&gt;"",Nbal!JB18,LM18)</f>
        <v>807.58928571428578</v>
      </c>
      <c r="LO18" s="3">
        <f>LN18*Z18</f>
        <v>6589.9285714285725</v>
      </c>
      <c r="LQ18">
        <f>$AM18*VLOOKUP($R18,Afgr,Data!$CS$3)*IF($V18=1,VLOOKUP($R18,Afgr,Data!$CT$3),IF($V18=2,VLOOKUP($R18,Afgr,Data!$CU$3),0))</f>
        <v>609.84</v>
      </c>
      <c r="LR18" s="3">
        <f>IF(Nbal!JK18&lt;&gt;"",Nbal!JK18,LQ18)</f>
        <v>609.84</v>
      </c>
      <c r="LS18" s="3">
        <f>LR18*Z18</f>
        <v>4976.2944000000007</v>
      </c>
      <c r="LU18">
        <f>VLOOKUP($T18,Efgr,Data!$AC$53)*UdsaedJust</f>
        <v>300</v>
      </c>
      <c r="LV18" s="3">
        <f>IF(Nbal!$JS18&lt;&gt;"",Nbal!$JS18,LU18)</f>
        <v>300</v>
      </c>
      <c r="LW18" s="3">
        <f>LV18*Z18</f>
        <v>2448</v>
      </c>
      <c r="LY18" s="3">
        <f>IF(HdgVaerdiNbal=1,(CB18)*Npris,(CB18+CL18)*Npris)</f>
        <v>0</v>
      </c>
      <c r="LZ18" s="3">
        <f>LY18*Z18</f>
        <v>0</v>
      </c>
      <c r="MB18">
        <f>$EO18</f>
        <v>0</v>
      </c>
      <c r="MC18">
        <f>CU18</f>
        <v>0</v>
      </c>
      <c r="MD18">
        <f>CR18</f>
        <v>0</v>
      </c>
      <c r="ME18" s="3">
        <f>IF(HdgVaerdiNbal=1,MD18*Ppris,(MC18+MD18)*Ppris)</f>
        <v>0</v>
      </c>
      <c r="MF18" s="3">
        <f>ME18*Z18</f>
        <v>0</v>
      </c>
      <c r="MH18">
        <f>$ER18</f>
        <v>0</v>
      </c>
      <c r="MI18">
        <f>DC18</f>
        <v>0</v>
      </c>
      <c r="MJ18">
        <f>CZ18</f>
        <v>0</v>
      </c>
      <c r="MK18" s="3">
        <f>IF(HdgVaerdiNbal=1,MJ18*Ppris,(MI18+MJ18)*Ppris)</f>
        <v>0</v>
      </c>
      <c r="ML18" s="3">
        <f>MK18*Z18</f>
        <v>0</v>
      </c>
      <c r="MN18">
        <f>LY18+ME18+MK18</f>
        <v>0</v>
      </c>
      <c r="MO18" s="3">
        <f>IF(Nbal!JY18&lt;&gt;"",Nbal!JY18,$MN18)</f>
        <v>0</v>
      </c>
      <c r="MP18" s="3">
        <f>MO18*Z18</f>
        <v>0</v>
      </c>
      <c r="MR18">
        <f>VLOOKUP($T18,Efgr,Data!$AE$53)*PlantevJust</f>
        <v>0</v>
      </c>
      <c r="MS18" s="3">
        <f>IF(Nbal!KE18&lt;&gt;"",Nbal!KE18,MR18)</f>
        <v>0</v>
      </c>
      <c r="MT18" s="3">
        <f>MS18*Z18</f>
        <v>0</v>
      </c>
      <c r="MV18">
        <f>VLOOKUP($T18,Efgr,Data!$AF$53)+$BR18*VLOOKUP($T18,Efgr,Data!$AL$53)</f>
        <v>0</v>
      </c>
      <c r="MW18" s="3">
        <f>IF(Nbal!KK18&lt;&gt;"",Nbal!KK18,MV18)</f>
        <v>0</v>
      </c>
      <c r="MX18" s="3">
        <f>MW18*Z18</f>
        <v>0</v>
      </c>
      <c r="MZ18">
        <f>LV18+MO18+MS18+MW18</f>
        <v>300</v>
      </c>
      <c r="NB18">
        <f>VLOOKUP($T18,Efgr,Data!$AU$53)*K18*MaskJust</f>
        <v>55</v>
      </c>
      <c r="NC18" s="3">
        <f>IF(Nbal!KQ18&lt;&gt;"",Nbal!KQ18,NB18)</f>
        <v>55</v>
      </c>
      <c r="ND18" s="3">
        <f>NC18*Z18</f>
        <v>448.8</v>
      </c>
      <c r="NF18">
        <f>VLOOKUP($T18,Efgr,Data!$AW$53)*Data!$K$268*K18*MaskJust</f>
        <v>0</v>
      </c>
      <c r="NG18" s="3">
        <f>IF(Nbal!KW18&lt;&gt;"",Nbal!KW18,NF18)</f>
        <v>0</v>
      </c>
      <c r="NH18" s="3">
        <f>NG18*Z18</f>
        <v>0</v>
      </c>
      <c r="NJ18">
        <f>VLOOKUP($T18,Efgr,Data!$AV$53)*Data!$K$269*MaskJust</f>
        <v>0</v>
      </c>
      <c r="NK18" s="3">
        <f>IF(Nbal!LC18&lt;&gt;"",Nbal!LC18,NJ18)</f>
        <v>0</v>
      </c>
      <c r="NL18" s="3">
        <f>NK18*Z18</f>
        <v>0</v>
      </c>
      <c r="NN18">
        <f>IF(C18=2,VLOOKUP($T18,Efgr,Data!$BC$53),0)</f>
        <v>0</v>
      </c>
      <c r="NO18">
        <f>IF(Nbal!LI18&lt;&gt;"",Nbal!LI18,$NN18)</f>
        <v>0</v>
      </c>
      <c r="NP18">
        <f>IF(C18=2,$NO18*Flytning/mmprgang+$NO18*Prisprmm,0)</f>
        <v>0</v>
      </c>
      <c r="NQ18" s="3">
        <f>IF(Nbal!LO18&lt;&gt;"",Nbal!LO18,$NP18)</f>
        <v>0</v>
      </c>
      <c r="NR18" s="3">
        <f>NQ18*Z18</f>
        <v>0</v>
      </c>
      <c r="NT18">
        <f>IF(VLOOKUP($T18,Efgr,Data!$AX$53)&gt;0,((1+BR18/VLOOKUP($T18,Efgr,Data!$AX$53))/2)*VLOOKUP($T18,Efgr,Data!$AY$53)*VLOOKUP($T18,Efgr,Data!$BA$53)+VLOOKUP($T18,Efgr,Data!$AZ$53),0)</f>
        <v>0</v>
      </c>
      <c r="NU18">
        <f>IF(VLOOKUP($T18,Efgr,Data!$AX$53)&gt;0,($BR18/VLOOKUP($T18,Efgr,Data!$AX$53))*VLOOKUP($T18,Efgr,Data!$BB$53)*VLOOKUP($T18,Efgr,Data!$BA$53),0)</f>
        <v>0</v>
      </c>
      <c r="NV18">
        <f>(NT18+NU18)*MaskJust</f>
        <v>0</v>
      </c>
      <c r="NW18" s="3">
        <f>IF(Nbal!LU18&lt;&gt;"",Nbal!LU18,NV18)</f>
        <v>0</v>
      </c>
      <c r="NX18" s="3">
        <f>NW18*Z18</f>
        <v>0</v>
      </c>
      <c r="NZ18">
        <f>IF($U18=2,Data!$K$304,IF($U18=3,Data!$K$305,0))*MaskJust</f>
        <v>180</v>
      </c>
      <c r="OA18" s="3">
        <f>IF(Nbal!MA18&lt;&gt;"",Nbal!MA18,NZ18)</f>
        <v>180</v>
      </c>
      <c r="OB18" s="3">
        <f>OA18*Z18</f>
        <v>1468.8</v>
      </c>
      <c r="OD18">
        <f>IL18</f>
        <v>11337.857142857143</v>
      </c>
      <c r="OE18">
        <f>JW18+MZ18</f>
        <v>1417.45</v>
      </c>
      <c r="OF18">
        <f>OD18-OE18</f>
        <v>9920.4071428571424</v>
      </c>
      <c r="OG18">
        <f>OF18*Z18</f>
        <v>80950.52228571428</v>
      </c>
      <c r="OJ18">
        <f>VLOOKUP($O18,Afgr,Data!$BP$3)+VLOOKUP($P18,Efgr,Data!$AM$53)</f>
        <v>1</v>
      </c>
      <c r="OK18" s="3">
        <f>OJ18*Z18</f>
        <v>8.16</v>
      </c>
      <c r="OL18">
        <f>VLOOKUP($R18,Afgr,Data!$BP$3)+VLOOKUP($T18,Efgr,Data!$AM$53)</f>
        <v>1</v>
      </c>
      <c r="OM18" s="3">
        <f>OL18*Z18</f>
        <v>8.16</v>
      </c>
      <c r="OO18">
        <f>VLOOKUP($P18,Efgr,Data!$AN$53)</f>
        <v>1</v>
      </c>
      <c r="OP18">
        <f>VLOOKUP($O18,Afgr,Data!$BQ$3)</f>
        <v>1</v>
      </c>
      <c r="OQ18">
        <f>VLOOKUP($R18,Afgr,Data!$BR$3)</f>
        <v>1</v>
      </c>
      <c r="OR18">
        <f>OO18*OP18*OQ18</f>
        <v>1</v>
      </c>
      <c r="OS18" s="3">
        <f>OR18*Z18</f>
        <v>8.16</v>
      </c>
      <c r="OT18" s="3">
        <f>IF(Q18,1,0)*OS18</f>
        <v>0</v>
      </c>
      <c r="OV18">
        <f>VLOOKUP($T18,Efgr,Data!$AN$53)</f>
        <v>1</v>
      </c>
      <c r="OW18">
        <f>VLOOKUP($R18,Afgr,Data!$BQ$3)</f>
        <v>1</v>
      </c>
      <c r="OX18">
        <f>VLOOKUP($X18,Afgr,Data!$BR$3)</f>
        <v>1</v>
      </c>
      <c r="OY18">
        <f>OV18*OW18*OX18</f>
        <v>1</v>
      </c>
      <c r="OZ18" s="3">
        <f>OY18*Z18</f>
        <v>8.16</v>
      </c>
      <c r="PB18">
        <f>VLOOKUP($T18,Efgr,Data!$AO$53)</f>
        <v>0</v>
      </c>
      <c r="PC18">
        <f>VLOOKUP($O18,Afgr,Data!$BQ$3)</f>
        <v>1</v>
      </c>
      <c r="PD18">
        <f>VLOOKUP($R18,Afgr,Data!$BS$3)</f>
        <v>0</v>
      </c>
      <c r="PE18" s="3">
        <f>PB18*PC18*PD18*$Z18</f>
        <v>0</v>
      </c>
      <c r="PG18">
        <f>VLOOKUP($T18,Efgr,Data!$AO$53)</f>
        <v>0</v>
      </c>
      <c r="PH18">
        <f>VLOOKUP($R18,Afgr,Data!$BQ$3)</f>
        <v>1</v>
      </c>
      <c r="PI18">
        <f>VLOOKUP($X18,Afgr,Data!$BS$3)</f>
        <v>0</v>
      </c>
      <c r="PJ18" s="3">
        <f>PG18*PH18*PI18*$Z18</f>
        <v>0</v>
      </c>
      <c r="PK18" s="3"/>
      <c r="PL18" s="3">
        <f>VLOOKUP($O18,Afgr,Data!$BU$3)</f>
        <v>0</v>
      </c>
      <c r="PM18" s="3">
        <f>PL18*Z18</f>
        <v>0</v>
      </c>
      <c r="PN18" s="3">
        <f>VLOOKUP($R18,Afgr,Data!$BU$3)</f>
        <v>0</v>
      </c>
      <c r="PO18" s="3">
        <f>PN18*Z18</f>
        <v>0</v>
      </c>
      <c r="PQ18">
        <f>VLOOKUP(R18,Afgr,Data!$BX$3)+VLOOKUP(T18,Efgr,Data!$AQ$53)</f>
        <v>0</v>
      </c>
      <c r="PR18">
        <f>IF(PQ18&gt;0,Z18,0)</f>
        <v>0</v>
      </c>
      <c r="PT18">
        <f>VLOOKUP($O18,Afgr,Data!$BT$3)</f>
        <v>1</v>
      </c>
      <c r="PU18" s="3">
        <f>PT18*Z18</f>
        <v>8.16</v>
      </c>
      <c r="PV18">
        <f>VLOOKUP($R18,Afgr,Data!$BT$3)</f>
        <v>1</v>
      </c>
      <c r="PW18" s="3">
        <f>PV18*Z18</f>
        <v>8.16</v>
      </c>
      <c r="PY18">
        <f>VLOOKUP($R18,Afgr,Data!$BV$3)</f>
        <v>0</v>
      </c>
      <c r="PZ18">
        <f>PY18*Z18</f>
        <v>0</v>
      </c>
      <c r="QB18">
        <f>VLOOKUP($R18,Afgr,Data!$BW$3)</f>
        <v>0</v>
      </c>
      <c r="QC18">
        <f>QB18*Z18</f>
        <v>0</v>
      </c>
      <c r="QE18">
        <f>AM18*IF(VLOOKUP($R18,Afgr,Data!$BJ$3)&gt;0,1,0)</f>
        <v>66</v>
      </c>
      <c r="QF18">
        <f>QE18*Z18</f>
        <v>538.56000000000006</v>
      </c>
      <c r="QH18">
        <f>AM18*VLOOKUP(R18,Afgr,Data!$BK$3)</f>
        <v>6237</v>
      </c>
      <c r="QI18">
        <f>Z18*QH18</f>
        <v>50893.919999999998</v>
      </c>
      <c r="QJ18">
        <f>$AM18*VLOOKUP($R18,Afgr,Data!$BL$3)+$BR18*VLOOKUP($T18,Efgr,Data!$AP$53)</f>
        <v>0</v>
      </c>
      <c r="QK18">
        <f>QJ18*Z18</f>
        <v>0</v>
      </c>
      <c r="QL18">
        <f>$AM18*VLOOKUP($R18,Afgr,Data!$BM$3)</f>
        <v>0</v>
      </c>
      <c r="QM18">
        <f>QL18*Z18</f>
        <v>0</v>
      </c>
      <c r="QN18">
        <f>$AM18*VLOOKUP($R18,Afgr,Data!$BN$3)</f>
        <v>0</v>
      </c>
      <c r="QO18">
        <f>QN18*Z18</f>
        <v>0</v>
      </c>
      <c r="QR18">
        <f>IF(VLOOKUP($R18,Afgr,Data!$DA$3)="Vårbyg",$AN18,0)*VLOOKUP($R18,Afgr,Data!$BJ$3)</f>
        <v>54933.120000000003</v>
      </c>
      <c r="QS18">
        <f>IF(VLOOKUP($R18,Afgr,Data!$DA$3)="Vinterbyg",$AN18,0)*VLOOKUP($R18,Afgr,Data!$BJ$3)</f>
        <v>0</v>
      </c>
      <c r="QT18">
        <f>IF(VLOOKUP($R18,Afgr,Data!$DA$3)="Havre",$AN18,0)*VLOOKUP($R18,Afgr,Data!$BJ$3)</f>
        <v>0</v>
      </c>
      <c r="QU18">
        <f>IF(VLOOKUP($R18,Afgr,Data!$DA$3)="Hvede",$AN18,0)*VLOOKUP($R18,Afgr,Data!$BJ$3)</f>
        <v>0</v>
      </c>
      <c r="QV18">
        <f>IF(VLOOKUP($R18,Afgr,Data!$DA$3)="Triticale",$AN18,0)*VLOOKUP($R18,Afgr,Data!$BJ$3)</f>
        <v>0</v>
      </c>
      <c r="QW18">
        <f>IF(VLOOKUP($R18,Afgr,Data!$DA$3)="Rug",$AN18,0)*VLOOKUP($R18,Afgr,Data!$BJ$3)</f>
        <v>0</v>
      </c>
      <c r="QX18">
        <f>IF(VLOOKUP($R18,Afgr,Data!$DA$3)="Majs",$AN18,0)*VLOOKUP($R18,Afgr,Data!$BJ$3)</f>
        <v>0</v>
      </c>
      <c r="RA18">
        <f>IF(OV18+PB18&gt;0,1,0)</f>
        <v>1</v>
      </c>
      <c r="RB18">
        <f>RA18*LW18</f>
        <v>2448</v>
      </c>
      <c r="RC18">
        <f>RA18*MT18</f>
        <v>0</v>
      </c>
      <c r="RD18">
        <f>ND18</f>
        <v>448.8</v>
      </c>
      <c r="RE18">
        <f>RA18*OB18</f>
        <v>1468.8</v>
      </c>
      <c r="RH18">
        <f>VLOOKUP(B18,Jordtype,Data!$Y$112+DenitNr-1)</f>
        <v>7.25</v>
      </c>
      <c r="RI18">
        <f>FF18*VLOOKUP(B18,Jordtype,Data!$AB$112+DenitNr-1)</f>
        <v>1.6400000000000001</v>
      </c>
      <c r="RJ18">
        <f>((CJ18+CK18+CL18+Regn2!CO18*0.7)-(RR18+RT18))*VLOOKUP(B18,Jordtype,Data!$AE$112+DenitNr-1)</f>
        <v>7.8575062500000001</v>
      </c>
      <c r="RK18">
        <f>0*VLOOKUP(B18,Jordtype,Data!$AE$112+DenitNr-1)</f>
        <v>0</v>
      </c>
      <c r="RL18">
        <f>Regn2!FD18*VLOOKUP(B18,Jordtype,Data!$AH$112+DenitNr-1)</f>
        <v>0</v>
      </c>
      <c r="RM18" s="3">
        <f>RH18+RI18+RJ18+RK18+RL18</f>
        <v>16.747506250000001</v>
      </c>
      <c r="RO18">
        <v>2</v>
      </c>
      <c r="RP18">
        <f>(FF18)*RO18*0.01</f>
        <v>0.82000000000000006</v>
      </c>
      <c r="RQ18">
        <v>7</v>
      </c>
      <c r="RR18">
        <f>CE18*RQ18*0.01</f>
        <v>0</v>
      </c>
      <c r="RS18">
        <v>7</v>
      </c>
      <c r="RT18">
        <f>(Regn2!CF18+Regn2!CG18)*RS18*0.01</f>
        <v>5.95</v>
      </c>
      <c r="RW18">
        <f>VLOOKUP(R18,Afgr,Data!$EE$3)</f>
        <v>5</v>
      </c>
      <c r="RX18" s="3">
        <f>RP18+RR18+RT18+RV18+RW18</f>
        <v>11.77</v>
      </c>
    </row>
    <row r="19" spans="1:492" x14ac:dyDescent="0.25">
      <c r="GT19" s="12"/>
    </row>
    <row r="20" spans="1:492" x14ac:dyDescent="0.25">
      <c r="A20" s="214" t="str">
        <f>Nbal!B20</f>
        <v>1-1</v>
      </c>
      <c r="B20">
        <v>6</v>
      </c>
      <c r="C20">
        <v>1</v>
      </c>
      <c r="D20">
        <f>IF(C20=1,VLOOKUP(B20,Jordtype,Data!$K$112),VLOOKUP(B20,Jordtype,Data!$L$112))</f>
        <v>9</v>
      </c>
      <c r="E20">
        <f>IF(C20=1,VLOOKUP(B20,Jordtype,Data!$M$112),VLOOKUP(B20,Jordtype,Data!$N$112))</f>
        <v>14</v>
      </c>
      <c r="F20">
        <f>IF(OR(B20=1,B20=3),0,IF(OR(B20=2,B20=4),1,IF(OR(B20=5,B20=6),2,3)))</f>
        <v>2</v>
      </c>
      <c r="G20">
        <f>IF(C20=1,VLOOKUP(B20,Jordtype,Data!$Q$112),VLOOKUP(B20,Jordtype,Data!$R$112))</f>
        <v>25</v>
      </c>
      <c r="H20">
        <f>IF(C20=1,VLOOKUP(B20,Jordtype,Data!$O$112),VLOOKUP(B20,Jordtype,Data!$P$112))</f>
        <v>19</v>
      </c>
      <c r="I20">
        <f>IF(B20&lt;5,0,1)</f>
        <v>1</v>
      </c>
      <c r="J20">
        <f>IF(B20&lt;5,PlojJB,1)</f>
        <v>1</v>
      </c>
      <c r="K20">
        <f>IF(B20&lt;5,SaaJB,1)</f>
        <v>1</v>
      </c>
      <c r="L20">
        <f>IF(C20=1,VLOOKUP(B20,Jordtype,Data!$S$112),VLOOKUP(B20,Jordtype,Data!$T$112))</f>
        <v>8</v>
      </c>
      <c r="M20">
        <f>IF(C20=1,VLOOKUP(B20,Jordtype,Data!$U$112),VLOOKUP(B20,Jordtype,Data!$V$112))</f>
        <v>13</v>
      </c>
      <c r="O20">
        <v>26</v>
      </c>
      <c r="P20">
        <v>1</v>
      </c>
      <c r="Q20" t="b">
        <v>0</v>
      </c>
      <c r="R20">
        <v>26</v>
      </c>
      <c r="S20">
        <v>1</v>
      </c>
      <c r="T20">
        <v>1</v>
      </c>
      <c r="U20">
        <v>1</v>
      </c>
      <c r="V20">
        <v>1</v>
      </c>
      <c r="X20">
        <v>26</v>
      </c>
      <c r="Z20">
        <f>Nbal!AG20</f>
        <v>1.4</v>
      </c>
      <c r="AA20">
        <v>4</v>
      </c>
      <c r="AB20">
        <f>VLOOKUP($R20,Afgr,G20)</f>
        <v>134</v>
      </c>
      <c r="AC20">
        <f>VLOOKUP($O20,Afgr,Data!$AI$3)*VLOOKUP(R20,Afgr,Data!$AJ$3)</f>
        <v>0</v>
      </c>
      <c r="AD20">
        <f>IF($Q20,0,VLOOKUP($P20,Efgr,(Data!$W$53+$V$6-1)))</f>
        <v>0</v>
      </c>
      <c r="AE20">
        <f>AB20-AC20-AD20</f>
        <v>134</v>
      </c>
      <c r="AF20">
        <f>AE20*Z20</f>
        <v>187.6</v>
      </c>
      <c r="AH20">
        <f>VLOOKUP(R20,Afgr,D20)</f>
        <v>3000</v>
      </c>
      <c r="AI20">
        <f>VLOOKUP(O20,Afgr,Data!$AL$3)*VLOOKUP(R20,Afgr,E20)</f>
        <v>0</v>
      </c>
      <c r="AJ20">
        <f>VLOOKUP(P20,Efgr,(Data!$Y$53+I20))</f>
        <v>0</v>
      </c>
      <c r="AK20">
        <f>AH20+AI20+AJ20</f>
        <v>3000</v>
      </c>
      <c r="AL20">
        <f>AH20+AI20+AJ20</f>
        <v>3000</v>
      </c>
      <c r="AM20" s="3">
        <f>IF(Nbal!CK20&lt;&gt;"",Nbal!CK20,AL20)</f>
        <v>3000</v>
      </c>
      <c r="AN20">
        <f>AM20*Z20</f>
        <v>4200</v>
      </c>
      <c r="AO20" t="str">
        <f>VLOOKUP(R20,Afgr,3)</f>
        <v>FE</v>
      </c>
      <c r="AP20">
        <f>IF(AO20="FE",VLOOKUP($R20,Afgr,Data!$AV$3),0)</f>
        <v>1.1599999999999999</v>
      </c>
      <c r="AR20">
        <f>VLOOKUP(R20,Afgr,4)</f>
        <v>1.2</v>
      </c>
      <c r="AS20" s="3">
        <f>IF(Nbal!CW20&lt;&gt;"",Nbal!CW20,AR20)</f>
        <v>1.2</v>
      </c>
      <c r="AT20" s="3">
        <f>AM20*AS20</f>
        <v>3600</v>
      </c>
      <c r="AU20" s="3">
        <f>AN20*AS20</f>
        <v>5040</v>
      </c>
      <c r="AW20">
        <f>VLOOKUP(R20,Afgr,Data!$AN$3)</f>
        <v>0</v>
      </c>
      <c r="AX20" s="3">
        <f>IF(Nbal!DC20&lt;&gt;"",Nbal!DC20,AW20)</f>
        <v>0</v>
      </c>
      <c r="AY20" s="3">
        <f>AX20*Z20</f>
        <v>0</v>
      </c>
      <c r="BA20">
        <f>VLOOKUP(R20,Afgr,H20)</f>
        <v>0</v>
      </c>
      <c r="BB20">
        <f>IF(ISERROR(BA20*AM20/AK20),0,(BA20*AM20/AK20))</f>
        <v>0</v>
      </c>
      <c r="BC20" s="3">
        <f>IF(Nbal!DI20&lt;&gt;"",Nbal!DI20,BB20)</f>
        <v>0</v>
      </c>
      <c r="BD20">
        <f>BC20*Z20</f>
        <v>0</v>
      </c>
      <c r="BG20">
        <f>IF($S20=1,BC20,0)</f>
        <v>0</v>
      </c>
      <c r="BH20">
        <f>IF($S20=1,BD20,0)</f>
        <v>0</v>
      </c>
      <c r="BI20">
        <f>VLOOKUP(R20,Afgr,Data!$AM$3)</f>
        <v>0</v>
      </c>
      <c r="BJ20">
        <f>IF(Nbal!DR20&lt;&gt;"",Nbal!DR20,BI20)</f>
        <v>0</v>
      </c>
      <c r="BK20">
        <f>BG20*BJ20</f>
        <v>0</v>
      </c>
      <c r="BL20">
        <f>BH20*BJ20</f>
        <v>0</v>
      </c>
      <c r="BN20">
        <f>VLOOKUP($T20,Efgr,M20)</f>
        <v>0</v>
      </c>
      <c r="BO20">
        <f>BN20*Z20</f>
        <v>0</v>
      </c>
      <c r="BQ20">
        <f>VLOOKUP(T20,Efgr,NormudbKolonneNrEfgr1)</f>
        <v>0</v>
      </c>
      <c r="BR20" s="3">
        <f>IF(Nbal!FE20&lt;&gt;"",Nbal!FE20,BQ20)</f>
        <v>0</v>
      </c>
      <c r="BS20">
        <f>BR20*Z20</f>
        <v>0</v>
      </c>
      <c r="BT20" t="s">
        <v>37</v>
      </c>
      <c r="BU20">
        <f>BR20*Efterslaetpris</f>
        <v>0</v>
      </c>
      <c r="BV20">
        <f>BS20*Efterslaetpris</f>
        <v>0</v>
      </c>
      <c r="BW20">
        <f>VLOOKUP(T20,Efgr,Data!$AG$53)</f>
        <v>0</v>
      </c>
      <c r="BX20">
        <f>BR20*BW20</f>
        <v>0</v>
      </c>
      <c r="BZ20">
        <f>Nbal!AQ20</f>
        <v>0</v>
      </c>
      <c r="CA20" s="211">
        <f>Nbal!AT20</f>
        <v>0</v>
      </c>
      <c r="CB20" s="2">
        <f>Nbal!DZ20</f>
        <v>0</v>
      </c>
      <c r="CC20" s="211">
        <f>Nbal!AT20+Nbal!DZ20</f>
        <v>0</v>
      </c>
      <c r="CD20" s="211">
        <f>Nbal!AX20</f>
        <v>0</v>
      </c>
      <c r="CE20">
        <f>Nbal!BH20</f>
        <v>0</v>
      </c>
      <c r="CF20" s="211">
        <f>Nbal!BM20</f>
        <v>0</v>
      </c>
      <c r="CG20" s="2">
        <f>Nbal!EI20</f>
        <v>0</v>
      </c>
      <c r="CH20" s="211">
        <f>Nbal!BM20+Nbal!EI20</f>
        <v>0</v>
      </c>
      <c r="CI20" s="211">
        <f>Nbal!BW20</f>
        <v>0</v>
      </c>
      <c r="CJ20" s="211">
        <f>Nbal!BH20*Nbal!BJ20*0.01</f>
        <v>0</v>
      </c>
      <c r="CK20" s="211">
        <f>(Nbal!BM20*Nbal!BP20*0.01)</f>
        <v>0</v>
      </c>
      <c r="CL20" s="211">
        <f>(Nbal!EI20*Nbal!EL20*0.01)</f>
        <v>0</v>
      </c>
      <c r="CM20" s="211">
        <f>(Nbal!BM20*Nbal!BP20*0.01)+(Nbal!EI20*Nbal!EL20*0.01)</f>
        <v>0</v>
      </c>
      <c r="CN20" s="211">
        <f>Nbal!BW20*Nbal!BY20*0.01</f>
        <v>0</v>
      </c>
      <c r="CO20">
        <f>Nbal!BT20+Nbal!ER20</f>
        <v>0</v>
      </c>
      <c r="CQ20">
        <f>Nbal!BA20</f>
        <v>0</v>
      </c>
      <c r="CR20">
        <f>Nbal!EC20</f>
        <v>0</v>
      </c>
      <c r="CS20">
        <f>(CQ20+CR20)*Z20</f>
        <v>0</v>
      </c>
      <c r="CT20">
        <f>Nbal!CB20</f>
        <v>0</v>
      </c>
      <c r="CU20">
        <f>Nbal!EV20</f>
        <v>0</v>
      </c>
      <c r="CV20">
        <f>(CT20+CU20)*Z20</f>
        <v>0</v>
      </c>
      <c r="CW20">
        <f>Nbal!BA20+Nbal!CB20+Nbal!EC20+Nbal!EV20</f>
        <v>0</v>
      </c>
      <c r="CY20">
        <f>Nbal!BD20</f>
        <v>0</v>
      </c>
      <c r="CZ20">
        <f>Nbal!EF20</f>
        <v>0</v>
      </c>
      <c r="DA20">
        <f>(CY20+CZ20)*Z20</f>
        <v>0</v>
      </c>
      <c r="DB20">
        <f>Nbal!CE20</f>
        <v>0</v>
      </c>
      <c r="DC20">
        <f>Nbal!EY20</f>
        <v>0</v>
      </c>
      <c r="DD20">
        <f>(DB20+DC20)*Z20</f>
        <v>0</v>
      </c>
      <c r="DE20">
        <f>Nbal!BD20+Nbal!CE20+Nbal!EF20+Nbal!EY20</f>
        <v>0</v>
      </c>
      <c r="DG20">
        <f>VLOOKUP($R20,Afgr,Data!$AW$3)</f>
        <v>14</v>
      </c>
      <c r="DH20">
        <f>IF($AO20="FE",$AM20*$AP20*$DG20*0.01,$AM20*100*$DM20*0.01*$DG20*0.01)</f>
        <v>487.19999999999993</v>
      </c>
      <c r="DI20">
        <f>IF(VLOOKUP(R20,Afgr,Data!$BO$3)=1,DH20,0)*Z20</f>
        <v>0</v>
      </c>
      <c r="DJ20" s="12">
        <f>(BZ20+CC20+CJ20-AE20)*VLOOKUP($R20,Afgr,Data!$AX$3)</f>
        <v>0</v>
      </c>
      <c r="DK20">
        <f>DG20+DJ20</f>
        <v>14</v>
      </c>
      <c r="DL20">
        <f>IF(Nbal!CQ20&lt;&gt;"",Nbal!CQ20,DK20)</f>
        <v>14</v>
      </c>
      <c r="DM20">
        <f>VLOOKUP(R20,Afgr,Data!$AT$3)</f>
        <v>0</v>
      </c>
      <c r="DN20">
        <f>IF($AO20="FE",$AM20*$AP20*$DL20*0.01,$AM20*100*$DM20*0.01*DL20*0.01)</f>
        <v>487.19999999999993</v>
      </c>
      <c r="DO20">
        <f>IF(VLOOKUP(R20,Afgr,Data!$BO$3)=1,DN20,0)*Z20</f>
        <v>0</v>
      </c>
      <c r="DP20">
        <f>IF(ISERROR(DN20/VLOOKUP(R20,Afgr,Data!$AY$3)),0,DN20/VLOOKUP(R20,Afgr,Data!$AY$3))</f>
        <v>77.951999999999984</v>
      </c>
      <c r="DQ20">
        <f>DP20*Z20</f>
        <v>109.13279999999997</v>
      </c>
      <c r="DS20">
        <f>IF($AO20="FE",$AM20*$AP20*VLOOKUP($R20,Afgr,Data!$BC$3)*0.001,$AM20*100*$DM20*0.01*VLOOKUP($R20,Afgr,Data!$BC$3)*0.001)</f>
        <v>9.743999999999998</v>
      </c>
      <c r="DT20">
        <f>DS20*Z20</f>
        <v>13.641599999999997</v>
      </c>
      <c r="DV20">
        <f>IF($AO20="FE",$AM20*$AP20*VLOOKUP($R20,Afgr,Data!$BF$3)*0.001,$AM20*100*$DM20*0.01*VLOOKUP($R20,Afgr,Data!$BF$3)*0.001)</f>
        <v>62.639999999999993</v>
      </c>
      <c r="DW20">
        <f>DV20*Z20</f>
        <v>87.695999999999984</v>
      </c>
      <c r="DY20">
        <f>IF(ISERROR(VLOOKUP(R20,Afgr,Data!$AZ$3)*DL20/DG20),0,VLOOKUP(R20,Afgr,Data!$AZ$3)*DL20/DG20)</f>
        <v>0</v>
      </c>
      <c r="DZ20">
        <f>VLOOKUP(R20,Afgr,Data!$AU$3)</f>
        <v>0</v>
      </c>
      <c r="EA20">
        <f>IF($S20=1,$BC20*$DZ20*0.01*DY20*0.01,0)</f>
        <v>0</v>
      </c>
      <c r="EB20">
        <f>EA20/6.25</f>
        <v>0</v>
      </c>
      <c r="EC20">
        <f>EB20*Z20</f>
        <v>0</v>
      </c>
      <c r="EE20">
        <f>IF($S20=1,$BC20*$DZ20*0.01*VLOOKUP($R20,Afgr,Data!$BD$3)*0.001,0)</f>
        <v>0</v>
      </c>
      <c r="EF20">
        <f>EE20*Z20</f>
        <v>0</v>
      </c>
      <c r="EH20">
        <f>IF($S20=1,$BC20*$DZ20*0.01*VLOOKUP($R20,Afgr,Data!$BG$3)*0.001,0)</f>
        <v>0</v>
      </c>
      <c r="EI20">
        <f>EH20*Z20</f>
        <v>0</v>
      </c>
      <c r="EK20">
        <f>VLOOKUP(T20,Efgr,Data!$AI$53)</f>
        <v>0</v>
      </c>
      <c r="EL20">
        <f>BX20*EK20*0.01/6.25</f>
        <v>0</v>
      </c>
      <c r="EM20">
        <f>EL20*Z20</f>
        <v>0</v>
      </c>
      <c r="EO20">
        <f>$BX20*VLOOKUP($T20,Efgr,Data!$AJ$53)*0.001</f>
        <v>0</v>
      </c>
      <c r="EP20">
        <f>EO20*Z20</f>
        <v>0</v>
      </c>
      <c r="ER20">
        <f>$BX20*VLOOKUP($T20,Efgr,Data!$AK$53)*0.001</f>
        <v>0</v>
      </c>
      <c r="ES20">
        <f>ER20*Z20</f>
        <v>0</v>
      </c>
      <c r="EU20">
        <f>IF(VLOOKUP(R20,Afgr,Data!$DS$3)=1,DP20*VLOOKUP(R20,Afgr,(Data!$DT$3+EftervirkningUdb1))*VLOOKUP(R20,Afgr,Data!$DV$3),0)</f>
        <v>0</v>
      </c>
      <c r="EV20">
        <f>IF(VLOOKUP(R20,Afgr,Data!$DS$3)=2,VLOOKUP(R20,Afgr,Data!$DX$3),0)</f>
        <v>0</v>
      </c>
      <c r="EW20">
        <f>IF(VLOOKUP(R20,Afgr,Data!$DS$3)=3,$DP20*VLOOKUP($R20,Afgr,IF(Jordtype1&lt;5,Data!$DT$3,Data!$DU$3))*VLOOKUP($R20,Afgr,Data!$DV$3),0)</f>
        <v>0</v>
      </c>
      <c r="EX20">
        <f>IF(VLOOKUP(R20,Afgr,Data!$DS$3)=4,(1.232+0.00469*AM20*100+(0.000256*AM20*100+0.089)*60),0)</f>
        <v>0</v>
      </c>
      <c r="EY20" s="211">
        <f>BZ20+CA20+CJ20+CK20</f>
        <v>0</v>
      </c>
      <c r="EZ20">
        <f>IF(VLOOKUP($R20,Afgr,Data!$DS$3)=5,($AM20*0.02742-$AM20*0.0001*$EY20+$AM20*0.0000001111*$EY20*$EY20),0)</f>
        <v>0</v>
      </c>
      <c r="FA20" s="2">
        <f>CB20+CL20</f>
        <v>0</v>
      </c>
      <c r="FB20">
        <f>IF(VLOOKUP($T20,Efgr,Data!$BH$53)=5,($BR20*0.02742-$BR20*0.0001*$FA20+$BR20*0.0000001111*$FA20*$FA20),0)</f>
        <v>0</v>
      </c>
      <c r="FC20" s="3">
        <f>EU20+EV20+EW20+EX20+EZ20+FB20</f>
        <v>0</v>
      </c>
      <c r="FD20" s="3">
        <f>FC20*Z20</f>
        <v>0</v>
      </c>
      <c r="FF20" s="211">
        <f>BZ20+CC20</f>
        <v>0</v>
      </c>
      <c r="FG20" s="211">
        <f>FF20*Z20</f>
        <v>0</v>
      </c>
      <c r="FH20" s="211">
        <f>CE20+CH20+CO20</f>
        <v>0</v>
      </c>
      <c r="FI20" s="211">
        <f>FH20*Z20</f>
        <v>0</v>
      </c>
      <c r="FJ20">
        <f>VLOOKUP($R20,Afgr,Data!$DK$3)*VLOOKUP($R20,Afgr,Data!$AT$3)*0.01*VLOOKUP($R20,Afgr,Data!$AW$3)*0.01/6.25</f>
        <v>0</v>
      </c>
      <c r="FK20">
        <f>FJ20*Z20</f>
        <v>0</v>
      </c>
      <c r="FL20" s="4">
        <f>IF(R20&gt;1,Deposition,0)</f>
        <v>15</v>
      </c>
      <c r="FM20" s="4">
        <f>FL20*Z20</f>
        <v>21</v>
      </c>
      <c r="FN20">
        <f>FC20</f>
        <v>0</v>
      </c>
      <c r="FO20">
        <f>FN20*Z20</f>
        <v>0</v>
      </c>
      <c r="FP20" s="211">
        <f>SUM(FF20,FH20,FJ20,FL20,FN20)</f>
        <v>15</v>
      </c>
      <c r="FQ20">
        <f>DP20+EB20+EL20</f>
        <v>77.951999999999984</v>
      </c>
      <c r="FR20" s="3">
        <f>FP20-FQ20</f>
        <v>-62.951999999999984</v>
      </c>
      <c r="FS20" s="19">
        <f>FP20*Z20</f>
        <v>21</v>
      </c>
      <c r="FT20" s="19">
        <f>FQ20*Z20</f>
        <v>109.13279999999997</v>
      </c>
      <c r="FU20" s="3">
        <f>FR20*Z20</f>
        <v>-88.132799999999975</v>
      </c>
      <c r="FW20">
        <f>CW20</f>
        <v>0</v>
      </c>
      <c r="FX20">
        <f>FW20*Z20</f>
        <v>0</v>
      </c>
      <c r="FY20">
        <f>IX20+MB20</f>
        <v>9.743999999999998</v>
      </c>
      <c r="FZ20">
        <f>FY20*Z20</f>
        <v>13.641599999999997</v>
      </c>
      <c r="GA20">
        <f>FW20-FY20</f>
        <v>-9.743999999999998</v>
      </c>
      <c r="GB20">
        <f>GA20*Z20</f>
        <v>-13.641599999999997</v>
      </c>
      <c r="GD20">
        <f>DE20</f>
        <v>0</v>
      </c>
      <c r="GE20">
        <f>GD20*Z20</f>
        <v>0</v>
      </c>
      <c r="GF20">
        <f>JE20+MH20</f>
        <v>62.639999999999993</v>
      </c>
      <c r="GG20">
        <f>GF20*Z20</f>
        <v>87.695999999999984</v>
      </c>
      <c r="GH20">
        <f>GD20-GF20</f>
        <v>-62.639999999999993</v>
      </c>
      <c r="GI20">
        <f>GH20*Z20</f>
        <v>-87.695999999999984</v>
      </c>
      <c r="GK20">
        <f>AA20</f>
        <v>4</v>
      </c>
      <c r="GL20" s="211">
        <f>FF20+FH20+FN20</f>
        <v>0</v>
      </c>
      <c r="GM20" s="211" t="str">
        <f>IF(R20=1,"",IF(GK20=1,GL20,""))</f>
        <v/>
      </c>
      <c r="GN20" s="211" t="str">
        <f>IF(R20=1,"",IF(GK20=2,GL20,""))</f>
        <v/>
      </c>
      <c r="GO20" s="211" t="str">
        <f>IF(R20=1,"",IF(GK20=3,GL20,""))</f>
        <v/>
      </c>
      <c r="GP20" s="211">
        <f>IF(R20=1,"",IF(GK20=4,GL20,""))</f>
        <v>0</v>
      </c>
      <c r="GQ20" s="149">
        <f>IF(OR(R20=1,VLOOKUP(R20,Afgr,Data!$BV$3)=1,VLOOKUP(R20,Afgr,Data!$BW$3)=1),0,IF(GK20=1,Nniveau1,IF(GK20=2,Nniveau2,IF(GK20=3,Nniveau3,IF(GK20=4,Nniveau4,GL20)))))</f>
        <v>0</v>
      </c>
      <c r="GR20" s="222">
        <v>0.32550000000000001</v>
      </c>
      <c r="GS20" s="6">
        <v>0</v>
      </c>
      <c r="GT20" s="149">
        <f>CC20+CM20</f>
        <v>0</v>
      </c>
      <c r="GU20" s="6">
        <f>$FN20</f>
        <v>0</v>
      </c>
      <c r="GV20" s="222">
        <v>0.25280000000000002</v>
      </c>
      <c r="GW20">
        <f>CO20</f>
        <v>0</v>
      </c>
      <c r="GX20" s="222">
        <v>0.376</v>
      </c>
      <c r="GY20" s="149">
        <f>CD20+CN20</f>
        <v>0</v>
      </c>
      <c r="GZ20" s="222">
        <f>IF(B20&gt;3,0.3539,1.0749)</f>
        <v>0.35389999999999999</v>
      </c>
      <c r="HA20" s="11">
        <f>$FQ20</f>
        <v>77.951999999999984</v>
      </c>
      <c r="HB20" s="222">
        <v>0.19359999999999999</v>
      </c>
      <c r="HC20" s="222">
        <f>VLOOKUP($R20,Afgr,Data!$DM$3)</f>
        <v>7</v>
      </c>
      <c r="HD20" s="24">
        <f>IF($HC20&gt;1,0,(VLOOKUP($X20,Afgr,Data!$DP$3)+IF(VLOOKUP($X20,Afgr,Data!$DP$3)=0,VLOOKUP($T20,Efgr,Data!$BI$53,0))))+IF(AND($HC20=7,VLOOKUP($X20,Afgr,Data!$DQ$3)=-2),-2,0)+IF(AND($HC20=6,VLOOKUP($T20,Efgr,Data!$BI$53)=2),8,0)</f>
        <v>0</v>
      </c>
      <c r="HE20" s="6">
        <f>VLOOKUP(SUM(HC20:HD20),Nlesafgr,3)</f>
        <v>-165.7</v>
      </c>
      <c r="HF20" s="7">
        <f>VLOOKUP($O20,Afgr,Data!$DN$3)</f>
        <v>4</v>
      </c>
      <c r="HG20" s="24">
        <f>IF(HF20&gt;1,0,VLOOKUP($R20,Afgr,Data!$DO$3)+IF(VLOOKUP($R20,Afgr,Data!$DO$3)=1,0,VLOOKUP($P20,Efgr,Data!$BJ$53)))</f>
        <v>0</v>
      </c>
      <c r="HH20" s="6">
        <f>VLOOKUP(SUM(HF20:HG20),Nlesforfrugt,3)</f>
        <v>34.700000000000003</v>
      </c>
      <c r="HI20" s="222">
        <f>GR20*GQ20+GV20*(GT20+GU20)+GX20*GW20+GZ20*GY20-HB20*HA20+HE20+HH20</f>
        <v>-146.09150719999997</v>
      </c>
      <c r="HJ20" s="222">
        <f>Nlesafskaering</f>
        <v>59.6</v>
      </c>
      <c r="HK20" s="222">
        <f>Teknologi1</f>
        <v>2455</v>
      </c>
      <c r="HL20" s="6">
        <v>2001</v>
      </c>
      <c r="HM20" s="222">
        <f>Teknologi2</f>
        <v>1962.2</v>
      </c>
      <c r="HN20" s="222">
        <f>Tandel</f>
        <v>0.54659999999999997</v>
      </c>
      <c r="HO20" s="222">
        <f>IF(OR(HI20&gt;0,HI20=0),HJ20+HK20/(HL20-HM20),HJ20+HK20/(HL20-HM20)+HN20*HI20)</f>
        <v>43.019578040768749</v>
      </c>
      <c r="HP20" s="222">
        <f>IF(HI20&gt;0,HI20,0.001)</f>
        <v>1E-3</v>
      </c>
      <c r="HQ20" s="222">
        <v>1.5020000000000001E-3</v>
      </c>
      <c r="HR20" s="24">
        <f>IF(R20=1,0,VLOOKUP(PostnrNbal,AfstromData,VLOOKUP($R20,Afgr,Data!$DL$3)+IF(Jordtype1&lt;7,Jordtype1,6),FALSE)-VLOOKUP(T20,Efgr,Data!$AA$53))</f>
        <v>272.32333333333298</v>
      </c>
      <c r="HS20" s="24">
        <f>IF(Nbal!GA20&lt;&gt;"",Nbal!GA20,Regn2!HR20)</f>
        <v>272.32333333333298</v>
      </c>
      <c r="HT20" s="222">
        <v>5.5400000000000002E-4</v>
      </c>
      <c r="HU20" s="24">
        <f>IF(R20=1,0,VLOOKUP(PostnrNbal,AfstromData,VLOOKUP($O20,Afgr,Data!$DL$3)+IF(B20&lt;7,B20,6),FALSE)-VLOOKUP(P20,Efgr,Data!$AA$53))</f>
        <v>272.32333333333298</v>
      </c>
      <c r="HV20" s="24">
        <f>IF(Nbal!FU20&lt;&gt;"",Nbal!FU20,Regn2!HU20)</f>
        <v>272.32333333333298</v>
      </c>
      <c r="HW20" s="222">
        <v>0.10639999999999999</v>
      </c>
      <c r="HX20" s="6">
        <f>VLOOKUP(B20,Jordtype,Data!$W$112)</f>
        <v>3</v>
      </c>
      <c r="HY20" s="222">
        <v>3.2500000000000001E-2</v>
      </c>
      <c r="HZ20" s="6">
        <f>VLOOKUP(B20,Jordtype,Data!$X$112)</f>
        <v>12</v>
      </c>
      <c r="IA20" s="222">
        <v>1.2453000000000001</v>
      </c>
      <c r="IB20" s="222">
        <f>IF(VLOOKUP(T20,Efgr,Data!$AO$53)=1,MlafgrNUdvask,0)</f>
        <v>0</v>
      </c>
      <c r="IC20" s="20">
        <f>IF(ISERROR((HO20+POWER(HP20,1.2))*(1-EXP(-HQ20*HS20))*EXP(-HT20*HV20)*EXP(-HW20*HX20)*EXP(-HY20*HZ20)*IA20),0,(HO20+POWER(HP20,1.2))*(1-EXP(-HQ20*HS20))*EXP(-HT20*HV20)*EXP(-HW20*HX20)*EXP(-HY20*HZ20)*IA20+IB20)</f>
        <v>7.60989510515458</v>
      </c>
      <c r="ID20">
        <f>IC20*Z20</f>
        <v>10.653853147216411</v>
      </c>
      <c r="IE20">
        <f>IF(Nbal!GF20&lt;&gt;"",Nbal!GF20,RetentionNbal)</f>
        <v>65</v>
      </c>
      <c r="IF20">
        <f>IC20*(100-IE20)*0.01</f>
        <v>2.6634632868041028</v>
      </c>
      <c r="IG20">
        <f>IF20*Z20</f>
        <v>3.7288486015257436</v>
      </c>
      <c r="IH20" s="2">
        <f>HS20*10000</f>
        <v>2723233.3333333298</v>
      </c>
      <c r="II20" s="2">
        <f>IH20*Z20</f>
        <v>3812526.6666666614</v>
      </c>
      <c r="IJ20">
        <f>IF(ISERROR(IC20*1000*1000/IH20),0,IC20*1000*1000/IH20)</f>
        <v>2.7944337387497424</v>
      </c>
      <c r="IL20">
        <f>AT20+AX20+BK20+BU20</f>
        <v>3600</v>
      </c>
      <c r="IO20">
        <f>VLOOKUP(R20,Afgr,Data!$AP$3)*UdsaedJust</f>
        <v>0</v>
      </c>
      <c r="IP20" s="3">
        <f>IF(Nbal!GN20&lt;&gt;"",Nbal!GN20,IO20)</f>
        <v>0</v>
      </c>
      <c r="IQ20" s="3">
        <f>IP20*Z20</f>
        <v>0</v>
      </c>
      <c r="IS20" s="3">
        <f>IF(HdgVaerdiNbal=1,(BZ20+CA20)*Npris,(BZ20+CA20+CJ20+CK20)*Npris)</f>
        <v>0</v>
      </c>
      <c r="IT20" s="3">
        <f>IS20*Z20</f>
        <v>0</v>
      </c>
      <c r="IV20">
        <f>VLOOKUP($R20,Afgr,Data!$BA$3)</f>
        <v>0</v>
      </c>
      <c r="IW20">
        <f>VLOOKUP($R20,Afgr,Data!$BB$3)</f>
        <v>0</v>
      </c>
      <c r="IX20">
        <f>$DS20+$EE20</f>
        <v>9.743999999999998</v>
      </c>
      <c r="IY20">
        <f>CT20</f>
        <v>0</v>
      </c>
      <c r="IZ20">
        <f>CQ20</f>
        <v>0</v>
      </c>
      <c r="JA20" s="3">
        <f>IF(HdgVaerdiNbal=1,(IZ20)*Ppris,(IY20+IZ20)*Ppris)</f>
        <v>0</v>
      </c>
      <c r="JB20" s="3">
        <f>JA20*Z20</f>
        <v>0</v>
      </c>
      <c r="JD20">
        <f>IF(AND(R20&gt;1,OR(Jordtype1=1,Jordtype1=3,Markvand1=2)),Kudvask,0)</f>
        <v>0</v>
      </c>
      <c r="JE20">
        <f>$DV20+$EH20</f>
        <v>62.639999999999993</v>
      </c>
      <c r="JF20">
        <f>DB20</f>
        <v>0</v>
      </c>
      <c r="JG20">
        <f>CY20</f>
        <v>0</v>
      </c>
      <c r="JH20" s="3">
        <f>IF(HdgVaerdiNbal=1,JG20*Kpris,(JF20+JG20)*Kpris)</f>
        <v>0</v>
      </c>
      <c r="JI20" s="3">
        <f>JH20*Z20</f>
        <v>0</v>
      </c>
      <c r="JK20">
        <f>IS20+JA20+JH20</f>
        <v>0</v>
      </c>
      <c r="JL20" s="3">
        <f>IF(Nbal!GT20&lt;&gt;"",Nbal!GT20,$JK20)</f>
        <v>0</v>
      </c>
      <c r="JM20" s="3">
        <f>JL20*Z20</f>
        <v>0</v>
      </c>
      <c r="JO20">
        <f>VLOOKUP(R20,Afgr,Data!$AQ$3)*PlantevJust</f>
        <v>0</v>
      </c>
      <c r="JP20" s="3">
        <f>IF(Nbal!GZ20&lt;&gt;"",Nbal!GZ20,JO20)</f>
        <v>0</v>
      </c>
      <c r="JQ20" s="3">
        <f>JP20*Z20</f>
        <v>0</v>
      </c>
      <c r="JS20">
        <f>VLOOKUP(R20,Afgr,Data!$AR$3)+AM20*VLOOKUP(R20,Afgr,Data!$BH$3)</f>
        <v>0</v>
      </c>
      <c r="JT20" s="3">
        <f>IF(Nbal!HF20&lt;&gt;"",Nbal!HF20,JS20)</f>
        <v>0</v>
      </c>
      <c r="JU20">
        <f>JT20*Z20</f>
        <v>0</v>
      </c>
      <c r="JW20">
        <f>IP20+JL20+JP20+JT20</f>
        <v>0</v>
      </c>
      <c r="JY20">
        <f>IF(VLOOKUP(R20,Afgr,Data!$BY$3)&gt;0,Data!$K$259*J20,0)</f>
        <v>0</v>
      </c>
      <c r="JZ20">
        <f>IF(VLOOKUP(R20,Afgr,Data!$BZ$3)&gt;0,Data!$K$260*J20,0)</f>
        <v>0</v>
      </c>
      <c r="KA20">
        <f>(JY20+JZ20)*MaskJust</f>
        <v>0</v>
      </c>
      <c r="KB20" s="3">
        <f>IF(Nbal!HL20&lt;&gt;"",Nbal!HL20,KA20)</f>
        <v>0</v>
      </c>
      <c r="KC20" s="3">
        <f>KB20*Z20</f>
        <v>0</v>
      </c>
      <c r="KE20">
        <f>IF(VLOOKUP(R20,Afgr,Data!$CA$3)&gt;0,VLOOKUP(R20,Afgr,Data!$CA$3)*Data!$K$261*K20,0)</f>
        <v>0</v>
      </c>
      <c r="KF20">
        <f>IF(VLOOKUP(R20,Afgr,Data!$CC$3)&gt;0,Data!$K$262*K20,0)</f>
        <v>0</v>
      </c>
      <c r="KG20">
        <f>IF(VLOOKUP(R20,Afgr,Data!$CD$3)&gt;0,VLOOKUP(R20,Afgr,Data!$CD$3)*Data!$K$263*K20,0)</f>
        <v>0</v>
      </c>
      <c r="KH20">
        <f>IF(VLOOKUP(R20,Afgr,Data!$CE$3)&gt;0,Data!$K$264*K20,0)</f>
        <v>0</v>
      </c>
      <c r="KI20">
        <f>IF(VLOOKUP(R20,Afgr,Data!$CF$3)&gt;0,Data!$K$265*K20,0)</f>
        <v>0</v>
      </c>
      <c r="KJ20">
        <f>IF(VLOOKUP(R20,Afgr,Data!$CV$3)&gt;0,Data!$K$266,0)</f>
        <v>0</v>
      </c>
      <c r="KK20">
        <f>IF(VLOOKUP(R20,Afgr,Data!$CG$3)&gt;0,Data!$K$267*K20,0)</f>
        <v>0</v>
      </c>
      <c r="KL20">
        <f>(KE20+KF20+KG20+KH20+KI20+KJ20+KK20)*MaskJust</f>
        <v>0</v>
      </c>
      <c r="KM20" s="3">
        <f>IF(Nbal!HR20&lt;&gt;"",Nbal!HR20,KL20)</f>
        <v>0</v>
      </c>
      <c r="KN20" s="3">
        <f>KM20*Z20</f>
        <v>0</v>
      </c>
      <c r="KP20">
        <f>IF(VLOOKUP(R20,Afgr,Data!$CJ$3)&gt;0,VLOOKUP(R20,Afgr,Data!$CJ$3)*Data!$K$268*K20,0)*MaskJust</f>
        <v>280</v>
      </c>
      <c r="KQ20" s="3">
        <f>IF(Nbal!HX20&lt;&gt;"",Nbal!HX20,KP20)</f>
        <v>280</v>
      </c>
      <c r="KR20" s="3">
        <f>KQ20*Z20</f>
        <v>392</v>
      </c>
      <c r="KT20">
        <f>IF(VLOOKUP(R20,Afgr,Data!$CI$3)&gt;0,VLOOKUP(R20,Afgr,Data!$CI$3)*Data!$K$269,0)*MaskJust</f>
        <v>0</v>
      </c>
      <c r="KU20" s="3">
        <f>IF(Nbal!ID20&lt;&gt;"",Nbal!ID20,KT20)</f>
        <v>0</v>
      </c>
      <c r="KV20" s="3">
        <f>KU20*Z20</f>
        <v>0</v>
      </c>
      <c r="KX20">
        <f>IF(C20=2,VLOOKUP($R20,Afgr,Data!$CY$3),0)</f>
        <v>0</v>
      </c>
      <c r="KY20">
        <f>IF(Nbal!IJ20&lt;&gt;"",Nbal!IJ20,$KX20)</f>
        <v>0</v>
      </c>
      <c r="KZ20">
        <f>IF(AND(R20&gt;1,C20=2),Vandmaskin+$KY20*Flytning/mmprgang+$KY20*Prisprmm,0)</f>
        <v>0</v>
      </c>
      <c r="LA20" s="3">
        <f>IF(Nbal!IP20&lt;&gt;"",Nbal!IP20,$KZ20)</f>
        <v>0</v>
      </c>
      <c r="LB20" s="3">
        <f>LA20*Z20</f>
        <v>0</v>
      </c>
      <c r="LD20">
        <f>IF(VLOOKUP($R20,Afgr,Data!$CK$3)&gt;0,((1+AM20/VLOOKUP($R20,Afgr,Data!$CK$3))/2)*VLOOKUP($R20,Afgr,Data!$CL$3)*VLOOKUP($R20,Afgr,Data!$CN$3)+VLOOKUP($R20,Afgr,Data!$CM$3),0)</f>
        <v>0</v>
      </c>
      <c r="LE20">
        <f>IF(VLOOKUP($R20,Afgr,Data!$CK$3)&gt;0,IF(AND($S20=2,$BA20&gt;0),Data!$K$271,0),0)</f>
        <v>0</v>
      </c>
      <c r="LF20">
        <f>IF(VLOOKUP($R20,Afgr,Data!$CK$3)&gt;0,(AM20/VLOOKUP($R20,Afgr,Data!$CK$3))*VLOOKUP($R20,Afgr,Data!$CO$3)*VLOOKUP($R20,Afgr,Data!$CN$3),0)</f>
        <v>0</v>
      </c>
      <c r="LG20">
        <f>(LD20+LE20+LF20)*MaskJust</f>
        <v>0</v>
      </c>
      <c r="LH20" s="3">
        <f>IF(Nbal!IV20&lt;&gt;"",Nbal!IV20,LG20)</f>
        <v>0</v>
      </c>
      <c r="LI20" s="3">
        <f>LH20*Z20</f>
        <v>0</v>
      </c>
      <c r="LJ20" s="3"/>
      <c r="LK20">
        <f>IF(AND($S20=1,VLOOKUP($R20,Afgr,Data!$CP$3)&gt;0),((1+$BC20/VLOOKUP($R20,Afgr,Data!$CP$3))/2)*VLOOKUP($R20,Afgr,Data!$CQ$3),0)</f>
        <v>0</v>
      </c>
      <c r="LL20">
        <f>IF(AND($S20=1,VLOOKUP($R20,Afgr,Data!$CP$3)&gt;0),($BC20/VLOOKUP($R20,Afgr,Data!$CP$3))*VLOOKUP($R20,Afgr,Data!$CR$3),0)</f>
        <v>0</v>
      </c>
      <c r="LM20">
        <f>(LK20+LL20)*MaskJust</f>
        <v>0</v>
      </c>
      <c r="LN20" s="3">
        <f>IF(Nbal!JB20&lt;&gt;"",Nbal!JB20,LM20)</f>
        <v>0</v>
      </c>
      <c r="LO20" s="3">
        <f>LN20*Z20</f>
        <v>0</v>
      </c>
      <c r="LQ20">
        <f>$AM20*VLOOKUP($R20,Afgr,Data!$CS$3)*IF($V20=1,VLOOKUP($R20,Afgr,Data!$CT$3),IF($V20=2,VLOOKUP($R20,Afgr,Data!$CU$3),0))</f>
        <v>0</v>
      </c>
      <c r="LR20" s="3">
        <f>IF(Nbal!JK20&lt;&gt;"",Nbal!JK20,LQ20)</f>
        <v>0</v>
      </c>
      <c r="LS20" s="3">
        <f>LR20*Z20</f>
        <v>0</v>
      </c>
      <c r="LU20">
        <f>VLOOKUP($T20,Efgr,Data!$AC$53)*UdsaedJust</f>
        <v>0</v>
      </c>
      <c r="LV20" s="3">
        <f>IF(Nbal!$JS20&lt;&gt;"",Nbal!$JS20,LU20)</f>
        <v>0</v>
      </c>
      <c r="LW20" s="3">
        <f>LV20*Z20</f>
        <v>0</v>
      </c>
      <c r="LY20" s="3">
        <f>IF(HdgVaerdiNbal=1,(CB20)*Npris,(CB20+CL20)*Npris)</f>
        <v>0</v>
      </c>
      <c r="LZ20" s="3">
        <f>LY20*Z20</f>
        <v>0</v>
      </c>
      <c r="MB20">
        <f>$EO20</f>
        <v>0</v>
      </c>
      <c r="MC20">
        <f>CU20</f>
        <v>0</v>
      </c>
      <c r="MD20">
        <f>CR20</f>
        <v>0</v>
      </c>
      <c r="ME20" s="3">
        <f>IF(HdgVaerdiNbal=1,MD20*Ppris,(MC20+MD20)*Ppris)</f>
        <v>0</v>
      </c>
      <c r="MF20" s="3">
        <f>ME20*Z20</f>
        <v>0</v>
      </c>
      <c r="MH20">
        <f>$ER20</f>
        <v>0</v>
      </c>
      <c r="MI20">
        <f>DC20</f>
        <v>0</v>
      </c>
      <c r="MJ20">
        <f>CZ20</f>
        <v>0</v>
      </c>
      <c r="MK20" s="3">
        <f>IF(HdgVaerdiNbal=1,MJ20*Ppris,(MI20+MJ20)*Ppris)</f>
        <v>0</v>
      </c>
      <c r="ML20" s="3">
        <f>MK20*Z20</f>
        <v>0</v>
      </c>
      <c r="MN20">
        <f>LY20+ME20+MK20</f>
        <v>0</v>
      </c>
      <c r="MO20" s="3">
        <f>IF(Nbal!JY20&lt;&gt;"",Nbal!JY20,$MN20)</f>
        <v>0</v>
      </c>
      <c r="MP20" s="3">
        <f>MO20*Z20</f>
        <v>0</v>
      </c>
      <c r="MR20">
        <f>VLOOKUP($T20,Efgr,Data!$AE$53)*PlantevJust</f>
        <v>0</v>
      </c>
      <c r="MS20" s="3">
        <f>IF(Nbal!KE20&lt;&gt;"",Nbal!KE20,MR20)</f>
        <v>0</v>
      </c>
      <c r="MT20" s="3">
        <f>MS20*Z20</f>
        <v>0</v>
      </c>
      <c r="MV20">
        <f>VLOOKUP($T20,Efgr,Data!$AF$53)+$BR20*VLOOKUP($T20,Efgr,Data!$AL$53)</f>
        <v>0</v>
      </c>
      <c r="MW20" s="3">
        <f>IF(Nbal!KK20&lt;&gt;"",Nbal!KK20,MV20)</f>
        <v>0</v>
      </c>
      <c r="MX20" s="3">
        <f>MW20*Z20</f>
        <v>0</v>
      </c>
      <c r="MZ20">
        <f>LV20+MO20+MS20+MW20</f>
        <v>0</v>
      </c>
      <c r="NB20">
        <f>VLOOKUP($T20,Efgr,Data!$AU$53)*K20*MaskJust</f>
        <v>0</v>
      </c>
      <c r="NC20" s="3">
        <f>IF(Nbal!KQ20&lt;&gt;"",Nbal!KQ20,NB20)</f>
        <v>0</v>
      </c>
      <c r="ND20" s="3">
        <f>NC20*Z20</f>
        <v>0</v>
      </c>
      <c r="NF20">
        <f>VLOOKUP($T20,Efgr,Data!$AW$53)*Data!$K$268*K20*MaskJust</f>
        <v>0</v>
      </c>
      <c r="NG20" s="3">
        <f>IF(Nbal!KW20&lt;&gt;"",Nbal!KW20,NF20)</f>
        <v>0</v>
      </c>
      <c r="NH20" s="3">
        <f>NG20*Z20</f>
        <v>0</v>
      </c>
      <c r="NJ20">
        <f>VLOOKUP($T20,Efgr,Data!$AV$53)*Data!$K$269*MaskJust</f>
        <v>0</v>
      </c>
      <c r="NK20" s="3">
        <f>IF(Nbal!LC20&lt;&gt;"",Nbal!LC20,NJ20)</f>
        <v>0</v>
      </c>
      <c r="NL20" s="3">
        <f>NK20*Z20</f>
        <v>0</v>
      </c>
      <c r="NN20">
        <f>IF(C20=2,VLOOKUP($T20,Efgr,Data!$BC$53),0)</f>
        <v>0</v>
      </c>
      <c r="NO20">
        <f>IF(Nbal!LI20&lt;&gt;"",Nbal!LI20,$NN20)</f>
        <v>0</v>
      </c>
      <c r="NP20">
        <f>IF(C20=2,$NO20*Flytning/mmprgang+$NO20*Prisprmm,0)</f>
        <v>0</v>
      </c>
      <c r="NQ20" s="3">
        <f>IF(Nbal!LO20&lt;&gt;"",Nbal!LO20,$NP20)</f>
        <v>0</v>
      </c>
      <c r="NR20" s="3">
        <f>NQ20*Z20</f>
        <v>0</v>
      </c>
      <c r="NT20">
        <f>IF(VLOOKUP($T20,Efgr,Data!$AX$53)&gt;0,((1+BR20/VLOOKUP($T20,Efgr,Data!$AX$53))/2)*VLOOKUP($T20,Efgr,Data!$AY$53)*VLOOKUP($T20,Efgr,Data!$BA$53)+VLOOKUP($T20,Efgr,Data!$AZ$53),0)</f>
        <v>0</v>
      </c>
      <c r="NU20">
        <f>IF(VLOOKUP($T20,Efgr,Data!$AX$53)&gt;0,($BR20/VLOOKUP($T20,Efgr,Data!$AX$53))*VLOOKUP($T20,Efgr,Data!$BB$53)*VLOOKUP($T20,Efgr,Data!$BA$53),0)</f>
        <v>0</v>
      </c>
      <c r="NV20">
        <f>(NT20+NU20)*MaskJust</f>
        <v>0</v>
      </c>
      <c r="NW20" s="3">
        <f>IF(Nbal!LU20&lt;&gt;"",Nbal!LU20,NV20)</f>
        <v>0</v>
      </c>
      <c r="NX20" s="3">
        <f>NW20*Z20</f>
        <v>0</v>
      </c>
      <c r="NZ20">
        <f>IF($U20=2,Data!$K$304,IF($U20=3,Data!$K$305,0))*MaskJust</f>
        <v>0</v>
      </c>
      <c r="OA20" s="3">
        <f>IF(Nbal!MA20&lt;&gt;"",Nbal!MA20,NZ20)</f>
        <v>0</v>
      </c>
      <c r="OB20" s="3">
        <f>OA20*Z20</f>
        <v>0</v>
      </c>
      <c r="OD20">
        <f>IL20</f>
        <v>3600</v>
      </c>
      <c r="OE20">
        <f>JW20+MZ20</f>
        <v>0</v>
      </c>
      <c r="OF20">
        <f>OD20-OE20</f>
        <v>3600</v>
      </c>
      <c r="OG20">
        <f>OF20*Z20</f>
        <v>5040</v>
      </c>
      <c r="OJ20">
        <f>VLOOKUP($O20,Afgr,Data!$BP$3)+VLOOKUP($P20,Efgr,Data!$AM$53)</f>
        <v>0</v>
      </c>
      <c r="OK20" s="3">
        <f>OJ20*Z20</f>
        <v>0</v>
      </c>
      <c r="OL20">
        <f>VLOOKUP($R20,Afgr,Data!$BP$3)+VLOOKUP($T20,Efgr,Data!$AM$53)</f>
        <v>0</v>
      </c>
      <c r="OM20" s="3">
        <f>OL20*Z20</f>
        <v>0</v>
      </c>
      <c r="OO20">
        <f>VLOOKUP($P20,Efgr,Data!$AN$53)</f>
        <v>0</v>
      </c>
      <c r="OP20">
        <f>VLOOKUP($O20,Afgr,Data!$BQ$3)</f>
        <v>0</v>
      </c>
      <c r="OQ20">
        <f>VLOOKUP($R20,Afgr,Data!$BR$3)</f>
        <v>0</v>
      </c>
      <c r="OR20">
        <f>OO20*OP20*OQ20</f>
        <v>0</v>
      </c>
      <c r="OS20" s="3">
        <f>OR20*Z20</f>
        <v>0</v>
      </c>
      <c r="OT20" s="3">
        <f>IF(Q20,1,0)*OS20</f>
        <v>0</v>
      </c>
      <c r="OV20">
        <f>VLOOKUP($T20,Efgr,Data!$AN$53)</f>
        <v>0</v>
      </c>
      <c r="OW20">
        <f>VLOOKUP($R20,Afgr,Data!$BQ$3)</f>
        <v>0</v>
      </c>
      <c r="OX20">
        <f>VLOOKUP($X20,Afgr,Data!$BR$3)</f>
        <v>0</v>
      </c>
      <c r="OY20">
        <f>OV20*OW20*OX20</f>
        <v>0</v>
      </c>
      <c r="OZ20" s="3">
        <f>OY20*Z20</f>
        <v>0</v>
      </c>
      <c r="PB20">
        <f>VLOOKUP($T20,Efgr,Data!$AO$53)</f>
        <v>0</v>
      </c>
      <c r="PC20">
        <f>VLOOKUP($O20,Afgr,Data!$BQ$3)</f>
        <v>0</v>
      </c>
      <c r="PD20">
        <f>VLOOKUP($R20,Afgr,Data!$BS$3)</f>
        <v>0</v>
      </c>
      <c r="PE20" s="3">
        <f>PB20*PC20*PD20*$Z20</f>
        <v>0</v>
      </c>
      <c r="PG20">
        <f>VLOOKUP($T20,Efgr,Data!$AO$53)</f>
        <v>0</v>
      </c>
      <c r="PH20">
        <f>VLOOKUP($R20,Afgr,Data!$BQ$3)</f>
        <v>0</v>
      </c>
      <c r="PI20">
        <f>VLOOKUP($X20,Afgr,Data!$BS$3)</f>
        <v>0</v>
      </c>
      <c r="PJ20" s="3">
        <f>PG20*PH20*PI20*$Z20</f>
        <v>0</v>
      </c>
      <c r="PK20" s="3"/>
      <c r="PL20" s="3">
        <f>VLOOKUP($O20,Afgr,Data!$BU$3)</f>
        <v>0</v>
      </c>
      <c r="PM20" s="3">
        <f>PL20*Z20</f>
        <v>0</v>
      </c>
      <c r="PN20" s="3">
        <f>VLOOKUP($R20,Afgr,Data!$BU$3)</f>
        <v>0</v>
      </c>
      <c r="PO20" s="3">
        <f>PN20*Z20</f>
        <v>0</v>
      </c>
      <c r="PQ20">
        <f>VLOOKUP(R20,Afgr,Data!$BX$3)+VLOOKUP(T20,Efgr,Data!$AQ$53)</f>
        <v>1</v>
      </c>
      <c r="PR20">
        <f>IF(PQ20&gt;0,Z20,0)</f>
        <v>1.4</v>
      </c>
      <c r="PT20">
        <f>VLOOKUP($O20,Afgr,Data!$BT$3)</f>
        <v>1</v>
      </c>
      <c r="PU20" s="3">
        <f>PT20*Z20</f>
        <v>1.4</v>
      </c>
      <c r="PV20">
        <f>VLOOKUP($R20,Afgr,Data!$BT$3)</f>
        <v>1</v>
      </c>
      <c r="PW20" s="3">
        <f>PV20*Z20</f>
        <v>1.4</v>
      </c>
      <c r="PY20">
        <f>VLOOKUP($R20,Afgr,Data!$BV$3)</f>
        <v>0</v>
      </c>
      <c r="PZ20">
        <f>PY20*Z20</f>
        <v>0</v>
      </c>
      <c r="QB20">
        <f>VLOOKUP($R20,Afgr,Data!$BW$3)</f>
        <v>0</v>
      </c>
      <c r="QC20">
        <f>QB20*Z20</f>
        <v>0</v>
      </c>
      <c r="QE20">
        <f>AM20*IF(VLOOKUP($R20,Afgr,Data!$BJ$3)&gt;0,1,0)</f>
        <v>0</v>
      </c>
      <c r="QF20">
        <f>QE20*Z20</f>
        <v>0</v>
      </c>
      <c r="QH20">
        <f>AM20*VLOOKUP(R20,Afgr,Data!$BK$3)</f>
        <v>0</v>
      </c>
      <c r="QI20">
        <f>Z20*QH20</f>
        <v>0</v>
      </c>
      <c r="QJ20">
        <f>$AM20*VLOOKUP($R20,Afgr,Data!$BL$3)+$BR20*VLOOKUP($T20,Efgr,Data!$AP$53)</f>
        <v>3000</v>
      </c>
      <c r="QK20">
        <f>QJ20*Z20</f>
        <v>4200</v>
      </c>
      <c r="QL20">
        <f>$AM20*VLOOKUP($R20,Afgr,Data!$BM$3)</f>
        <v>0</v>
      </c>
      <c r="QM20">
        <f>QL20*Z20</f>
        <v>0</v>
      </c>
      <c r="QN20">
        <f>$AM20*VLOOKUP($R20,Afgr,Data!$BN$3)</f>
        <v>0</v>
      </c>
      <c r="QO20">
        <f>QN20*Z20</f>
        <v>0</v>
      </c>
      <c r="QR20">
        <f>IF(VLOOKUP($R20,Afgr,Data!$DA$3)="Vårbyg",$AN20,0)*VLOOKUP($R20,Afgr,Data!$BJ$3)</f>
        <v>0</v>
      </c>
      <c r="QS20">
        <f>IF(VLOOKUP($R20,Afgr,Data!$DA$3)="Vinterbyg",$AN20,0)*VLOOKUP($R20,Afgr,Data!$BJ$3)</f>
        <v>0</v>
      </c>
      <c r="QT20">
        <f>IF(VLOOKUP($R20,Afgr,Data!$DA$3)="Havre",$AN20,0)*VLOOKUP($R20,Afgr,Data!$BJ$3)</f>
        <v>0</v>
      </c>
      <c r="QU20">
        <f>IF(VLOOKUP($R20,Afgr,Data!$DA$3)="Hvede",$AN20,0)*VLOOKUP($R20,Afgr,Data!$BJ$3)</f>
        <v>0</v>
      </c>
      <c r="QV20">
        <f>IF(VLOOKUP($R20,Afgr,Data!$DA$3)="Triticale",$AN20,0)*VLOOKUP($R20,Afgr,Data!$BJ$3)</f>
        <v>0</v>
      </c>
      <c r="QW20">
        <f>IF(VLOOKUP($R20,Afgr,Data!$DA$3)="Rug",$AN20,0)*VLOOKUP($R20,Afgr,Data!$BJ$3)</f>
        <v>0</v>
      </c>
      <c r="QX20">
        <f>IF(VLOOKUP($R20,Afgr,Data!$DA$3)="Majs",$AN20,0)*VLOOKUP($R20,Afgr,Data!$BJ$3)</f>
        <v>0</v>
      </c>
      <c r="RA20">
        <f>IF(OV20+PB20&gt;0,1,0)</f>
        <v>0</v>
      </c>
      <c r="RB20">
        <f>RA20*LW20</f>
        <v>0</v>
      </c>
      <c r="RC20">
        <f>RA20*MT20</f>
        <v>0</v>
      </c>
      <c r="RD20">
        <f>ND20</f>
        <v>0</v>
      </c>
      <c r="RE20">
        <f>RA20*OB20</f>
        <v>0</v>
      </c>
      <c r="RH20">
        <f>VLOOKUP(B20,Jordtype,Data!$Y$112+DenitNr-1)</f>
        <v>7.25</v>
      </c>
      <c r="RI20">
        <f>FF20*VLOOKUP(B20,Jordtype,Data!$AB$112+DenitNr-1)</f>
        <v>0</v>
      </c>
      <c r="RJ20">
        <f>((CJ20+CK20+CL20+Regn2!CO20*0.7)-(RR20+RT20))*VLOOKUP(B20,Jordtype,Data!$AE$112+DenitNr-1)</f>
        <v>0</v>
      </c>
      <c r="RK20">
        <f>0*VLOOKUP(B20,Jordtype,Data!$AE$112+DenitNr-1)</f>
        <v>0</v>
      </c>
      <c r="RL20">
        <f>Regn2!FD20*VLOOKUP(B20,Jordtype,Data!$AH$112+DenitNr-1)</f>
        <v>0</v>
      </c>
      <c r="RM20" s="3">
        <f>RH20+RI20+RJ20+RK20+RL20</f>
        <v>7.25</v>
      </c>
      <c r="RO20">
        <v>2</v>
      </c>
      <c r="RP20">
        <f>(FF20)*RO20*0.01</f>
        <v>0</v>
      </c>
      <c r="RQ20">
        <v>7</v>
      </c>
      <c r="RR20">
        <f>CE20*RQ20*0.01</f>
        <v>0</v>
      </c>
      <c r="RS20">
        <v>7</v>
      </c>
      <c r="RT20">
        <f>(Regn2!CF20+Regn2!CG20)*RS20*0.01</f>
        <v>0</v>
      </c>
      <c r="RW20">
        <f>VLOOKUP(R20,Afgr,Data!$EE$3)</f>
        <v>0</v>
      </c>
      <c r="RX20" s="3">
        <f>RP20+RR20+RT20+RV20+RW20</f>
        <v>0</v>
      </c>
    </row>
    <row r="21" spans="1:492" x14ac:dyDescent="0.25">
      <c r="GT21" s="12"/>
    </row>
    <row r="22" spans="1:492" x14ac:dyDescent="0.25">
      <c r="A22" s="214" t="str">
        <f>Nbal!B22</f>
        <v>3-0</v>
      </c>
      <c r="B22">
        <v>6</v>
      </c>
      <c r="C22">
        <v>1</v>
      </c>
      <c r="D22">
        <f>IF(C22=1,VLOOKUP(B22,Jordtype,Data!$K$112),VLOOKUP(B22,Jordtype,Data!$L$112))</f>
        <v>9</v>
      </c>
      <c r="E22">
        <f>IF(C22=1,VLOOKUP(B22,Jordtype,Data!$M$112),VLOOKUP(B22,Jordtype,Data!$N$112))</f>
        <v>14</v>
      </c>
      <c r="F22">
        <f>IF(OR(B22=1,B22=3),0,IF(OR(B22=2,B22=4),1,IF(OR(B22=5,B22=6),2,3)))</f>
        <v>2</v>
      </c>
      <c r="G22">
        <f>IF(C22=1,VLOOKUP(B22,Jordtype,Data!$Q$112),VLOOKUP(B22,Jordtype,Data!$R$112))</f>
        <v>25</v>
      </c>
      <c r="H22">
        <f>IF(C22=1,VLOOKUP(B22,Jordtype,Data!$O$112),VLOOKUP(B22,Jordtype,Data!$P$112))</f>
        <v>19</v>
      </c>
      <c r="I22">
        <f>IF(B22&lt;5,0,1)</f>
        <v>1</v>
      </c>
      <c r="J22">
        <f>IF(B22&lt;5,PlojJB,1)</f>
        <v>1</v>
      </c>
      <c r="K22">
        <f>IF(B22&lt;5,SaaJB,1)</f>
        <v>1</v>
      </c>
      <c r="L22">
        <f>IF(C22=1,VLOOKUP(B22,Jordtype,Data!$S$112),VLOOKUP(B22,Jordtype,Data!$T$112))</f>
        <v>8</v>
      </c>
      <c r="M22">
        <f>IF(C22=1,VLOOKUP(B22,Jordtype,Data!$U$112),VLOOKUP(B22,Jordtype,Data!$V$112))</f>
        <v>13</v>
      </c>
      <c r="O22">
        <v>23</v>
      </c>
      <c r="P22">
        <v>1</v>
      </c>
      <c r="Q22" t="b">
        <v>0</v>
      </c>
      <c r="R22">
        <v>40</v>
      </c>
      <c r="S22">
        <v>1</v>
      </c>
      <c r="T22">
        <v>1</v>
      </c>
      <c r="U22">
        <v>1</v>
      </c>
      <c r="V22">
        <v>1</v>
      </c>
      <c r="X22">
        <v>34</v>
      </c>
      <c r="Z22">
        <f>Nbal!AG22</f>
        <v>17.87</v>
      </c>
      <c r="AA22">
        <v>1</v>
      </c>
      <c r="AB22">
        <f>VLOOKUP($R22,Afgr,G22)</f>
        <v>110</v>
      </c>
      <c r="AC22">
        <f>VLOOKUP($O22,Afgr,Data!$AI$3)*VLOOKUP(R22,Afgr,Data!$AJ$3)</f>
        <v>0</v>
      </c>
      <c r="AD22">
        <f>IF($Q22,0,VLOOKUP($P22,Efgr,(Data!$W$53+$V$6-1)))</f>
        <v>0</v>
      </c>
      <c r="AE22">
        <f>AB22-AC22-AD22</f>
        <v>110</v>
      </c>
      <c r="AF22">
        <f>AE22*Z22</f>
        <v>1965.7</v>
      </c>
      <c r="AH22">
        <f>VLOOKUP(R22,Afgr,D22)</f>
        <v>56</v>
      </c>
      <c r="AI22">
        <f>VLOOKUP(O22,Afgr,Data!$AL$3)*VLOOKUP(R22,Afgr,E22)</f>
        <v>0</v>
      </c>
      <c r="AJ22">
        <f>VLOOKUP(P22,Efgr,(Data!$Y$53+I22))</f>
        <v>0</v>
      </c>
      <c r="AK22">
        <f>AH22+AI22+AJ22</f>
        <v>56</v>
      </c>
      <c r="AL22">
        <f>AH22+AI22+AJ22</f>
        <v>56</v>
      </c>
      <c r="AM22" s="3">
        <f>IF(Nbal!CK22&lt;&gt;"",Nbal!CK22,AL22)</f>
        <v>55</v>
      </c>
      <c r="AN22">
        <f>AM22*Z22</f>
        <v>982.85</v>
      </c>
      <c r="AO22" t="str">
        <f>VLOOKUP(R22,Afgr,3)</f>
        <v>hkg</v>
      </c>
      <c r="AP22">
        <f>IF(AO22="FE",VLOOKUP($R22,Afgr,Data!$AV$3),0)</f>
        <v>0</v>
      </c>
      <c r="AR22">
        <f>VLOOKUP(R22,Afgr,4)</f>
        <v>145</v>
      </c>
      <c r="AS22" s="3">
        <f>IF(Nbal!CW22&lt;&gt;"",Nbal!CW22,AR22)</f>
        <v>145</v>
      </c>
      <c r="AT22" s="3">
        <f>AM22*AS22</f>
        <v>7975</v>
      </c>
      <c r="AU22" s="3">
        <f>AN22*AS22</f>
        <v>142513.25</v>
      </c>
      <c r="AW22">
        <f>VLOOKUP(R22,Afgr,Data!$AN$3)</f>
        <v>0</v>
      </c>
      <c r="AX22" s="3">
        <f>IF(Nbal!DC22&lt;&gt;"",Nbal!DC22,AW22)</f>
        <v>0</v>
      </c>
      <c r="AY22" s="3">
        <f>AX22*Z22</f>
        <v>0</v>
      </c>
      <c r="BA22">
        <f>VLOOKUP(R22,Afgr,H22)</f>
        <v>3000</v>
      </c>
      <c r="BB22">
        <f>IF(ISERROR(BA22*AM22/AK22),0,(BA22*AM22/AK22))</f>
        <v>2946.4285714285716</v>
      </c>
      <c r="BC22" s="3">
        <f>IF(Nbal!DI22&lt;&gt;"",Nbal!DI22,BB22)</f>
        <v>2946.4285714285716</v>
      </c>
      <c r="BD22">
        <f>BC22*Z22</f>
        <v>52652.67857142858</v>
      </c>
      <c r="BG22">
        <f>IF($S22=1,BC22,0)</f>
        <v>2946.4285714285716</v>
      </c>
      <c r="BH22">
        <f>IF($S22=1,BD22,0)</f>
        <v>52652.67857142858</v>
      </c>
      <c r="BI22">
        <f>VLOOKUP(R22,Afgr,Data!$AM$3)</f>
        <v>0.5</v>
      </c>
      <c r="BJ22">
        <f>IF(Nbal!DR22&lt;&gt;"",Nbal!DR22,BI22)</f>
        <v>0.5</v>
      </c>
      <c r="BK22">
        <f>BG22*BJ22</f>
        <v>1473.2142857142858</v>
      </c>
      <c r="BL22">
        <f>BH22*BJ22</f>
        <v>26326.33928571429</v>
      </c>
      <c r="BN22">
        <f>VLOOKUP($T22,Efgr,M22)</f>
        <v>0</v>
      </c>
      <c r="BO22">
        <f>BN22*Z22</f>
        <v>0</v>
      </c>
      <c r="BQ22">
        <f>VLOOKUP(T22,Efgr,NormudbKolonneNrEfgr1)</f>
        <v>0</v>
      </c>
      <c r="BR22" s="3">
        <f>IF(Nbal!FE22&lt;&gt;"",Nbal!FE22,BQ22)</f>
        <v>0</v>
      </c>
      <c r="BS22">
        <f>BR22*Z22</f>
        <v>0</v>
      </c>
      <c r="BT22" t="s">
        <v>37</v>
      </c>
      <c r="BU22">
        <f>BR22*Efterslaetpris</f>
        <v>0</v>
      </c>
      <c r="BV22">
        <f>BS22*Efterslaetpris</f>
        <v>0</v>
      </c>
      <c r="BW22">
        <f>VLOOKUP(T22,Efgr,Data!$AG$53)</f>
        <v>0</v>
      </c>
      <c r="BX22">
        <f>BR22*BW22</f>
        <v>0</v>
      </c>
      <c r="BZ22">
        <f>Nbal!AQ22</f>
        <v>0</v>
      </c>
      <c r="CA22" s="211">
        <f>Nbal!AT22</f>
        <v>41</v>
      </c>
      <c r="CB22" s="2">
        <f>Nbal!DZ22</f>
        <v>0</v>
      </c>
      <c r="CC22" s="211">
        <f>Nbal!AT22+Nbal!DZ22</f>
        <v>41</v>
      </c>
      <c r="CD22" s="211">
        <f>Nbal!AX22</f>
        <v>0</v>
      </c>
      <c r="CE22">
        <f>Nbal!BH22</f>
        <v>122</v>
      </c>
      <c r="CF22" s="211">
        <f>Nbal!BM22</f>
        <v>85</v>
      </c>
      <c r="CG22" s="2">
        <f>Nbal!EI22</f>
        <v>0</v>
      </c>
      <c r="CH22" s="211">
        <f>Nbal!BM22+Nbal!EI22</f>
        <v>85</v>
      </c>
      <c r="CI22" s="211">
        <f>Nbal!BW22</f>
        <v>0</v>
      </c>
      <c r="CJ22" s="211">
        <f>Nbal!BH22*Nbal!BJ22*0.01</f>
        <v>66.599800000000002</v>
      </c>
      <c r="CK22" s="211">
        <f>(Nbal!BM22*Nbal!BP22*0.01)</f>
        <v>63.095500000000001</v>
      </c>
      <c r="CL22" s="211">
        <f>(Nbal!EI22*Nbal!EL22*0.01)</f>
        <v>0</v>
      </c>
      <c r="CM22" s="211">
        <f>(Nbal!BM22*Nbal!BP22*0.01)+(Nbal!EI22*Nbal!EL22*0.01)</f>
        <v>63.095500000000001</v>
      </c>
      <c r="CN22" s="211">
        <f>Nbal!BW22*Nbal!BY22*0.01</f>
        <v>0</v>
      </c>
      <c r="CO22">
        <f>Nbal!BT22+Nbal!ER22</f>
        <v>0</v>
      </c>
      <c r="CQ22">
        <f>Nbal!BA22</f>
        <v>0</v>
      </c>
      <c r="CR22">
        <f>Nbal!EC22</f>
        <v>0</v>
      </c>
      <c r="CS22">
        <f>(CQ22+CR22)*Z22</f>
        <v>0</v>
      </c>
      <c r="CT22">
        <f>Nbal!CB22</f>
        <v>33</v>
      </c>
      <c r="CU22">
        <f>Nbal!EV22</f>
        <v>0</v>
      </c>
      <c r="CV22">
        <f>(CT22+CU22)*Z22</f>
        <v>589.71</v>
      </c>
      <c r="CW22">
        <f>Nbal!BA22+Nbal!CB22+Nbal!EC22+Nbal!EV22</f>
        <v>33</v>
      </c>
      <c r="CY22">
        <f>Nbal!BD22</f>
        <v>0</v>
      </c>
      <c r="CZ22">
        <f>Nbal!EF22</f>
        <v>0</v>
      </c>
      <c r="DA22">
        <f>(CY22+CZ22)*Z22</f>
        <v>0</v>
      </c>
      <c r="DB22">
        <f>Nbal!CE22</f>
        <v>161</v>
      </c>
      <c r="DC22">
        <f>Nbal!EY22</f>
        <v>0</v>
      </c>
      <c r="DD22">
        <f>(DB22+DC22)*Z22</f>
        <v>2877.07</v>
      </c>
      <c r="DE22">
        <f>Nbal!BD22+Nbal!CE22+Nbal!EF22+Nbal!EY22</f>
        <v>161</v>
      </c>
      <c r="DG22">
        <f>VLOOKUP($R22,Afgr,Data!$AW$3)</f>
        <v>11.1875</v>
      </c>
      <c r="DH22">
        <f>IF($AO22="FE",$AM22*$AP22*$DG22*0.01,$AM22*100*$DM22*0.01*$DG22*0.01)</f>
        <v>523.015625</v>
      </c>
      <c r="DI22">
        <f>IF(VLOOKUP(R22,Afgr,Data!$BO$3)=1,DH22,0)*Z22</f>
        <v>9346.2892187500001</v>
      </c>
      <c r="DJ22" s="12">
        <f>(BZ22+CC22+CJ22-AE22)*VLOOKUP($R22,Afgr,Data!$AX$3)</f>
        <v>-4.8003999999999963E-2</v>
      </c>
      <c r="DK22">
        <f>DG22+DJ22</f>
        <v>11.139495999999999</v>
      </c>
      <c r="DL22">
        <f>IF(Nbal!CQ22&lt;&gt;"",Nbal!CQ22,DK22)</f>
        <v>11.139495999999999</v>
      </c>
      <c r="DM22">
        <f>VLOOKUP(R22,Afgr,Data!$AT$3)</f>
        <v>85</v>
      </c>
      <c r="DN22">
        <f>IF($AO22="FE",$AM22*$AP22*$DL22*0.01,$AM22*100*$DM22*0.01*DL22*0.01)</f>
        <v>520.77143799999999</v>
      </c>
      <c r="DO22">
        <f>IF(VLOOKUP(R22,Afgr,Data!$BO$3)=1,DN22,0)*Z22</f>
        <v>9306.1855970600009</v>
      </c>
      <c r="DP22">
        <f>IF(ISERROR(DN22/VLOOKUP(R22,Afgr,Data!$AY$3)),0,DN22/VLOOKUP(R22,Afgr,Data!$AY$3))</f>
        <v>83.323430079999994</v>
      </c>
      <c r="DQ22">
        <f>DP22*Z22</f>
        <v>1488.9896955295999</v>
      </c>
      <c r="DS22">
        <f>IF($AO22="FE",$AM22*$AP22*VLOOKUP($R22,Afgr,Data!$BC$3)*0.001,$AM22*100*$DM22*0.01*VLOOKUP($R22,Afgr,Data!$BC$3)*0.001)</f>
        <v>17.765000000000001</v>
      </c>
      <c r="DT22">
        <f>DS22*Z22</f>
        <v>317.46055000000001</v>
      </c>
      <c r="DV22">
        <f>IF($AO22="FE",$AM22*$AP22*VLOOKUP($R22,Afgr,Data!$BF$3)*0.001,$AM22*100*$DM22*0.01*VLOOKUP($R22,Afgr,Data!$BF$3)*0.001)</f>
        <v>21.9725</v>
      </c>
      <c r="DW22">
        <f>DV22*Z22</f>
        <v>392.64857500000005</v>
      </c>
      <c r="DY22">
        <f>IF(ISERROR(VLOOKUP(R22,Afgr,Data!$AZ$3)*DL22/DG22),0,VLOOKUP(R22,Afgr,Data!$AZ$3)*DL22/DG22)</f>
        <v>3.9828365586592178</v>
      </c>
      <c r="DZ22">
        <f>VLOOKUP(R22,Afgr,Data!$AU$3)</f>
        <v>85</v>
      </c>
      <c r="EA22">
        <f>IF($S22=1,$BC22*$DZ22*0.01*DY22*0.01,0)</f>
        <v>99.748719169992015</v>
      </c>
      <c r="EB22">
        <f>EA22/6.25</f>
        <v>15.959795067198723</v>
      </c>
      <c r="EC22">
        <f>EB22*Z22</f>
        <v>285.20153785084119</v>
      </c>
      <c r="EE22">
        <f>IF($S22=1,$BC22*$DZ22*0.01*VLOOKUP($R22,Afgr,Data!$BD$3)*0.001,0)</f>
        <v>2.2540178571428573</v>
      </c>
      <c r="EF22">
        <f>EE22*Z22</f>
        <v>40.279299107142862</v>
      </c>
      <c r="EH22">
        <f>IF($S22=1,$BC22*$DZ22*0.01*VLOOKUP($R22,Afgr,Data!$BG$3)*0.001,0)</f>
        <v>30.053571428571427</v>
      </c>
      <c r="EI22">
        <f>EH22*Z22</f>
        <v>537.05732142857141</v>
      </c>
      <c r="EK22">
        <f>VLOOKUP(T22,Efgr,Data!$AI$53)</f>
        <v>0</v>
      </c>
      <c r="EL22">
        <f>BX22*EK22*0.01/6.25</f>
        <v>0</v>
      </c>
      <c r="EM22">
        <f>EL22*Z22</f>
        <v>0</v>
      </c>
      <c r="EO22">
        <f>$BX22*VLOOKUP($T22,Efgr,Data!$AJ$53)*0.001</f>
        <v>0</v>
      </c>
      <c r="EP22">
        <f>EO22*Z22</f>
        <v>0</v>
      </c>
      <c r="ER22">
        <f>$BX22*VLOOKUP($T22,Efgr,Data!$AK$53)*0.001</f>
        <v>0</v>
      </c>
      <c r="ES22">
        <f>ER22*Z22</f>
        <v>0</v>
      </c>
      <c r="EU22">
        <f>IF(VLOOKUP(R22,Afgr,Data!$DS$3)=1,DP22*VLOOKUP(R22,Afgr,(Data!$DT$3+EftervirkningUdb1))*VLOOKUP(R22,Afgr,Data!$DV$3),0)</f>
        <v>0</v>
      </c>
      <c r="EV22">
        <f>IF(VLOOKUP(R22,Afgr,Data!$DS$3)=2,VLOOKUP(R22,Afgr,Data!$DX$3),0)</f>
        <v>0</v>
      </c>
      <c r="EW22">
        <f>IF(VLOOKUP(R22,Afgr,Data!$DS$3)=3,$DP22*VLOOKUP($R22,Afgr,IF(Jordtype1&lt;5,Data!$DT$3,Data!$DU$3))*VLOOKUP($R22,Afgr,Data!$DV$3),0)</f>
        <v>0</v>
      </c>
      <c r="EX22">
        <f>IF(VLOOKUP(R22,Afgr,Data!$DS$3)=4,(1.232+0.00469*AM22*100+(0.000256*AM22*100+0.089)*60),0)</f>
        <v>0</v>
      </c>
      <c r="EY22" s="211">
        <f>BZ22+CA22+CJ22+CK22</f>
        <v>170.6953</v>
      </c>
      <c r="EZ22">
        <f>IF(VLOOKUP($R22,Afgr,Data!$DS$3)=5,($AM22*0.02742-$AM22*0.0001*$EY22+$AM22*0.0000001111*$EY22*$EY22),0)</f>
        <v>0</v>
      </c>
      <c r="FA22" s="2">
        <f>CB22+CL22</f>
        <v>0</v>
      </c>
      <c r="FB22">
        <f>IF(VLOOKUP($T22,Efgr,Data!$BH$53)=5,($BR22*0.02742-$BR22*0.0001*$FA22+$BR22*0.0000001111*$FA22*$FA22),0)</f>
        <v>0</v>
      </c>
      <c r="FC22" s="3">
        <f>EU22+EV22+EW22+EX22+EZ22+FB22</f>
        <v>0</v>
      </c>
      <c r="FD22" s="3">
        <f>FC22*Z22</f>
        <v>0</v>
      </c>
      <c r="FF22" s="211">
        <f>BZ22+CC22</f>
        <v>41</v>
      </c>
      <c r="FG22" s="211">
        <f>FF22*Z22</f>
        <v>732.67000000000007</v>
      </c>
      <c r="FH22" s="211">
        <f>CE22+CH22+CO22</f>
        <v>207</v>
      </c>
      <c r="FI22" s="211">
        <f>FH22*Z22</f>
        <v>3699.09</v>
      </c>
      <c r="FJ22">
        <f>VLOOKUP($R22,Afgr,Data!$DK$3)*VLOOKUP($R22,Afgr,Data!$AT$3)*0.01*VLOOKUP($R22,Afgr,Data!$AW$3)*0.01/6.25</f>
        <v>2.4344000000000001</v>
      </c>
      <c r="FK22">
        <f>FJ22*Z22</f>
        <v>43.502728000000005</v>
      </c>
      <c r="FL22" s="4">
        <f>IF(R22&gt;1,Deposition,0)</f>
        <v>15</v>
      </c>
      <c r="FM22" s="4">
        <f>FL22*Z22</f>
        <v>268.05</v>
      </c>
      <c r="FN22">
        <f>FC22</f>
        <v>0</v>
      </c>
      <c r="FO22">
        <f>FN22*Z22</f>
        <v>0</v>
      </c>
      <c r="FP22" s="211">
        <f>SUM(FF22,FH22,FJ22,FL22,FN22)</f>
        <v>265.43439999999998</v>
      </c>
      <c r="FQ22">
        <f>DP22+EB22+EL22</f>
        <v>99.283225147198721</v>
      </c>
      <c r="FR22" s="3">
        <f>FP22-FQ22</f>
        <v>166.15117485280126</v>
      </c>
      <c r="FS22" s="19">
        <f>FP22*Z22</f>
        <v>4743.3127279999999</v>
      </c>
      <c r="FT22" s="19">
        <f>FQ22*Z22</f>
        <v>1774.1912333804412</v>
      </c>
      <c r="FU22" s="3">
        <f>FR22*Z22</f>
        <v>2969.1214946195587</v>
      </c>
      <c r="FW22">
        <f>CW22</f>
        <v>33</v>
      </c>
      <c r="FX22">
        <f>FW22*Z22</f>
        <v>589.71</v>
      </c>
      <c r="FY22">
        <f>IX22+MB22</f>
        <v>20.019017857142856</v>
      </c>
      <c r="FZ22">
        <f>FY22*Z22</f>
        <v>357.73984910714285</v>
      </c>
      <c r="GA22">
        <f>FW22-FY22</f>
        <v>12.980982142857144</v>
      </c>
      <c r="GB22">
        <f>GA22*Z22</f>
        <v>231.97015089285716</v>
      </c>
      <c r="GD22">
        <f>DE22</f>
        <v>161</v>
      </c>
      <c r="GE22">
        <f>GD22*Z22</f>
        <v>2877.07</v>
      </c>
      <c r="GF22">
        <f>JE22+MH22</f>
        <v>52.026071428571427</v>
      </c>
      <c r="GG22">
        <f>GF22*Z22</f>
        <v>929.70589642857146</v>
      </c>
      <c r="GH22">
        <f>GD22-GF22</f>
        <v>108.97392857142857</v>
      </c>
      <c r="GI22">
        <f>GH22*Z22</f>
        <v>1947.3641035714288</v>
      </c>
      <c r="GK22">
        <f>AA22</f>
        <v>1</v>
      </c>
      <c r="GL22" s="211">
        <f>FF22+FH22+FN22</f>
        <v>248</v>
      </c>
      <c r="GM22" s="211">
        <f>IF(R22=1,"",IF(GK22=1,GL22,""))</f>
        <v>248</v>
      </c>
      <c r="GN22" s="211" t="str">
        <f>IF(R22=1,"",IF(GK22=2,GL22,""))</f>
        <v/>
      </c>
      <c r="GO22" s="211" t="str">
        <f>IF(R22=1,"",IF(GK22=3,GL22,""))</f>
        <v/>
      </c>
      <c r="GP22" s="211" t="str">
        <f>IF(R22=1,"",IF(GK22=4,GL22,""))</f>
        <v/>
      </c>
      <c r="GQ22" s="149">
        <f>IF(OR(R22=1,VLOOKUP(R22,Afgr,Data!$BV$3)=1,VLOOKUP(R22,Afgr,Data!$BW$3)=1),0,IF(GK22=1,Nniveau1,IF(GK22=2,Nniveau2,IF(GK22=3,Nniveau3,IF(GK22=4,Nniveau4,GL22)))))</f>
        <v>173.16922222222217</v>
      </c>
      <c r="GR22" s="222">
        <v>0.32550000000000001</v>
      </c>
      <c r="GS22" s="6">
        <v>0</v>
      </c>
      <c r="GT22" s="149">
        <f>CC22+CM22</f>
        <v>104.0955</v>
      </c>
      <c r="GU22" s="6">
        <f>$FN22</f>
        <v>0</v>
      </c>
      <c r="GV22" s="222">
        <v>0.25280000000000002</v>
      </c>
      <c r="GW22">
        <f>CO22</f>
        <v>0</v>
      </c>
      <c r="GX22" s="222">
        <v>0.376</v>
      </c>
      <c r="GY22" s="149">
        <f>CD22+CN22</f>
        <v>0</v>
      </c>
      <c r="GZ22" s="222">
        <f>IF(B22&gt;3,0.3539,1.0749)</f>
        <v>0.35389999999999999</v>
      </c>
      <c r="HA22" s="11">
        <f>$FQ22</f>
        <v>99.283225147198721</v>
      </c>
      <c r="HB22" s="222">
        <v>0.19359999999999999</v>
      </c>
      <c r="HC22" s="222">
        <f>VLOOKUP($R22,Afgr,Data!$DM$3)</f>
        <v>1</v>
      </c>
      <c r="HD22" s="24">
        <f>IF($HC22&gt;1,0,(VLOOKUP($X22,Afgr,Data!$DP$3)+IF(VLOOKUP($X22,Afgr,Data!$DP$3)=0,VLOOKUP($T22,Efgr,Data!$BI$53,0))))+IF(AND($HC22=7,VLOOKUP($X22,Afgr,Data!$DQ$3)=-2),-2,0)+IF(AND($HC22=6,VLOOKUP($T22,Efgr,Data!$BI$53)=2),8,0)</f>
        <v>1</v>
      </c>
      <c r="HE22" s="6">
        <f>VLOOKUP(SUM(HC22:HD22),Nlesafgr,3)</f>
        <v>-7.6</v>
      </c>
      <c r="HF22" s="7">
        <f>VLOOKUP($O22,Afgr,Data!$DN$3)</f>
        <v>3</v>
      </c>
      <c r="HG22" s="24">
        <f>IF(HF22&gt;1,0,VLOOKUP($R22,Afgr,Data!$DO$3)+IF(VLOOKUP($R22,Afgr,Data!$DO$3)=1,0,VLOOKUP($P22,Efgr,Data!$BJ$53)))</f>
        <v>0</v>
      </c>
      <c r="HH22" s="6">
        <f>VLOOKUP(SUM(HF22:HG22),Nlesforfrugt,3)</f>
        <v>14.2</v>
      </c>
      <c r="HI22" s="222">
        <f>GR22*GQ22+GV22*(GT22+GU22)+GX22*GW22+GZ22*GY22-HB22*HA22+HE22+HH22</f>
        <v>70.060691844835645</v>
      </c>
      <c r="HJ22" s="222">
        <f>Nlesafskaering</f>
        <v>59.6</v>
      </c>
      <c r="HK22" s="222">
        <f>Teknologi1</f>
        <v>2455</v>
      </c>
      <c r="HL22" s="6">
        <v>2001</v>
      </c>
      <c r="HM22" s="222">
        <f>Teknologi2</f>
        <v>1962.2</v>
      </c>
      <c r="HN22" s="222">
        <f>Tandel</f>
        <v>0.54659999999999997</v>
      </c>
      <c r="HO22" s="222">
        <f>IF(OR(HI22&gt;0,HI22=0),HJ22+HK22/(HL22-HM22),HJ22+HK22/(HL22-HM22)+HN22*HI22)</f>
        <v>122.87319587628873</v>
      </c>
      <c r="HP22" s="222">
        <f>IF(HI22&gt;0,HI22,0.001)</f>
        <v>70.060691844835645</v>
      </c>
      <c r="HQ22" s="222">
        <v>1.5020000000000001E-3</v>
      </c>
      <c r="HR22" s="24">
        <f>IF(R22=1,0,VLOOKUP(PostnrNbal,AfstromData,VLOOKUP($R22,Afgr,Data!$DL$3)+IF(Jordtype1&lt;7,Jordtype1,6),FALSE)-VLOOKUP(T22,Efgr,Data!$AA$53))</f>
        <v>304.76666666666603</v>
      </c>
      <c r="HS22" s="24">
        <f>IF(Nbal!GA22&lt;&gt;"",Nbal!GA22,Regn2!HR22)</f>
        <v>304.76666666666603</v>
      </c>
      <c r="HT22" s="222">
        <v>5.5400000000000002E-4</v>
      </c>
      <c r="HU22" s="24">
        <f>IF(R22=1,0,VLOOKUP(PostnrNbal,AfstromData,VLOOKUP($O22,Afgr,Data!$DL$3)+IF(B22&lt;7,B22,6),FALSE)-VLOOKUP(P22,Efgr,Data!$AA$53))</f>
        <v>311.98999999999899</v>
      </c>
      <c r="HV22" s="24">
        <f>IF(Nbal!FU22&lt;&gt;"",Nbal!FU22,Regn2!HU22)</f>
        <v>311.98999999999899</v>
      </c>
      <c r="HW22" s="222">
        <v>0.10639999999999999</v>
      </c>
      <c r="HX22" s="6">
        <f>VLOOKUP(B22,Jordtype,Data!$W$112)</f>
        <v>3</v>
      </c>
      <c r="HY22" s="222">
        <v>3.2500000000000001E-2</v>
      </c>
      <c r="HZ22" s="6">
        <f>VLOOKUP(B22,Jordtype,Data!$X$112)</f>
        <v>12</v>
      </c>
      <c r="IA22" s="222">
        <v>1.2453000000000001</v>
      </c>
      <c r="IB22" s="222">
        <f>IF(VLOOKUP(T22,Efgr,Data!$AO$53)=1,MlafgrNUdvask,0)</f>
        <v>0</v>
      </c>
      <c r="IC22" s="20">
        <f>IF(ISERROR((HO22+POWER(HP22,1.2))*(1-EXP(-HQ22*HS22))*EXP(-HT22*HV22)*EXP(-HW22*HX22)*EXP(-HY22*HZ22)*IA22),0,(HO22+POWER(HP22,1.2))*(1-EXP(-HQ22*HS22))*EXP(-HT22*HV22)*EXP(-HW22*HX22)*EXP(-HY22*HZ22)*IA22+IB22)</f>
        <v>54.2953025257926</v>
      </c>
      <c r="ID22">
        <f>IC22*Z22</f>
        <v>970.25705613591379</v>
      </c>
      <c r="IE22">
        <f>IF(Nbal!GF22&lt;&gt;"",Nbal!GF22,RetentionNbal)</f>
        <v>65</v>
      </c>
      <c r="IF22">
        <f>IC22*(100-IE22)*0.01</f>
        <v>19.00335588402741</v>
      </c>
      <c r="IG22">
        <f>IF22*Z22</f>
        <v>339.58996964756983</v>
      </c>
      <c r="IH22" s="2">
        <f>HS22*10000</f>
        <v>3047666.6666666605</v>
      </c>
      <c r="II22" s="2">
        <f>IH22*Z22</f>
        <v>54461803.333333224</v>
      </c>
      <c r="IJ22">
        <f>IF(ISERROR(IC22*1000*1000/IH22),0,IC22*1000*1000/IH22)</f>
        <v>17.815367776154229</v>
      </c>
      <c r="IL22">
        <f>AT22+AX22+BK22+BU22</f>
        <v>9448.2142857142862</v>
      </c>
      <c r="IO22">
        <f>VLOOKUP(R22,Afgr,Data!$AP$3)*UdsaedJust</f>
        <v>488</v>
      </c>
      <c r="IP22" s="3">
        <f>IF(Nbal!GN22&lt;&gt;"",Nbal!GN22,IO22)</f>
        <v>488</v>
      </c>
      <c r="IQ22" s="3">
        <f>IP22*Z22</f>
        <v>8720.5600000000013</v>
      </c>
      <c r="IS22" s="3">
        <f>IF(HdgVaerdiNbal=1,(BZ22+CA22)*Npris,(BZ22+CA22+CJ22+CK22)*Npris)</f>
        <v>346.45</v>
      </c>
      <c r="IT22" s="3">
        <f>IS22*Z22</f>
        <v>6191.0614999999998</v>
      </c>
      <c r="IV22">
        <f>VLOOKUP($R22,Afgr,Data!$BA$3)</f>
        <v>0</v>
      </c>
      <c r="IW22">
        <f>VLOOKUP($R22,Afgr,Data!$BB$3)</f>
        <v>2.5</v>
      </c>
      <c r="IX22">
        <f>$DS22+$EE22</f>
        <v>20.019017857142856</v>
      </c>
      <c r="IY22">
        <f>CT22</f>
        <v>33</v>
      </c>
      <c r="IZ22">
        <f>CQ22</f>
        <v>0</v>
      </c>
      <c r="JA22" s="3">
        <f>IF(HdgVaerdiNbal=1,(IZ22)*Ppris,(IY22+IZ22)*Ppris)</f>
        <v>0</v>
      </c>
      <c r="JB22" s="3">
        <f>JA22*Z22</f>
        <v>0</v>
      </c>
      <c r="JD22">
        <f>IF(AND(R22&gt;1,OR(Jordtype1=1,Jordtype1=3,Markvand1=2)),Kudvask,0)</f>
        <v>0</v>
      </c>
      <c r="JE22">
        <f>$DV22+$EH22</f>
        <v>52.026071428571427</v>
      </c>
      <c r="JF22">
        <f>DB22</f>
        <v>161</v>
      </c>
      <c r="JG22">
        <f>CY22</f>
        <v>0</v>
      </c>
      <c r="JH22" s="3">
        <f>IF(HdgVaerdiNbal=1,JG22*Kpris,(JF22+JG22)*Kpris)</f>
        <v>0</v>
      </c>
      <c r="JI22" s="3">
        <f>JH22*Z22</f>
        <v>0</v>
      </c>
      <c r="JK22">
        <f>IS22+JA22+JH22</f>
        <v>346.45</v>
      </c>
      <c r="JL22" s="3">
        <f>IF(Nbal!GT22&lt;&gt;"",Nbal!GT22,$JK22)</f>
        <v>346.45</v>
      </c>
      <c r="JM22" s="3">
        <f>JL22*Z22</f>
        <v>6191.0614999999998</v>
      </c>
      <c r="JO22">
        <f>VLOOKUP(R22,Afgr,Data!$AQ$3)*PlantevJust</f>
        <v>283</v>
      </c>
      <c r="JP22" s="3">
        <f>IF(Nbal!GZ22&lt;&gt;"",Nbal!GZ22,JO22)</f>
        <v>283</v>
      </c>
      <c r="JQ22" s="3">
        <f>JP22*Z22</f>
        <v>5057.21</v>
      </c>
      <c r="JS22">
        <f>VLOOKUP(R22,Afgr,Data!$AR$3)+AM22*VLOOKUP(R22,Afgr,Data!$BH$3)</f>
        <v>0</v>
      </c>
      <c r="JT22" s="3">
        <f>IF(Nbal!HF22&lt;&gt;"",Nbal!HF22,JS22)</f>
        <v>0</v>
      </c>
      <c r="JU22">
        <f>JT22*Z22</f>
        <v>0</v>
      </c>
      <c r="JW22">
        <f>IP22+JL22+JP22+JT22</f>
        <v>1117.45</v>
      </c>
      <c r="JY22">
        <f>IF(VLOOKUP(R22,Afgr,Data!$BY$3)&gt;0,Data!$K$259*J22,0)</f>
        <v>600</v>
      </c>
      <c r="JZ22">
        <f>IF(VLOOKUP(R22,Afgr,Data!$BZ$3)&gt;0,Data!$K$260*J22,0)</f>
        <v>0</v>
      </c>
      <c r="KA22">
        <f>(JY22+JZ22)*MaskJust</f>
        <v>600</v>
      </c>
      <c r="KB22" s="3">
        <f>IF(Nbal!HL22&lt;&gt;"",Nbal!HL22,KA22)</f>
        <v>600</v>
      </c>
      <c r="KC22" s="3">
        <f>KB22*Z22</f>
        <v>10722</v>
      </c>
      <c r="KE22">
        <f>IF(VLOOKUP(R22,Afgr,Data!$CA$3)&gt;0,VLOOKUP(R22,Afgr,Data!$CA$3)*Data!$K$261*K22,0)</f>
        <v>0</v>
      </c>
      <c r="KF22">
        <f>IF(VLOOKUP(R22,Afgr,Data!$CC$3)&gt;0,Data!$K$262*K22,0)</f>
        <v>350</v>
      </c>
      <c r="KG22">
        <f>IF(VLOOKUP(R22,Afgr,Data!$CD$3)&gt;0,VLOOKUP(R22,Afgr,Data!$CD$3)*Data!$K$263*K22,0)</f>
        <v>0</v>
      </c>
      <c r="KH22">
        <f>IF(VLOOKUP(R22,Afgr,Data!$CE$3)&gt;0,Data!$K$264*K22,0)</f>
        <v>0</v>
      </c>
      <c r="KI22">
        <f>IF(VLOOKUP(R22,Afgr,Data!$CF$3)&gt;0,Data!$K$265*K22,0)</f>
        <v>0</v>
      </c>
      <c r="KJ22">
        <f>IF(VLOOKUP(R22,Afgr,Data!$CV$3)&gt;0,Data!$K$266,0)</f>
        <v>0</v>
      </c>
      <c r="KK22">
        <f>IF(VLOOKUP(R22,Afgr,Data!$CG$3)&gt;0,Data!$K$267*K22,0)</f>
        <v>0</v>
      </c>
      <c r="KL22">
        <f>(KE22+KF22+KG22+KH22+KI22+KJ22+KK22)*MaskJust</f>
        <v>350</v>
      </c>
      <c r="KM22" s="3">
        <f>IF(Nbal!HR22&lt;&gt;"",Nbal!HR22,KL22)</f>
        <v>350</v>
      </c>
      <c r="KN22" s="3">
        <f>KM22*Z22</f>
        <v>6254.5</v>
      </c>
      <c r="KP22">
        <f>IF(VLOOKUP(R22,Afgr,Data!$CJ$3)&gt;0,VLOOKUP(R22,Afgr,Data!$CJ$3)*Data!$K$268*K22,0)*MaskJust</f>
        <v>140</v>
      </c>
      <c r="KQ22" s="3">
        <f>IF(Nbal!HX22&lt;&gt;"",Nbal!HX22,KP22)</f>
        <v>140</v>
      </c>
      <c r="KR22" s="3">
        <f>KQ22*Z22</f>
        <v>2501.8000000000002</v>
      </c>
      <c r="KT22">
        <f>IF(VLOOKUP(R22,Afgr,Data!$CI$3)&gt;0,VLOOKUP(R22,Afgr,Data!$CI$3)*Data!$K$269,0)*MaskJust</f>
        <v>300</v>
      </c>
      <c r="KU22" s="3">
        <f>IF(Nbal!ID22&lt;&gt;"",Nbal!ID22,KT22)</f>
        <v>300</v>
      </c>
      <c r="KV22" s="3">
        <f>KU22*Z22</f>
        <v>5361</v>
      </c>
      <c r="KX22">
        <f>IF(C22=2,VLOOKUP($R22,Afgr,Data!$CY$3),0)</f>
        <v>0</v>
      </c>
      <c r="KY22">
        <f>IF(Nbal!IJ22&lt;&gt;"",Nbal!IJ22,$KX22)</f>
        <v>0</v>
      </c>
      <c r="KZ22">
        <f>IF(AND(R22&gt;1,C22=2),Vandmaskin+$KY22*Flytning/mmprgang+$KY22*Prisprmm,0)</f>
        <v>0</v>
      </c>
      <c r="LA22" s="3">
        <f>IF(Nbal!IP22&lt;&gt;"",Nbal!IP22,$KZ22)</f>
        <v>0</v>
      </c>
      <c r="LB22" s="3">
        <f>LA22*Z22</f>
        <v>0</v>
      </c>
      <c r="LD22">
        <f>IF(VLOOKUP($R22,Afgr,Data!$CK$3)&gt;0,((1+AM22/VLOOKUP($R22,Afgr,Data!$CK$3))/2)*VLOOKUP($R22,Afgr,Data!$CL$3)*VLOOKUP($R22,Afgr,Data!$CN$3)+VLOOKUP($R22,Afgr,Data!$CM$3),0)</f>
        <v>741.17647058823525</v>
      </c>
      <c r="LE22">
        <f>IF(VLOOKUP($R22,Afgr,Data!$CK$3)&gt;0,IF(AND($S22=2,$BA22&gt;0),Data!$K$271,0),0)</f>
        <v>0</v>
      </c>
      <c r="LF22">
        <f>IF(VLOOKUP($R22,Afgr,Data!$CK$3)&gt;0,(AM22/VLOOKUP($R22,Afgr,Data!$CK$3))*VLOOKUP($R22,Afgr,Data!$CO$3)*VLOOKUP($R22,Afgr,Data!$CN$3),0)</f>
        <v>210.29411764705884</v>
      </c>
      <c r="LG22">
        <f>(LD22+LE22+LF22)*MaskJust</f>
        <v>951.47058823529414</v>
      </c>
      <c r="LH22" s="3">
        <f>IF(Nbal!IV22&lt;&gt;"",Nbal!IV22,LG22)</f>
        <v>951.47058823529414</v>
      </c>
      <c r="LI22" s="3">
        <f>LH22*Z22</f>
        <v>17002.779411764706</v>
      </c>
      <c r="LJ22" s="3"/>
      <c r="LK22">
        <f>IF(AND($S22=1,VLOOKUP($R22,Afgr,Data!$CP$3)&gt;0),((1+$BC22/VLOOKUP($R22,Afgr,Data!$CP$3))/2)*VLOOKUP($R22,Afgr,Data!$CQ$3),0)</f>
        <v>520.3125</v>
      </c>
      <c r="LL22">
        <f>IF(AND($S22=1,VLOOKUP($R22,Afgr,Data!$CP$3)&gt;0),($BC22/VLOOKUP($R22,Afgr,Data!$CP$3))*VLOOKUP($R22,Afgr,Data!$CR$3),0)</f>
        <v>196.42857142857144</v>
      </c>
      <c r="LM22">
        <f>(LK22+LL22)*MaskJust</f>
        <v>716.74107142857144</v>
      </c>
      <c r="LN22" s="3">
        <f>IF(Nbal!JB22&lt;&gt;"",Nbal!JB22,LM22)</f>
        <v>716.74107142857144</v>
      </c>
      <c r="LO22" s="3">
        <f>LN22*Z22</f>
        <v>12808.162946428572</v>
      </c>
      <c r="LQ22">
        <f>$AM22*VLOOKUP($R22,Afgr,Data!$CS$3)*IF($V22=1,VLOOKUP($R22,Afgr,Data!$CT$3),IF($V22=2,VLOOKUP($R22,Afgr,Data!$CU$3),0))</f>
        <v>508.20000000000005</v>
      </c>
      <c r="LR22" s="3">
        <f>IF(Nbal!JK22&lt;&gt;"",Nbal!JK22,LQ22)</f>
        <v>508.20000000000005</v>
      </c>
      <c r="LS22" s="3">
        <f>LR22*Z22</f>
        <v>9081.5340000000015</v>
      </c>
      <c r="LU22">
        <f>VLOOKUP($T22,Efgr,Data!$AC$53)*UdsaedJust</f>
        <v>0</v>
      </c>
      <c r="LV22" s="3">
        <f>IF(Nbal!$JS22&lt;&gt;"",Nbal!$JS22,LU22)</f>
        <v>0</v>
      </c>
      <c r="LW22" s="3">
        <f>LV22*Z22</f>
        <v>0</v>
      </c>
      <c r="LY22" s="3">
        <f>IF(HdgVaerdiNbal=1,(CB22)*Npris,(CB22+CL22)*Npris)</f>
        <v>0</v>
      </c>
      <c r="LZ22" s="3">
        <f>LY22*Z22</f>
        <v>0</v>
      </c>
      <c r="MB22">
        <f>$EO22</f>
        <v>0</v>
      </c>
      <c r="MC22">
        <f>CU22</f>
        <v>0</v>
      </c>
      <c r="MD22">
        <f>CR22</f>
        <v>0</v>
      </c>
      <c r="ME22" s="3">
        <f>IF(HdgVaerdiNbal=1,MD22*Ppris,(MC22+MD22)*Ppris)</f>
        <v>0</v>
      </c>
      <c r="MF22" s="3">
        <f>ME22*Z22</f>
        <v>0</v>
      </c>
      <c r="MH22">
        <f>$ER22</f>
        <v>0</v>
      </c>
      <c r="MI22">
        <f>DC22</f>
        <v>0</v>
      </c>
      <c r="MJ22">
        <f>CZ22</f>
        <v>0</v>
      </c>
      <c r="MK22" s="3">
        <f>IF(HdgVaerdiNbal=1,MJ22*Ppris,(MI22+MJ22)*Ppris)</f>
        <v>0</v>
      </c>
      <c r="ML22" s="3">
        <f>MK22*Z22</f>
        <v>0</v>
      </c>
      <c r="MN22">
        <f>LY22+ME22+MK22</f>
        <v>0</v>
      </c>
      <c r="MO22" s="3">
        <f>IF(Nbal!JY22&lt;&gt;"",Nbal!JY22,$MN22)</f>
        <v>0</v>
      </c>
      <c r="MP22" s="3">
        <f>MO22*Z22</f>
        <v>0</v>
      </c>
      <c r="MR22">
        <f>VLOOKUP($T22,Efgr,Data!$AE$53)*PlantevJust</f>
        <v>0</v>
      </c>
      <c r="MS22" s="3">
        <f>IF(Nbal!KE22&lt;&gt;"",Nbal!KE22,MR22)</f>
        <v>0</v>
      </c>
      <c r="MT22" s="3">
        <f>MS22*Z22</f>
        <v>0</v>
      </c>
      <c r="MV22">
        <f>VLOOKUP($T22,Efgr,Data!$AF$53)+$BR22*VLOOKUP($T22,Efgr,Data!$AL$53)</f>
        <v>0</v>
      </c>
      <c r="MW22" s="3">
        <f>IF(Nbal!KK22&lt;&gt;"",Nbal!KK22,MV22)</f>
        <v>0</v>
      </c>
      <c r="MX22" s="3">
        <f>MW22*Z22</f>
        <v>0</v>
      </c>
      <c r="MZ22">
        <f>LV22+MO22+MS22+MW22</f>
        <v>0</v>
      </c>
      <c r="NB22">
        <f>VLOOKUP($T22,Efgr,Data!$AU$53)*K22*MaskJust</f>
        <v>0</v>
      </c>
      <c r="NC22" s="3">
        <f>IF(Nbal!KQ22&lt;&gt;"",Nbal!KQ22,NB22)</f>
        <v>0</v>
      </c>
      <c r="ND22" s="3">
        <f>NC22*Z22</f>
        <v>0</v>
      </c>
      <c r="NF22">
        <f>VLOOKUP($T22,Efgr,Data!$AW$53)*Data!$K$268*K22*MaskJust</f>
        <v>0</v>
      </c>
      <c r="NG22" s="3">
        <f>IF(Nbal!KW22&lt;&gt;"",Nbal!KW22,NF22)</f>
        <v>0</v>
      </c>
      <c r="NH22" s="3">
        <f>NG22*Z22</f>
        <v>0</v>
      </c>
      <c r="NJ22">
        <f>VLOOKUP($T22,Efgr,Data!$AV$53)*Data!$K$269*MaskJust</f>
        <v>0</v>
      </c>
      <c r="NK22" s="3">
        <f>IF(Nbal!LC22&lt;&gt;"",Nbal!LC22,NJ22)</f>
        <v>0</v>
      </c>
      <c r="NL22" s="3">
        <f>NK22*Z22</f>
        <v>0</v>
      </c>
      <c r="NN22">
        <f>IF(C22=2,VLOOKUP($T22,Efgr,Data!$BC$53),0)</f>
        <v>0</v>
      </c>
      <c r="NO22">
        <f>IF(Nbal!LI22&lt;&gt;"",Nbal!LI22,$NN22)</f>
        <v>0</v>
      </c>
      <c r="NP22">
        <f>IF(C22=2,$NO22*Flytning/mmprgang+$NO22*Prisprmm,0)</f>
        <v>0</v>
      </c>
      <c r="NQ22" s="3">
        <f>IF(Nbal!LO22&lt;&gt;"",Nbal!LO22,$NP22)</f>
        <v>0</v>
      </c>
      <c r="NR22" s="3">
        <f>NQ22*Z22</f>
        <v>0</v>
      </c>
      <c r="NT22">
        <f>IF(VLOOKUP($T22,Efgr,Data!$AX$53)&gt;0,((1+BR22/VLOOKUP($T22,Efgr,Data!$AX$53))/2)*VLOOKUP($T22,Efgr,Data!$AY$53)*VLOOKUP($T22,Efgr,Data!$BA$53)+VLOOKUP($T22,Efgr,Data!$AZ$53),0)</f>
        <v>0</v>
      </c>
      <c r="NU22">
        <f>IF(VLOOKUP($T22,Efgr,Data!$AX$53)&gt;0,($BR22/VLOOKUP($T22,Efgr,Data!$AX$53))*VLOOKUP($T22,Efgr,Data!$BB$53)*VLOOKUP($T22,Efgr,Data!$BA$53),0)</f>
        <v>0</v>
      </c>
      <c r="NV22">
        <f>(NT22+NU22)*MaskJust</f>
        <v>0</v>
      </c>
      <c r="NW22" s="3">
        <f>IF(Nbal!LU22&lt;&gt;"",Nbal!LU22,NV22)</f>
        <v>0</v>
      </c>
      <c r="NX22" s="3">
        <f>NW22*Z22</f>
        <v>0</v>
      </c>
      <c r="NZ22">
        <f>IF($U22=2,Data!$K$304,IF($U22=3,Data!$K$305,0))*MaskJust</f>
        <v>0</v>
      </c>
      <c r="OA22" s="3">
        <f>IF(Nbal!MA22&lt;&gt;"",Nbal!MA22,NZ22)</f>
        <v>0</v>
      </c>
      <c r="OB22" s="3">
        <f>OA22*Z22</f>
        <v>0</v>
      </c>
      <c r="OD22">
        <f>IL22</f>
        <v>9448.2142857142862</v>
      </c>
      <c r="OE22">
        <f>JW22+MZ22</f>
        <v>1117.45</v>
      </c>
      <c r="OF22">
        <f>OD22-OE22</f>
        <v>8330.7642857142855</v>
      </c>
      <c r="OG22">
        <f>OF22*Z22</f>
        <v>148870.75778571429</v>
      </c>
      <c r="OJ22">
        <f>VLOOKUP($O22,Afgr,Data!$BP$3)+VLOOKUP($P22,Efgr,Data!$AM$53)</f>
        <v>1</v>
      </c>
      <c r="OK22" s="3">
        <f>OJ22*Z22</f>
        <v>17.87</v>
      </c>
      <c r="OL22">
        <f>VLOOKUP($R22,Afgr,Data!$BP$3)+VLOOKUP($T22,Efgr,Data!$AM$53)</f>
        <v>1</v>
      </c>
      <c r="OM22" s="3">
        <f>OL22*Z22</f>
        <v>17.87</v>
      </c>
      <c r="OO22">
        <f>VLOOKUP($P22,Efgr,Data!$AN$53)</f>
        <v>0</v>
      </c>
      <c r="OP22">
        <f>VLOOKUP($O22,Afgr,Data!$BQ$3)</f>
        <v>1</v>
      </c>
      <c r="OQ22">
        <f>VLOOKUP($R22,Afgr,Data!$BR$3)</f>
        <v>1</v>
      </c>
      <c r="OR22">
        <f>OO22*OP22*OQ22</f>
        <v>0</v>
      </c>
      <c r="OS22" s="3">
        <f>OR22*Z22</f>
        <v>0</v>
      </c>
      <c r="OT22" s="3">
        <f>IF(Q22,1,0)*OS22</f>
        <v>0</v>
      </c>
      <c r="OV22">
        <f>VLOOKUP($T22,Efgr,Data!$AN$53)</f>
        <v>0</v>
      </c>
      <c r="OW22">
        <f>VLOOKUP($R22,Afgr,Data!$BQ$3)</f>
        <v>1</v>
      </c>
      <c r="OX22">
        <f>VLOOKUP($X22,Afgr,Data!$BR$3)</f>
        <v>0</v>
      </c>
      <c r="OY22">
        <f>OV22*OW22*OX22</f>
        <v>0</v>
      </c>
      <c r="OZ22" s="3">
        <f>OY22*Z22</f>
        <v>0</v>
      </c>
      <c r="PB22">
        <f>VLOOKUP($T22,Efgr,Data!$AO$53)</f>
        <v>0</v>
      </c>
      <c r="PC22">
        <f>VLOOKUP($O22,Afgr,Data!$BQ$3)</f>
        <v>1</v>
      </c>
      <c r="PD22">
        <f>VLOOKUP($R22,Afgr,Data!$BS$3)</f>
        <v>0</v>
      </c>
      <c r="PE22" s="3">
        <f>PB22*PC22*PD22*$Z22</f>
        <v>0</v>
      </c>
      <c r="PG22">
        <f>VLOOKUP($T22,Efgr,Data!$AO$53)</f>
        <v>0</v>
      </c>
      <c r="PH22">
        <f>VLOOKUP($R22,Afgr,Data!$BQ$3)</f>
        <v>1</v>
      </c>
      <c r="PI22">
        <f>VLOOKUP($X22,Afgr,Data!$BS$3)</f>
        <v>1</v>
      </c>
      <c r="PJ22" s="3">
        <f>PG22*PH22*PI22*$Z22</f>
        <v>0</v>
      </c>
      <c r="PK22" s="3"/>
      <c r="PL22" s="3">
        <f>VLOOKUP($O22,Afgr,Data!$BU$3)</f>
        <v>0</v>
      </c>
      <c r="PM22" s="3">
        <f>PL22*Z22</f>
        <v>0</v>
      </c>
      <c r="PN22" s="3">
        <f>VLOOKUP($R22,Afgr,Data!$BU$3)</f>
        <v>0</v>
      </c>
      <c r="PO22" s="3">
        <f>PN22*Z22</f>
        <v>0</v>
      </c>
      <c r="PQ22">
        <f>VLOOKUP(R22,Afgr,Data!$BX$3)+VLOOKUP(T22,Efgr,Data!$AQ$53)</f>
        <v>0</v>
      </c>
      <c r="PR22">
        <f>IF(PQ22&gt;0,Z22,0)</f>
        <v>0</v>
      </c>
      <c r="PT22">
        <f>VLOOKUP($O22,Afgr,Data!$BT$3)</f>
        <v>1</v>
      </c>
      <c r="PU22" s="3">
        <f>PT22*Z22</f>
        <v>17.87</v>
      </c>
      <c r="PV22">
        <f>VLOOKUP($R22,Afgr,Data!$BT$3)</f>
        <v>1</v>
      </c>
      <c r="PW22" s="3">
        <f>PV22*Z22</f>
        <v>17.87</v>
      </c>
      <c r="PY22">
        <f>VLOOKUP($R22,Afgr,Data!$BV$3)</f>
        <v>0</v>
      </c>
      <c r="PZ22">
        <f>PY22*Z22</f>
        <v>0</v>
      </c>
      <c r="QB22">
        <f>VLOOKUP($R22,Afgr,Data!$BW$3)</f>
        <v>0</v>
      </c>
      <c r="QC22">
        <f>QB22*Z22</f>
        <v>0</v>
      </c>
      <c r="QE22">
        <f>AM22*IF(VLOOKUP($R22,Afgr,Data!$BJ$3)&gt;0,1,0)</f>
        <v>55</v>
      </c>
      <c r="QF22">
        <f>QE22*Z22</f>
        <v>982.85</v>
      </c>
      <c r="QH22">
        <f>AM22*VLOOKUP(R22,Afgr,Data!$BK$3)</f>
        <v>5197.5</v>
      </c>
      <c r="QI22">
        <f>Z22*QH22</f>
        <v>92879.325000000012</v>
      </c>
      <c r="QJ22">
        <f>$AM22*VLOOKUP($R22,Afgr,Data!$BL$3)+$BR22*VLOOKUP($T22,Efgr,Data!$AP$53)</f>
        <v>0</v>
      </c>
      <c r="QK22">
        <f>QJ22*Z22</f>
        <v>0</v>
      </c>
      <c r="QL22">
        <f>$AM22*VLOOKUP($R22,Afgr,Data!$BM$3)</f>
        <v>0</v>
      </c>
      <c r="QM22">
        <f>QL22*Z22</f>
        <v>0</v>
      </c>
      <c r="QN22">
        <f>$AM22*VLOOKUP($R22,Afgr,Data!$BN$3)</f>
        <v>0</v>
      </c>
      <c r="QO22">
        <f>QN22*Z22</f>
        <v>0</v>
      </c>
      <c r="QR22">
        <f>IF(VLOOKUP($R22,Afgr,Data!$DA$3)="Vårbyg",$AN22,0)*VLOOKUP($R22,Afgr,Data!$BJ$3)</f>
        <v>100250.7</v>
      </c>
      <c r="QS22">
        <f>IF(VLOOKUP($R22,Afgr,Data!$DA$3)="Vinterbyg",$AN22,0)*VLOOKUP($R22,Afgr,Data!$BJ$3)</f>
        <v>0</v>
      </c>
      <c r="QT22">
        <f>IF(VLOOKUP($R22,Afgr,Data!$DA$3)="Havre",$AN22,0)*VLOOKUP($R22,Afgr,Data!$BJ$3)</f>
        <v>0</v>
      </c>
      <c r="QU22">
        <f>IF(VLOOKUP($R22,Afgr,Data!$DA$3)="Hvede",$AN22,0)*VLOOKUP($R22,Afgr,Data!$BJ$3)</f>
        <v>0</v>
      </c>
      <c r="QV22">
        <f>IF(VLOOKUP($R22,Afgr,Data!$DA$3)="Triticale",$AN22,0)*VLOOKUP($R22,Afgr,Data!$BJ$3)</f>
        <v>0</v>
      </c>
      <c r="QW22">
        <f>IF(VLOOKUP($R22,Afgr,Data!$DA$3)="Rug",$AN22,0)*VLOOKUP($R22,Afgr,Data!$BJ$3)</f>
        <v>0</v>
      </c>
      <c r="QX22">
        <f>IF(VLOOKUP($R22,Afgr,Data!$DA$3)="Majs",$AN22,0)*VLOOKUP($R22,Afgr,Data!$BJ$3)</f>
        <v>0</v>
      </c>
      <c r="RA22">
        <f>IF(OV22+PB22&gt;0,1,0)</f>
        <v>0</v>
      </c>
      <c r="RB22">
        <f>RA22*LW22</f>
        <v>0</v>
      </c>
      <c r="RC22">
        <f>RA22*MT22</f>
        <v>0</v>
      </c>
      <c r="RD22">
        <f>ND22</f>
        <v>0</v>
      </c>
      <c r="RE22">
        <f>RA22*OB22</f>
        <v>0</v>
      </c>
      <c r="RH22">
        <f>VLOOKUP(B22,Jordtype,Data!$Y$112+DenitNr-1)</f>
        <v>7.25</v>
      </c>
      <c r="RI22">
        <f>FF22*VLOOKUP(B22,Jordtype,Data!$AB$112+DenitNr-1)</f>
        <v>1.6400000000000001</v>
      </c>
      <c r="RJ22">
        <f>((CJ22+CK22+CL22+Regn2!CO22*0.7)-(RR22+RT22))*VLOOKUP(B22,Jordtype,Data!$AE$112+DenitNr-1)</f>
        <v>15.84072875</v>
      </c>
      <c r="RK22">
        <f>0*VLOOKUP(B22,Jordtype,Data!$AE$112+DenitNr-1)</f>
        <v>0</v>
      </c>
      <c r="RL22">
        <f>Regn2!FD22*VLOOKUP(B22,Jordtype,Data!$AH$112+DenitNr-1)</f>
        <v>0</v>
      </c>
      <c r="RM22" s="3">
        <f>RH22+RI22+RJ22+RK22+RL22</f>
        <v>24.730728750000001</v>
      </c>
      <c r="RO22">
        <v>2</v>
      </c>
      <c r="RP22">
        <f>(FF22)*RO22*0.01</f>
        <v>0.82000000000000006</v>
      </c>
      <c r="RQ22">
        <v>7</v>
      </c>
      <c r="RR22">
        <f>CE22*RQ22*0.01</f>
        <v>8.5400000000000009</v>
      </c>
      <c r="RS22">
        <v>7</v>
      </c>
      <c r="RT22">
        <f>(Regn2!CF22+Regn2!CG22)*RS22*0.01</f>
        <v>5.95</v>
      </c>
      <c r="RW22">
        <f>VLOOKUP(R22,Afgr,Data!$EE$3)</f>
        <v>5</v>
      </c>
      <c r="RX22" s="3">
        <f>RP22+RR22+RT22+RV22+RW22</f>
        <v>20.310000000000002</v>
      </c>
    </row>
    <row r="23" spans="1:492" x14ac:dyDescent="0.25">
      <c r="GT23" s="12"/>
    </row>
    <row r="24" spans="1:492" x14ac:dyDescent="0.25">
      <c r="A24" s="214" t="str">
        <f>Nbal!B24</f>
        <v>8-0</v>
      </c>
      <c r="B24">
        <v>6</v>
      </c>
      <c r="C24">
        <v>1</v>
      </c>
      <c r="D24">
        <f>IF(C24=1,VLOOKUP(B24,Jordtype,Data!$K$112),VLOOKUP(B24,Jordtype,Data!$L$112))</f>
        <v>9</v>
      </c>
      <c r="E24">
        <f>IF(C24=1,VLOOKUP(B24,Jordtype,Data!$M$112),VLOOKUP(B24,Jordtype,Data!$N$112))</f>
        <v>14</v>
      </c>
      <c r="F24">
        <f>IF(OR(B24=1,B24=3),0,IF(OR(B24=2,B24=4),1,IF(OR(B24=5,B24=6),2,3)))</f>
        <v>2</v>
      </c>
      <c r="G24">
        <f>IF(C24=1,VLOOKUP(B24,Jordtype,Data!$Q$112),VLOOKUP(B24,Jordtype,Data!$R$112))</f>
        <v>25</v>
      </c>
      <c r="H24">
        <f>IF(C24=1,VLOOKUP(B24,Jordtype,Data!$O$112),VLOOKUP(B24,Jordtype,Data!$P$112))</f>
        <v>19</v>
      </c>
      <c r="I24">
        <f>IF(B24&lt;5,0,1)</f>
        <v>1</v>
      </c>
      <c r="J24">
        <f>IF(B24&lt;5,PlojJB,1)</f>
        <v>1</v>
      </c>
      <c r="K24">
        <f>IF(B24&lt;5,SaaJB,1)</f>
        <v>1</v>
      </c>
      <c r="L24">
        <f>IF(C24=1,VLOOKUP(B24,Jordtype,Data!$S$112),VLOOKUP(B24,Jordtype,Data!$T$112))</f>
        <v>8</v>
      </c>
      <c r="M24">
        <f>IF(C24=1,VLOOKUP(B24,Jordtype,Data!$U$112),VLOOKUP(B24,Jordtype,Data!$V$112))</f>
        <v>13</v>
      </c>
      <c r="O24">
        <v>40</v>
      </c>
      <c r="P24">
        <v>2</v>
      </c>
      <c r="Q24" t="b">
        <v>0</v>
      </c>
      <c r="R24">
        <v>40</v>
      </c>
      <c r="S24">
        <v>1</v>
      </c>
      <c r="T24">
        <v>1</v>
      </c>
      <c r="U24">
        <v>1</v>
      </c>
      <c r="V24">
        <v>1</v>
      </c>
      <c r="X24">
        <v>34</v>
      </c>
      <c r="Z24">
        <f>Nbal!AG24</f>
        <v>2.95</v>
      </c>
      <c r="AA24">
        <v>1</v>
      </c>
      <c r="AB24">
        <f>VLOOKUP($R24,Afgr,G24)</f>
        <v>110</v>
      </c>
      <c r="AC24">
        <f>VLOOKUP($O24,Afgr,Data!$AI$3)*VLOOKUP(R24,Afgr,Data!$AJ$3)</f>
        <v>0</v>
      </c>
      <c r="AD24">
        <f>IF($Q24,0,VLOOKUP($P24,Efgr,(Data!$W$53+$V$6-1)))</f>
        <v>17</v>
      </c>
      <c r="AE24">
        <f>AB24-AC24-AD24</f>
        <v>93</v>
      </c>
      <c r="AF24">
        <f>AE24*Z24</f>
        <v>274.35000000000002</v>
      </c>
      <c r="AH24">
        <f>VLOOKUP(R24,Afgr,D24)</f>
        <v>56</v>
      </c>
      <c r="AI24">
        <f>VLOOKUP(O24,Afgr,Data!$AL$3)*VLOOKUP(R24,Afgr,E24)</f>
        <v>0</v>
      </c>
      <c r="AJ24">
        <f>VLOOKUP(P24,Efgr,(Data!$Y$53+I24))</f>
        <v>0</v>
      </c>
      <c r="AK24">
        <f>AH24+AI24+AJ24</f>
        <v>56</v>
      </c>
      <c r="AL24">
        <f>AH24+AI24+AJ24</f>
        <v>56</v>
      </c>
      <c r="AM24" s="3">
        <f>IF(Nbal!CK24&lt;&gt;"",Nbal!CK24,AL24)</f>
        <v>82</v>
      </c>
      <c r="AN24">
        <f>AM24*Z24</f>
        <v>241.9</v>
      </c>
      <c r="AO24" t="str">
        <f>VLOOKUP(R24,Afgr,3)</f>
        <v>hkg</v>
      </c>
      <c r="AP24">
        <f>IF(AO24="FE",VLOOKUP($R24,Afgr,Data!$AV$3),0)</f>
        <v>0</v>
      </c>
      <c r="AR24">
        <f>VLOOKUP(R24,Afgr,4)</f>
        <v>145</v>
      </c>
      <c r="AS24" s="3">
        <f>IF(Nbal!CW24&lt;&gt;"",Nbal!CW24,AR24)</f>
        <v>145</v>
      </c>
      <c r="AT24" s="3">
        <f>AM24*AS24</f>
        <v>11890</v>
      </c>
      <c r="AU24" s="3">
        <f>AN24*AS24</f>
        <v>35075.5</v>
      </c>
      <c r="AW24">
        <f>VLOOKUP(R24,Afgr,Data!$AN$3)</f>
        <v>0</v>
      </c>
      <c r="AX24" s="3">
        <f>IF(Nbal!DC24&lt;&gt;"",Nbal!DC24,AW24)</f>
        <v>0</v>
      </c>
      <c r="AY24" s="3">
        <f>AX24*Z24</f>
        <v>0</v>
      </c>
      <c r="BA24">
        <f>VLOOKUP(R24,Afgr,H24)</f>
        <v>3000</v>
      </c>
      <c r="BB24">
        <f>IF(ISERROR(BA24*AM24/AK24),0,(BA24*AM24/AK24))</f>
        <v>4392.8571428571431</v>
      </c>
      <c r="BC24" s="3">
        <f>IF(Nbal!DI24&lt;&gt;"",Nbal!DI24,BB24)</f>
        <v>4392.8571428571431</v>
      </c>
      <c r="BD24">
        <f>BC24*Z24</f>
        <v>12958.928571428572</v>
      </c>
      <c r="BG24">
        <f>IF($S24=1,BC24,0)</f>
        <v>4392.8571428571431</v>
      </c>
      <c r="BH24">
        <f>IF($S24=1,BD24,0)</f>
        <v>12958.928571428572</v>
      </c>
      <c r="BI24">
        <f>VLOOKUP(R24,Afgr,Data!$AM$3)</f>
        <v>0.5</v>
      </c>
      <c r="BJ24">
        <f>IF(Nbal!DR24&lt;&gt;"",Nbal!DR24,BI24)</f>
        <v>0.5</v>
      </c>
      <c r="BK24">
        <f>BG24*BJ24</f>
        <v>2196.4285714285716</v>
      </c>
      <c r="BL24">
        <f>BH24*BJ24</f>
        <v>6479.4642857142862</v>
      </c>
      <c r="BN24">
        <f>VLOOKUP($T24,Efgr,M24)</f>
        <v>0</v>
      </c>
      <c r="BO24">
        <f>BN24*Z24</f>
        <v>0</v>
      </c>
      <c r="BQ24">
        <f>VLOOKUP(T24,Efgr,NormudbKolonneNrEfgr1)</f>
        <v>0</v>
      </c>
      <c r="BR24" s="3">
        <f>IF(Nbal!FE24&lt;&gt;"",Nbal!FE24,BQ24)</f>
        <v>0</v>
      </c>
      <c r="BS24">
        <f>BR24*Z24</f>
        <v>0</v>
      </c>
      <c r="BT24" t="s">
        <v>37</v>
      </c>
      <c r="BU24">
        <f>BR24*Efterslaetpris</f>
        <v>0</v>
      </c>
      <c r="BV24">
        <f>BS24*Efterslaetpris</f>
        <v>0</v>
      </c>
      <c r="BW24">
        <f>VLOOKUP(T24,Efgr,Data!$AG$53)</f>
        <v>0</v>
      </c>
      <c r="BX24">
        <f>BR24*BW24</f>
        <v>0</v>
      </c>
      <c r="BZ24">
        <f>Nbal!AQ24</f>
        <v>0</v>
      </c>
      <c r="CA24" s="211">
        <f>Nbal!AT24</f>
        <v>41</v>
      </c>
      <c r="CB24" s="2">
        <f>Nbal!DZ24</f>
        <v>0</v>
      </c>
      <c r="CC24" s="211">
        <f>Nbal!AT24+Nbal!DZ24</f>
        <v>41</v>
      </c>
      <c r="CD24" s="211">
        <f>Nbal!AX24</f>
        <v>0</v>
      </c>
      <c r="CE24">
        <f>Nbal!BH24</f>
        <v>0</v>
      </c>
      <c r="CF24" s="211">
        <f>Nbal!BM24</f>
        <v>85</v>
      </c>
      <c r="CG24" s="2">
        <f>Nbal!EI24</f>
        <v>0</v>
      </c>
      <c r="CH24" s="211">
        <f>Nbal!BM24+Nbal!EI24</f>
        <v>85</v>
      </c>
      <c r="CI24" s="211">
        <f>Nbal!BW24</f>
        <v>0</v>
      </c>
      <c r="CJ24" s="211">
        <f>Nbal!BH24*Nbal!BJ24*0.01</f>
        <v>0</v>
      </c>
      <c r="CK24" s="211">
        <f>(Nbal!BM24*Nbal!BP24*0.01)</f>
        <v>63.095500000000001</v>
      </c>
      <c r="CL24" s="211">
        <f>(Nbal!EI24*Nbal!EL24*0.01)</f>
        <v>0</v>
      </c>
      <c r="CM24" s="211">
        <f>(Nbal!BM24*Nbal!BP24*0.01)+(Nbal!EI24*Nbal!EL24*0.01)</f>
        <v>63.095500000000001</v>
      </c>
      <c r="CN24" s="211">
        <f>Nbal!BW24*Nbal!BY24*0.01</f>
        <v>0</v>
      </c>
      <c r="CO24">
        <f>Nbal!BT24+Nbal!ER24</f>
        <v>0</v>
      </c>
      <c r="CQ24">
        <f>Nbal!BA24</f>
        <v>0</v>
      </c>
      <c r="CR24">
        <f>Nbal!EC24</f>
        <v>0</v>
      </c>
      <c r="CS24">
        <f>(CQ24+CR24)*Z24</f>
        <v>0</v>
      </c>
      <c r="CT24">
        <f>Nbal!CB24</f>
        <v>18</v>
      </c>
      <c r="CU24">
        <f>Nbal!EV24</f>
        <v>0</v>
      </c>
      <c r="CV24">
        <f>(CT24+CU24)*Z24</f>
        <v>53.1</v>
      </c>
      <c r="CW24">
        <f>Nbal!BA24+Nbal!CB24+Nbal!EC24+Nbal!EV24</f>
        <v>18</v>
      </c>
      <c r="CY24">
        <f>Nbal!BD24</f>
        <v>0</v>
      </c>
      <c r="CZ24">
        <f>Nbal!EF24</f>
        <v>0</v>
      </c>
      <c r="DA24">
        <f>(CY24+CZ24)*Z24</f>
        <v>0</v>
      </c>
      <c r="DB24">
        <f>Nbal!CE24</f>
        <v>44</v>
      </c>
      <c r="DC24">
        <f>Nbal!EY24</f>
        <v>0</v>
      </c>
      <c r="DD24">
        <f>(DB24+DC24)*Z24</f>
        <v>129.80000000000001</v>
      </c>
      <c r="DE24">
        <f>Nbal!BD24+Nbal!CE24+Nbal!EF24+Nbal!EY24</f>
        <v>44</v>
      </c>
      <c r="DG24">
        <f>VLOOKUP($R24,Afgr,Data!$AW$3)</f>
        <v>11.1875</v>
      </c>
      <c r="DH24">
        <f>IF($AO24="FE",$AM24*$AP24*$DG24*0.01,$AM24*100*$DM24*0.01*$DG24*0.01)</f>
        <v>779.76875000000007</v>
      </c>
      <c r="DI24">
        <f>IF(VLOOKUP(R24,Afgr,Data!$BO$3)=1,DH24,0)*Z24</f>
        <v>2300.3178125000004</v>
      </c>
      <c r="DJ24" s="12">
        <f>(BZ24+CC24+CJ24-AE24)*VLOOKUP($R24,Afgr,Data!$AX$3)</f>
        <v>-1.04</v>
      </c>
      <c r="DK24">
        <f>DG24+DJ24</f>
        <v>10.147500000000001</v>
      </c>
      <c r="DL24">
        <f>IF(Nbal!CQ24&lt;&gt;"",Nbal!CQ24,DK24)</f>
        <v>10.147500000000001</v>
      </c>
      <c r="DM24">
        <f>VLOOKUP(R24,Afgr,Data!$AT$3)</f>
        <v>85</v>
      </c>
      <c r="DN24">
        <f>IF($AO24="FE",$AM24*$AP24*$DL24*0.01,$AM24*100*$DM24*0.01*DL24*0.01)</f>
        <v>707.28075000000013</v>
      </c>
      <c r="DO24">
        <f>IF(VLOOKUP(R24,Afgr,Data!$BO$3)=1,DN24,0)*Z24</f>
        <v>2086.4782125000006</v>
      </c>
      <c r="DP24">
        <f>IF(ISERROR(DN24/VLOOKUP(R24,Afgr,Data!$AY$3)),0,DN24/VLOOKUP(R24,Afgr,Data!$AY$3))</f>
        <v>113.16492000000002</v>
      </c>
      <c r="DQ24">
        <f>DP24*Z24</f>
        <v>333.83651400000008</v>
      </c>
      <c r="DS24">
        <f>IF($AO24="FE",$AM24*$AP24*VLOOKUP($R24,Afgr,Data!$BC$3)*0.001,$AM24*100*$DM24*0.01*VLOOKUP($R24,Afgr,Data!$BC$3)*0.001)</f>
        <v>26.486000000000001</v>
      </c>
      <c r="DT24">
        <f>DS24*Z24</f>
        <v>78.133700000000005</v>
      </c>
      <c r="DV24">
        <f>IF($AO24="FE",$AM24*$AP24*VLOOKUP($R24,Afgr,Data!$BF$3)*0.001,$AM24*100*$DM24*0.01*VLOOKUP($R24,Afgr,Data!$BF$3)*0.001)</f>
        <v>32.759</v>
      </c>
      <c r="DW24">
        <f>DV24*Z24</f>
        <v>96.639050000000012</v>
      </c>
      <c r="DY24">
        <f>IF(ISERROR(VLOOKUP(R24,Afgr,Data!$AZ$3)*DL24/DG24),0,VLOOKUP(R24,Afgr,Data!$AZ$3)*DL24/DG24)</f>
        <v>3.6281564245810061</v>
      </c>
      <c r="DZ24">
        <f>VLOOKUP(R24,Afgr,Data!$AU$3)</f>
        <v>85</v>
      </c>
      <c r="EA24">
        <f>IF($S24=1,$BC24*$DZ24*0.01*DY24*0.01,0)</f>
        <v>135.47276935355151</v>
      </c>
      <c r="EB24">
        <f>EA24/6.25</f>
        <v>21.675643096568241</v>
      </c>
      <c r="EC24">
        <f>EB24*Z24</f>
        <v>63.943147134876313</v>
      </c>
      <c r="EE24">
        <f>IF($S24=1,$BC24*$DZ24*0.01*VLOOKUP($R24,Afgr,Data!$BD$3)*0.001,0)</f>
        <v>3.3605357142857146</v>
      </c>
      <c r="EF24">
        <f>EE24*Z24</f>
        <v>9.9135803571428589</v>
      </c>
      <c r="EH24">
        <f>IF($S24=1,$BC24*$DZ24*0.01*VLOOKUP($R24,Afgr,Data!$BG$3)*0.001,0)</f>
        <v>44.807142857142857</v>
      </c>
      <c r="EI24">
        <f>EH24*Z24</f>
        <v>132.18107142857144</v>
      </c>
      <c r="EK24">
        <f>VLOOKUP(T24,Efgr,Data!$AI$53)</f>
        <v>0</v>
      </c>
      <c r="EL24">
        <f>BX24*EK24*0.01/6.25</f>
        <v>0</v>
      </c>
      <c r="EM24">
        <f>EL24*Z24</f>
        <v>0</v>
      </c>
      <c r="EO24">
        <f>$BX24*VLOOKUP($T24,Efgr,Data!$AJ$53)*0.001</f>
        <v>0</v>
      </c>
      <c r="EP24">
        <f>EO24*Z24</f>
        <v>0</v>
      </c>
      <c r="ER24">
        <f>$BX24*VLOOKUP($T24,Efgr,Data!$AK$53)*0.001</f>
        <v>0</v>
      </c>
      <c r="ES24">
        <f>ER24*Z24</f>
        <v>0</v>
      </c>
      <c r="EU24">
        <f>IF(VLOOKUP(R24,Afgr,Data!$DS$3)=1,DP24*VLOOKUP(R24,Afgr,(Data!$DT$3+EftervirkningUdb1))*VLOOKUP(R24,Afgr,Data!$DV$3),0)</f>
        <v>0</v>
      </c>
      <c r="EV24">
        <f>IF(VLOOKUP(R24,Afgr,Data!$DS$3)=2,VLOOKUP(R24,Afgr,Data!$DX$3),0)</f>
        <v>0</v>
      </c>
      <c r="EW24">
        <f>IF(VLOOKUP(R24,Afgr,Data!$DS$3)=3,$DP24*VLOOKUP($R24,Afgr,IF(Jordtype1&lt;5,Data!$DT$3,Data!$DU$3))*VLOOKUP($R24,Afgr,Data!$DV$3),0)</f>
        <v>0</v>
      </c>
      <c r="EX24">
        <f>IF(VLOOKUP(R24,Afgr,Data!$DS$3)=4,(1.232+0.00469*AM24*100+(0.000256*AM24*100+0.089)*60),0)</f>
        <v>0</v>
      </c>
      <c r="EY24" s="211">
        <f>BZ24+CA24+CJ24+CK24</f>
        <v>104.0955</v>
      </c>
      <c r="EZ24">
        <f>IF(VLOOKUP($R24,Afgr,Data!$DS$3)=5,($AM24*0.02742-$AM24*0.0001*$EY24+$AM24*0.0000001111*$EY24*$EY24),0)</f>
        <v>0</v>
      </c>
      <c r="FA24" s="2">
        <f>CB24+CL24</f>
        <v>0</v>
      </c>
      <c r="FB24">
        <f>IF(VLOOKUP($T24,Efgr,Data!$BH$53)=5,($BR24*0.02742-$BR24*0.0001*$FA24+$BR24*0.0000001111*$FA24*$FA24),0)</f>
        <v>0</v>
      </c>
      <c r="FC24" s="3">
        <f>EU24+EV24+EW24+EX24+EZ24+FB24</f>
        <v>0</v>
      </c>
      <c r="FD24" s="3">
        <f>FC24*Z24</f>
        <v>0</v>
      </c>
      <c r="FF24" s="211">
        <f>BZ24+CC24</f>
        <v>41</v>
      </c>
      <c r="FG24" s="211">
        <f>FF24*Z24</f>
        <v>120.95</v>
      </c>
      <c r="FH24" s="211">
        <f>CE24+CH24+CO24</f>
        <v>85</v>
      </c>
      <c r="FI24" s="211">
        <f>FH24*Z24</f>
        <v>250.75000000000003</v>
      </c>
      <c r="FJ24">
        <f>VLOOKUP($R24,Afgr,Data!$DK$3)*VLOOKUP($R24,Afgr,Data!$AT$3)*0.01*VLOOKUP($R24,Afgr,Data!$AW$3)*0.01/6.25</f>
        <v>2.4344000000000001</v>
      </c>
      <c r="FK24">
        <f>FJ24*Z24</f>
        <v>7.1814800000000005</v>
      </c>
      <c r="FL24" s="4">
        <f>IF(R24&gt;1,Deposition,0)</f>
        <v>15</v>
      </c>
      <c r="FM24" s="4">
        <f>FL24*Z24</f>
        <v>44.25</v>
      </c>
      <c r="FN24">
        <f>FC24</f>
        <v>0</v>
      </c>
      <c r="FO24">
        <f>FN24*Z24</f>
        <v>0</v>
      </c>
      <c r="FP24" s="211">
        <f>SUM(FF24,FH24,FJ24,FL24,FN24)</f>
        <v>143.43440000000001</v>
      </c>
      <c r="FQ24">
        <f>DP24+EB24+EL24</f>
        <v>134.84056309656827</v>
      </c>
      <c r="FR24" s="3">
        <f>FP24-FQ24</f>
        <v>8.5938369034317361</v>
      </c>
      <c r="FS24" s="19">
        <f>FP24*Z24</f>
        <v>423.13148000000007</v>
      </c>
      <c r="FT24" s="19">
        <f>FQ24*Z24</f>
        <v>397.77966113487645</v>
      </c>
      <c r="FU24" s="3">
        <f>FR24*Z24</f>
        <v>25.351818865123622</v>
      </c>
      <c r="FW24">
        <f>CW24</f>
        <v>18</v>
      </c>
      <c r="FX24">
        <f>FW24*Z24</f>
        <v>53.1</v>
      </c>
      <c r="FY24">
        <f>IX24+MB24</f>
        <v>29.846535714285714</v>
      </c>
      <c r="FZ24">
        <f>FY24*Z24</f>
        <v>88.047280357142867</v>
      </c>
      <c r="GA24">
        <f>FW24-FY24</f>
        <v>-11.846535714285714</v>
      </c>
      <c r="GB24">
        <f>GA24*Z24</f>
        <v>-34.947280357142859</v>
      </c>
      <c r="GD24">
        <f>DE24</f>
        <v>44</v>
      </c>
      <c r="GE24">
        <f>GD24*Z24</f>
        <v>129.80000000000001</v>
      </c>
      <c r="GF24">
        <f>JE24+MH24</f>
        <v>77.566142857142864</v>
      </c>
      <c r="GG24">
        <f>GF24*Z24</f>
        <v>228.82012142857147</v>
      </c>
      <c r="GH24">
        <f>GD24-GF24</f>
        <v>-33.566142857142864</v>
      </c>
      <c r="GI24">
        <f>GH24*Z24</f>
        <v>-99.020121428571457</v>
      </c>
      <c r="GK24">
        <f>AA24</f>
        <v>1</v>
      </c>
      <c r="GL24" s="211">
        <f>FF24+FH24+FN24</f>
        <v>126</v>
      </c>
      <c r="GM24" s="211">
        <f>IF(R24=1,"",IF(GK24=1,GL24,""))</f>
        <v>126</v>
      </c>
      <c r="GN24" s="211" t="str">
        <f>IF(R24=1,"",IF(GK24=2,GL24,""))</f>
        <v/>
      </c>
      <c r="GO24" s="211" t="str">
        <f>IF(R24=1,"",IF(GK24=3,GL24,""))</f>
        <v/>
      </c>
      <c r="GP24" s="211" t="str">
        <f>IF(R24=1,"",IF(GK24=4,GL24,""))</f>
        <v/>
      </c>
      <c r="GQ24" s="149">
        <f>IF(OR(R24=1,VLOOKUP(R24,Afgr,Data!$BV$3)=1,VLOOKUP(R24,Afgr,Data!$BW$3)=1),0,IF(GK24=1,Nniveau1,IF(GK24=2,Nniveau2,IF(GK24=3,Nniveau3,IF(GK24=4,Nniveau4,GL24)))))</f>
        <v>173.16922222222217</v>
      </c>
      <c r="GR24" s="222">
        <v>0.32550000000000001</v>
      </c>
      <c r="GS24" s="6">
        <v>0</v>
      </c>
      <c r="GT24" s="149">
        <f>CC24+CM24</f>
        <v>104.0955</v>
      </c>
      <c r="GU24" s="6">
        <f>$FN24</f>
        <v>0</v>
      </c>
      <c r="GV24" s="222">
        <v>0.25280000000000002</v>
      </c>
      <c r="GW24">
        <f>CO24</f>
        <v>0</v>
      </c>
      <c r="GX24" s="222">
        <v>0.376</v>
      </c>
      <c r="GY24" s="149">
        <f>CD24+CN24</f>
        <v>0</v>
      </c>
      <c r="GZ24" s="222">
        <f>IF(B24&gt;3,0.3539,1.0749)</f>
        <v>0.35389999999999999</v>
      </c>
      <c r="HA24" s="11">
        <f>$FQ24</f>
        <v>134.84056309656827</v>
      </c>
      <c r="HB24" s="222">
        <v>0.19359999999999999</v>
      </c>
      <c r="HC24" s="222">
        <f>VLOOKUP($R24,Afgr,Data!$DM$3)</f>
        <v>1</v>
      </c>
      <c r="HD24" s="24">
        <f>IF($HC24&gt;1,0,(VLOOKUP($X24,Afgr,Data!$DP$3)+IF(VLOOKUP($X24,Afgr,Data!$DP$3)=0,VLOOKUP($T24,Efgr,Data!$BI$53,0))))+IF(AND($HC24=7,VLOOKUP($X24,Afgr,Data!$DQ$3)=-2),-2,0)+IF(AND($HC24=6,VLOOKUP($T24,Efgr,Data!$BI$53)=2),8,0)</f>
        <v>1</v>
      </c>
      <c r="HE24" s="6">
        <f>VLOOKUP(SUM(HC24:HD24),Nlesafgr,3)</f>
        <v>-7.6</v>
      </c>
      <c r="HF24" s="7">
        <f>VLOOKUP($O24,Afgr,Data!$DN$3)</f>
        <v>1</v>
      </c>
      <c r="HG24" s="24">
        <f>IF(HF24&gt;1,0,VLOOKUP($R24,Afgr,Data!$DO$3)+IF(VLOOKUP($R24,Afgr,Data!$DO$3)=1,0,VLOOKUP($P24,Efgr,Data!$BJ$53)))</f>
        <v>1</v>
      </c>
      <c r="HH24" s="6">
        <f>VLOOKUP(SUM(HF24:HG24),Nlesforfrugt,3)</f>
        <v>14.2</v>
      </c>
      <c r="HI24" s="222">
        <f>GR24*GQ24+GV24*(GT24+GU24)+GX24*GW24+GZ24*GY24-HB24*HA24+HE24+HH24</f>
        <v>63.176791217837703</v>
      </c>
      <c r="HJ24" s="222">
        <f>Nlesafskaering</f>
        <v>59.6</v>
      </c>
      <c r="HK24" s="222">
        <f>Teknologi1</f>
        <v>2455</v>
      </c>
      <c r="HL24" s="6">
        <v>2001</v>
      </c>
      <c r="HM24" s="222">
        <f>Teknologi2</f>
        <v>1962.2</v>
      </c>
      <c r="HN24" s="222">
        <f>Tandel</f>
        <v>0.54659999999999997</v>
      </c>
      <c r="HO24" s="222">
        <f>IF(OR(HI24&gt;0,HI24=0),HJ24+HK24/(HL24-HM24),HJ24+HK24/(HL24-HM24)+HN24*HI24)</f>
        <v>122.87319587628873</v>
      </c>
      <c r="HP24" s="222">
        <f>IF(HI24&gt;0,HI24,0.001)</f>
        <v>63.176791217837703</v>
      </c>
      <c r="HQ24" s="222">
        <v>1.5020000000000001E-3</v>
      </c>
      <c r="HR24" s="24">
        <f>IF(R24=1,0,VLOOKUP(PostnrNbal,AfstromData,VLOOKUP($R24,Afgr,Data!$DL$3)+IF(Jordtype1&lt;7,Jordtype1,6),FALSE)-VLOOKUP(T24,Efgr,Data!$AA$53))</f>
        <v>304.76666666666603</v>
      </c>
      <c r="HS24" s="24">
        <f>IF(Nbal!GA24&lt;&gt;"",Nbal!GA24,Regn2!HR24)</f>
        <v>304.76666666666603</v>
      </c>
      <c r="HT24" s="222">
        <v>5.5400000000000002E-4</v>
      </c>
      <c r="HU24" s="24">
        <f>IF(R24=1,0,VLOOKUP(PostnrNbal,AfstromData,VLOOKUP($O24,Afgr,Data!$DL$3)+IF(B24&lt;7,B24,6),FALSE)-VLOOKUP(P24,Efgr,Data!$AA$53))</f>
        <v>284.76666666666603</v>
      </c>
      <c r="HV24" s="24">
        <f>IF(Nbal!FU24&lt;&gt;"",Nbal!FU24,Regn2!HU24)</f>
        <v>284.76666666666603</v>
      </c>
      <c r="HW24" s="222">
        <v>0.10639999999999999</v>
      </c>
      <c r="HX24" s="6">
        <f>VLOOKUP(B24,Jordtype,Data!$W$112)</f>
        <v>3</v>
      </c>
      <c r="HY24" s="222">
        <v>3.2500000000000001E-2</v>
      </c>
      <c r="HZ24" s="6">
        <f>VLOOKUP(B24,Jordtype,Data!$X$112)</f>
        <v>12</v>
      </c>
      <c r="IA24" s="222">
        <v>1.2453000000000001</v>
      </c>
      <c r="IB24" s="222">
        <f>IF(VLOOKUP(T24,Efgr,Data!$AO$53)=1,MlafgrNUdvask,0)</f>
        <v>0</v>
      </c>
      <c r="IC24" s="20">
        <f>IF(ISERROR((HO24+POWER(HP24,1.2))*(1-EXP(-HQ24*HS24))*EXP(-HT24*HV24)*EXP(-HW24*HX24)*EXP(-HY24*HZ24)*IA24),0,(HO24+POWER(HP24,1.2))*(1-EXP(-HQ24*HS24))*EXP(-HT24*HV24)*EXP(-HW24*HX24)*EXP(-HY24*HZ24)*IA24+IB24)</f>
        <v>51.443462917880524</v>
      </c>
      <c r="ID24">
        <f>IC24*Z24</f>
        <v>151.75821560774756</v>
      </c>
      <c r="IE24">
        <f>IF(Nbal!GF24&lt;&gt;"",Nbal!GF24,RetentionNbal)</f>
        <v>65</v>
      </c>
      <c r="IF24">
        <f>IC24*(100-IE24)*0.01</f>
        <v>18.005212021258185</v>
      </c>
      <c r="IG24">
        <f>IF24*Z24</f>
        <v>53.115375462711647</v>
      </c>
      <c r="IH24" s="2">
        <f>HS24*10000</f>
        <v>3047666.6666666605</v>
      </c>
      <c r="II24" s="2">
        <f>IH24*Z24</f>
        <v>8990616.6666666493</v>
      </c>
      <c r="IJ24">
        <f>IF(ISERROR(IC24*1000*1000/IH24),0,IC24*1000*1000/IH24)</f>
        <v>16.879622525827617</v>
      </c>
      <c r="IL24">
        <f>AT24+AX24+BK24+BU24</f>
        <v>14086.428571428572</v>
      </c>
      <c r="IO24">
        <f>VLOOKUP(R24,Afgr,Data!$AP$3)*UdsaedJust</f>
        <v>488</v>
      </c>
      <c r="IP24" s="3">
        <f>IF(Nbal!GN24&lt;&gt;"",Nbal!GN24,IO24)</f>
        <v>488</v>
      </c>
      <c r="IQ24" s="3">
        <f>IP24*Z24</f>
        <v>1439.6000000000001</v>
      </c>
      <c r="IS24" s="3">
        <f>IF(HdgVaerdiNbal=1,(BZ24+CA24)*Npris,(BZ24+CA24+CJ24+CK24)*Npris)</f>
        <v>346.45</v>
      </c>
      <c r="IT24" s="3">
        <f>IS24*Z24</f>
        <v>1022.0275</v>
      </c>
      <c r="IV24">
        <f>VLOOKUP($R24,Afgr,Data!$BA$3)</f>
        <v>0</v>
      </c>
      <c r="IW24">
        <f>VLOOKUP($R24,Afgr,Data!$BB$3)</f>
        <v>2.5</v>
      </c>
      <c r="IX24">
        <f>$DS24+$EE24</f>
        <v>29.846535714285714</v>
      </c>
      <c r="IY24">
        <f>CT24</f>
        <v>18</v>
      </c>
      <c r="IZ24">
        <f>CQ24</f>
        <v>0</v>
      </c>
      <c r="JA24" s="3">
        <f>IF(HdgVaerdiNbal=1,(IZ24)*Ppris,(IY24+IZ24)*Ppris)</f>
        <v>0</v>
      </c>
      <c r="JB24" s="3">
        <f>JA24*Z24</f>
        <v>0</v>
      </c>
      <c r="JD24">
        <f>IF(AND(R24&gt;1,OR(Jordtype1=1,Jordtype1=3,Markvand1=2)),Kudvask,0)</f>
        <v>0</v>
      </c>
      <c r="JE24">
        <f>$DV24+$EH24</f>
        <v>77.566142857142864</v>
      </c>
      <c r="JF24">
        <f>DB24</f>
        <v>44</v>
      </c>
      <c r="JG24">
        <f>CY24</f>
        <v>0</v>
      </c>
      <c r="JH24" s="3">
        <f>IF(HdgVaerdiNbal=1,JG24*Kpris,(JF24+JG24)*Kpris)</f>
        <v>0</v>
      </c>
      <c r="JI24" s="3">
        <f>JH24*Z24</f>
        <v>0</v>
      </c>
      <c r="JK24">
        <f>IS24+JA24+JH24</f>
        <v>346.45</v>
      </c>
      <c r="JL24" s="3">
        <f>IF(Nbal!GT24&lt;&gt;"",Nbal!GT24,$JK24)</f>
        <v>346.45</v>
      </c>
      <c r="JM24" s="3">
        <f>JL24*Z24</f>
        <v>1022.0275</v>
      </c>
      <c r="JO24">
        <f>VLOOKUP(R24,Afgr,Data!$AQ$3)*PlantevJust</f>
        <v>283</v>
      </c>
      <c r="JP24" s="3">
        <f>IF(Nbal!GZ24&lt;&gt;"",Nbal!GZ24,JO24)</f>
        <v>283</v>
      </c>
      <c r="JQ24" s="3">
        <f>JP24*Z24</f>
        <v>834.85</v>
      </c>
      <c r="JS24">
        <f>VLOOKUP(R24,Afgr,Data!$AR$3)+AM24*VLOOKUP(R24,Afgr,Data!$BH$3)</f>
        <v>0</v>
      </c>
      <c r="JT24" s="3">
        <f>IF(Nbal!HF24&lt;&gt;"",Nbal!HF24,JS24)</f>
        <v>0</v>
      </c>
      <c r="JU24">
        <f>JT24*Z24</f>
        <v>0</v>
      </c>
      <c r="JW24">
        <f>IP24+JL24+JP24+JT24</f>
        <v>1117.45</v>
      </c>
      <c r="JY24">
        <f>IF(VLOOKUP(R24,Afgr,Data!$BY$3)&gt;0,Data!$K$259*J24,0)</f>
        <v>600</v>
      </c>
      <c r="JZ24">
        <f>IF(VLOOKUP(R24,Afgr,Data!$BZ$3)&gt;0,Data!$K$260*J24,0)</f>
        <v>0</v>
      </c>
      <c r="KA24">
        <f>(JY24+JZ24)*MaskJust</f>
        <v>600</v>
      </c>
      <c r="KB24" s="3">
        <f>IF(Nbal!HL24&lt;&gt;"",Nbal!HL24,KA24)</f>
        <v>600</v>
      </c>
      <c r="KC24" s="3">
        <f>KB24*Z24</f>
        <v>1770</v>
      </c>
      <c r="KE24">
        <f>IF(VLOOKUP(R24,Afgr,Data!$CA$3)&gt;0,VLOOKUP(R24,Afgr,Data!$CA$3)*Data!$K$261*K24,0)</f>
        <v>0</v>
      </c>
      <c r="KF24">
        <f>IF(VLOOKUP(R24,Afgr,Data!$CC$3)&gt;0,Data!$K$262*K24,0)</f>
        <v>350</v>
      </c>
      <c r="KG24">
        <f>IF(VLOOKUP(R24,Afgr,Data!$CD$3)&gt;0,VLOOKUP(R24,Afgr,Data!$CD$3)*Data!$K$263*K24,0)</f>
        <v>0</v>
      </c>
      <c r="KH24">
        <f>IF(VLOOKUP(R24,Afgr,Data!$CE$3)&gt;0,Data!$K$264*K24,0)</f>
        <v>0</v>
      </c>
      <c r="KI24">
        <f>IF(VLOOKUP(R24,Afgr,Data!$CF$3)&gt;0,Data!$K$265*K24,0)</f>
        <v>0</v>
      </c>
      <c r="KJ24">
        <f>IF(VLOOKUP(R24,Afgr,Data!$CV$3)&gt;0,Data!$K$266,0)</f>
        <v>0</v>
      </c>
      <c r="KK24">
        <f>IF(VLOOKUP(R24,Afgr,Data!$CG$3)&gt;0,Data!$K$267*K24,0)</f>
        <v>0</v>
      </c>
      <c r="KL24">
        <f>(KE24+KF24+KG24+KH24+KI24+KJ24+KK24)*MaskJust</f>
        <v>350</v>
      </c>
      <c r="KM24" s="3">
        <f>IF(Nbal!HR24&lt;&gt;"",Nbal!HR24,KL24)</f>
        <v>350</v>
      </c>
      <c r="KN24" s="3">
        <f>KM24*Z24</f>
        <v>1032.5</v>
      </c>
      <c r="KP24">
        <f>IF(VLOOKUP(R24,Afgr,Data!$CJ$3)&gt;0,VLOOKUP(R24,Afgr,Data!$CJ$3)*Data!$K$268*K24,0)*MaskJust</f>
        <v>140</v>
      </c>
      <c r="KQ24" s="3">
        <f>IF(Nbal!HX24&lt;&gt;"",Nbal!HX24,KP24)</f>
        <v>140</v>
      </c>
      <c r="KR24" s="3">
        <f>KQ24*Z24</f>
        <v>413</v>
      </c>
      <c r="KT24">
        <f>IF(VLOOKUP(R24,Afgr,Data!$CI$3)&gt;0,VLOOKUP(R24,Afgr,Data!$CI$3)*Data!$K$269,0)*MaskJust</f>
        <v>300</v>
      </c>
      <c r="KU24" s="3">
        <f>IF(Nbal!ID24&lt;&gt;"",Nbal!ID24,KT24)</f>
        <v>300</v>
      </c>
      <c r="KV24" s="3">
        <f>KU24*Z24</f>
        <v>885</v>
      </c>
      <c r="KX24">
        <f>IF(C24=2,VLOOKUP($R24,Afgr,Data!$CY$3),0)</f>
        <v>0</v>
      </c>
      <c r="KY24">
        <f>IF(Nbal!IJ24&lt;&gt;"",Nbal!IJ24,$KX24)</f>
        <v>0</v>
      </c>
      <c r="KZ24">
        <f>IF(AND(R24&gt;1,C24=2),Vandmaskin+$KY24*Flytning/mmprgang+$KY24*Prisprmm,0)</f>
        <v>0</v>
      </c>
      <c r="LA24" s="3">
        <f>IF(Nbal!IP24&lt;&gt;"",Nbal!IP24,$KZ24)</f>
        <v>0</v>
      </c>
      <c r="LB24" s="3">
        <f>LA24*Z24</f>
        <v>0</v>
      </c>
      <c r="LD24">
        <f>IF(VLOOKUP($R24,Afgr,Data!$CK$3)&gt;0,((1+AM24/VLOOKUP($R24,Afgr,Data!$CK$3))/2)*VLOOKUP($R24,Afgr,Data!$CL$3)*VLOOKUP($R24,Afgr,Data!$CN$3)+VLOOKUP($R24,Afgr,Data!$CM$3),0)</f>
        <v>884.11764705882354</v>
      </c>
      <c r="LE24">
        <f>IF(VLOOKUP($R24,Afgr,Data!$CK$3)&gt;0,IF(AND($S24=2,$BA24&gt;0),Data!$K$271,0),0)</f>
        <v>0</v>
      </c>
      <c r="LF24">
        <f>IF(VLOOKUP($R24,Afgr,Data!$CK$3)&gt;0,(AM24/VLOOKUP($R24,Afgr,Data!$CK$3))*VLOOKUP($R24,Afgr,Data!$CO$3)*VLOOKUP($R24,Afgr,Data!$CN$3),0)</f>
        <v>313.52941176470591</v>
      </c>
      <c r="LG24">
        <f>(LD24+LE24+LF24)*MaskJust</f>
        <v>1197.6470588235295</v>
      </c>
      <c r="LH24" s="3">
        <f>IF(Nbal!IV24&lt;&gt;"",Nbal!IV24,LG24)</f>
        <v>1197.6470588235295</v>
      </c>
      <c r="LI24" s="3">
        <f>LH24*Z24</f>
        <v>3533.0588235294122</v>
      </c>
      <c r="LJ24" s="3"/>
      <c r="LK24">
        <f>IF(AND($S24=1,VLOOKUP($R24,Afgr,Data!$CP$3)&gt;0),((1+$BC24/VLOOKUP($R24,Afgr,Data!$CP$3))/2)*VLOOKUP($R24,Afgr,Data!$CQ$3),0)</f>
        <v>646.875</v>
      </c>
      <c r="LL24">
        <f>IF(AND($S24=1,VLOOKUP($R24,Afgr,Data!$CP$3)&gt;0),($BC24/VLOOKUP($R24,Afgr,Data!$CP$3))*VLOOKUP($R24,Afgr,Data!$CR$3),0)</f>
        <v>292.85714285714289</v>
      </c>
      <c r="LM24">
        <f>(LK24+LL24)*MaskJust</f>
        <v>939.73214285714289</v>
      </c>
      <c r="LN24" s="3">
        <f>IF(Nbal!JB24&lt;&gt;"",Nbal!JB24,LM24)</f>
        <v>939.73214285714289</v>
      </c>
      <c r="LO24" s="3">
        <f>LN24*Z24</f>
        <v>2772.2098214285716</v>
      </c>
      <c r="LQ24">
        <f>$AM24*VLOOKUP($R24,Afgr,Data!$CS$3)*IF($V24=1,VLOOKUP($R24,Afgr,Data!$CT$3),IF($V24=2,VLOOKUP($R24,Afgr,Data!$CU$3),0))</f>
        <v>757.68000000000018</v>
      </c>
      <c r="LR24" s="3">
        <f>IF(Nbal!JK24&lt;&gt;"",Nbal!JK24,LQ24)</f>
        <v>757.68000000000018</v>
      </c>
      <c r="LS24" s="3">
        <f>LR24*Z24</f>
        <v>2235.1560000000009</v>
      </c>
      <c r="LU24">
        <f>VLOOKUP($T24,Efgr,Data!$AC$53)*UdsaedJust</f>
        <v>0</v>
      </c>
      <c r="LV24" s="3">
        <f>IF(Nbal!$JS24&lt;&gt;"",Nbal!$JS24,LU24)</f>
        <v>0</v>
      </c>
      <c r="LW24" s="3">
        <f>LV24*Z24</f>
        <v>0</v>
      </c>
      <c r="LY24" s="3">
        <f>IF(HdgVaerdiNbal=1,(CB24)*Npris,(CB24+CL24)*Npris)</f>
        <v>0</v>
      </c>
      <c r="LZ24" s="3">
        <f>LY24*Z24</f>
        <v>0</v>
      </c>
      <c r="MB24">
        <f>$EO24</f>
        <v>0</v>
      </c>
      <c r="MC24">
        <f>CU24</f>
        <v>0</v>
      </c>
      <c r="MD24">
        <f>CR24</f>
        <v>0</v>
      </c>
      <c r="ME24" s="3">
        <f>IF(HdgVaerdiNbal=1,MD24*Ppris,(MC24+MD24)*Ppris)</f>
        <v>0</v>
      </c>
      <c r="MF24" s="3">
        <f>ME24*Z24</f>
        <v>0</v>
      </c>
      <c r="MH24">
        <f>$ER24</f>
        <v>0</v>
      </c>
      <c r="MI24">
        <f>DC24</f>
        <v>0</v>
      </c>
      <c r="MJ24">
        <f>CZ24</f>
        <v>0</v>
      </c>
      <c r="MK24" s="3">
        <f>IF(HdgVaerdiNbal=1,MJ24*Ppris,(MI24+MJ24)*Ppris)</f>
        <v>0</v>
      </c>
      <c r="ML24" s="3">
        <f>MK24*Z24</f>
        <v>0</v>
      </c>
      <c r="MN24">
        <f>LY24+ME24+MK24</f>
        <v>0</v>
      </c>
      <c r="MO24" s="3">
        <f>IF(Nbal!JY24&lt;&gt;"",Nbal!JY24,$MN24)</f>
        <v>0</v>
      </c>
      <c r="MP24" s="3">
        <f>MO24*Z24</f>
        <v>0</v>
      </c>
      <c r="MR24">
        <f>VLOOKUP($T24,Efgr,Data!$AE$53)*PlantevJust</f>
        <v>0</v>
      </c>
      <c r="MS24" s="3">
        <f>IF(Nbal!KE24&lt;&gt;"",Nbal!KE24,MR24)</f>
        <v>0</v>
      </c>
      <c r="MT24" s="3">
        <f>MS24*Z24</f>
        <v>0</v>
      </c>
      <c r="MV24">
        <f>VLOOKUP($T24,Efgr,Data!$AF$53)+$BR24*VLOOKUP($T24,Efgr,Data!$AL$53)</f>
        <v>0</v>
      </c>
      <c r="MW24" s="3">
        <f>IF(Nbal!KK24&lt;&gt;"",Nbal!KK24,MV24)</f>
        <v>0</v>
      </c>
      <c r="MX24" s="3">
        <f>MW24*Z24</f>
        <v>0</v>
      </c>
      <c r="MZ24">
        <f>LV24+MO24+MS24+MW24</f>
        <v>0</v>
      </c>
      <c r="NB24">
        <f>VLOOKUP($T24,Efgr,Data!$AU$53)*K24*MaskJust</f>
        <v>0</v>
      </c>
      <c r="NC24" s="3">
        <f>IF(Nbal!KQ24&lt;&gt;"",Nbal!KQ24,NB24)</f>
        <v>0</v>
      </c>
      <c r="ND24" s="3">
        <f>NC24*Z24</f>
        <v>0</v>
      </c>
      <c r="NF24">
        <f>VLOOKUP($T24,Efgr,Data!$AW$53)*Data!$K$268*K24*MaskJust</f>
        <v>0</v>
      </c>
      <c r="NG24" s="3">
        <f>IF(Nbal!KW24&lt;&gt;"",Nbal!KW24,NF24)</f>
        <v>0</v>
      </c>
      <c r="NH24" s="3">
        <f>NG24*Z24</f>
        <v>0</v>
      </c>
      <c r="NJ24">
        <f>VLOOKUP($T24,Efgr,Data!$AV$53)*Data!$K$269*MaskJust</f>
        <v>0</v>
      </c>
      <c r="NK24" s="3">
        <f>IF(Nbal!LC24&lt;&gt;"",Nbal!LC24,NJ24)</f>
        <v>0</v>
      </c>
      <c r="NL24" s="3">
        <f>NK24*Z24</f>
        <v>0</v>
      </c>
      <c r="NN24">
        <f>IF(C24=2,VLOOKUP($T24,Efgr,Data!$BC$53),0)</f>
        <v>0</v>
      </c>
      <c r="NO24">
        <f>IF(Nbal!LI24&lt;&gt;"",Nbal!LI24,$NN24)</f>
        <v>0</v>
      </c>
      <c r="NP24">
        <f>IF(C24=2,$NO24*Flytning/mmprgang+$NO24*Prisprmm,0)</f>
        <v>0</v>
      </c>
      <c r="NQ24" s="3">
        <f>IF(Nbal!LO24&lt;&gt;"",Nbal!LO24,$NP24)</f>
        <v>0</v>
      </c>
      <c r="NR24" s="3">
        <f>NQ24*Z24</f>
        <v>0</v>
      </c>
      <c r="NT24">
        <f>IF(VLOOKUP($T24,Efgr,Data!$AX$53)&gt;0,((1+BR24/VLOOKUP($T24,Efgr,Data!$AX$53))/2)*VLOOKUP($T24,Efgr,Data!$AY$53)*VLOOKUP($T24,Efgr,Data!$BA$53)+VLOOKUP($T24,Efgr,Data!$AZ$53),0)</f>
        <v>0</v>
      </c>
      <c r="NU24">
        <f>IF(VLOOKUP($T24,Efgr,Data!$AX$53)&gt;0,($BR24/VLOOKUP($T24,Efgr,Data!$AX$53))*VLOOKUP($T24,Efgr,Data!$BB$53)*VLOOKUP($T24,Efgr,Data!$BA$53),0)</f>
        <v>0</v>
      </c>
      <c r="NV24">
        <f>(NT24+NU24)*MaskJust</f>
        <v>0</v>
      </c>
      <c r="NW24" s="3">
        <f>IF(Nbal!LU24&lt;&gt;"",Nbal!LU24,NV24)</f>
        <v>0</v>
      </c>
      <c r="NX24" s="3">
        <f>NW24*Z24</f>
        <v>0</v>
      </c>
      <c r="NZ24">
        <f>IF($U24=2,Data!$K$304,IF($U24=3,Data!$K$305,0))*MaskJust</f>
        <v>0</v>
      </c>
      <c r="OA24" s="3">
        <f>IF(Nbal!MA24&lt;&gt;"",Nbal!MA24,NZ24)</f>
        <v>0</v>
      </c>
      <c r="OB24" s="3">
        <f>OA24*Z24</f>
        <v>0</v>
      </c>
      <c r="OD24">
        <f>IL24</f>
        <v>14086.428571428572</v>
      </c>
      <c r="OE24">
        <f>JW24+MZ24</f>
        <v>1117.45</v>
      </c>
      <c r="OF24">
        <f>OD24-OE24</f>
        <v>12968.978571428572</v>
      </c>
      <c r="OG24">
        <f>OF24*Z24</f>
        <v>38258.486785714289</v>
      </c>
      <c r="OJ24">
        <f>VLOOKUP($O24,Afgr,Data!$BP$3)+VLOOKUP($P24,Efgr,Data!$AM$53)</f>
        <v>1</v>
      </c>
      <c r="OK24" s="3">
        <f>OJ24*Z24</f>
        <v>2.95</v>
      </c>
      <c r="OL24">
        <f>VLOOKUP($R24,Afgr,Data!$BP$3)+VLOOKUP($T24,Efgr,Data!$AM$53)</f>
        <v>1</v>
      </c>
      <c r="OM24" s="3">
        <f>OL24*Z24</f>
        <v>2.95</v>
      </c>
      <c r="OO24">
        <f>VLOOKUP($P24,Efgr,Data!$AN$53)</f>
        <v>1</v>
      </c>
      <c r="OP24">
        <f>VLOOKUP($O24,Afgr,Data!$BQ$3)</f>
        <v>1</v>
      </c>
      <c r="OQ24">
        <f>VLOOKUP($R24,Afgr,Data!$BR$3)</f>
        <v>1</v>
      </c>
      <c r="OR24">
        <f>OO24*OP24*OQ24</f>
        <v>1</v>
      </c>
      <c r="OS24" s="3">
        <f>OR24*Z24</f>
        <v>2.95</v>
      </c>
      <c r="OT24" s="3">
        <f>IF(Q24,1,0)*OS24</f>
        <v>0</v>
      </c>
      <c r="OV24">
        <f>VLOOKUP($T24,Efgr,Data!$AN$53)</f>
        <v>0</v>
      </c>
      <c r="OW24">
        <f>VLOOKUP($R24,Afgr,Data!$BQ$3)</f>
        <v>1</v>
      </c>
      <c r="OX24">
        <f>VLOOKUP($X24,Afgr,Data!$BR$3)</f>
        <v>0</v>
      </c>
      <c r="OY24">
        <f>OV24*OW24*OX24</f>
        <v>0</v>
      </c>
      <c r="OZ24" s="3">
        <f>OY24*Z24</f>
        <v>0</v>
      </c>
      <c r="PB24">
        <f>VLOOKUP($T24,Efgr,Data!$AO$53)</f>
        <v>0</v>
      </c>
      <c r="PC24">
        <f>VLOOKUP($O24,Afgr,Data!$BQ$3)</f>
        <v>1</v>
      </c>
      <c r="PD24">
        <f>VLOOKUP($R24,Afgr,Data!$BS$3)</f>
        <v>0</v>
      </c>
      <c r="PE24" s="3">
        <f>PB24*PC24*PD24*$Z24</f>
        <v>0</v>
      </c>
      <c r="PG24">
        <f>VLOOKUP($T24,Efgr,Data!$AO$53)</f>
        <v>0</v>
      </c>
      <c r="PH24">
        <f>VLOOKUP($R24,Afgr,Data!$BQ$3)</f>
        <v>1</v>
      </c>
      <c r="PI24">
        <f>VLOOKUP($X24,Afgr,Data!$BS$3)</f>
        <v>1</v>
      </c>
      <c r="PJ24" s="3">
        <f>PG24*PH24*PI24*$Z24</f>
        <v>0</v>
      </c>
      <c r="PK24" s="3"/>
      <c r="PL24" s="3">
        <f>VLOOKUP($O24,Afgr,Data!$BU$3)</f>
        <v>0</v>
      </c>
      <c r="PM24" s="3">
        <f>PL24*Z24</f>
        <v>0</v>
      </c>
      <c r="PN24" s="3">
        <f>VLOOKUP($R24,Afgr,Data!$BU$3)</f>
        <v>0</v>
      </c>
      <c r="PO24" s="3">
        <f>PN24*Z24</f>
        <v>0</v>
      </c>
      <c r="PQ24">
        <f>VLOOKUP(R24,Afgr,Data!$BX$3)+VLOOKUP(T24,Efgr,Data!$AQ$53)</f>
        <v>0</v>
      </c>
      <c r="PR24">
        <f>IF(PQ24&gt;0,Z24,0)</f>
        <v>0</v>
      </c>
      <c r="PT24">
        <f>VLOOKUP($O24,Afgr,Data!$BT$3)</f>
        <v>1</v>
      </c>
      <c r="PU24" s="3">
        <f>PT24*Z24</f>
        <v>2.95</v>
      </c>
      <c r="PV24">
        <f>VLOOKUP($R24,Afgr,Data!$BT$3)</f>
        <v>1</v>
      </c>
      <c r="PW24" s="3">
        <f>PV24*Z24</f>
        <v>2.95</v>
      </c>
      <c r="PY24">
        <f>VLOOKUP($R24,Afgr,Data!$BV$3)</f>
        <v>0</v>
      </c>
      <c r="PZ24">
        <f>PY24*Z24</f>
        <v>0</v>
      </c>
      <c r="QB24">
        <f>VLOOKUP($R24,Afgr,Data!$BW$3)</f>
        <v>0</v>
      </c>
      <c r="QC24">
        <f>QB24*Z24</f>
        <v>0</v>
      </c>
      <c r="QE24">
        <f>AM24*IF(VLOOKUP($R24,Afgr,Data!$BJ$3)&gt;0,1,0)</f>
        <v>82</v>
      </c>
      <c r="QF24">
        <f>QE24*Z24</f>
        <v>241.9</v>
      </c>
      <c r="QH24">
        <f>AM24*VLOOKUP(R24,Afgr,Data!$BK$3)</f>
        <v>7749</v>
      </c>
      <c r="QI24">
        <f>Z24*QH24</f>
        <v>22859.550000000003</v>
      </c>
      <c r="QJ24">
        <f>$AM24*VLOOKUP($R24,Afgr,Data!$BL$3)+$BR24*VLOOKUP($T24,Efgr,Data!$AP$53)</f>
        <v>0</v>
      </c>
      <c r="QK24">
        <f>QJ24*Z24</f>
        <v>0</v>
      </c>
      <c r="QL24">
        <f>$AM24*VLOOKUP($R24,Afgr,Data!$BM$3)</f>
        <v>0</v>
      </c>
      <c r="QM24">
        <f>QL24*Z24</f>
        <v>0</v>
      </c>
      <c r="QN24">
        <f>$AM24*VLOOKUP($R24,Afgr,Data!$BN$3)</f>
        <v>0</v>
      </c>
      <c r="QO24">
        <f>QN24*Z24</f>
        <v>0</v>
      </c>
      <c r="QR24">
        <f>IF(VLOOKUP($R24,Afgr,Data!$DA$3)="Vårbyg",$AN24,0)*VLOOKUP($R24,Afgr,Data!$BJ$3)</f>
        <v>24673.8</v>
      </c>
      <c r="QS24">
        <f>IF(VLOOKUP($R24,Afgr,Data!$DA$3)="Vinterbyg",$AN24,0)*VLOOKUP($R24,Afgr,Data!$BJ$3)</f>
        <v>0</v>
      </c>
      <c r="QT24">
        <f>IF(VLOOKUP($R24,Afgr,Data!$DA$3)="Havre",$AN24,0)*VLOOKUP($R24,Afgr,Data!$BJ$3)</f>
        <v>0</v>
      </c>
      <c r="QU24">
        <f>IF(VLOOKUP($R24,Afgr,Data!$DA$3)="Hvede",$AN24,0)*VLOOKUP($R24,Afgr,Data!$BJ$3)</f>
        <v>0</v>
      </c>
      <c r="QV24">
        <f>IF(VLOOKUP($R24,Afgr,Data!$DA$3)="Triticale",$AN24,0)*VLOOKUP($R24,Afgr,Data!$BJ$3)</f>
        <v>0</v>
      </c>
      <c r="QW24">
        <f>IF(VLOOKUP($R24,Afgr,Data!$DA$3)="Rug",$AN24,0)*VLOOKUP($R24,Afgr,Data!$BJ$3)</f>
        <v>0</v>
      </c>
      <c r="QX24">
        <f>IF(VLOOKUP($R24,Afgr,Data!$DA$3)="Majs",$AN24,0)*VLOOKUP($R24,Afgr,Data!$BJ$3)</f>
        <v>0</v>
      </c>
      <c r="RA24">
        <f>IF(OV24+PB24&gt;0,1,0)</f>
        <v>0</v>
      </c>
      <c r="RB24">
        <f>RA24*LW24</f>
        <v>0</v>
      </c>
      <c r="RC24">
        <f>RA24*MT24</f>
        <v>0</v>
      </c>
      <c r="RD24">
        <f>ND24</f>
        <v>0</v>
      </c>
      <c r="RE24">
        <f>RA24*OB24</f>
        <v>0</v>
      </c>
      <c r="RH24">
        <f>VLOOKUP(B24,Jordtype,Data!$Y$112+DenitNr-1)</f>
        <v>7.25</v>
      </c>
      <c r="RI24">
        <f>FF24*VLOOKUP(B24,Jordtype,Data!$AB$112+DenitNr-1)</f>
        <v>1.6400000000000001</v>
      </c>
      <c r="RJ24">
        <f>((CJ24+CK24+CL24+Regn2!CO24*0.7)-(RR24+RT24))*VLOOKUP(B24,Jordtype,Data!$AE$112+DenitNr-1)</f>
        <v>7.8575062500000001</v>
      </c>
      <c r="RK24">
        <f>0*VLOOKUP(B24,Jordtype,Data!$AE$112+DenitNr-1)</f>
        <v>0</v>
      </c>
      <c r="RL24">
        <f>Regn2!FD24*VLOOKUP(B24,Jordtype,Data!$AH$112+DenitNr-1)</f>
        <v>0</v>
      </c>
      <c r="RM24" s="3">
        <f>RH24+RI24+RJ24+RK24+RL24</f>
        <v>16.747506250000001</v>
      </c>
      <c r="RO24">
        <v>2</v>
      </c>
      <c r="RP24">
        <f>(FF24)*RO24*0.01</f>
        <v>0.82000000000000006</v>
      </c>
      <c r="RQ24">
        <v>7</v>
      </c>
      <c r="RR24">
        <f>CE24*RQ24*0.01</f>
        <v>0</v>
      </c>
      <c r="RS24">
        <v>7</v>
      </c>
      <c r="RT24">
        <f>(Regn2!CF24+Regn2!CG24)*RS24*0.01</f>
        <v>5.95</v>
      </c>
      <c r="RW24">
        <f>VLOOKUP(R24,Afgr,Data!$EE$3)</f>
        <v>5</v>
      </c>
      <c r="RX24" s="3">
        <f>RP24+RR24+RT24+RV24+RW24</f>
        <v>11.77</v>
      </c>
    </row>
    <row r="25" spans="1:492" x14ac:dyDescent="0.25">
      <c r="GT25" s="12"/>
    </row>
    <row r="26" spans="1:492" x14ac:dyDescent="0.25">
      <c r="A26" s="214" t="str">
        <f>Nbal!B26</f>
        <v>8-1</v>
      </c>
      <c r="B26">
        <v>6</v>
      </c>
      <c r="C26">
        <v>1</v>
      </c>
      <c r="D26">
        <f>IF(C26=1,VLOOKUP(B26,Jordtype,Data!$K$112),VLOOKUP(B26,Jordtype,Data!$L$112))</f>
        <v>9</v>
      </c>
      <c r="E26">
        <f>IF(C26=1,VLOOKUP(B26,Jordtype,Data!$M$112),VLOOKUP(B26,Jordtype,Data!$N$112))</f>
        <v>14</v>
      </c>
      <c r="F26">
        <f>IF(OR(B26=1,B26=3),0,IF(OR(B26=2,B26=4),1,IF(OR(B26=5,B26=6),2,3)))</f>
        <v>2</v>
      </c>
      <c r="G26">
        <f>IF(C26=1,VLOOKUP(B26,Jordtype,Data!$Q$112),VLOOKUP(B26,Jordtype,Data!$R$112))</f>
        <v>25</v>
      </c>
      <c r="H26">
        <f>IF(C26=1,VLOOKUP(B26,Jordtype,Data!$O$112),VLOOKUP(B26,Jordtype,Data!$P$112))</f>
        <v>19</v>
      </c>
      <c r="I26">
        <f>IF(B26&lt;5,0,1)</f>
        <v>1</v>
      </c>
      <c r="J26">
        <f>IF(B26&lt;5,PlojJB,1)</f>
        <v>1</v>
      </c>
      <c r="K26">
        <f>IF(B26&lt;5,SaaJB,1)</f>
        <v>1</v>
      </c>
      <c r="L26">
        <f>IF(C26=1,VLOOKUP(B26,Jordtype,Data!$S$112),VLOOKUP(B26,Jordtype,Data!$T$112))</f>
        <v>8</v>
      </c>
      <c r="M26">
        <f>IF(C26=1,VLOOKUP(B26,Jordtype,Data!$U$112),VLOOKUP(B26,Jordtype,Data!$V$112))</f>
        <v>13</v>
      </c>
      <c r="O26">
        <v>19</v>
      </c>
      <c r="P26">
        <v>1</v>
      </c>
      <c r="Q26" t="b">
        <v>0</v>
      </c>
      <c r="R26">
        <v>40</v>
      </c>
      <c r="S26">
        <v>1</v>
      </c>
      <c r="T26">
        <v>1</v>
      </c>
      <c r="U26">
        <v>1</v>
      </c>
      <c r="V26">
        <v>1</v>
      </c>
      <c r="X26">
        <v>34</v>
      </c>
      <c r="Z26">
        <f>Nbal!AG26</f>
        <v>5.85</v>
      </c>
      <c r="AA26">
        <v>1</v>
      </c>
      <c r="AB26">
        <f>VLOOKUP($R26,Afgr,G26)</f>
        <v>110</v>
      </c>
      <c r="AC26">
        <f>VLOOKUP($O26,Afgr,Data!$AI$3)*VLOOKUP(R26,Afgr,Data!$AJ$3)</f>
        <v>85</v>
      </c>
      <c r="AD26">
        <f>IF($Q26,0,VLOOKUP($P26,Efgr,(Data!$W$53+$V$6-1)))</f>
        <v>0</v>
      </c>
      <c r="AE26">
        <f>AB26-AC26-AD26</f>
        <v>25</v>
      </c>
      <c r="AF26">
        <f>AE26*Z26</f>
        <v>146.25</v>
      </c>
      <c r="AH26">
        <f>VLOOKUP(R26,Afgr,D26)</f>
        <v>56</v>
      </c>
      <c r="AI26">
        <f>VLOOKUP(O26,Afgr,Data!$AL$3)*VLOOKUP(R26,Afgr,E26)</f>
        <v>6</v>
      </c>
      <c r="AJ26">
        <f>VLOOKUP(P26,Efgr,(Data!$Y$53+I26))</f>
        <v>0</v>
      </c>
      <c r="AK26">
        <f>AH26+AI26+AJ26</f>
        <v>62</v>
      </c>
      <c r="AL26">
        <f>AH26+AI26+AJ26</f>
        <v>62</v>
      </c>
      <c r="AM26" s="3">
        <f>IF(Nbal!CK26&lt;&gt;"",Nbal!CK26,AL26)</f>
        <v>73</v>
      </c>
      <c r="AN26">
        <f>AM26*Z26</f>
        <v>427.04999999999995</v>
      </c>
      <c r="AO26" t="str">
        <f>VLOOKUP(R26,Afgr,3)</f>
        <v>hkg</v>
      </c>
      <c r="AP26">
        <f>IF(AO26="FE",VLOOKUP($R26,Afgr,Data!$AV$3),0)</f>
        <v>0</v>
      </c>
      <c r="AR26">
        <f>VLOOKUP(R26,Afgr,4)</f>
        <v>145</v>
      </c>
      <c r="AS26" s="3">
        <f>IF(Nbal!CW26&lt;&gt;"",Nbal!CW26,AR26)</f>
        <v>145</v>
      </c>
      <c r="AT26" s="3">
        <f>AM26*AS26</f>
        <v>10585</v>
      </c>
      <c r="AU26" s="3">
        <f>AN26*AS26</f>
        <v>61922.249999999993</v>
      </c>
      <c r="AW26">
        <f>VLOOKUP(R26,Afgr,Data!$AN$3)</f>
        <v>0</v>
      </c>
      <c r="AX26" s="3">
        <f>IF(Nbal!DC26&lt;&gt;"",Nbal!DC26,AW26)</f>
        <v>0</v>
      </c>
      <c r="AY26" s="3">
        <f>AX26*Z26</f>
        <v>0</v>
      </c>
      <c r="BA26">
        <f>VLOOKUP(R26,Afgr,H26)</f>
        <v>3000</v>
      </c>
      <c r="BB26">
        <f>IF(ISERROR(BA26*AM26/AK26),0,(BA26*AM26/AK26))</f>
        <v>3532.2580645161293</v>
      </c>
      <c r="BC26" s="3">
        <f>IF(Nbal!DI26&lt;&gt;"",Nbal!DI26,BB26)</f>
        <v>3532.2580645161293</v>
      </c>
      <c r="BD26">
        <f>BC26*Z26</f>
        <v>20663.709677419356</v>
      </c>
      <c r="BG26">
        <f>IF($S26=1,BC26,0)</f>
        <v>3532.2580645161293</v>
      </c>
      <c r="BH26">
        <f>IF($S26=1,BD26,0)</f>
        <v>20663.709677419356</v>
      </c>
      <c r="BI26">
        <f>VLOOKUP(R26,Afgr,Data!$AM$3)</f>
        <v>0.5</v>
      </c>
      <c r="BJ26">
        <f>IF(Nbal!DR26&lt;&gt;"",Nbal!DR26,BI26)</f>
        <v>0.5</v>
      </c>
      <c r="BK26">
        <f>BG26*BJ26</f>
        <v>1766.1290322580646</v>
      </c>
      <c r="BL26">
        <f>BH26*BJ26</f>
        <v>10331.854838709678</v>
      </c>
      <c r="BN26">
        <f>VLOOKUP($T26,Efgr,M26)</f>
        <v>0</v>
      </c>
      <c r="BO26">
        <f>BN26*Z26</f>
        <v>0</v>
      </c>
      <c r="BQ26">
        <f>VLOOKUP(T26,Efgr,NormudbKolonneNrEfgr1)</f>
        <v>0</v>
      </c>
      <c r="BR26" s="3">
        <f>IF(Nbal!FE26&lt;&gt;"",Nbal!FE26,BQ26)</f>
        <v>0</v>
      </c>
      <c r="BS26">
        <f>BR26*Z26</f>
        <v>0</v>
      </c>
      <c r="BT26" t="s">
        <v>37</v>
      </c>
      <c r="BU26">
        <f>BR26*Efterslaetpris</f>
        <v>0</v>
      </c>
      <c r="BV26">
        <f>BS26*Efterslaetpris</f>
        <v>0</v>
      </c>
      <c r="BW26">
        <f>VLOOKUP(T26,Efgr,Data!$AG$53)</f>
        <v>0</v>
      </c>
      <c r="BX26">
        <f>BR26*BW26</f>
        <v>0</v>
      </c>
      <c r="BZ26">
        <f>Nbal!AQ26</f>
        <v>0</v>
      </c>
      <c r="CA26" s="211">
        <f>Nbal!AT26</f>
        <v>41</v>
      </c>
      <c r="CB26" s="2">
        <f>Nbal!DZ26</f>
        <v>0</v>
      </c>
      <c r="CC26" s="211">
        <f>Nbal!AT26+Nbal!DZ26</f>
        <v>41</v>
      </c>
      <c r="CD26" s="211">
        <f>Nbal!AX26</f>
        <v>0</v>
      </c>
      <c r="CE26">
        <f>Nbal!BH26</f>
        <v>0</v>
      </c>
      <c r="CF26" s="211">
        <f>Nbal!BM26</f>
        <v>85</v>
      </c>
      <c r="CG26" s="2">
        <f>Nbal!EI26</f>
        <v>0</v>
      </c>
      <c r="CH26" s="211">
        <f>Nbal!BM26+Nbal!EI26</f>
        <v>85</v>
      </c>
      <c r="CI26" s="211">
        <f>Nbal!BW26</f>
        <v>0</v>
      </c>
      <c r="CJ26" s="211">
        <f>Nbal!BH26*Nbal!BJ26*0.01</f>
        <v>0</v>
      </c>
      <c r="CK26" s="211">
        <f>(Nbal!BM26*Nbal!BP26*0.01)</f>
        <v>63.095500000000001</v>
      </c>
      <c r="CL26" s="211">
        <f>(Nbal!EI26*Nbal!EL26*0.01)</f>
        <v>0</v>
      </c>
      <c r="CM26" s="211">
        <f>(Nbal!BM26*Nbal!BP26*0.01)+(Nbal!EI26*Nbal!EL26*0.01)</f>
        <v>63.095500000000001</v>
      </c>
      <c r="CN26" s="211">
        <f>Nbal!BW26*Nbal!BY26*0.01</f>
        <v>0</v>
      </c>
      <c r="CO26">
        <f>Nbal!BT26+Nbal!ER26</f>
        <v>0</v>
      </c>
      <c r="CQ26">
        <f>Nbal!BA26</f>
        <v>0</v>
      </c>
      <c r="CR26">
        <f>Nbal!EC26</f>
        <v>0</v>
      </c>
      <c r="CS26">
        <f>(CQ26+CR26)*Z26</f>
        <v>0</v>
      </c>
      <c r="CT26">
        <f>Nbal!CB26</f>
        <v>18</v>
      </c>
      <c r="CU26">
        <f>Nbal!EV26</f>
        <v>0</v>
      </c>
      <c r="CV26">
        <f>(CT26+CU26)*Z26</f>
        <v>105.3</v>
      </c>
      <c r="CW26">
        <f>Nbal!BA26+Nbal!CB26+Nbal!EC26+Nbal!EV26</f>
        <v>18</v>
      </c>
      <c r="CY26">
        <f>Nbal!BD26</f>
        <v>0</v>
      </c>
      <c r="CZ26">
        <f>Nbal!EF26</f>
        <v>0</v>
      </c>
      <c r="DA26">
        <f>(CY26+CZ26)*Z26</f>
        <v>0</v>
      </c>
      <c r="DB26">
        <f>Nbal!CE26</f>
        <v>44</v>
      </c>
      <c r="DC26">
        <f>Nbal!EY26</f>
        <v>0</v>
      </c>
      <c r="DD26">
        <f>(DB26+DC26)*Z26</f>
        <v>257.39999999999998</v>
      </c>
      <c r="DE26">
        <f>Nbal!BD26+Nbal!CE26+Nbal!EF26+Nbal!EY26</f>
        <v>44</v>
      </c>
      <c r="DG26">
        <f>VLOOKUP($R26,Afgr,Data!$AW$3)</f>
        <v>11.1875</v>
      </c>
      <c r="DH26">
        <f>IF($AO26="FE",$AM26*$AP26*$DG26*0.01,$AM26*100*$DM26*0.01*$DG26*0.01)</f>
        <v>694.18437500000005</v>
      </c>
      <c r="DI26">
        <f>IF(VLOOKUP(R26,Afgr,Data!$BO$3)=1,DH26,0)*Z26</f>
        <v>4060.9785937500001</v>
      </c>
      <c r="DJ26" s="12">
        <f>(BZ26+CC26+CJ26-AE26)*VLOOKUP($R26,Afgr,Data!$AX$3)</f>
        <v>0.32</v>
      </c>
      <c r="DK26">
        <f>DG26+DJ26</f>
        <v>11.5075</v>
      </c>
      <c r="DL26">
        <f>IF(Nbal!CQ26&lt;&gt;"",Nbal!CQ26,DK26)</f>
        <v>11.5075</v>
      </c>
      <c r="DM26">
        <f>VLOOKUP(R26,Afgr,Data!$AT$3)</f>
        <v>85</v>
      </c>
      <c r="DN26">
        <f>IF($AO26="FE",$AM26*$AP26*$DL26*0.01,$AM26*100*$DM26*0.01*DL26*0.01)</f>
        <v>714.04037500000004</v>
      </c>
      <c r="DO26">
        <f>IF(VLOOKUP(R26,Afgr,Data!$BO$3)=1,DN26,0)*Z26</f>
        <v>4177.1361937499996</v>
      </c>
      <c r="DP26">
        <f>IF(ISERROR(DN26/VLOOKUP(R26,Afgr,Data!$AY$3)),0,DN26/VLOOKUP(R26,Afgr,Data!$AY$3))</f>
        <v>114.24646000000001</v>
      </c>
      <c r="DQ26">
        <f>DP26*Z26</f>
        <v>668.34179100000006</v>
      </c>
      <c r="DS26">
        <f>IF($AO26="FE",$AM26*$AP26*VLOOKUP($R26,Afgr,Data!$BC$3)*0.001,$AM26*100*$DM26*0.01*VLOOKUP($R26,Afgr,Data!$BC$3)*0.001)</f>
        <v>23.579000000000001</v>
      </c>
      <c r="DT26">
        <f>DS26*Z26</f>
        <v>137.93715</v>
      </c>
      <c r="DV26">
        <f>IF($AO26="FE",$AM26*$AP26*VLOOKUP($R26,Afgr,Data!$BF$3)*0.001,$AM26*100*$DM26*0.01*VLOOKUP($R26,Afgr,Data!$BF$3)*0.001)</f>
        <v>29.163499999999999</v>
      </c>
      <c r="DW26">
        <f>DV26*Z26</f>
        <v>170.60647499999999</v>
      </c>
      <c r="DY26">
        <f>IF(ISERROR(VLOOKUP(R26,Afgr,Data!$AZ$3)*DL26/DG26),0,VLOOKUP(R26,Afgr,Data!$AZ$3)*DL26/DG26)</f>
        <v>4.1144134078212291</v>
      </c>
      <c r="DZ26">
        <f>VLOOKUP(R26,Afgr,Data!$AU$3)</f>
        <v>85</v>
      </c>
      <c r="EA26">
        <f>IF($S26=1,$BC26*$DZ26*0.01*DY26*0.01,0)</f>
        <v>123.53194449450352</v>
      </c>
      <c r="EB26">
        <f>EA26/6.25</f>
        <v>19.765111119120562</v>
      </c>
      <c r="EC26">
        <f>EB26*Z26</f>
        <v>115.62590004685528</v>
      </c>
      <c r="EE26">
        <f>IF($S26=1,$BC26*$DZ26*0.01*VLOOKUP($R26,Afgr,Data!$BD$3)*0.001,0)</f>
        <v>2.7021774193548391</v>
      </c>
      <c r="EF26">
        <f>EE26*Z26</f>
        <v>15.807737903225808</v>
      </c>
      <c r="EH26">
        <f>IF($S26=1,$BC26*$DZ26*0.01*VLOOKUP($R26,Afgr,Data!$BG$3)*0.001,0)</f>
        <v>36.029032258064518</v>
      </c>
      <c r="EI26">
        <f>EH26*Z26</f>
        <v>210.76983870967743</v>
      </c>
      <c r="EK26">
        <f>VLOOKUP(T26,Efgr,Data!$AI$53)</f>
        <v>0</v>
      </c>
      <c r="EL26">
        <f>BX26*EK26*0.01/6.25</f>
        <v>0</v>
      </c>
      <c r="EM26">
        <f>EL26*Z26</f>
        <v>0</v>
      </c>
      <c r="EO26">
        <f>$BX26*VLOOKUP($T26,Efgr,Data!$AJ$53)*0.001</f>
        <v>0</v>
      </c>
      <c r="EP26">
        <f>EO26*Z26</f>
        <v>0</v>
      </c>
      <c r="ER26">
        <f>$BX26*VLOOKUP($T26,Efgr,Data!$AK$53)*0.001</f>
        <v>0</v>
      </c>
      <c r="ES26">
        <f>ER26*Z26</f>
        <v>0</v>
      </c>
      <c r="EU26">
        <f>IF(VLOOKUP(R26,Afgr,Data!$DS$3)=1,DP26*VLOOKUP(R26,Afgr,(Data!$DT$3+EftervirkningUdb1))*VLOOKUP(R26,Afgr,Data!$DV$3),0)</f>
        <v>0</v>
      </c>
      <c r="EV26">
        <f>IF(VLOOKUP(R26,Afgr,Data!$DS$3)=2,VLOOKUP(R26,Afgr,Data!$DX$3),0)</f>
        <v>0</v>
      </c>
      <c r="EW26">
        <f>IF(VLOOKUP(R26,Afgr,Data!$DS$3)=3,$DP26*VLOOKUP($R26,Afgr,IF(Jordtype1&lt;5,Data!$DT$3,Data!$DU$3))*VLOOKUP($R26,Afgr,Data!$DV$3),0)</f>
        <v>0</v>
      </c>
      <c r="EX26">
        <f>IF(VLOOKUP(R26,Afgr,Data!$DS$3)=4,(1.232+0.00469*AM26*100+(0.000256*AM26*100+0.089)*60),0)</f>
        <v>0</v>
      </c>
      <c r="EY26" s="211">
        <f>BZ26+CA26+CJ26+CK26</f>
        <v>104.0955</v>
      </c>
      <c r="EZ26">
        <f>IF(VLOOKUP($R26,Afgr,Data!$DS$3)=5,($AM26*0.02742-$AM26*0.0001*$EY26+$AM26*0.0000001111*$EY26*$EY26),0)</f>
        <v>0</v>
      </c>
      <c r="FA26" s="2">
        <f>CB26+CL26</f>
        <v>0</v>
      </c>
      <c r="FB26">
        <f>IF(VLOOKUP($T26,Efgr,Data!$BH$53)=5,($BR26*0.02742-$BR26*0.0001*$FA26+$BR26*0.0000001111*$FA26*$FA26),0)</f>
        <v>0</v>
      </c>
      <c r="FC26" s="3">
        <f>EU26+EV26+EW26+EX26+EZ26+FB26</f>
        <v>0</v>
      </c>
      <c r="FD26" s="3">
        <f>FC26*Z26</f>
        <v>0</v>
      </c>
      <c r="FF26" s="211">
        <f>BZ26+CC26</f>
        <v>41</v>
      </c>
      <c r="FG26" s="211">
        <f>FF26*Z26</f>
        <v>239.85</v>
      </c>
      <c r="FH26" s="211">
        <f>CE26+CH26+CO26</f>
        <v>85</v>
      </c>
      <c r="FI26" s="211">
        <f>FH26*Z26</f>
        <v>497.24999999999994</v>
      </c>
      <c r="FJ26">
        <f>VLOOKUP($R26,Afgr,Data!$DK$3)*VLOOKUP($R26,Afgr,Data!$AT$3)*0.01*VLOOKUP($R26,Afgr,Data!$AW$3)*0.01/6.25</f>
        <v>2.4344000000000001</v>
      </c>
      <c r="FK26">
        <f>FJ26*Z26</f>
        <v>14.241239999999999</v>
      </c>
      <c r="FL26" s="4">
        <f>IF(R26&gt;1,Deposition,0)</f>
        <v>15</v>
      </c>
      <c r="FM26" s="4">
        <f>FL26*Z26</f>
        <v>87.75</v>
      </c>
      <c r="FN26">
        <f>FC26</f>
        <v>0</v>
      </c>
      <c r="FO26">
        <f>FN26*Z26</f>
        <v>0</v>
      </c>
      <c r="FP26" s="211">
        <f>SUM(FF26,FH26,FJ26,FL26,FN26)</f>
        <v>143.43440000000001</v>
      </c>
      <c r="FQ26">
        <f>DP26+EB26+EL26</f>
        <v>134.01157111912056</v>
      </c>
      <c r="FR26" s="3">
        <f>FP26-FQ26</f>
        <v>9.4228288808794503</v>
      </c>
      <c r="FS26" s="19">
        <f>FP26*Z26</f>
        <v>839.09123999999997</v>
      </c>
      <c r="FT26" s="19">
        <f>FQ26*Z26</f>
        <v>783.96769104685518</v>
      </c>
      <c r="FU26" s="3">
        <f>FR26*Z26</f>
        <v>55.123548953144784</v>
      </c>
      <c r="FW26">
        <f>CW26</f>
        <v>18</v>
      </c>
      <c r="FX26">
        <f>FW26*Z26</f>
        <v>105.3</v>
      </c>
      <c r="FY26">
        <f>IX26+MB26</f>
        <v>26.28117741935484</v>
      </c>
      <c r="FZ26">
        <f>FY26*Z26</f>
        <v>153.74488790322582</v>
      </c>
      <c r="GA26">
        <f>FW26-FY26</f>
        <v>-8.2811774193548402</v>
      </c>
      <c r="GB26">
        <f>GA26*Z26</f>
        <v>-48.444887903225812</v>
      </c>
      <c r="GD26">
        <f>DE26</f>
        <v>44</v>
      </c>
      <c r="GE26">
        <f>GD26*Z26</f>
        <v>257.39999999999998</v>
      </c>
      <c r="GF26">
        <f>JE26+MH26</f>
        <v>65.192532258064517</v>
      </c>
      <c r="GG26">
        <f>GF26*Z26</f>
        <v>381.37631370967739</v>
      </c>
      <c r="GH26">
        <f>GD26-GF26</f>
        <v>-21.192532258064517</v>
      </c>
      <c r="GI26">
        <f>GH26*Z26</f>
        <v>-123.97631370967741</v>
      </c>
      <c r="GK26">
        <f>AA26</f>
        <v>1</v>
      </c>
      <c r="GL26" s="211">
        <f>FF26+FH26+FN26</f>
        <v>126</v>
      </c>
      <c r="GM26" s="211">
        <f>IF(R26=1,"",IF(GK26=1,GL26,""))</f>
        <v>126</v>
      </c>
      <c r="GN26" s="211" t="str">
        <f>IF(R26=1,"",IF(GK26=2,GL26,""))</f>
        <v/>
      </c>
      <c r="GO26" s="211" t="str">
        <f>IF(R26=1,"",IF(GK26=3,GL26,""))</f>
        <v/>
      </c>
      <c r="GP26" s="211" t="str">
        <f>IF(R26=1,"",IF(GK26=4,GL26,""))</f>
        <v/>
      </c>
      <c r="GQ26" s="149">
        <f>IF(OR(R26=1,VLOOKUP(R26,Afgr,Data!$BV$3)=1,VLOOKUP(R26,Afgr,Data!$BW$3)=1),0,IF(GK26=1,Nniveau1,IF(GK26=2,Nniveau2,IF(GK26=3,Nniveau3,IF(GK26=4,Nniveau4,GL26)))))</f>
        <v>173.16922222222217</v>
      </c>
      <c r="GR26" s="222">
        <v>0.32550000000000001</v>
      </c>
      <c r="GS26" s="6">
        <v>0</v>
      </c>
      <c r="GT26" s="149">
        <f>CC26+CM26</f>
        <v>104.0955</v>
      </c>
      <c r="GU26" s="6">
        <f>$FN26</f>
        <v>0</v>
      </c>
      <c r="GV26" s="222">
        <v>0.25280000000000002</v>
      </c>
      <c r="GW26">
        <f>CO26</f>
        <v>0</v>
      </c>
      <c r="GX26" s="222">
        <v>0.376</v>
      </c>
      <c r="GY26" s="149">
        <f>CD26+CN26</f>
        <v>0</v>
      </c>
      <c r="GZ26" s="222">
        <f>IF(B26&gt;3,0.3539,1.0749)</f>
        <v>0.35389999999999999</v>
      </c>
      <c r="HA26" s="11">
        <f>$FQ26</f>
        <v>134.01157111912056</v>
      </c>
      <c r="HB26" s="222">
        <v>0.19359999999999999</v>
      </c>
      <c r="HC26" s="222">
        <f>VLOOKUP($R26,Afgr,Data!$DM$3)</f>
        <v>1</v>
      </c>
      <c r="HD26" s="24">
        <f>IF($HC26&gt;1,0,(VLOOKUP($X26,Afgr,Data!$DP$3)+IF(VLOOKUP($X26,Afgr,Data!$DP$3)=0,VLOOKUP($T26,Efgr,Data!$BI$53,0))))+IF(AND($HC26=7,VLOOKUP($X26,Afgr,Data!$DQ$3)=-2),-2,0)+IF(AND($HC26=6,VLOOKUP($T26,Efgr,Data!$BI$53)=2),8,0)</f>
        <v>1</v>
      </c>
      <c r="HE26" s="6">
        <f>VLOOKUP(SUM(HC26:HD26),Nlesafgr,3)</f>
        <v>-7.6</v>
      </c>
      <c r="HF26" s="7">
        <f>VLOOKUP($O26,Afgr,Data!$DN$3)</f>
        <v>4</v>
      </c>
      <c r="HG26" s="24">
        <f>IF(HF26&gt;1,0,VLOOKUP($R26,Afgr,Data!$DO$3)+IF(VLOOKUP($R26,Afgr,Data!$DO$3)=1,0,VLOOKUP($P26,Efgr,Data!$BJ$53)))</f>
        <v>0</v>
      </c>
      <c r="HH26" s="6">
        <f>VLOOKUP(SUM(HF26:HG26),Nlesforfrugt,3)</f>
        <v>34.700000000000003</v>
      </c>
      <c r="HI26" s="222">
        <f>GR26*GQ26+GV26*(GT26+GU26)+GX26*GW26+GZ26*GY26-HB26*HA26+HE26+HH26</f>
        <v>83.837284064671593</v>
      </c>
      <c r="HJ26" s="222">
        <f>Nlesafskaering</f>
        <v>59.6</v>
      </c>
      <c r="HK26" s="222">
        <f>Teknologi1</f>
        <v>2455</v>
      </c>
      <c r="HL26" s="6">
        <v>2001</v>
      </c>
      <c r="HM26" s="222">
        <f>Teknologi2</f>
        <v>1962.2</v>
      </c>
      <c r="HN26" s="222">
        <f>Tandel</f>
        <v>0.54659999999999997</v>
      </c>
      <c r="HO26" s="222">
        <f>IF(OR(HI26&gt;0,HI26=0),HJ26+HK26/(HL26-HM26),HJ26+HK26/(HL26-HM26)+HN26*HI26)</f>
        <v>122.87319587628873</v>
      </c>
      <c r="HP26" s="222">
        <f>IF(HI26&gt;0,HI26,0.001)</f>
        <v>83.837284064671593</v>
      </c>
      <c r="HQ26" s="222">
        <v>1.5020000000000001E-3</v>
      </c>
      <c r="HR26" s="24">
        <f>IF(R26=1,0,VLOOKUP(PostnrNbal,AfstromData,VLOOKUP($R26,Afgr,Data!$DL$3)+IF(Jordtype1&lt;7,Jordtype1,6),FALSE)-VLOOKUP(T26,Efgr,Data!$AA$53))</f>
        <v>304.76666666666603</v>
      </c>
      <c r="HS26" s="24">
        <f>IF(Nbal!GA26&lt;&gt;"",Nbal!GA26,Regn2!HR26)</f>
        <v>304.76666666666603</v>
      </c>
      <c r="HT26" s="222">
        <v>5.5400000000000002E-4</v>
      </c>
      <c r="HU26" s="24">
        <f>IF(R26=1,0,VLOOKUP(PostnrNbal,AfstromData,VLOOKUP($O26,Afgr,Data!$DL$3)+IF(B26&lt;7,B26,6),FALSE)-VLOOKUP(P26,Efgr,Data!$AA$53))</f>
        <v>272.32333333333298</v>
      </c>
      <c r="HV26" s="24">
        <f>IF(Nbal!FU26&lt;&gt;"",Nbal!FU26,Regn2!HU26)</f>
        <v>272.32333333333298</v>
      </c>
      <c r="HW26" s="222">
        <v>0.10639999999999999</v>
      </c>
      <c r="HX26" s="6">
        <f>VLOOKUP(B26,Jordtype,Data!$W$112)</f>
        <v>3</v>
      </c>
      <c r="HY26" s="222">
        <v>3.2500000000000001E-2</v>
      </c>
      <c r="HZ26" s="6">
        <f>VLOOKUP(B26,Jordtype,Data!$X$112)</f>
        <v>12</v>
      </c>
      <c r="IA26" s="222">
        <v>1.2453000000000001</v>
      </c>
      <c r="IB26" s="222">
        <f>IF(VLOOKUP(T26,Efgr,Data!$AO$53)=1,MlafgrNUdvask,0)</f>
        <v>0</v>
      </c>
      <c r="IC26" s="20">
        <f>IF(ISERROR((HO26+POWER(HP26,1.2))*(1-EXP(-HQ26*HS26))*EXP(-HT26*HV26)*EXP(-HW26*HX26)*EXP(-HY26*HZ26)*IA26),0,(HO26+POWER(HP26,1.2))*(1-EXP(-HQ26*HS26))*EXP(-HT26*HV26)*EXP(-HW26*HX26)*EXP(-HY26*HZ26)*IA26+IB26)</f>
        <v>63.126732529486723</v>
      </c>
      <c r="ID26">
        <f>IC26*Z26</f>
        <v>369.2913852974973</v>
      </c>
      <c r="IE26">
        <f>IF(Nbal!GF26&lt;&gt;"",Nbal!GF26,RetentionNbal)</f>
        <v>65</v>
      </c>
      <c r="IF26">
        <f>IC26*(100-IE26)*0.01</f>
        <v>22.094356385320353</v>
      </c>
      <c r="IG26">
        <f>IF26*Z26</f>
        <v>129.25198485412406</v>
      </c>
      <c r="IH26" s="2">
        <f>HS26*10000</f>
        <v>3047666.6666666605</v>
      </c>
      <c r="II26" s="2">
        <f>IH26*Z26</f>
        <v>17828849.999999963</v>
      </c>
      <c r="IJ26">
        <f>IF(ISERROR(IC26*1000*1000/IH26),0,IC26*1000*1000/IH26)</f>
        <v>20.713135468496176</v>
      </c>
      <c r="IL26">
        <f>AT26+AX26+BK26+BU26</f>
        <v>12351.129032258064</v>
      </c>
      <c r="IO26">
        <f>VLOOKUP(R26,Afgr,Data!$AP$3)*UdsaedJust</f>
        <v>488</v>
      </c>
      <c r="IP26" s="3">
        <f>IF(Nbal!GN26&lt;&gt;"",Nbal!GN26,IO26)</f>
        <v>488</v>
      </c>
      <c r="IQ26" s="3">
        <f>IP26*Z26</f>
        <v>2854.7999999999997</v>
      </c>
      <c r="IS26" s="3">
        <f>IF(HdgVaerdiNbal=1,(BZ26+CA26)*Npris,(BZ26+CA26+CJ26+CK26)*Npris)</f>
        <v>346.45</v>
      </c>
      <c r="IT26" s="3">
        <f>IS26*Z26</f>
        <v>2026.7324999999998</v>
      </c>
      <c r="IV26">
        <f>VLOOKUP($R26,Afgr,Data!$BA$3)</f>
        <v>0</v>
      </c>
      <c r="IW26">
        <f>VLOOKUP($R26,Afgr,Data!$BB$3)</f>
        <v>2.5</v>
      </c>
      <c r="IX26">
        <f>$DS26+$EE26</f>
        <v>26.28117741935484</v>
      </c>
      <c r="IY26">
        <f>CT26</f>
        <v>18</v>
      </c>
      <c r="IZ26">
        <f>CQ26</f>
        <v>0</v>
      </c>
      <c r="JA26" s="3">
        <f>IF(HdgVaerdiNbal=1,(IZ26)*Ppris,(IY26+IZ26)*Ppris)</f>
        <v>0</v>
      </c>
      <c r="JB26" s="3">
        <f>JA26*Z26</f>
        <v>0</v>
      </c>
      <c r="JD26">
        <f>IF(AND(R26&gt;1,OR(Jordtype1=1,Jordtype1=3,Markvand1=2)),Kudvask,0)</f>
        <v>0</v>
      </c>
      <c r="JE26">
        <f>$DV26+$EH26</f>
        <v>65.192532258064517</v>
      </c>
      <c r="JF26">
        <f>DB26</f>
        <v>44</v>
      </c>
      <c r="JG26">
        <f>CY26</f>
        <v>0</v>
      </c>
      <c r="JH26" s="3">
        <f>IF(HdgVaerdiNbal=1,JG26*Kpris,(JF26+JG26)*Kpris)</f>
        <v>0</v>
      </c>
      <c r="JI26" s="3">
        <f>JH26*Z26</f>
        <v>0</v>
      </c>
      <c r="JK26">
        <f>IS26+JA26+JH26</f>
        <v>346.45</v>
      </c>
      <c r="JL26" s="3">
        <f>IF(Nbal!GT26&lt;&gt;"",Nbal!GT26,$JK26)</f>
        <v>346.45</v>
      </c>
      <c r="JM26" s="3">
        <f>JL26*Z26</f>
        <v>2026.7324999999998</v>
      </c>
      <c r="JO26">
        <f>VLOOKUP(R26,Afgr,Data!$AQ$3)*PlantevJust</f>
        <v>283</v>
      </c>
      <c r="JP26" s="3">
        <f>IF(Nbal!GZ26&lt;&gt;"",Nbal!GZ26,JO26)</f>
        <v>283</v>
      </c>
      <c r="JQ26" s="3">
        <f>JP26*Z26</f>
        <v>1655.55</v>
      </c>
      <c r="JS26">
        <f>VLOOKUP(R26,Afgr,Data!$AR$3)+AM26*VLOOKUP(R26,Afgr,Data!$BH$3)</f>
        <v>0</v>
      </c>
      <c r="JT26" s="3">
        <f>IF(Nbal!HF26&lt;&gt;"",Nbal!HF26,JS26)</f>
        <v>0</v>
      </c>
      <c r="JU26">
        <f>JT26*Z26</f>
        <v>0</v>
      </c>
      <c r="JW26">
        <f>IP26+JL26+JP26+JT26</f>
        <v>1117.45</v>
      </c>
      <c r="JY26">
        <f>IF(VLOOKUP(R26,Afgr,Data!$BY$3)&gt;0,Data!$K$259*J26,0)</f>
        <v>600</v>
      </c>
      <c r="JZ26">
        <f>IF(VLOOKUP(R26,Afgr,Data!$BZ$3)&gt;0,Data!$K$260*J26,0)</f>
        <v>0</v>
      </c>
      <c r="KA26">
        <f>(JY26+JZ26)*MaskJust</f>
        <v>600</v>
      </c>
      <c r="KB26" s="3">
        <f>IF(Nbal!HL26&lt;&gt;"",Nbal!HL26,KA26)</f>
        <v>600</v>
      </c>
      <c r="KC26" s="3">
        <f>KB26*Z26</f>
        <v>3510</v>
      </c>
      <c r="KE26">
        <f>IF(VLOOKUP(R26,Afgr,Data!$CA$3)&gt;0,VLOOKUP(R26,Afgr,Data!$CA$3)*Data!$K$261*K26,0)</f>
        <v>0</v>
      </c>
      <c r="KF26">
        <f>IF(VLOOKUP(R26,Afgr,Data!$CC$3)&gt;0,Data!$K$262*K26,0)</f>
        <v>350</v>
      </c>
      <c r="KG26">
        <f>IF(VLOOKUP(R26,Afgr,Data!$CD$3)&gt;0,VLOOKUP(R26,Afgr,Data!$CD$3)*Data!$K$263*K26,0)</f>
        <v>0</v>
      </c>
      <c r="KH26">
        <f>IF(VLOOKUP(R26,Afgr,Data!$CE$3)&gt;0,Data!$K$264*K26,0)</f>
        <v>0</v>
      </c>
      <c r="KI26">
        <f>IF(VLOOKUP(R26,Afgr,Data!$CF$3)&gt;0,Data!$K$265*K26,0)</f>
        <v>0</v>
      </c>
      <c r="KJ26">
        <f>IF(VLOOKUP(R26,Afgr,Data!$CV$3)&gt;0,Data!$K$266,0)</f>
        <v>0</v>
      </c>
      <c r="KK26">
        <f>IF(VLOOKUP(R26,Afgr,Data!$CG$3)&gt;0,Data!$K$267*K26,0)</f>
        <v>0</v>
      </c>
      <c r="KL26">
        <f>(KE26+KF26+KG26+KH26+KI26+KJ26+KK26)*MaskJust</f>
        <v>350</v>
      </c>
      <c r="KM26" s="3">
        <f>IF(Nbal!HR26&lt;&gt;"",Nbal!HR26,KL26)</f>
        <v>350</v>
      </c>
      <c r="KN26" s="3">
        <f>KM26*Z26</f>
        <v>2047.4999999999998</v>
      </c>
      <c r="KP26">
        <f>IF(VLOOKUP(R26,Afgr,Data!$CJ$3)&gt;0,VLOOKUP(R26,Afgr,Data!$CJ$3)*Data!$K$268*K26,0)*MaskJust</f>
        <v>140</v>
      </c>
      <c r="KQ26" s="3">
        <f>IF(Nbal!HX26&lt;&gt;"",Nbal!HX26,KP26)</f>
        <v>140</v>
      </c>
      <c r="KR26" s="3">
        <f>KQ26*Z26</f>
        <v>819</v>
      </c>
      <c r="KT26">
        <f>IF(VLOOKUP(R26,Afgr,Data!$CI$3)&gt;0,VLOOKUP(R26,Afgr,Data!$CI$3)*Data!$K$269,0)*MaskJust</f>
        <v>300</v>
      </c>
      <c r="KU26" s="3">
        <f>IF(Nbal!ID26&lt;&gt;"",Nbal!ID26,KT26)</f>
        <v>300</v>
      </c>
      <c r="KV26" s="3">
        <f>KU26*Z26</f>
        <v>1755</v>
      </c>
      <c r="KX26">
        <f>IF(C26=2,VLOOKUP($R26,Afgr,Data!$CY$3),0)</f>
        <v>0</v>
      </c>
      <c r="KY26">
        <f>IF(Nbal!IJ26&lt;&gt;"",Nbal!IJ26,$KX26)</f>
        <v>0</v>
      </c>
      <c r="KZ26">
        <f>IF(AND(R26&gt;1,C26=2),Vandmaskin+$KY26*Flytning/mmprgang+$KY26*Prisprmm,0)</f>
        <v>0</v>
      </c>
      <c r="LA26" s="3">
        <f>IF(Nbal!IP26&lt;&gt;"",Nbal!IP26,$KZ26)</f>
        <v>0</v>
      </c>
      <c r="LB26" s="3">
        <f>LA26*Z26</f>
        <v>0</v>
      </c>
      <c r="LD26">
        <f>IF(VLOOKUP($R26,Afgr,Data!$CK$3)&gt;0,((1+AM26/VLOOKUP($R26,Afgr,Data!$CK$3))/2)*VLOOKUP($R26,Afgr,Data!$CL$3)*VLOOKUP($R26,Afgr,Data!$CN$3)+VLOOKUP($R26,Afgr,Data!$CM$3),0)</f>
        <v>836.47058823529414</v>
      </c>
      <c r="LE26">
        <f>IF(VLOOKUP($R26,Afgr,Data!$CK$3)&gt;0,IF(AND($S26=2,$BA26&gt;0),Data!$K$271,0),0)</f>
        <v>0</v>
      </c>
      <c r="LF26">
        <f>IF(VLOOKUP($R26,Afgr,Data!$CK$3)&gt;0,(AM26/VLOOKUP($R26,Afgr,Data!$CK$3))*VLOOKUP($R26,Afgr,Data!$CO$3)*VLOOKUP($R26,Afgr,Data!$CN$3),0)</f>
        <v>279.11764705882354</v>
      </c>
      <c r="LG26">
        <f>(LD26+LE26+LF26)*MaskJust</f>
        <v>1115.5882352941176</v>
      </c>
      <c r="LH26" s="3">
        <f>IF(Nbal!IV26&lt;&gt;"",Nbal!IV26,LG26)</f>
        <v>1115.5882352941176</v>
      </c>
      <c r="LI26" s="3">
        <f>LH26*Z26</f>
        <v>6526.1911764705874</v>
      </c>
      <c r="LJ26" s="3"/>
      <c r="LK26">
        <f>IF(AND($S26=1,VLOOKUP($R26,Afgr,Data!$CP$3)&gt;0),((1+$BC26/VLOOKUP($R26,Afgr,Data!$CP$3))/2)*VLOOKUP($R26,Afgr,Data!$CQ$3),0)</f>
        <v>571.57258064516134</v>
      </c>
      <c r="LL26">
        <f>IF(AND($S26=1,VLOOKUP($R26,Afgr,Data!$CP$3)&gt;0),($BC26/VLOOKUP($R26,Afgr,Data!$CP$3))*VLOOKUP($R26,Afgr,Data!$CR$3),0)</f>
        <v>235.48387096774195</v>
      </c>
      <c r="LM26">
        <f>(LK26+LL26)*MaskJust</f>
        <v>807.05645161290329</v>
      </c>
      <c r="LN26" s="3">
        <f>IF(Nbal!JB26&lt;&gt;"",Nbal!JB26,LM26)</f>
        <v>807.05645161290329</v>
      </c>
      <c r="LO26" s="3">
        <f>LN26*Z26</f>
        <v>4721.2802419354839</v>
      </c>
      <c r="LQ26">
        <f>$AM26*VLOOKUP($R26,Afgr,Data!$CS$3)*IF($V26=1,VLOOKUP($R26,Afgr,Data!$CT$3),IF($V26=2,VLOOKUP($R26,Afgr,Data!$CU$3),0))</f>
        <v>674.5200000000001</v>
      </c>
      <c r="LR26" s="3">
        <f>IF(Nbal!JK26&lt;&gt;"",Nbal!JK26,LQ26)</f>
        <v>674.5200000000001</v>
      </c>
      <c r="LS26" s="3">
        <f>LR26*Z26</f>
        <v>3945.9420000000005</v>
      </c>
      <c r="LU26">
        <f>VLOOKUP($T26,Efgr,Data!$AC$53)*UdsaedJust</f>
        <v>0</v>
      </c>
      <c r="LV26" s="3">
        <f>IF(Nbal!$JS26&lt;&gt;"",Nbal!$JS26,LU26)</f>
        <v>0</v>
      </c>
      <c r="LW26" s="3">
        <f>LV26*Z26</f>
        <v>0</v>
      </c>
      <c r="LY26" s="3">
        <f>IF(HdgVaerdiNbal=1,(CB26)*Npris,(CB26+CL26)*Npris)</f>
        <v>0</v>
      </c>
      <c r="LZ26" s="3">
        <f>LY26*Z26</f>
        <v>0</v>
      </c>
      <c r="MB26">
        <f>$EO26</f>
        <v>0</v>
      </c>
      <c r="MC26">
        <f>CU26</f>
        <v>0</v>
      </c>
      <c r="MD26">
        <f>CR26</f>
        <v>0</v>
      </c>
      <c r="ME26" s="3">
        <f>IF(HdgVaerdiNbal=1,MD26*Ppris,(MC26+MD26)*Ppris)</f>
        <v>0</v>
      </c>
      <c r="MF26" s="3">
        <f>ME26*Z26</f>
        <v>0</v>
      </c>
      <c r="MH26">
        <f>$ER26</f>
        <v>0</v>
      </c>
      <c r="MI26">
        <f>DC26</f>
        <v>0</v>
      </c>
      <c r="MJ26">
        <f>CZ26</f>
        <v>0</v>
      </c>
      <c r="MK26" s="3">
        <f>IF(HdgVaerdiNbal=1,MJ26*Ppris,(MI26+MJ26)*Ppris)</f>
        <v>0</v>
      </c>
      <c r="ML26" s="3">
        <f>MK26*Z26</f>
        <v>0</v>
      </c>
      <c r="MN26">
        <f>LY26+ME26+MK26</f>
        <v>0</v>
      </c>
      <c r="MO26" s="3">
        <f>IF(Nbal!JY26&lt;&gt;"",Nbal!JY26,$MN26)</f>
        <v>0</v>
      </c>
      <c r="MP26" s="3">
        <f>MO26*Z26</f>
        <v>0</v>
      </c>
      <c r="MR26">
        <f>VLOOKUP($T26,Efgr,Data!$AE$53)*PlantevJust</f>
        <v>0</v>
      </c>
      <c r="MS26" s="3">
        <f>IF(Nbal!KE26&lt;&gt;"",Nbal!KE26,MR26)</f>
        <v>0</v>
      </c>
      <c r="MT26" s="3">
        <f>MS26*Z26</f>
        <v>0</v>
      </c>
      <c r="MV26">
        <f>VLOOKUP($T26,Efgr,Data!$AF$53)+$BR26*VLOOKUP($T26,Efgr,Data!$AL$53)</f>
        <v>0</v>
      </c>
      <c r="MW26" s="3">
        <f>IF(Nbal!KK26&lt;&gt;"",Nbal!KK26,MV26)</f>
        <v>0</v>
      </c>
      <c r="MX26" s="3">
        <f>MW26*Z26</f>
        <v>0</v>
      </c>
      <c r="MZ26">
        <f>LV26+MO26+MS26+MW26</f>
        <v>0</v>
      </c>
      <c r="NB26">
        <f>VLOOKUP($T26,Efgr,Data!$AU$53)*K26*MaskJust</f>
        <v>0</v>
      </c>
      <c r="NC26" s="3">
        <f>IF(Nbal!KQ26&lt;&gt;"",Nbal!KQ26,NB26)</f>
        <v>0</v>
      </c>
      <c r="ND26" s="3">
        <f>NC26*Z26</f>
        <v>0</v>
      </c>
      <c r="NF26">
        <f>VLOOKUP($T26,Efgr,Data!$AW$53)*Data!$K$268*K26*MaskJust</f>
        <v>0</v>
      </c>
      <c r="NG26" s="3">
        <f>IF(Nbal!KW26&lt;&gt;"",Nbal!KW26,NF26)</f>
        <v>0</v>
      </c>
      <c r="NH26" s="3">
        <f>NG26*Z26</f>
        <v>0</v>
      </c>
      <c r="NJ26">
        <f>VLOOKUP($T26,Efgr,Data!$AV$53)*Data!$K$269*MaskJust</f>
        <v>0</v>
      </c>
      <c r="NK26" s="3">
        <f>IF(Nbal!LC26&lt;&gt;"",Nbal!LC26,NJ26)</f>
        <v>0</v>
      </c>
      <c r="NL26" s="3">
        <f>NK26*Z26</f>
        <v>0</v>
      </c>
      <c r="NN26">
        <f>IF(C26=2,VLOOKUP($T26,Efgr,Data!$BC$53),0)</f>
        <v>0</v>
      </c>
      <c r="NO26">
        <f>IF(Nbal!LI26&lt;&gt;"",Nbal!LI26,$NN26)</f>
        <v>0</v>
      </c>
      <c r="NP26">
        <f>IF(C26=2,$NO26*Flytning/mmprgang+$NO26*Prisprmm,0)</f>
        <v>0</v>
      </c>
      <c r="NQ26" s="3">
        <f>IF(Nbal!LO26&lt;&gt;"",Nbal!LO26,$NP26)</f>
        <v>0</v>
      </c>
      <c r="NR26" s="3">
        <f>NQ26*Z26</f>
        <v>0</v>
      </c>
      <c r="NT26">
        <f>IF(VLOOKUP($T26,Efgr,Data!$AX$53)&gt;0,((1+BR26/VLOOKUP($T26,Efgr,Data!$AX$53))/2)*VLOOKUP($T26,Efgr,Data!$AY$53)*VLOOKUP($T26,Efgr,Data!$BA$53)+VLOOKUP($T26,Efgr,Data!$AZ$53),0)</f>
        <v>0</v>
      </c>
      <c r="NU26">
        <f>IF(VLOOKUP($T26,Efgr,Data!$AX$53)&gt;0,($BR26/VLOOKUP($T26,Efgr,Data!$AX$53))*VLOOKUP($T26,Efgr,Data!$BB$53)*VLOOKUP($T26,Efgr,Data!$BA$53),0)</f>
        <v>0</v>
      </c>
      <c r="NV26">
        <f>(NT26+NU26)*MaskJust</f>
        <v>0</v>
      </c>
      <c r="NW26" s="3">
        <f>IF(Nbal!LU26&lt;&gt;"",Nbal!LU26,NV26)</f>
        <v>0</v>
      </c>
      <c r="NX26" s="3">
        <f>NW26*Z26</f>
        <v>0</v>
      </c>
      <c r="NZ26">
        <f>IF($U26=2,Data!$K$304,IF($U26=3,Data!$K$305,0))*MaskJust</f>
        <v>0</v>
      </c>
      <c r="OA26" s="3">
        <f>IF(Nbal!MA26&lt;&gt;"",Nbal!MA26,NZ26)</f>
        <v>0</v>
      </c>
      <c r="OB26" s="3">
        <f>OA26*Z26</f>
        <v>0</v>
      </c>
      <c r="OD26">
        <f>IL26</f>
        <v>12351.129032258064</v>
      </c>
      <c r="OE26">
        <f>JW26+MZ26</f>
        <v>1117.45</v>
      </c>
      <c r="OF26">
        <f>OD26-OE26</f>
        <v>11233.679032258064</v>
      </c>
      <c r="OG26">
        <f>OF26*Z26</f>
        <v>65717.022338709663</v>
      </c>
      <c r="OJ26">
        <f>VLOOKUP($O26,Afgr,Data!$BP$3)+VLOOKUP($P26,Efgr,Data!$AM$53)</f>
        <v>0</v>
      </c>
      <c r="OK26" s="3">
        <f>OJ26*Z26</f>
        <v>0</v>
      </c>
      <c r="OL26">
        <f>VLOOKUP($R26,Afgr,Data!$BP$3)+VLOOKUP($T26,Efgr,Data!$AM$53)</f>
        <v>1</v>
      </c>
      <c r="OM26" s="3">
        <f>OL26*Z26</f>
        <v>5.85</v>
      </c>
      <c r="OO26">
        <f>VLOOKUP($P26,Efgr,Data!$AN$53)</f>
        <v>0</v>
      </c>
      <c r="OP26">
        <f>VLOOKUP($O26,Afgr,Data!$BQ$3)</f>
        <v>0</v>
      </c>
      <c r="OQ26">
        <f>VLOOKUP($R26,Afgr,Data!$BR$3)</f>
        <v>1</v>
      </c>
      <c r="OR26">
        <f>OO26*OP26*OQ26</f>
        <v>0</v>
      </c>
      <c r="OS26" s="3">
        <f>OR26*Z26</f>
        <v>0</v>
      </c>
      <c r="OT26" s="3">
        <f>IF(Q26,1,0)*OS26</f>
        <v>0</v>
      </c>
      <c r="OV26">
        <f>VLOOKUP($T26,Efgr,Data!$AN$53)</f>
        <v>0</v>
      </c>
      <c r="OW26">
        <f>VLOOKUP($R26,Afgr,Data!$BQ$3)</f>
        <v>1</v>
      </c>
      <c r="OX26">
        <f>VLOOKUP($X26,Afgr,Data!$BR$3)</f>
        <v>0</v>
      </c>
      <c r="OY26">
        <f>OV26*OW26*OX26</f>
        <v>0</v>
      </c>
      <c r="OZ26" s="3">
        <f>OY26*Z26</f>
        <v>0</v>
      </c>
      <c r="PB26">
        <f>VLOOKUP($T26,Efgr,Data!$AO$53)</f>
        <v>0</v>
      </c>
      <c r="PC26">
        <f>VLOOKUP($O26,Afgr,Data!$BQ$3)</f>
        <v>0</v>
      </c>
      <c r="PD26">
        <f>VLOOKUP($R26,Afgr,Data!$BS$3)</f>
        <v>0</v>
      </c>
      <c r="PE26" s="3">
        <f>PB26*PC26*PD26*$Z26</f>
        <v>0</v>
      </c>
      <c r="PG26">
        <f>VLOOKUP($T26,Efgr,Data!$AO$53)</f>
        <v>0</v>
      </c>
      <c r="PH26">
        <f>VLOOKUP($R26,Afgr,Data!$BQ$3)</f>
        <v>1</v>
      </c>
      <c r="PI26">
        <f>VLOOKUP($X26,Afgr,Data!$BS$3)</f>
        <v>1</v>
      </c>
      <c r="PJ26" s="3">
        <f>PG26*PH26*PI26*$Z26</f>
        <v>0</v>
      </c>
      <c r="PK26" s="3"/>
      <c r="PL26" s="3">
        <f>VLOOKUP($O26,Afgr,Data!$BU$3)</f>
        <v>0</v>
      </c>
      <c r="PM26" s="3">
        <f>PL26*Z26</f>
        <v>0</v>
      </c>
      <c r="PN26" s="3">
        <f>VLOOKUP($R26,Afgr,Data!$BU$3)</f>
        <v>0</v>
      </c>
      <c r="PO26" s="3">
        <f>PN26*Z26</f>
        <v>0</v>
      </c>
      <c r="PQ26">
        <f>VLOOKUP(R26,Afgr,Data!$BX$3)+VLOOKUP(T26,Efgr,Data!$AQ$53)</f>
        <v>0</v>
      </c>
      <c r="PR26">
        <f>IF(PQ26&gt;0,Z26,0)</f>
        <v>0</v>
      </c>
      <c r="PT26">
        <f>VLOOKUP($O26,Afgr,Data!$BT$3)</f>
        <v>1</v>
      </c>
      <c r="PU26" s="3">
        <f>PT26*Z26</f>
        <v>5.85</v>
      </c>
      <c r="PV26">
        <f>VLOOKUP($R26,Afgr,Data!$BT$3)</f>
        <v>1</v>
      </c>
      <c r="PW26" s="3">
        <f>PV26*Z26</f>
        <v>5.85</v>
      </c>
      <c r="PY26">
        <f>VLOOKUP($R26,Afgr,Data!$BV$3)</f>
        <v>0</v>
      </c>
      <c r="PZ26">
        <f>PY26*Z26</f>
        <v>0</v>
      </c>
      <c r="QB26">
        <f>VLOOKUP($R26,Afgr,Data!$BW$3)</f>
        <v>0</v>
      </c>
      <c r="QC26">
        <f>QB26*Z26</f>
        <v>0</v>
      </c>
      <c r="QE26">
        <f>AM26*IF(VLOOKUP($R26,Afgr,Data!$BJ$3)&gt;0,1,0)</f>
        <v>73</v>
      </c>
      <c r="QF26">
        <f>QE26*Z26</f>
        <v>427.04999999999995</v>
      </c>
      <c r="QH26">
        <f>AM26*VLOOKUP(R26,Afgr,Data!$BK$3)</f>
        <v>6898.5</v>
      </c>
      <c r="QI26">
        <f>Z26*QH26</f>
        <v>40356.224999999999</v>
      </c>
      <c r="QJ26">
        <f>$AM26*VLOOKUP($R26,Afgr,Data!$BL$3)+$BR26*VLOOKUP($T26,Efgr,Data!$AP$53)</f>
        <v>0</v>
      </c>
      <c r="QK26">
        <f>QJ26*Z26</f>
        <v>0</v>
      </c>
      <c r="QL26">
        <f>$AM26*VLOOKUP($R26,Afgr,Data!$BM$3)</f>
        <v>0</v>
      </c>
      <c r="QM26">
        <f>QL26*Z26</f>
        <v>0</v>
      </c>
      <c r="QN26">
        <f>$AM26*VLOOKUP($R26,Afgr,Data!$BN$3)</f>
        <v>0</v>
      </c>
      <c r="QO26">
        <f>QN26*Z26</f>
        <v>0</v>
      </c>
      <c r="QR26">
        <f>IF(VLOOKUP($R26,Afgr,Data!$DA$3)="Vårbyg",$AN26,0)*VLOOKUP($R26,Afgr,Data!$BJ$3)</f>
        <v>43559.1</v>
      </c>
      <c r="QS26">
        <f>IF(VLOOKUP($R26,Afgr,Data!$DA$3)="Vinterbyg",$AN26,0)*VLOOKUP($R26,Afgr,Data!$BJ$3)</f>
        <v>0</v>
      </c>
      <c r="QT26">
        <f>IF(VLOOKUP($R26,Afgr,Data!$DA$3)="Havre",$AN26,0)*VLOOKUP($R26,Afgr,Data!$BJ$3)</f>
        <v>0</v>
      </c>
      <c r="QU26">
        <f>IF(VLOOKUP($R26,Afgr,Data!$DA$3)="Hvede",$AN26,0)*VLOOKUP($R26,Afgr,Data!$BJ$3)</f>
        <v>0</v>
      </c>
      <c r="QV26">
        <f>IF(VLOOKUP($R26,Afgr,Data!$DA$3)="Triticale",$AN26,0)*VLOOKUP($R26,Afgr,Data!$BJ$3)</f>
        <v>0</v>
      </c>
      <c r="QW26">
        <f>IF(VLOOKUP($R26,Afgr,Data!$DA$3)="Rug",$AN26,0)*VLOOKUP($R26,Afgr,Data!$BJ$3)</f>
        <v>0</v>
      </c>
      <c r="QX26">
        <f>IF(VLOOKUP($R26,Afgr,Data!$DA$3)="Majs",$AN26,0)*VLOOKUP($R26,Afgr,Data!$BJ$3)</f>
        <v>0</v>
      </c>
      <c r="RA26">
        <f>IF(OV26+PB26&gt;0,1,0)</f>
        <v>0</v>
      </c>
      <c r="RB26">
        <f>RA26*LW26</f>
        <v>0</v>
      </c>
      <c r="RC26">
        <f>RA26*MT26</f>
        <v>0</v>
      </c>
      <c r="RD26">
        <f>ND26</f>
        <v>0</v>
      </c>
      <c r="RE26">
        <f>RA26*OB26</f>
        <v>0</v>
      </c>
      <c r="RH26">
        <f>VLOOKUP(B26,Jordtype,Data!$Y$112+DenitNr-1)</f>
        <v>7.25</v>
      </c>
      <c r="RI26">
        <f>FF26*VLOOKUP(B26,Jordtype,Data!$AB$112+DenitNr-1)</f>
        <v>1.6400000000000001</v>
      </c>
      <c r="RJ26">
        <f>((CJ26+CK26+CL26+Regn2!CO26*0.7)-(RR26+RT26))*VLOOKUP(B26,Jordtype,Data!$AE$112+DenitNr-1)</f>
        <v>7.8575062500000001</v>
      </c>
      <c r="RK26">
        <f>0*VLOOKUP(B26,Jordtype,Data!$AE$112+DenitNr-1)</f>
        <v>0</v>
      </c>
      <c r="RL26">
        <f>Regn2!FD26*VLOOKUP(B26,Jordtype,Data!$AH$112+DenitNr-1)</f>
        <v>0</v>
      </c>
      <c r="RM26" s="3">
        <f>RH26+RI26+RJ26+RK26+RL26</f>
        <v>16.747506250000001</v>
      </c>
      <c r="RO26">
        <v>2</v>
      </c>
      <c r="RP26">
        <f>(FF26)*RO26*0.01</f>
        <v>0.82000000000000006</v>
      </c>
      <c r="RQ26">
        <v>7</v>
      </c>
      <c r="RR26">
        <f>CE26*RQ26*0.01</f>
        <v>0</v>
      </c>
      <c r="RS26">
        <v>7</v>
      </c>
      <c r="RT26">
        <f>(Regn2!CF26+Regn2!CG26)*RS26*0.01</f>
        <v>5.95</v>
      </c>
      <c r="RW26">
        <f>VLOOKUP(R26,Afgr,Data!$EE$3)</f>
        <v>5</v>
      </c>
      <c r="RX26" s="3">
        <f>RP26+RR26+RT26+RV26+RW26</f>
        <v>11.77</v>
      </c>
    </row>
    <row r="27" spans="1:492" x14ac:dyDescent="0.25">
      <c r="GT27" s="12"/>
    </row>
    <row r="28" spans="1:492" x14ac:dyDescent="0.25">
      <c r="A28" s="214" t="str">
        <f>Nbal!B28</f>
        <v>9-0</v>
      </c>
      <c r="B28">
        <v>6</v>
      </c>
      <c r="C28">
        <v>1</v>
      </c>
      <c r="D28">
        <f>IF(C28=1,VLOOKUP(B28,Jordtype,Data!$K$112),VLOOKUP(B28,Jordtype,Data!$L$112))</f>
        <v>9</v>
      </c>
      <c r="E28">
        <f>IF(C28=1,VLOOKUP(B28,Jordtype,Data!$M$112),VLOOKUP(B28,Jordtype,Data!$N$112))</f>
        <v>14</v>
      </c>
      <c r="F28">
        <f>IF(OR(B28=1,B28=3),0,IF(OR(B28=2,B28=4),1,IF(OR(B28=5,B28=6),2,3)))</f>
        <v>2</v>
      </c>
      <c r="G28">
        <f>IF(C28=1,VLOOKUP(B28,Jordtype,Data!$Q$112),VLOOKUP(B28,Jordtype,Data!$R$112))</f>
        <v>25</v>
      </c>
      <c r="H28">
        <f>IF(C28=1,VLOOKUP(B28,Jordtype,Data!$O$112),VLOOKUP(B28,Jordtype,Data!$P$112))</f>
        <v>19</v>
      </c>
      <c r="I28">
        <f>IF(B28&lt;5,0,1)</f>
        <v>1</v>
      </c>
      <c r="J28">
        <f>IF(B28&lt;5,PlojJB,1)</f>
        <v>1</v>
      </c>
      <c r="K28">
        <f>IF(B28&lt;5,SaaJB,1)</f>
        <v>1</v>
      </c>
      <c r="L28">
        <f>IF(C28=1,VLOOKUP(B28,Jordtype,Data!$S$112),VLOOKUP(B28,Jordtype,Data!$T$112))</f>
        <v>8</v>
      </c>
      <c r="M28">
        <f>IF(C28=1,VLOOKUP(B28,Jordtype,Data!$U$112),VLOOKUP(B28,Jordtype,Data!$V$112))</f>
        <v>13</v>
      </c>
      <c r="O28">
        <v>26</v>
      </c>
      <c r="P28">
        <v>1</v>
      </c>
      <c r="Q28" t="b">
        <v>0</v>
      </c>
      <c r="R28">
        <v>26</v>
      </c>
      <c r="S28">
        <v>1</v>
      </c>
      <c r="T28">
        <v>1</v>
      </c>
      <c r="U28">
        <v>1</v>
      </c>
      <c r="V28">
        <v>1</v>
      </c>
      <c r="X28">
        <v>26</v>
      </c>
      <c r="Z28">
        <f>Nbal!AG28</f>
        <v>2.02</v>
      </c>
      <c r="AA28">
        <v>4</v>
      </c>
      <c r="AB28">
        <f>VLOOKUP($R28,Afgr,G28)</f>
        <v>134</v>
      </c>
      <c r="AC28">
        <f>VLOOKUP($O28,Afgr,Data!$AI$3)*VLOOKUP(R28,Afgr,Data!$AJ$3)</f>
        <v>0</v>
      </c>
      <c r="AD28">
        <f>IF($Q28,0,VLOOKUP($P28,Efgr,(Data!$W$53+$V$6-1)))</f>
        <v>0</v>
      </c>
      <c r="AE28">
        <f>AB28-AC28-AD28</f>
        <v>134</v>
      </c>
      <c r="AF28">
        <f>AE28*Z28</f>
        <v>270.68</v>
      </c>
      <c r="AH28">
        <f>VLOOKUP(R28,Afgr,D28)</f>
        <v>3000</v>
      </c>
      <c r="AI28">
        <f>VLOOKUP(O28,Afgr,Data!$AL$3)*VLOOKUP(R28,Afgr,E28)</f>
        <v>0</v>
      </c>
      <c r="AJ28">
        <f>VLOOKUP(P28,Efgr,(Data!$Y$53+I28))</f>
        <v>0</v>
      </c>
      <c r="AK28">
        <f>AH28+AI28+AJ28</f>
        <v>3000</v>
      </c>
      <c r="AL28">
        <f>AH28+AI28+AJ28</f>
        <v>3000</v>
      </c>
      <c r="AM28" s="3">
        <f>IF(Nbal!CK28&lt;&gt;"",Nbal!CK28,AL28)</f>
        <v>3000</v>
      </c>
      <c r="AN28">
        <f>AM28*Z28</f>
        <v>6060</v>
      </c>
      <c r="AO28" t="str">
        <f>VLOOKUP(R28,Afgr,3)</f>
        <v>FE</v>
      </c>
      <c r="AP28">
        <f>IF(AO28="FE",VLOOKUP($R28,Afgr,Data!$AV$3),0)</f>
        <v>1.1599999999999999</v>
      </c>
      <c r="AR28">
        <f>VLOOKUP(R28,Afgr,4)</f>
        <v>1.2</v>
      </c>
      <c r="AS28" s="3">
        <f>IF(Nbal!CW28&lt;&gt;"",Nbal!CW28,AR28)</f>
        <v>1.2</v>
      </c>
      <c r="AT28" s="3">
        <f>AM28*AS28</f>
        <v>3600</v>
      </c>
      <c r="AU28" s="3">
        <f>AN28*AS28</f>
        <v>7272</v>
      </c>
      <c r="AW28">
        <f>VLOOKUP(R28,Afgr,Data!$AN$3)</f>
        <v>0</v>
      </c>
      <c r="AX28" s="3">
        <f>IF(Nbal!DC28&lt;&gt;"",Nbal!DC28,AW28)</f>
        <v>0</v>
      </c>
      <c r="AY28" s="3">
        <f>AX28*Z28</f>
        <v>0</v>
      </c>
      <c r="BA28">
        <f>VLOOKUP(R28,Afgr,H28)</f>
        <v>0</v>
      </c>
      <c r="BB28">
        <f>IF(ISERROR(BA28*AM28/AK28),0,(BA28*AM28/AK28))</f>
        <v>0</v>
      </c>
      <c r="BC28" s="3">
        <f>IF(Nbal!DI28&lt;&gt;"",Nbal!DI28,BB28)</f>
        <v>0</v>
      </c>
      <c r="BD28">
        <f>BC28*Z28</f>
        <v>0</v>
      </c>
      <c r="BG28">
        <f>IF($S28=1,BC28,0)</f>
        <v>0</v>
      </c>
      <c r="BH28">
        <f>IF($S28=1,BD28,0)</f>
        <v>0</v>
      </c>
      <c r="BI28">
        <f>VLOOKUP(R28,Afgr,Data!$AM$3)</f>
        <v>0</v>
      </c>
      <c r="BJ28">
        <f>IF(Nbal!DR28&lt;&gt;"",Nbal!DR28,BI28)</f>
        <v>0</v>
      </c>
      <c r="BK28">
        <f>BG28*BJ28</f>
        <v>0</v>
      </c>
      <c r="BL28">
        <f>BH28*BJ28</f>
        <v>0</v>
      </c>
      <c r="BN28">
        <f>VLOOKUP($T28,Efgr,M28)</f>
        <v>0</v>
      </c>
      <c r="BO28">
        <f>BN28*Z28</f>
        <v>0</v>
      </c>
      <c r="BQ28">
        <f>VLOOKUP(T28,Efgr,NormudbKolonneNrEfgr1)</f>
        <v>0</v>
      </c>
      <c r="BR28" s="3">
        <f>IF(Nbal!FE28&lt;&gt;"",Nbal!FE28,BQ28)</f>
        <v>0</v>
      </c>
      <c r="BS28">
        <f>BR28*Z28</f>
        <v>0</v>
      </c>
      <c r="BT28" t="s">
        <v>37</v>
      </c>
      <c r="BU28">
        <f>BR28*Efterslaetpris</f>
        <v>0</v>
      </c>
      <c r="BV28">
        <f>BS28*Efterslaetpris</f>
        <v>0</v>
      </c>
      <c r="BW28">
        <f>VLOOKUP(T28,Efgr,Data!$AG$53)</f>
        <v>0</v>
      </c>
      <c r="BX28">
        <f>BR28*BW28</f>
        <v>0</v>
      </c>
      <c r="BZ28">
        <f>Nbal!AQ28</f>
        <v>0</v>
      </c>
      <c r="CA28" s="211">
        <f>Nbal!AT28</f>
        <v>0</v>
      </c>
      <c r="CB28" s="2">
        <f>Nbal!DZ28</f>
        <v>0</v>
      </c>
      <c r="CC28" s="211">
        <f>Nbal!AT28+Nbal!DZ28</f>
        <v>0</v>
      </c>
      <c r="CD28" s="211">
        <f>Nbal!AX28</f>
        <v>0</v>
      </c>
      <c r="CE28">
        <f>Nbal!BH28</f>
        <v>0</v>
      </c>
      <c r="CF28" s="211">
        <f>Nbal!BM28</f>
        <v>0</v>
      </c>
      <c r="CG28" s="2">
        <f>Nbal!EI28</f>
        <v>0</v>
      </c>
      <c r="CH28" s="211">
        <f>Nbal!BM28+Nbal!EI28</f>
        <v>0</v>
      </c>
      <c r="CI28" s="211">
        <f>Nbal!BW28</f>
        <v>0</v>
      </c>
      <c r="CJ28" s="211">
        <f>Nbal!BH28*Nbal!BJ28*0.01</f>
        <v>0</v>
      </c>
      <c r="CK28" s="211">
        <f>(Nbal!BM28*Nbal!BP28*0.01)</f>
        <v>0</v>
      </c>
      <c r="CL28" s="211">
        <f>(Nbal!EI28*Nbal!EL28*0.01)</f>
        <v>0</v>
      </c>
      <c r="CM28" s="211">
        <f>(Nbal!BM28*Nbal!BP28*0.01)+(Nbal!EI28*Nbal!EL28*0.01)</f>
        <v>0</v>
      </c>
      <c r="CN28" s="211">
        <f>Nbal!BW28*Nbal!BY28*0.01</f>
        <v>0</v>
      </c>
      <c r="CO28">
        <f>Nbal!BT28+Nbal!ER28</f>
        <v>0</v>
      </c>
      <c r="CQ28">
        <f>Nbal!BA28</f>
        <v>0</v>
      </c>
      <c r="CR28">
        <f>Nbal!EC28</f>
        <v>0</v>
      </c>
      <c r="CS28">
        <f>(CQ28+CR28)*Z28</f>
        <v>0</v>
      </c>
      <c r="CT28">
        <f>Nbal!CB28</f>
        <v>0</v>
      </c>
      <c r="CU28">
        <f>Nbal!EV28</f>
        <v>0</v>
      </c>
      <c r="CV28">
        <f>(CT28+CU28)*Z28</f>
        <v>0</v>
      </c>
      <c r="CW28">
        <f>Nbal!BA28+Nbal!CB28+Nbal!EC28+Nbal!EV28</f>
        <v>0</v>
      </c>
      <c r="CY28">
        <f>Nbal!BD28</f>
        <v>0</v>
      </c>
      <c r="CZ28">
        <f>Nbal!EF28</f>
        <v>0</v>
      </c>
      <c r="DA28">
        <f>(CY28+CZ28)*Z28</f>
        <v>0</v>
      </c>
      <c r="DB28">
        <f>Nbal!CE28</f>
        <v>0</v>
      </c>
      <c r="DC28">
        <f>Nbal!EY28</f>
        <v>0</v>
      </c>
      <c r="DD28">
        <f>(DB28+DC28)*Z28</f>
        <v>0</v>
      </c>
      <c r="DE28">
        <f>Nbal!BD28+Nbal!CE28+Nbal!EF28+Nbal!EY28</f>
        <v>0</v>
      </c>
      <c r="DG28">
        <f>VLOOKUP($R28,Afgr,Data!$AW$3)</f>
        <v>14</v>
      </c>
      <c r="DH28">
        <f>IF($AO28="FE",$AM28*$AP28*$DG28*0.01,$AM28*100*$DM28*0.01*$DG28*0.01)</f>
        <v>487.19999999999993</v>
      </c>
      <c r="DI28">
        <f>IF(VLOOKUP(R28,Afgr,Data!$BO$3)=1,DH28,0)*Z28</f>
        <v>0</v>
      </c>
      <c r="DJ28" s="12">
        <f>(BZ28+CC28+CJ28-AE28)*VLOOKUP($R28,Afgr,Data!$AX$3)</f>
        <v>0</v>
      </c>
      <c r="DK28">
        <f>DG28+DJ28</f>
        <v>14</v>
      </c>
      <c r="DL28">
        <f>IF(Nbal!CQ28&lt;&gt;"",Nbal!CQ28,DK28)</f>
        <v>14</v>
      </c>
      <c r="DM28">
        <f>VLOOKUP(R28,Afgr,Data!$AT$3)</f>
        <v>0</v>
      </c>
      <c r="DN28">
        <f>IF($AO28="FE",$AM28*$AP28*$DL28*0.01,$AM28*100*$DM28*0.01*DL28*0.01)</f>
        <v>487.19999999999993</v>
      </c>
      <c r="DO28">
        <f>IF(VLOOKUP(R28,Afgr,Data!$BO$3)=1,DN28,0)*Z28</f>
        <v>0</v>
      </c>
      <c r="DP28">
        <f>IF(ISERROR(DN28/VLOOKUP(R28,Afgr,Data!$AY$3)),0,DN28/VLOOKUP(R28,Afgr,Data!$AY$3))</f>
        <v>77.951999999999984</v>
      </c>
      <c r="DQ28">
        <f>DP28*Z28</f>
        <v>157.46303999999998</v>
      </c>
      <c r="DS28">
        <f>IF($AO28="FE",$AM28*$AP28*VLOOKUP($R28,Afgr,Data!$BC$3)*0.001,$AM28*100*$DM28*0.01*VLOOKUP($R28,Afgr,Data!$BC$3)*0.001)</f>
        <v>9.743999999999998</v>
      </c>
      <c r="DT28">
        <f>DS28*Z28</f>
        <v>19.682879999999997</v>
      </c>
      <c r="DV28">
        <f>IF($AO28="FE",$AM28*$AP28*VLOOKUP($R28,Afgr,Data!$BF$3)*0.001,$AM28*100*$DM28*0.01*VLOOKUP($R28,Afgr,Data!$BF$3)*0.001)</f>
        <v>62.639999999999993</v>
      </c>
      <c r="DW28">
        <f>DV28*Z28</f>
        <v>126.53279999999999</v>
      </c>
      <c r="DY28">
        <f>IF(ISERROR(VLOOKUP(R28,Afgr,Data!$AZ$3)*DL28/DG28),0,VLOOKUP(R28,Afgr,Data!$AZ$3)*DL28/DG28)</f>
        <v>0</v>
      </c>
      <c r="DZ28">
        <f>VLOOKUP(R28,Afgr,Data!$AU$3)</f>
        <v>0</v>
      </c>
      <c r="EA28">
        <f>IF($S28=1,$BC28*$DZ28*0.01*DY28*0.01,0)</f>
        <v>0</v>
      </c>
      <c r="EB28">
        <f>EA28/6.25</f>
        <v>0</v>
      </c>
      <c r="EC28">
        <f>EB28*Z28</f>
        <v>0</v>
      </c>
      <c r="EE28">
        <f>IF($S28=1,$BC28*$DZ28*0.01*VLOOKUP($R28,Afgr,Data!$BD$3)*0.001,0)</f>
        <v>0</v>
      </c>
      <c r="EF28">
        <f>EE28*Z28</f>
        <v>0</v>
      </c>
      <c r="EH28">
        <f>IF($S28=1,$BC28*$DZ28*0.01*VLOOKUP($R28,Afgr,Data!$BG$3)*0.001,0)</f>
        <v>0</v>
      </c>
      <c r="EI28">
        <f>EH28*Z28</f>
        <v>0</v>
      </c>
      <c r="EK28">
        <f>VLOOKUP(T28,Efgr,Data!$AI$53)</f>
        <v>0</v>
      </c>
      <c r="EL28">
        <f>BX28*EK28*0.01/6.25</f>
        <v>0</v>
      </c>
      <c r="EM28">
        <f>EL28*Z28</f>
        <v>0</v>
      </c>
      <c r="EO28">
        <f>$BX28*VLOOKUP($T28,Efgr,Data!$AJ$53)*0.001</f>
        <v>0</v>
      </c>
      <c r="EP28">
        <f>EO28*Z28</f>
        <v>0</v>
      </c>
      <c r="ER28">
        <f>$BX28*VLOOKUP($T28,Efgr,Data!$AK$53)*0.001</f>
        <v>0</v>
      </c>
      <c r="ES28">
        <f>ER28*Z28</f>
        <v>0</v>
      </c>
      <c r="EU28">
        <f>IF(VLOOKUP(R28,Afgr,Data!$DS$3)=1,DP28*VLOOKUP(R28,Afgr,(Data!$DT$3+EftervirkningUdb1))*VLOOKUP(R28,Afgr,Data!$DV$3),0)</f>
        <v>0</v>
      </c>
      <c r="EV28">
        <f>IF(VLOOKUP(R28,Afgr,Data!$DS$3)=2,VLOOKUP(R28,Afgr,Data!$DX$3),0)</f>
        <v>0</v>
      </c>
      <c r="EW28">
        <f>IF(VLOOKUP(R28,Afgr,Data!$DS$3)=3,$DP28*VLOOKUP($R28,Afgr,IF(Jordtype1&lt;5,Data!$DT$3,Data!$DU$3))*VLOOKUP($R28,Afgr,Data!$DV$3),0)</f>
        <v>0</v>
      </c>
      <c r="EX28">
        <f>IF(VLOOKUP(R28,Afgr,Data!$DS$3)=4,(1.232+0.00469*AM28*100+(0.000256*AM28*100+0.089)*60),0)</f>
        <v>0</v>
      </c>
      <c r="EY28" s="211">
        <f>BZ28+CA28+CJ28+CK28</f>
        <v>0</v>
      </c>
      <c r="EZ28">
        <f>IF(VLOOKUP($R28,Afgr,Data!$DS$3)=5,($AM28*0.02742-$AM28*0.0001*$EY28+$AM28*0.0000001111*$EY28*$EY28),0)</f>
        <v>0</v>
      </c>
      <c r="FA28" s="2">
        <f>CB28+CL28</f>
        <v>0</v>
      </c>
      <c r="FB28">
        <f>IF(VLOOKUP($T28,Efgr,Data!$BH$53)=5,($BR28*0.02742-$BR28*0.0001*$FA28+$BR28*0.0000001111*$FA28*$FA28),0)</f>
        <v>0</v>
      </c>
      <c r="FC28" s="3">
        <f>EU28+EV28+EW28+EX28+EZ28+FB28</f>
        <v>0</v>
      </c>
      <c r="FD28" s="3">
        <f>FC28*Z28</f>
        <v>0</v>
      </c>
      <c r="FF28" s="211">
        <f>BZ28+CC28</f>
        <v>0</v>
      </c>
      <c r="FG28" s="211">
        <f>FF28*Z28</f>
        <v>0</v>
      </c>
      <c r="FH28" s="211">
        <f>CE28+CH28+CO28</f>
        <v>0</v>
      </c>
      <c r="FI28" s="211">
        <f>FH28*Z28</f>
        <v>0</v>
      </c>
      <c r="FJ28">
        <f>VLOOKUP($R28,Afgr,Data!$DK$3)*VLOOKUP($R28,Afgr,Data!$AT$3)*0.01*VLOOKUP($R28,Afgr,Data!$AW$3)*0.01/6.25</f>
        <v>0</v>
      </c>
      <c r="FK28">
        <f>FJ28*Z28</f>
        <v>0</v>
      </c>
      <c r="FL28" s="4">
        <f>IF(R28&gt;1,Deposition,0)</f>
        <v>15</v>
      </c>
      <c r="FM28" s="4">
        <f>FL28*Z28</f>
        <v>30.3</v>
      </c>
      <c r="FN28">
        <f>FC28</f>
        <v>0</v>
      </c>
      <c r="FO28">
        <f>FN28*Z28</f>
        <v>0</v>
      </c>
      <c r="FP28" s="211">
        <f>SUM(FF28,FH28,FJ28,FL28,FN28)</f>
        <v>15</v>
      </c>
      <c r="FQ28">
        <f>DP28+EB28+EL28</f>
        <v>77.951999999999984</v>
      </c>
      <c r="FR28" s="3">
        <f>FP28-FQ28</f>
        <v>-62.951999999999984</v>
      </c>
      <c r="FS28" s="19">
        <f>FP28*Z28</f>
        <v>30.3</v>
      </c>
      <c r="FT28" s="19">
        <f>FQ28*Z28</f>
        <v>157.46303999999998</v>
      </c>
      <c r="FU28" s="3">
        <f>FR28*Z28</f>
        <v>-127.16303999999997</v>
      </c>
      <c r="FW28">
        <f>CW28</f>
        <v>0</v>
      </c>
      <c r="FX28">
        <f>FW28*Z28</f>
        <v>0</v>
      </c>
      <c r="FY28">
        <f>IX28+MB28</f>
        <v>9.743999999999998</v>
      </c>
      <c r="FZ28">
        <f>FY28*Z28</f>
        <v>19.682879999999997</v>
      </c>
      <c r="GA28">
        <f>FW28-FY28</f>
        <v>-9.743999999999998</v>
      </c>
      <c r="GB28">
        <f>GA28*Z28</f>
        <v>-19.682879999999997</v>
      </c>
      <c r="GD28">
        <f>DE28</f>
        <v>0</v>
      </c>
      <c r="GE28">
        <f>GD28*Z28</f>
        <v>0</v>
      </c>
      <c r="GF28">
        <f>JE28+MH28</f>
        <v>62.639999999999993</v>
      </c>
      <c r="GG28">
        <f>GF28*Z28</f>
        <v>126.53279999999999</v>
      </c>
      <c r="GH28">
        <f>GD28-GF28</f>
        <v>-62.639999999999993</v>
      </c>
      <c r="GI28">
        <f>GH28*Z28</f>
        <v>-126.53279999999999</v>
      </c>
      <c r="GK28">
        <f>AA28</f>
        <v>4</v>
      </c>
      <c r="GL28" s="211">
        <f>FF28+FH28+FN28</f>
        <v>0</v>
      </c>
      <c r="GM28" s="211" t="str">
        <f>IF(R28=1,"",IF(GK28=1,GL28,""))</f>
        <v/>
      </c>
      <c r="GN28" s="211" t="str">
        <f>IF(R28=1,"",IF(GK28=2,GL28,""))</f>
        <v/>
      </c>
      <c r="GO28" s="211" t="str">
        <f>IF(R28=1,"",IF(GK28=3,GL28,""))</f>
        <v/>
      </c>
      <c r="GP28" s="211">
        <f>IF(R28=1,"",IF(GK28=4,GL28,""))</f>
        <v>0</v>
      </c>
      <c r="GQ28" s="149">
        <f>IF(OR(R28=1,VLOOKUP(R28,Afgr,Data!$BV$3)=1,VLOOKUP(R28,Afgr,Data!$BW$3)=1),0,IF(GK28=1,Nniveau1,IF(GK28=2,Nniveau2,IF(GK28=3,Nniveau3,IF(GK28=4,Nniveau4,GL28)))))</f>
        <v>0</v>
      </c>
      <c r="GR28" s="222">
        <v>0.32550000000000001</v>
      </c>
      <c r="GS28" s="6">
        <v>0</v>
      </c>
      <c r="GT28" s="149">
        <f>CC28+CM28</f>
        <v>0</v>
      </c>
      <c r="GU28" s="6">
        <f>$FN28</f>
        <v>0</v>
      </c>
      <c r="GV28" s="222">
        <v>0.25280000000000002</v>
      </c>
      <c r="GW28">
        <f>CO28</f>
        <v>0</v>
      </c>
      <c r="GX28" s="222">
        <v>0.376</v>
      </c>
      <c r="GY28" s="149">
        <f>CD28+CN28</f>
        <v>0</v>
      </c>
      <c r="GZ28" s="222">
        <f>IF(B28&gt;3,0.3539,1.0749)</f>
        <v>0.35389999999999999</v>
      </c>
      <c r="HA28" s="11">
        <f>$FQ28</f>
        <v>77.951999999999984</v>
      </c>
      <c r="HB28" s="222">
        <v>0.19359999999999999</v>
      </c>
      <c r="HC28" s="222">
        <f>VLOOKUP($R28,Afgr,Data!$DM$3)</f>
        <v>7</v>
      </c>
      <c r="HD28" s="24">
        <f>IF($HC28&gt;1,0,(VLOOKUP($X28,Afgr,Data!$DP$3)+IF(VLOOKUP($X28,Afgr,Data!$DP$3)=0,VLOOKUP($T28,Efgr,Data!$BI$53,0))))+IF(AND($HC28=7,VLOOKUP($X28,Afgr,Data!$DQ$3)=-2),-2,0)+IF(AND($HC28=6,VLOOKUP($T28,Efgr,Data!$BI$53)=2),8,0)</f>
        <v>0</v>
      </c>
      <c r="HE28" s="6">
        <f>VLOOKUP(SUM(HC28:HD28),Nlesafgr,3)</f>
        <v>-165.7</v>
      </c>
      <c r="HF28" s="7">
        <f>VLOOKUP($O28,Afgr,Data!$DN$3)</f>
        <v>4</v>
      </c>
      <c r="HG28" s="24">
        <f>IF(HF28&gt;1,0,VLOOKUP($R28,Afgr,Data!$DO$3)+IF(VLOOKUP($R28,Afgr,Data!$DO$3)=1,0,VLOOKUP($P28,Efgr,Data!$BJ$53)))</f>
        <v>0</v>
      </c>
      <c r="HH28" s="6">
        <f>VLOOKUP(SUM(HF28:HG28),Nlesforfrugt,3)</f>
        <v>34.700000000000003</v>
      </c>
      <c r="HI28" s="222">
        <f>GR28*GQ28+GV28*(GT28+GU28)+GX28*GW28+GZ28*GY28-HB28*HA28+HE28+HH28</f>
        <v>-146.09150719999997</v>
      </c>
      <c r="HJ28" s="222">
        <f>Nlesafskaering</f>
        <v>59.6</v>
      </c>
      <c r="HK28" s="222">
        <f>Teknologi1</f>
        <v>2455</v>
      </c>
      <c r="HL28" s="6">
        <v>2001</v>
      </c>
      <c r="HM28" s="222">
        <f>Teknologi2</f>
        <v>1962.2</v>
      </c>
      <c r="HN28" s="222">
        <f>Tandel</f>
        <v>0.54659999999999997</v>
      </c>
      <c r="HO28" s="222">
        <f>IF(OR(HI28&gt;0,HI28=0),HJ28+HK28/(HL28-HM28),HJ28+HK28/(HL28-HM28)+HN28*HI28)</f>
        <v>43.019578040768749</v>
      </c>
      <c r="HP28" s="222">
        <f>IF(HI28&gt;0,HI28,0.001)</f>
        <v>1E-3</v>
      </c>
      <c r="HQ28" s="222">
        <v>1.5020000000000001E-3</v>
      </c>
      <c r="HR28" s="24">
        <f>IF(R28=1,0,VLOOKUP(PostnrNbal,AfstromData,VLOOKUP($R28,Afgr,Data!$DL$3)+IF(Jordtype1&lt;7,Jordtype1,6),FALSE)-VLOOKUP(T28,Efgr,Data!$AA$53))</f>
        <v>272.32333333333298</v>
      </c>
      <c r="HS28" s="24">
        <f>IF(Nbal!GA28&lt;&gt;"",Nbal!GA28,Regn2!HR28)</f>
        <v>272.32333333333298</v>
      </c>
      <c r="HT28" s="222">
        <v>5.5400000000000002E-4</v>
      </c>
      <c r="HU28" s="24">
        <f>IF(R28=1,0,VLOOKUP(PostnrNbal,AfstromData,VLOOKUP($O28,Afgr,Data!$DL$3)+IF(B28&lt;7,B28,6),FALSE)-VLOOKUP(P28,Efgr,Data!$AA$53))</f>
        <v>272.32333333333298</v>
      </c>
      <c r="HV28" s="24">
        <f>IF(Nbal!FU28&lt;&gt;"",Nbal!FU28,Regn2!HU28)</f>
        <v>272.32333333333298</v>
      </c>
      <c r="HW28" s="222">
        <v>0.10639999999999999</v>
      </c>
      <c r="HX28" s="6">
        <f>VLOOKUP(B28,Jordtype,Data!$W$112)</f>
        <v>3</v>
      </c>
      <c r="HY28" s="222">
        <v>3.2500000000000001E-2</v>
      </c>
      <c r="HZ28" s="6">
        <f>VLOOKUP(B28,Jordtype,Data!$X$112)</f>
        <v>12</v>
      </c>
      <c r="IA28" s="222">
        <v>1.2453000000000001</v>
      </c>
      <c r="IB28" s="222">
        <f>IF(VLOOKUP(T28,Efgr,Data!$AO$53)=1,MlafgrNUdvask,0)</f>
        <v>0</v>
      </c>
      <c r="IC28" s="20">
        <f>IF(ISERROR((HO28+POWER(HP28,1.2))*(1-EXP(-HQ28*HS28))*EXP(-HT28*HV28)*EXP(-HW28*HX28)*EXP(-HY28*HZ28)*IA28),0,(HO28+POWER(HP28,1.2))*(1-EXP(-HQ28*HS28))*EXP(-HT28*HV28)*EXP(-HW28*HX28)*EXP(-HY28*HZ28)*IA28+IB28)</f>
        <v>7.60989510515458</v>
      </c>
      <c r="ID28">
        <f>IC28*Z28</f>
        <v>15.371988112412252</v>
      </c>
      <c r="IE28">
        <f>IF(Nbal!GF28&lt;&gt;"",Nbal!GF28,RetentionNbal)</f>
        <v>65</v>
      </c>
      <c r="IF28">
        <f>IC28*(100-IE28)*0.01</f>
        <v>2.6634632868041028</v>
      </c>
      <c r="IG28">
        <f>IF28*Z28</f>
        <v>5.3801958393442879</v>
      </c>
      <c r="IH28" s="2">
        <f>HS28*10000</f>
        <v>2723233.3333333298</v>
      </c>
      <c r="II28" s="2">
        <f>IH28*Z28</f>
        <v>5500931.3333333265</v>
      </c>
      <c r="IJ28">
        <f>IF(ISERROR(IC28*1000*1000/IH28),0,IC28*1000*1000/IH28)</f>
        <v>2.7944337387497424</v>
      </c>
      <c r="IL28">
        <f>AT28+AX28+BK28+BU28</f>
        <v>3600</v>
      </c>
      <c r="IO28">
        <f>VLOOKUP(R28,Afgr,Data!$AP$3)*UdsaedJust</f>
        <v>0</v>
      </c>
      <c r="IP28" s="3">
        <f>IF(Nbal!GN28&lt;&gt;"",Nbal!GN28,IO28)</f>
        <v>0</v>
      </c>
      <c r="IQ28" s="3">
        <f>IP28*Z28</f>
        <v>0</v>
      </c>
      <c r="IS28" s="3">
        <f>IF(HdgVaerdiNbal=1,(BZ28+CA28)*Npris,(BZ28+CA28+CJ28+CK28)*Npris)</f>
        <v>0</v>
      </c>
      <c r="IT28" s="3">
        <f>IS28*Z28</f>
        <v>0</v>
      </c>
      <c r="IV28">
        <f>VLOOKUP($R28,Afgr,Data!$BA$3)</f>
        <v>0</v>
      </c>
      <c r="IW28">
        <f>VLOOKUP($R28,Afgr,Data!$BB$3)</f>
        <v>0</v>
      </c>
      <c r="IX28">
        <f>$DS28+$EE28</f>
        <v>9.743999999999998</v>
      </c>
      <c r="IY28">
        <f>CT28</f>
        <v>0</v>
      </c>
      <c r="IZ28">
        <f>CQ28</f>
        <v>0</v>
      </c>
      <c r="JA28" s="3">
        <f>IF(HdgVaerdiNbal=1,(IZ28)*Ppris,(IY28+IZ28)*Ppris)</f>
        <v>0</v>
      </c>
      <c r="JB28" s="3">
        <f>JA28*Z28</f>
        <v>0</v>
      </c>
      <c r="JD28">
        <f>IF(AND(R28&gt;1,OR(Jordtype1=1,Jordtype1=3,Markvand1=2)),Kudvask,0)</f>
        <v>0</v>
      </c>
      <c r="JE28">
        <f>$DV28+$EH28</f>
        <v>62.639999999999993</v>
      </c>
      <c r="JF28">
        <f>DB28</f>
        <v>0</v>
      </c>
      <c r="JG28">
        <f>CY28</f>
        <v>0</v>
      </c>
      <c r="JH28" s="3">
        <f>IF(HdgVaerdiNbal=1,JG28*Kpris,(JF28+JG28)*Kpris)</f>
        <v>0</v>
      </c>
      <c r="JI28" s="3">
        <f>JH28*Z28</f>
        <v>0</v>
      </c>
      <c r="JK28">
        <f>IS28+JA28+JH28</f>
        <v>0</v>
      </c>
      <c r="JL28" s="3">
        <f>IF(Nbal!GT28&lt;&gt;"",Nbal!GT28,$JK28)</f>
        <v>0</v>
      </c>
      <c r="JM28" s="3">
        <f>JL28*Z28</f>
        <v>0</v>
      </c>
      <c r="JO28">
        <f>VLOOKUP(R28,Afgr,Data!$AQ$3)*PlantevJust</f>
        <v>0</v>
      </c>
      <c r="JP28" s="3">
        <f>IF(Nbal!GZ28&lt;&gt;"",Nbal!GZ28,JO28)</f>
        <v>0</v>
      </c>
      <c r="JQ28" s="3">
        <f>JP28*Z28</f>
        <v>0</v>
      </c>
      <c r="JS28">
        <f>VLOOKUP(R28,Afgr,Data!$AR$3)+AM28*VLOOKUP(R28,Afgr,Data!$BH$3)</f>
        <v>0</v>
      </c>
      <c r="JT28" s="3">
        <f>IF(Nbal!HF28&lt;&gt;"",Nbal!HF28,JS28)</f>
        <v>0</v>
      </c>
      <c r="JU28">
        <f>JT28*Z28</f>
        <v>0</v>
      </c>
      <c r="JW28">
        <f>IP28+JL28+JP28+JT28</f>
        <v>0</v>
      </c>
      <c r="JY28">
        <f>IF(VLOOKUP(R28,Afgr,Data!$BY$3)&gt;0,Data!$K$259*J28,0)</f>
        <v>0</v>
      </c>
      <c r="JZ28">
        <f>IF(VLOOKUP(R28,Afgr,Data!$BZ$3)&gt;0,Data!$K$260*J28,0)</f>
        <v>0</v>
      </c>
      <c r="KA28">
        <f>(JY28+JZ28)*MaskJust</f>
        <v>0</v>
      </c>
      <c r="KB28" s="3">
        <f>IF(Nbal!HL28&lt;&gt;"",Nbal!HL28,KA28)</f>
        <v>0</v>
      </c>
      <c r="KC28" s="3">
        <f>KB28*Z28</f>
        <v>0</v>
      </c>
      <c r="KE28">
        <f>IF(VLOOKUP(R28,Afgr,Data!$CA$3)&gt;0,VLOOKUP(R28,Afgr,Data!$CA$3)*Data!$K$261*K28,0)</f>
        <v>0</v>
      </c>
      <c r="KF28">
        <f>IF(VLOOKUP(R28,Afgr,Data!$CC$3)&gt;0,Data!$K$262*K28,0)</f>
        <v>0</v>
      </c>
      <c r="KG28">
        <f>IF(VLOOKUP(R28,Afgr,Data!$CD$3)&gt;0,VLOOKUP(R28,Afgr,Data!$CD$3)*Data!$K$263*K28,0)</f>
        <v>0</v>
      </c>
      <c r="KH28">
        <f>IF(VLOOKUP(R28,Afgr,Data!$CE$3)&gt;0,Data!$K$264*K28,0)</f>
        <v>0</v>
      </c>
      <c r="KI28">
        <f>IF(VLOOKUP(R28,Afgr,Data!$CF$3)&gt;0,Data!$K$265*K28,0)</f>
        <v>0</v>
      </c>
      <c r="KJ28">
        <f>IF(VLOOKUP(R28,Afgr,Data!$CV$3)&gt;0,Data!$K$266,0)</f>
        <v>0</v>
      </c>
      <c r="KK28">
        <f>IF(VLOOKUP(R28,Afgr,Data!$CG$3)&gt;0,Data!$K$267*K28,0)</f>
        <v>0</v>
      </c>
      <c r="KL28">
        <f>(KE28+KF28+KG28+KH28+KI28+KJ28+KK28)*MaskJust</f>
        <v>0</v>
      </c>
      <c r="KM28" s="3">
        <f>IF(Nbal!HR28&lt;&gt;"",Nbal!HR28,KL28)</f>
        <v>0</v>
      </c>
      <c r="KN28" s="3">
        <f>KM28*Z28</f>
        <v>0</v>
      </c>
      <c r="KP28">
        <f>IF(VLOOKUP(R28,Afgr,Data!$CJ$3)&gt;0,VLOOKUP(R28,Afgr,Data!$CJ$3)*Data!$K$268*K28,0)*MaskJust</f>
        <v>280</v>
      </c>
      <c r="KQ28" s="3">
        <f>IF(Nbal!HX28&lt;&gt;"",Nbal!HX28,KP28)</f>
        <v>280</v>
      </c>
      <c r="KR28" s="3">
        <f>KQ28*Z28</f>
        <v>565.6</v>
      </c>
      <c r="KT28">
        <f>IF(VLOOKUP(R28,Afgr,Data!$CI$3)&gt;0,VLOOKUP(R28,Afgr,Data!$CI$3)*Data!$K$269,0)*MaskJust</f>
        <v>0</v>
      </c>
      <c r="KU28" s="3">
        <f>IF(Nbal!ID28&lt;&gt;"",Nbal!ID28,KT28)</f>
        <v>0</v>
      </c>
      <c r="KV28" s="3">
        <f>KU28*Z28</f>
        <v>0</v>
      </c>
      <c r="KX28">
        <f>IF(C28=2,VLOOKUP($R28,Afgr,Data!$CY$3),0)</f>
        <v>0</v>
      </c>
      <c r="KY28">
        <f>IF(Nbal!IJ28&lt;&gt;"",Nbal!IJ28,$KX28)</f>
        <v>0</v>
      </c>
      <c r="KZ28">
        <f>IF(AND(R28&gt;1,C28=2),Vandmaskin+$KY28*Flytning/mmprgang+$KY28*Prisprmm,0)</f>
        <v>0</v>
      </c>
      <c r="LA28" s="3">
        <f>IF(Nbal!IP28&lt;&gt;"",Nbal!IP28,$KZ28)</f>
        <v>0</v>
      </c>
      <c r="LB28" s="3">
        <f>LA28*Z28</f>
        <v>0</v>
      </c>
      <c r="LD28">
        <f>IF(VLOOKUP($R28,Afgr,Data!$CK$3)&gt;0,((1+AM28/VLOOKUP($R28,Afgr,Data!$CK$3))/2)*VLOOKUP($R28,Afgr,Data!$CL$3)*VLOOKUP($R28,Afgr,Data!$CN$3)+VLOOKUP($R28,Afgr,Data!$CM$3),0)</f>
        <v>0</v>
      </c>
      <c r="LE28">
        <f>IF(VLOOKUP($R28,Afgr,Data!$CK$3)&gt;0,IF(AND($S28=2,$BA28&gt;0),Data!$K$271,0),0)</f>
        <v>0</v>
      </c>
      <c r="LF28">
        <f>IF(VLOOKUP($R28,Afgr,Data!$CK$3)&gt;0,(AM28/VLOOKUP($R28,Afgr,Data!$CK$3))*VLOOKUP($R28,Afgr,Data!$CO$3)*VLOOKUP($R28,Afgr,Data!$CN$3),0)</f>
        <v>0</v>
      </c>
      <c r="LG28">
        <f>(LD28+LE28+LF28)*MaskJust</f>
        <v>0</v>
      </c>
      <c r="LH28" s="3">
        <f>IF(Nbal!IV28&lt;&gt;"",Nbal!IV28,LG28)</f>
        <v>0</v>
      </c>
      <c r="LI28" s="3">
        <f>LH28*Z28</f>
        <v>0</v>
      </c>
      <c r="LJ28" s="3"/>
      <c r="LK28">
        <f>IF(AND($S28=1,VLOOKUP($R28,Afgr,Data!$CP$3)&gt;0),((1+$BC28/VLOOKUP($R28,Afgr,Data!$CP$3))/2)*VLOOKUP($R28,Afgr,Data!$CQ$3),0)</f>
        <v>0</v>
      </c>
      <c r="LL28">
        <f>IF(AND($S28=1,VLOOKUP($R28,Afgr,Data!$CP$3)&gt;0),($BC28/VLOOKUP($R28,Afgr,Data!$CP$3))*VLOOKUP($R28,Afgr,Data!$CR$3),0)</f>
        <v>0</v>
      </c>
      <c r="LM28">
        <f>(LK28+LL28)*MaskJust</f>
        <v>0</v>
      </c>
      <c r="LN28" s="3">
        <f>IF(Nbal!JB28&lt;&gt;"",Nbal!JB28,LM28)</f>
        <v>0</v>
      </c>
      <c r="LO28" s="3">
        <f>LN28*Z28</f>
        <v>0</v>
      </c>
      <c r="LQ28">
        <f>$AM28*VLOOKUP($R28,Afgr,Data!$CS$3)*IF($V28=1,VLOOKUP($R28,Afgr,Data!$CT$3),IF($V28=2,VLOOKUP($R28,Afgr,Data!$CU$3),0))</f>
        <v>0</v>
      </c>
      <c r="LR28" s="3">
        <f>IF(Nbal!JK28&lt;&gt;"",Nbal!JK28,LQ28)</f>
        <v>0</v>
      </c>
      <c r="LS28" s="3">
        <f>LR28*Z28</f>
        <v>0</v>
      </c>
      <c r="LU28">
        <f>VLOOKUP($T28,Efgr,Data!$AC$53)*UdsaedJust</f>
        <v>0</v>
      </c>
      <c r="LV28" s="3">
        <f>IF(Nbal!$JS28&lt;&gt;"",Nbal!$JS28,LU28)</f>
        <v>0</v>
      </c>
      <c r="LW28" s="3">
        <f>LV28*Z28</f>
        <v>0</v>
      </c>
      <c r="LY28" s="3">
        <f>IF(HdgVaerdiNbal=1,(CB28)*Npris,(CB28+CL28)*Npris)</f>
        <v>0</v>
      </c>
      <c r="LZ28" s="3">
        <f>LY28*Z28</f>
        <v>0</v>
      </c>
      <c r="MB28">
        <f>$EO28</f>
        <v>0</v>
      </c>
      <c r="MC28">
        <f>CU28</f>
        <v>0</v>
      </c>
      <c r="MD28">
        <f>CR28</f>
        <v>0</v>
      </c>
      <c r="ME28" s="3">
        <f>IF(HdgVaerdiNbal=1,MD28*Ppris,(MC28+MD28)*Ppris)</f>
        <v>0</v>
      </c>
      <c r="MF28" s="3">
        <f>ME28*Z28</f>
        <v>0</v>
      </c>
      <c r="MH28">
        <f>$ER28</f>
        <v>0</v>
      </c>
      <c r="MI28">
        <f>DC28</f>
        <v>0</v>
      </c>
      <c r="MJ28">
        <f>CZ28</f>
        <v>0</v>
      </c>
      <c r="MK28" s="3">
        <f>IF(HdgVaerdiNbal=1,MJ28*Ppris,(MI28+MJ28)*Ppris)</f>
        <v>0</v>
      </c>
      <c r="ML28" s="3">
        <f>MK28*Z28</f>
        <v>0</v>
      </c>
      <c r="MN28">
        <f>LY28+ME28+MK28</f>
        <v>0</v>
      </c>
      <c r="MO28" s="3">
        <f>IF(Nbal!JY28&lt;&gt;"",Nbal!JY28,$MN28)</f>
        <v>0</v>
      </c>
      <c r="MP28" s="3">
        <f>MO28*Z28</f>
        <v>0</v>
      </c>
      <c r="MR28">
        <f>VLOOKUP($T28,Efgr,Data!$AE$53)*PlantevJust</f>
        <v>0</v>
      </c>
      <c r="MS28" s="3">
        <f>IF(Nbal!KE28&lt;&gt;"",Nbal!KE28,MR28)</f>
        <v>0</v>
      </c>
      <c r="MT28" s="3">
        <f>MS28*Z28</f>
        <v>0</v>
      </c>
      <c r="MV28">
        <f>VLOOKUP($T28,Efgr,Data!$AF$53)+$BR28*VLOOKUP($T28,Efgr,Data!$AL$53)</f>
        <v>0</v>
      </c>
      <c r="MW28" s="3">
        <f>IF(Nbal!KK28&lt;&gt;"",Nbal!KK28,MV28)</f>
        <v>0</v>
      </c>
      <c r="MX28" s="3">
        <f>MW28*Z28</f>
        <v>0</v>
      </c>
      <c r="MZ28">
        <f>LV28+MO28+MS28+MW28</f>
        <v>0</v>
      </c>
      <c r="NB28">
        <f>VLOOKUP($T28,Efgr,Data!$AU$53)*K28*MaskJust</f>
        <v>0</v>
      </c>
      <c r="NC28" s="3">
        <f>IF(Nbal!KQ28&lt;&gt;"",Nbal!KQ28,NB28)</f>
        <v>0</v>
      </c>
      <c r="ND28" s="3">
        <f>NC28*Z28</f>
        <v>0</v>
      </c>
      <c r="NF28">
        <f>VLOOKUP($T28,Efgr,Data!$AW$53)*Data!$K$268*K28*MaskJust</f>
        <v>0</v>
      </c>
      <c r="NG28" s="3">
        <f>IF(Nbal!KW28&lt;&gt;"",Nbal!KW28,NF28)</f>
        <v>0</v>
      </c>
      <c r="NH28" s="3">
        <f>NG28*Z28</f>
        <v>0</v>
      </c>
      <c r="NJ28">
        <f>VLOOKUP($T28,Efgr,Data!$AV$53)*Data!$K$269*MaskJust</f>
        <v>0</v>
      </c>
      <c r="NK28" s="3">
        <f>IF(Nbal!LC28&lt;&gt;"",Nbal!LC28,NJ28)</f>
        <v>0</v>
      </c>
      <c r="NL28" s="3">
        <f>NK28*Z28</f>
        <v>0</v>
      </c>
      <c r="NN28">
        <f>IF(C28=2,VLOOKUP($T28,Efgr,Data!$BC$53),0)</f>
        <v>0</v>
      </c>
      <c r="NO28">
        <f>IF(Nbal!LI28&lt;&gt;"",Nbal!LI28,$NN28)</f>
        <v>0</v>
      </c>
      <c r="NP28">
        <f>IF(C28=2,$NO28*Flytning/mmprgang+$NO28*Prisprmm,0)</f>
        <v>0</v>
      </c>
      <c r="NQ28" s="3">
        <f>IF(Nbal!LO28&lt;&gt;"",Nbal!LO28,$NP28)</f>
        <v>0</v>
      </c>
      <c r="NR28" s="3">
        <f>NQ28*Z28</f>
        <v>0</v>
      </c>
      <c r="NT28">
        <f>IF(VLOOKUP($T28,Efgr,Data!$AX$53)&gt;0,((1+BR28/VLOOKUP($T28,Efgr,Data!$AX$53))/2)*VLOOKUP($T28,Efgr,Data!$AY$53)*VLOOKUP($T28,Efgr,Data!$BA$53)+VLOOKUP($T28,Efgr,Data!$AZ$53),0)</f>
        <v>0</v>
      </c>
      <c r="NU28">
        <f>IF(VLOOKUP($T28,Efgr,Data!$AX$53)&gt;0,($BR28/VLOOKUP($T28,Efgr,Data!$AX$53))*VLOOKUP($T28,Efgr,Data!$BB$53)*VLOOKUP($T28,Efgr,Data!$BA$53),0)</f>
        <v>0</v>
      </c>
      <c r="NV28">
        <f>(NT28+NU28)*MaskJust</f>
        <v>0</v>
      </c>
      <c r="NW28" s="3">
        <f>IF(Nbal!LU28&lt;&gt;"",Nbal!LU28,NV28)</f>
        <v>0</v>
      </c>
      <c r="NX28" s="3">
        <f>NW28*Z28</f>
        <v>0</v>
      </c>
      <c r="NZ28">
        <f>IF($U28=2,Data!$K$304,IF($U28=3,Data!$K$305,0))*MaskJust</f>
        <v>0</v>
      </c>
      <c r="OA28" s="3">
        <f>IF(Nbal!MA28&lt;&gt;"",Nbal!MA28,NZ28)</f>
        <v>0</v>
      </c>
      <c r="OB28" s="3">
        <f>OA28*Z28</f>
        <v>0</v>
      </c>
      <c r="OD28">
        <f>IL28</f>
        <v>3600</v>
      </c>
      <c r="OE28">
        <f>JW28+MZ28</f>
        <v>0</v>
      </c>
      <c r="OF28">
        <f>OD28-OE28</f>
        <v>3600</v>
      </c>
      <c r="OG28">
        <f>OF28*Z28</f>
        <v>7272</v>
      </c>
      <c r="OJ28">
        <f>VLOOKUP($O28,Afgr,Data!$BP$3)+VLOOKUP($P28,Efgr,Data!$AM$53)</f>
        <v>0</v>
      </c>
      <c r="OK28" s="3">
        <f>OJ28*Z28</f>
        <v>0</v>
      </c>
      <c r="OL28">
        <f>VLOOKUP($R28,Afgr,Data!$BP$3)+VLOOKUP($T28,Efgr,Data!$AM$53)</f>
        <v>0</v>
      </c>
      <c r="OM28" s="3">
        <f>OL28*Z28</f>
        <v>0</v>
      </c>
      <c r="OO28">
        <f>VLOOKUP($P28,Efgr,Data!$AN$53)</f>
        <v>0</v>
      </c>
      <c r="OP28">
        <f>VLOOKUP($O28,Afgr,Data!$BQ$3)</f>
        <v>0</v>
      </c>
      <c r="OQ28">
        <f>VLOOKUP($R28,Afgr,Data!$BR$3)</f>
        <v>0</v>
      </c>
      <c r="OR28">
        <f>OO28*OP28*OQ28</f>
        <v>0</v>
      </c>
      <c r="OS28" s="3">
        <f>OR28*Z28</f>
        <v>0</v>
      </c>
      <c r="OT28" s="3">
        <f>IF(Q28,1,0)*OS28</f>
        <v>0</v>
      </c>
      <c r="OV28">
        <f>VLOOKUP($T28,Efgr,Data!$AN$53)</f>
        <v>0</v>
      </c>
      <c r="OW28">
        <f>VLOOKUP($R28,Afgr,Data!$BQ$3)</f>
        <v>0</v>
      </c>
      <c r="OX28">
        <f>VLOOKUP($X28,Afgr,Data!$BR$3)</f>
        <v>0</v>
      </c>
      <c r="OY28">
        <f>OV28*OW28*OX28</f>
        <v>0</v>
      </c>
      <c r="OZ28" s="3">
        <f>OY28*Z28</f>
        <v>0</v>
      </c>
      <c r="PB28">
        <f>VLOOKUP($T28,Efgr,Data!$AO$53)</f>
        <v>0</v>
      </c>
      <c r="PC28">
        <f>VLOOKUP($O28,Afgr,Data!$BQ$3)</f>
        <v>0</v>
      </c>
      <c r="PD28">
        <f>VLOOKUP($R28,Afgr,Data!$BS$3)</f>
        <v>0</v>
      </c>
      <c r="PE28" s="3">
        <f>PB28*PC28*PD28*$Z28</f>
        <v>0</v>
      </c>
      <c r="PG28">
        <f>VLOOKUP($T28,Efgr,Data!$AO$53)</f>
        <v>0</v>
      </c>
      <c r="PH28">
        <f>VLOOKUP($R28,Afgr,Data!$BQ$3)</f>
        <v>0</v>
      </c>
      <c r="PI28">
        <f>VLOOKUP($X28,Afgr,Data!$BS$3)</f>
        <v>0</v>
      </c>
      <c r="PJ28" s="3">
        <f>PG28*PH28*PI28*$Z28</f>
        <v>0</v>
      </c>
      <c r="PK28" s="3"/>
      <c r="PL28" s="3">
        <f>VLOOKUP($O28,Afgr,Data!$BU$3)</f>
        <v>0</v>
      </c>
      <c r="PM28" s="3">
        <f>PL28*Z28</f>
        <v>0</v>
      </c>
      <c r="PN28" s="3">
        <f>VLOOKUP($R28,Afgr,Data!$BU$3)</f>
        <v>0</v>
      </c>
      <c r="PO28" s="3">
        <f>PN28*Z28</f>
        <v>0</v>
      </c>
      <c r="PQ28">
        <f>VLOOKUP(R28,Afgr,Data!$BX$3)+VLOOKUP(T28,Efgr,Data!$AQ$53)</f>
        <v>1</v>
      </c>
      <c r="PR28">
        <f>IF(PQ28&gt;0,Z28,0)</f>
        <v>2.02</v>
      </c>
      <c r="PT28">
        <f>VLOOKUP($O28,Afgr,Data!$BT$3)</f>
        <v>1</v>
      </c>
      <c r="PU28" s="3">
        <f>PT28*Z28</f>
        <v>2.02</v>
      </c>
      <c r="PV28">
        <f>VLOOKUP($R28,Afgr,Data!$BT$3)</f>
        <v>1</v>
      </c>
      <c r="PW28" s="3">
        <f>PV28*Z28</f>
        <v>2.02</v>
      </c>
      <c r="PY28">
        <f>VLOOKUP($R28,Afgr,Data!$BV$3)</f>
        <v>0</v>
      </c>
      <c r="PZ28">
        <f>PY28*Z28</f>
        <v>0</v>
      </c>
      <c r="QB28">
        <f>VLOOKUP($R28,Afgr,Data!$BW$3)</f>
        <v>0</v>
      </c>
      <c r="QC28">
        <f>QB28*Z28</f>
        <v>0</v>
      </c>
      <c r="QE28">
        <f>AM28*IF(VLOOKUP($R28,Afgr,Data!$BJ$3)&gt;0,1,0)</f>
        <v>0</v>
      </c>
      <c r="QF28">
        <f>QE28*Z28</f>
        <v>0</v>
      </c>
      <c r="QH28">
        <f>AM28*VLOOKUP(R28,Afgr,Data!$BK$3)</f>
        <v>0</v>
      </c>
      <c r="QI28">
        <f>Z28*QH28</f>
        <v>0</v>
      </c>
      <c r="QJ28">
        <f>$AM28*VLOOKUP($R28,Afgr,Data!$BL$3)+$BR28*VLOOKUP($T28,Efgr,Data!$AP$53)</f>
        <v>3000</v>
      </c>
      <c r="QK28">
        <f>QJ28*Z28</f>
        <v>6060</v>
      </c>
      <c r="QL28">
        <f>$AM28*VLOOKUP($R28,Afgr,Data!$BM$3)</f>
        <v>0</v>
      </c>
      <c r="QM28">
        <f>QL28*Z28</f>
        <v>0</v>
      </c>
      <c r="QN28">
        <f>$AM28*VLOOKUP($R28,Afgr,Data!$BN$3)</f>
        <v>0</v>
      </c>
      <c r="QO28">
        <f>QN28*Z28</f>
        <v>0</v>
      </c>
      <c r="QR28">
        <f>IF(VLOOKUP($R28,Afgr,Data!$DA$3)="Vårbyg",$AN28,0)*VLOOKUP($R28,Afgr,Data!$BJ$3)</f>
        <v>0</v>
      </c>
      <c r="QS28">
        <f>IF(VLOOKUP($R28,Afgr,Data!$DA$3)="Vinterbyg",$AN28,0)*VLOOKUP($R28,Afgr,Data!$BJ$3)</f>
        <v>0</v>
      </c>
      <c r="QT28">
        <f>IF(VLOOKUP($R28,Afgr,Data!$DA$3)="Havre",$AN28,0)*VLOOKUP($R28,Afgr,Data!$BJ$3)</f>
        <v>0</v>
      </c>
      <c r="QU28">
        <f>IF(VLOOKUP($R28,Afgr,Data!$DA$3)="Hvede",$AN28,0)*VLOOKUP($R28,Afgr,Data!$BJ$3)</f>
        <v>0</v>
      </c>
      <c r="QV28">
        <f>IF(VLOOKUP($R28,Afgr,Data!$DA$3)="Triticale",$AN28,0)*VLOOKUP($R28,Afgr,Data!$BJ$3)</f>
        <v>0</v>
      </c>
      <c r="QW28">
        <f>IF(VLOOKUP($R28,Afgr,Data!$DA$3)="Rug",$AN28,0)*VLOOKUP($R28,Afgr,Data!$BJ$3)</f>
        <v>0</v>
      </c>
      <c r="QX28">
        <f>IF(VLOOKUP($R28,Afgr,Data!$DA$3)="Majs",$AN28,0)*VLOOKUP($R28,Afgr,Data!$BJ$3)</f>
        <v>0</v>
      </c>
      <c r="RA28">
        <f>IF(OV28+PB28&gt;0,1,0)</f>
        <v>0</v>
      </c>
      <c r="RB28">
        <f>RA28*LW28</f>
        <v>0</v>
      </c>
      <c r="RC28">
        <f>RA28*MT28</f>
        <v>0</v>
      </c>
      <c r="RD28">
        <f>ND28</f>
        <v>0</v>
      </c>
      <c r="RE28">
        <f>RA28*OB28</f>
        <v>0</v>
      </c>
      <c r="RH28">
        <f>VLOOKUP(B28,Jordtype,Data!$Y$112+DenitNr-1)</f>
        <v>7.25</v>
      </c>
      <c r="RI28">
        <f>FF28*VLOOKUP(B28,Jordtype,Data!$AB$112+DenitNr-1)</f>
        <v>0</v>
      </c>
      <c r="RJ28">
        <f>((CJ28+CK28+CL28+Regn2!CO28*0.7)-(RR28+RT28))*VLOOKUP(B28,Jordtype,Data!$AE$112+DenitNr-1)</f>
        <v>0</v>
      </c>
      <c r="RK28">
        <f>0*VLOOKUP(B28,Jordtype,Data!$AE$112+DenitNr-1)</f>
        <v>0</v>
      </c>
      <c r="RL28">
        <f>Regn2!FD28*VLOOKUP(B28,Jordtype,Data!$AH$112+DenitNr-1)</f>
        <v>0</v>
      </c>
      <c r="RM28" s="3">
        <f>RH28+RI28+RJ28+RK28+RL28</f>
        <v>7.25</v>
      </c>
      <c r="RO28">
        <v>2</v>
      </c>
      <c r="RP28">
        <f>(FF28)*RO28*0.01</f>
        <v>0</v>
      </c>
      <c r="RQ28">
        <v>7</v>
      </c>
      <c r="RR28">
        <f>CE28*RQ28*0.01</f>
        <v>0</v>
      </c>
      <c r="RS28">
        <v>7</v>
      </c>
      <c r="RT28">
        <f>(Regn2!CF28+Regn2!CG28)*RS28*0.01</f>
        <v>0</v>
      </c>
      <c r="RW28">
        <f>VLOOKUP(R28,Afgr,Data!$EE$3)</f>
        <v>0</v>
      </c>
      <c r="RX28" s="3">
        <f>RP28+RR28+RT28+RV28+RW28</f>
        <v>0</v>
      </c>
    </row>
    <row r="29" spans="1:492" x14ac:dyDescent="0.25">
      <c r="GT29" s="12"/>
    </row>
    <row r="30" spans="1:492" x14ac:dyDescent="0.25">
      <c r="A30" s="214" t="str">
        <f>Nbal!B30</f>
        <v>11-0</v>
      </c>
      <c r="B30">
        <v>6</v>
      </c>
      <c r="C30">
        <v>1</v>
      </c>
      <c r="D30">
        <f>IF(C30=1,VLOOKUP(B30,Jordtype,Data!$K$112),VLOOKUP(B30,Jordtype,Data!$L$112))</f>
        <v>9</v>
      </c>
      <c r="E30">
        <f>IF(C30=1,VLOOKUP(B30,Jordtype,Data!$M$112),VLOOKUP(B30,Jordtype,Data!$N$112))</f>
        <v>14</v>
      </c>
      <c r="F30">
        <f>IF(OR(B30=1,B30=3),0,IF(OR(B30=2,B30=4),1,IF(OR(B30=5,B30=6),2,3)))</f>
        <v>2</v>
      </c>
      <c r="G30">
        <f>IF(C30=1,VLOOKUP(B30,Jordtype,Data!$Q$112),VLOOKUP(B30,Jordtype,Data!$R$112))</f>
        <v>25</v>
      </c>
      <c r="H30">
        <f>IF(C30=1,VLOOKUP(B30,Jordtype,Data!$O$112),VLOOKUP(B30,Jordtype,Data!$P$112))</f>
        <v>19</v>
      </c>
      <c r="I30">
        <f>IF(B30&lt;5,0,1)</f>
        <v>1</v>
      </c>
      <c r="J30">
        <f>IF(B30&lt;5,PlojJB,1)</f>
        <v>1</v>
      </c>
      <c r="K30">
        <f>IF(B30&lt;5,SaaJB,1)</f>
        <v>1</v>
      </c>
      <c r="L30">
        <f>IF(C30=1,VLOOKUP(B30,Jordtype,Data!$S$112),VLOOKUP(B30,Jordtype,Data!$T$112))</f>
        <v>8</v>
      </c>
      <c r="M30">
        <f>IF(C30=1,VLOOKUP(B30,Jordtype,Data!$U$112),VLOOKUP(B30,Jordtype,Data!$V$112))</f>
        <v>13</v>
      </c>
      <c r="O30">
        <v>40</v>
      </c>
      <c r="P30">
        <v>1</v>
      </c>
      <c r="Q30" t="b">
        <v>0</v>
      </c>
      <c r="R30">
        <v>35</v>
      </c>
      <c r="S30">
        <v>1</v>
      </c>
      <c r="T30">
        <v>1</v>
      </c>
      <c r="U30">
        <v>1</v>
      </c>
      <c r="V30">
        <v>1</v>
      </c>
      <c r="X30">
        <v>35</v>
      </c>
      <c r="Z30">
        <f>Nbal!AG30</f>
        <v>2.72</v>
      </c>
      <c r="AA30">
        <v>1</v>
      </c>
      <c r="AB30">
        <f>VLOOKUP($R30,Afgr,G30)</f>
        <v>159</v>
      </c>
      <c r="AC30">
        <f>VLOOKUP($O30,Afgr,Data!$AI$3)*VLOOKUP(R30,Afgr,Data!$AJ$3)</f>
        <v>0</v>
      </c>
      <c r="AD30">
        <f>IF($Q30,0,VLOOKUP($P30,Efgr,(Data!$W$53+$V$6-1)))</f>
        <v>0</v>
      </c>
      <c r="AE30">
        <f>AB30-AC30-AD30</f>
        <v>159</v>
      </c>
      <c r="AF30">
        <f>AE30*Z30</f>
        <v>432.48</v>
      </c>
      <c r="AH30">
        <f>VLOOKUP(R30,Afgr,D30)</f>
        <v>81</v>
      </c>
      <c r="AI30">
        <f>VLOOKUP(O30,Afgr,Data!$AL$3)*VLOOKUP(R30,Afgr,E30)</f>
        <v>0</v>
      </c>
      <c r="AJ30">
        <f>VLOOKUP(P30,Efgr,(Data!$Y$53+I30))</f>
        <v>0</v>
      </c>
      <c r="AK30">
        <f>AH30+AI30+AJ30</f>
        <v>81</v>
      </c>
      <c r="AL30">
        <f>AH30+AI30+AJ30</f>
        <v>81</v>
      </c>
      <c r="AM30" s="3">
        <f>IF(Nbal!CK30&lt;&gt;"",Nbal!CK30,AL30)</f>
        <v>72</v>
      </c>
      <c r="AN30">
        <f>AM30*Z30</f>
        <v>195.84</v>
      </c>
      <c r="AO30" t="str">
        <f>VLOOKUP(R30,Afgr,3)</f>
        <v>hkg</v>
      </c>
      <c r="AP30">
        <f>IF(AO30="FE",VLOOKUP($R30,Afgr,Data!$AV$3),0)</f>
        <v>0</v>
      </c>
      <c r="AR30">
        <f>VLOOKUP(R30,Afgr,4)</f>
        <v>145</v>
      </c>
      <c r="AS30" s="3">
        <f>IF(Nbal!CW30&lt;&gt;"",Nbal!CW30,AR30)</f>
        <v>145</v>
      </c>
      <c r="AT30" s="3">
        <f>AM30*AS30</f>
        <v>10440</v>
      </c>
      <c r="AU30" s="3">
        <f>AN30*AS30</f>
        <v>28396.799999999999</v>
      </c>
      <c r="AW30">
        <f>VLOOKUP(R30,Afgr,Data!$AN$3)</f>
        <v>0</v>
      </c>
      <c r="AX30" s="3">
        <f>IF(Nbal!DC30&lt;&gt;"",Nbal!DC30,AW30)</f>
        <v>0</v>
      </c>
      <c r="AY30" s="3">
        <f>AX30*Z30</f>
        <v>0</v>
      </c>
      <c r="BA30">
        <f>VLOOKUP(R30,Afgr,H30)</f>
        <v>4700</v>
      </c>
      <c r="BB30">
        <f>IF(ISERROR(BA30*AM30/AK30),0,(BA30*AM30/AK30))</f>
        <v>4177.7777777777774</v>
      </c>
      <c r="BC30" s="3">
        <f>IF(Nbal!DI30&lt;&gt;"",Nbal!DI30,BB30)</f>
        <v>4177.7777777777774</v>
      </c>
      <c r="BD30">
        <f>BC30*Z30</f>
        <v>11363.555555555555</v>
      </c>
      <c r="BG30">
        <f>IF($S30=1,BC30,0)</f>
        <v>4177.7777777777774</v>
      </c>
      <c r="BH30">
        <f>IF($S30=1,BD30,0)</f>
        <v>11363.555555555555</v>
      </c>
      <c r="BI30">
        <f>VLOOKUP(R30,Afgr,Data!$AM$3)</f>
        <v>0.5</v>
      </c>
      <c r="BJ30">
        <f>IF(Nbal!DR30&lt;&gt;"",Nbal!DR30,BI30)</f>
        <v>0.5</v>
      </c>
      <c r="BK30">
        <f>BG30*BJ30</f>
        <v>2088.8888888888887</v>
      </c>
      <c r="BL30">
        <f>BH30*BJ30</f>
        <v>5681.7777777777774</v>
      </c>
      <c r="BN30">
        <f>VLOOKUP($T30,Efgr,M30)</f>
        <v>0</v>
      </c>
      <c r="BO30">
        <f>BN30*Z30</f>
        <v>0</v>
      </c>
      <c r="BQ30">
        <f>VLOOKUP(T30,Efgr,NormudbKolonneNrEfgr1)</f>
        <v>0</v>
      </c>
      <c r="BR30" s="3">
        <f>IF(Nbal!FE30&lt;&gt;"",Nbal!FE30,BQ30)</f>
        <v>0</v>
      </c>
      <c r="BS30">
        <f>BR30*Z30</f>
        <v>0</v>
      </c>
      <c r="BT30" t="s">
        <v>37</v>
      </c>
      <c r="BU30">
        <f>BR30*Efterslaetpris</f>
        <v>0</v>
      </c>
      <c r="BV30">
        <f>BS30*Efterslaetpris</f>
        <v>0</v>
      </c>
      <c r="BW30">
        <f>VLOOKUP(T30,Efgr,Data!$AG$53)</f>
        <v>0</v>
      </c>
      <c r="BX30">
        <f>BR30*BW30</f>
        <v>0</v>
      </c>
      <c r="BZ30">
        <f>Nbal!AQ30</f>
        <v>0</v>
      </c>
      <c r="CA30" s="211">
        <f>Nbal!AT30</f>
        <v>108</v>
      </c>
      <c r="CB30" s="2">
        <f>Nbal!DZ30</f>
        <v>0</v>
      </c>
      <c r="CC30" s="211">
        <f>Nbal!AT30+Nbal!DZ30</f>
        <v>108</v>
      </c>
      <c r="CD30" s="211">
        <f>Nbal!AX30</f>
        <v>0</v>
      </c>
      <c r="CE30">
        <f>Nbal!BH30</f>
        <v>0</v>
      </c>
      <c r="CF30" s="211">
        <f>Nbal!BM30</f>
        <v>119</v>
      </c>
      <c r="CG30" s="2">
        <f>Nbal!EI30</f>
        <v>0</v>
      </c>
      <c r="CH30" s="211">
        <f>Nbal!BM30+Nbal!EI30</f>
        <v>119</v>
      </c>
      <c r="CI30" s="211">
        <f>Nbal!BW30</f>
        <v>0</v>
      </c>
      <c r="CJ30" s="211">
        <f>Nbal!BH30*Nbal!BJ30*0.01</f>
        <v>0</v>
      </c>
      <c r="CK30" s="211">
        <f>(Nbal!BM30*Nbal!BP30*0.01)</f>
        <v>88.333700000000007</v>
      </c>
      <c r="CL30" s="211">
        <f>(Nbal!EI30*Nbal!EL30*0.01)</f>
        <v>0</v>
      </c>
      <c r="CM30" s="211">
        <f>(Nbal!BM30*Nbal!BP30*0.01)+(Nbal!EI30*Nbal!EL30*0.01)</f>
        <v>88.333700000000007</v>
      </c>
      <c r="CN30" s="211">
        <f>Nbal!BW30*Nbal!BY30*0.01</f>
        <v>0</v>
      </c>
      <c r="CO30">
        <f>Nbal!BT30+Nbal!ER30</f>
        <v>0</v>
      </c>
      <c r="CQ30">
        <f>Nbal!BA30</f>
        <v>0</v>
      </c>
      <c r="CR30">
        <f>Nbal!EC30</f>
        <v>0</v>
      </c>
      <c r="CS30">
        <f>(CQ30+CR30)*Z30</f>
        <v>0</v>
      </c>
      <c r="CT30">
        <f>Nbal!CB30</f>
        <v>26</v>
      </c>
      <c r="CU30">
        <f>Nbal!EV30</f>
        <v>0</v>
      </c>
      <c r="CV30">
        <f>(CT30+CU30)*Z30</f>
        <v>70.72</v>
      </c>
      <c r="CW30">
        <f>Nbal!BA30+Nbal!CB30+Nbal!EC30+Nbal!EV30</f>
        <v>26</v>
      </c>
      <c r="CY30">
        <f>Nbal!BD30</f>
        <v>0</v>
      </c>
      <c r="CZ30">
        <f>Nbal!EF30</f>
        <v>0</v>
      </c>
      <c r="DA30">
        <f>(CY30+CZ30)*Z30</f>
        <v>0</v>
      </c>
      <c r="DB30">
        <f>Nbal!CE30</f>
        <v>61</v>
      </c>
      <c r="DC30">
        <f>Nbal!EY30</f>
        <v>0</v>
      </c>
      <c r="DD30">
        <f>(DB30+DC30)*Z30</f>
        <v>165.92000000000002</v>
      </c>
      <c r="DE30">
        <f>Nbal!BD30+Nbal!CE30+Nbal!EF30+Nbal!EY30</f>
        <v>61</v>
      </c>
      <c r="DG30">
        <f>VLOOKUP($R30,Afgr,Data!$AW$3)</f>
        <v>10.7</v>
      </c>
      <c r="DH30">
        <f>IF($AO30="FE",$AM30*$AP30*$DG30*0.01,$AM30*100*$DM30*0.01*$DG30*0.01)</f>
        <v>654.83999999999992</v>
      </c>
      <c r="DI30">
        <f>IF(VLOOKUP(R30,Afgr,Data!$BO$3)=1,DH30,0)*Z30</f>
        <v>1781.1648</v>
      </c>
      <c r="DJ30" s="12">
        <f>(BZ30+CC30+CJ30-AE30)*VLOOKUP($R30,Afgr,Data!$AX$3)</f>
        <v>-1.02</v>
      </c>
      <c r="DK30">
        <f>DG30+DJ30</f>
        <v>9.68</v>
      </c>
      <c r="DL30">
        <f>IF(Nbal!CQ30&lt;&gt;"",Nbal!CQ30,DK30)</f>
        <v>10</v>
      </c>
      <c r="DM30">
        <f>VLOOKUP(R30,Afgr,Data!$AT$3)</f>
        <v>85</v>
      </c>
      <c r="DN30">
        <f>IF($AO30="FE",$AM30*$AP30*$DL30*0.01,$AM30*100*$DM30*0.01*DL30*0.01)</f>
        <v>612</v>
      </c>
      <c r="DO30">
        <f>IF(VLOOKUP(R30,Afgr,Data!$BO$3)=1,DN30,0)*Z30</f>
        <v>1664.64</v>
      </c>
      <c r="DP30">
        <f>IF(ISERROR(DN30/VLOOKUP(R30,Afgr,Data!$AY$3)),0,DN30/VLOOKUP(R30,Afgr,Data!$AY$3))</f>
        <v>107.36842105263158</v>
      </c>
      <c r="DQ30">
        <f>DP30*Z30</f>
        <v>292.04210526315791</v>
      </c>
      <c r="DS30">
        <f>IF($AO30="FE",$AM30*$AP30*VLOOKUP($R30,Afgr,Data!$BC$3)*0.001,$AM30*100*$DM30*0.01*VLOOKUP($R30,Afgr,Data!$BC$3)*0.001)</f>
        <v>20.808</v>
      </c>
      <c r="DT30">
        <f>DS30*Z30</f>
        <v>56.597760000000001</v>
      </c>
      <c r="DV30">
        <f>IF($AO30="FE",$AM30*$AP30*VLOOKUP($R30,Afgr,Data!$BF$3)*0.001,$AM30*100*$DM30*0.01*VLOOKUP($R30,Afgr,Data!$BF$3)*0.001)</f>
        <v>29.376000000000001</v>
      </c>
      <c r="DW30">
        <f>DV30*Z30</f>
        <v>79.902720000000002</v>
      </c>
      <c r="DY30">
        <f>IF(ISERROR(VLOOKUP(R30,Afgr,Data!$AZ$3)*DL30/DG30),0,VLOOKUP(R30,Afgr,Data!$AZ$3)*DL30/DG30)</f>
        <v>3.0957943925233646</v>
      </c>
      <c r="DZ30">
        <f>VLOOKUP(R30,Afgr,Data!$AU$3)</f>
        <v>85</v>
      </c>
      <c r="EA30">
        <f>IF($S30=1,$BC30*$DZ30*0.01*DY30*0.01,0)</f>
        <v>109.93509865005191</v>
      </c>
      <c r="EB30">
        <f>EA30/6.25</f>
        <v>17.589615784008306</v>
      </c>
      <c r="EC30">
        <f>EB30*Z30</f>
        <v>47.843754932502591</v>
      </c>
      <c r="EE30">
        <f>IF($S30=1,$BC30*$DZ30*0.01*VLOOKUP($R30,Afgr,Data!$BD$3)*0.001,0)</f>
        <v>3.1960000000000002</v>
      </c>
      <c r="EF30">
        <f>EE30*Z30</f>
        <v>8.6931200000000004</v>
      </c>
      <c r="EH30">
        <f>IF($S30=1,$BC30*$DZ30*0.01*VLOOKUP($R30,Afgr,Data!$BG$3)*0.001,0)</f>
        <v>53.266666666666666</v>
      </c>
      <c r="EI30">
        <f>EH30*Z30</f>
        <v>144.88533333333334</v>
      </c>
      <c r="EK30">
        <f>VLOOKUP(T30,Efgr,Data!$AI$53)</f>
        <v>0</v>
      </c>
      <c r="EL30">
        <f>BX30*EK30*0.01/6.25</f>
        <v>0</v>
      </c>
      <c r="EM30">
        <f>EL30*Z30</f>
        <v>0</v>
      </c>
      <c r="EO30">
        <f>$BX30*VLOOKUP($T30,Efgr,Data!$AJ$53)*0.001</f>
        <v>0</v>
      </c>
      <c r="EP30">
        <f>EO30*Z30</f>
        <v>0</v>
      </c>
      <c r="ER30">
        <f>$BX30*VLOOKUP($T30,Efgr,Data!$AK$53)*0.001</f>
        <v>0</v>
      </c>
      <c r="ES30">
        <f>ER30*Z30</f>
        <v>0</v>
      </c>
      <c r="EU30">
        <f>IF(VLOOKUP(R30,Afgr,Data!$DS$3)=1,DP30*VLOOKUP(R30,Afgr,(Data!$DT$3+EftervirkningUdb1))*VLOOKUP(R30,Afgr,Data!$DV$3),0)</f>
        <v>0</v>
      </c>
      <c r="EV30">
        <f>IF(VLOOKUP(R30,Afgr,Data!$DS$3)=2,VLOOKUP(R30,Afgr,Data!$DX$3),0)</f>
        <v>0</v>
      </c>
      <c r="EW30">
        <f>IF(VLOOKUP(R30,Afgr,Data!$DS$3)=3,$DP30*VLOOKUP($R30,Afgr,IF(Jordtype1&lt;5,Data!$DT$3,Data!$DU$3))*VLOOKUP($R30,Afgr,Data!$DV$3),0)</f>
        <v>0</v>
      </c>
      <c r="EX30">
        <f>IF(VLOOKUP(R30,Afgr,Data!$DS$3)=4,(1.232+0.00469*AM30*100+(0.000256*AM30*100+0.089)*60),0)</f>
        <v>0</v>
      </c>
      <c r="EY30" s="211">
        <f>BZ30+CA30+CJ30+CK30</f>
        <v>196.33370000000002</v>
      </c>
      <c r="EZ30">
        <f>IF(VLOOKUP($R30,Afgr,Data!$DS$3)=5,($AM30*0.02742-$AM30*0.0001*$EY30+$AM30*0.0000001111*$EY30*$EY30),0)</f>
        <v>0</v>
      </c>
      <c r="FA30" s="2">
        <f>CB30+CL30</f>
        <v>0</v>
      </c>
      <c r="FB30">
        <f>IF(VLOOKUP($T30,Efgr,Data!$BH$53)=5,($BR30*0.02742-$BR30*0.0001*$FA30+$BR30*0.0000001111*$FA30*$FA30),0)</f>
        <v>0</v>
      </c>
      <c r="FC30" s="3">
        <f>EU30+EV30+EW30+EX30+EZ30+FB30</f>
        <v>0</v>
      </c>
      <c r="FD30" s="3">
        <f>FC30*Z30</f>
        <v>0</v>
      </c>
      <c r="FF30" s="211">
        <f>BZ30+CC30</f>
        <v>108</v>
      </c>
      <c r="FG30" s="211">
        <f>FF30*Z30</f>
        <v>293.76000000000005</v>
      </c>
      <c r="FH30" s="211">
        <f>CE30+CH30+CO30</f>
        <v>119</v>
      </c>
      <c r="FI30" s="211">
        <f>FH30*Z30</f>
        <v>323.68</v>
      </c>
      <c r="FJ30">
        <f>VLOOKUP($R30,Afgr,Data!$DK$3)*VLOOKUP($R30,Afgr,Data!$AT$3)*0.01*VLOOKUP($R30,Afgr,Data!$AW$3)*0.01/6.25</f>
        <v>2.3283199999999997</v>
      </c>
      <c r="FK30">
        <f>FJ30*Z30</f>
        <v>6.3330303999999993</v>
      </c>
      <c r="FL30" s="4">
        <f>IF(R30&gt;1,Deposition,0)</f>
        <v>15</v>
      </c>
      <c r="FM30" s="4">
        <f>FL30*Z30</f>
        <v>40.800000000000004</v>
      </c>
      <c r="FN30">
        <f>FC30</f>
        <v>0</v>
      </c>
      <c r="FO30">
        <f>FN30*Z30</f>
        <v>0</v>
      </c>
      <c r="FP30" s="211">
        <f>SUM(FF30,FH30,FJ30,FL30,FN30)</f>
        <v>244.32831999999999</v>
      </c>
      <c r="FQ30">
        <f>DP30+EB30+EL30</f>
        <v>124.95803683663988</v>
      </c>
      <c r="FR30" s="3">
        <f>FP30-FQ30</f>
        <v>119.37028316336011</v>
      </c>
      <c r="FS30" s="19">
        <f>FP30*Z30</f>
        <v>664.57303039999999</v>
      </c>
      <c r="FT30" s="19">
        <f>FQ30*Z30</f>
        <v>339.88586019566048</v>
      </c>
      <c r="FU30" s="3">
        <f>FR30*Z30</f>
        <v>324.68717020433951</v>
      </c>
      <c r="FW30">
        <f>CW30</f>
        <v>26</v>
      </c>
      <c r="FX30">
        <f>FW30*Z30</f>
        <v>70.72</v>
      </c>
      <c r="FY30">
        <f>IX30+MB30</f>
        <v>24.004000000000001</v>
      </c>
      <c r="FZ30">
        <f>FY30*Z30</f>
        <v>65.290880000000001</v>
      </c>
      <c r="GA30">
        <f>FW30-FY30</f>
        <v>1.9959999999999987</v>
      </c>
      <c r="GB30">
        <f>GA30*Z30</f>
        <v>5.4291199999999966</v>
      </c>
      <c r="GD30">
        <f>DE30</f>
        <v>61</v>
      </c>
      <c r="GE30">
        <f>GD30*Z30</f>
        <v>165.92000000000002</v>
      </c>
      <c r="GF30">
        <f>JE30+MH30</f>
        <v>82.64266666666667</v>
      </c>
      <c r="GG30">
        <f>GF30*Z30</f>
        <v>224.78805333333335</v>
      </c>
      <c r="GH30">
        <f>GD30-GF30</f>
        <v>-21.64266666666667</v>
      </c>
      <c r="GI30">
        <f>GH30*Z30</f>
        <v>-58.86805333333335</v>
      </c>
      <c r="GK30">
        <f>AA30</f>
        <v>1</v>
      </c>
      <c r="GL30" s="211">
        <f>FF30+FH30+FN30</f>
        <v>227</v>
      </c>
      <c r="GM30" s="211">
        <f>IF(R30=1,"",IF(GK30=1,GL30,""))</f>
        <v>227</v>
      </c>
      <c r="GN30" s="211" t="str">
        <f>IF(R30=1,"",IF(GK30=2,GL30,""))</f>
        <v/>
      </c>
      <c r="GO30" s="211" t="str">
        <f>IF(R30=1,"",IF(GK30=3,GL30,""))</f>
        <v/>
      </c>
      <c r="GP30" s="211" t="str">
        <f>IF(R30=1,"",IF(GK30=4,GL30,""))</f>
        <v/>
      </c>
      <c r="GQ30" s="149">
        <f>IF(OR(R30=1,VLOOKUP(R30,Afgr,Data!$BV$3)=1,VLOOKUP(R30,Afgr,Data!$BW$3)=1),0,IF(GK30=1,Nniveau1,IF(GK30=2,Nniveau2,IF(GK30=3,Nniveau3,IF(GK30=4,Nniveau4,GL30)))))</f>
        <v>173.16922222222217</v>
      </c>
      <c r="GR30" s="222">
        <v>0.32550000000000001</v>
      </c>
      <c r="GS30" s="6">
        <v>0</v>
      </c>
      <c r="GT30" s="149">
        <f>CC30+CM30</f>
        <v>196.33370000000002</v>
      </c>
      <c r="GU30" s="6">
        <f>$FN30</f>
        <v>0</v>
      </c>
      <c r="GV30" s="222">
        <v>0.25280000000000002</v>
      </c>
      <c r="GW30">
        <f>CO30</f>
        <v>0</v>
      </c>
      <c r="GX30" s="222">
        <v>0.376</v>
      </c>
      <c r="GY30" s="149">
        <f>CD30+CN30</f>
        <v>0</v>
      </c>
      <c r="GZ30" s="222">
        <f>IF(B30&gt;3,0.3539,1.0749)</f>
        <v>0.35389999999999999</v>
      </c>
      <c r="HA30" s="11">
        <f>$FQ30</f>
        <v>124.95803683663988</v>
      </c>
      <c r="HB30" s="222">
        <v>0.19359999999999999</v>
      </c>
      <c r="HC30" s="222">
        <f>VLOOKUP($R30,Afgr,Data!$DM$3)</f>
        <v>1</v>
      </c>
      <c r="HD30" s="24">
        <f>IF($HC30&gt;1,0,(VLOOKUP($X30,Afgr,Data!$DP$3)+IF(VLOOKUP($X30,Afgr,Data!$DP$3)=0,VLOOKUP($T30,Efgr,Data!$BI$53,0))))+IF(AND($HC30=7,VLOOKUP($X30,Afgr,Data!$DQ$3)=-2),-2,0)+IF(AND($HC30=6,VLOOKUP($T30,Efgr,Data!$BI$53)=2),8,0)</f>
        <v>1</v>
      </c>
      <c r="HE30" s="6">
        <f>VLOOKUP(SUM(HC30:HD30),Nlesafgr,3)</f>
        <v>-7.6</v>
      </c>
      <c r="HF30" s="7">
        <f>VLOOKUP($O30,Afgr,Data!$DN$3)</f>
        <v>1</v>
      </c>
      <c r="HG30" s="24">
        <f>IF(HF30&gt;1,0,VLOOKUP($R30,Afgr,Data!$DO$3)+IF(VLOOKUP($R30,Afgr,Data!$DO$3)=1,0,VLOOKUP($P30,Efgr,Data!$BJ$53)))</f>
        <v>0</v>
      </c>
      <c r="HH30" s="6">
        <f>VLOOKUP(SUM(HF30:HG30),Nlesforfrugt,3)</f>
        <v>0</v>
      </c>
      <c r="HI30" s="222">
        <f>GR30*GQ30+GV30*(GT30+GU30)+GX30*GW30+GZ30*GY30-HB30*HA30+HE30+HH30</f>
        <v>74.207865261759864</v>
      </c>
      <c r="HJ30" s="222">
        <f>Nlesafskaering</f>
        <v>59.6</v>
      </c>
      <c r="HK30" s="222">
        <f>Teknologi1</f>
        <v>2455</v>
      </c>
      <c r="HL30" s="6">
        <v>2001</v>
      </c>
      <c r="HM30" s="222">
        <f>Teknologi2</f>
        <v>1962.2</v>
      </c>
      <c r="HN30" s="222">
        <f>Tandel</f>
        <v>0.54659999999999997</v>
      </c>
      <c r="HO30" s="222">
        <f>IF(OR(HI30&gt;0,HI30=0),HJ30+HK30/(HL30-HM30),HJ30+HK30/(HL30-HM30)+HN30*HI30)</f>
        <v>122.87319587628873</v>
      </c>
      <c r="HP30" s="222">
        <f>IF(HI30&gt;0,HI30,0.001)</f>
        <v>74.207865261759864</v>
      </c>
      <c r="HQ30" s="222">
        <v>1.5020000000000001E-3</v>
      </c>
      <c r="HR30" s="24">
        <f>IF(R30=1,0,VLOOKUP(PostnrNbal,AfstromData,VLOOKUP($R30,Afgr,Data!$DL$3)+IF(Jordtype1&lt;7,Jordtype1,6),FALSE)-VLOOKUP(T30,Efgr,Data!$AA$53))</f>
        <v>269.74999999999898</v>
      </c>
      <c r="HS30" s="24">
        <f>IF(Nbal!GA30&lt;&gt;"",Nbal!GA30,Regn2!HR30)</f>
        <v>269.74999999999898</v>
      </c>
      <c r="HT30" s="222">
        <v>5.5400000000000002E-4</v>
      </c>
      <c r="HU30" s="24">
        <f>IF(R30=1,0,VLOOKUP(PostnrNbal,AfstromData,VLOOKUP($O30,Afgr,Data!$DL$3)+IF(B30&lt;7,B30,6),FALSE)-VLOOKUP(P30,Efgr,Data!$AA$53))</f>
        <v>304.76666666666603</v>
      </c>
      <c r="HV30" s="24">
        <f>IF(Nbal!FU30&lt;&gt;"",Nbal!FU30,Regn2!HU30)</f>
        <v>304.76666666666603</v>
      </c>
      <c r="HW30" s="222">
        <v>0.10639999999999999</v>
      </c>
      <c r="HX30" s="6">
        <f>VLOOKUP(B30,Jordtype,Data!$W$112)</f>
        <v>3</v>
      </c>
      <c r="HY30" s="222">
        <v>3.2500000000000001E-2</v>
      </c>
      <c r="HZ30" s="6">
        <f>VLOOKUP(B30,Jordtype,Data!$X$112)</f>
        <v>12</v>
      </c>
      <c r="IA30" s="222">
        <v>1.2453000000000001</v>
      </c>
      <c r="IB30" s="222">
        <f>IF(VLOOKUP(T30,Efgr,Data!$AO$53)=1,MlafgrNUdvask,0)</f>
        <v>0</v>
      </c>
      <c r="IC30" s="20">
        <f>IF(ISERROR((HO30+POWER(HP30,1.2))*(1-EXP(-HQ30*HS30))*EXP(-HT30*HV30)*EXP(-HW30*HX30)*EXP(-HY30*HZ30)*IA30),0,(HO30+POWER(HP30,1.2))*(1-EXP(-HQ30*HS30))*EXP(-HT30*HV30)*EXP(-HW30*HX30)*EXP(-HY30*HZ30)*IA30+IB30)</f>
        <v>51.460934676512672</v>
      </c>
      <c r="ID30">
        <f>IC30*Z30</f>
        <v>139.97374232011447</v>
      </c>
      <c r="IE30">
        <f>IF(Nbal!GF30&lt;&gt;"",Nbal!GF30,RetentionNbal)</f>
        <v>65</v>
      </c>
      <c r="IF30">
        <f>IC30*(100-IE30)*0.01</f>
        <v>18.011327136779435</v>
      </c>
      <c r="IG30">
        <f>IF30*Z30</f>
        <v>48.990809812040069</v>
      </c>
      <c r="IH30" s="2">
        <f>HS30*10000</f>
        <v>2697499.9999999898</v>
      </c>
      <c r="II30" s="2">
        <f>IH30*Z30</f>
        <v>7337199.999999973</v>
      </c>
      <c r="IJ30">
        <f>IF(ISERROR(IC30*1000*1000/IH30),0,IC30*1000*1000/IH30)</f>
        <v>19.077269574240169</v>
      </c>
      <c r="IL30">
        <f>AT30+AX30+BK30+BU30</f>
        <v>12528.888888888889</v>
      </c>
      <c r="IO30">
        <f>VLOOKUP(R30,Afgr,Data!$AP$3)*UdsaedJust</f>
        <v>578</v>
      </c>
      <c r="IP30" s="3">
        <f>IF(Nbal!GN30&lt;&gt;"",Nbal!GN30,IO30)</f>
        <v>578</v>
      </c>
      <c r="IQ30" s="3">
        <f>IP30*Z30</f>
        <v>1572.16</v>
      </c>
      <c r="IS30" s="3">
        <f>IF(HdgVaerdiNbal=1,(BZ30+CA30)*Npris,(BZ30+CA30+CJ30+CK30)*Npris)</f>
        <v>912.59999999999991</v>
      </c>
      <c r="IT30" s="3">
        <f>IS30*Z30</f>
        <v>2482.2719999999999</v>
      </c>
      <c r="IV30">
        <f>VLOOKUP($R30,Afgr,Data!$BA$3)</f>
        <v>0</v>
      </c>
      <c r="IW30">
        <f>VLOOKUP($R30,Afgr,Data!$BB$3)</f>
        <v>0</v>
      </c>
      <c r="IX30">
        <f>$DS30+$EE30</f>
        <v>24.004000000000001</v>
      </c>
      <c r="IY30">
        <f>CT30</f>
        <v>26</v>
      </c>
      <c r="IZ30">
        <f>CQ30</f>
        <v>0</v>
      </c>
      <c r="JA30" s="3">
        <f>IF(HdgVaerdiNbal=1,(IZ30)*Ppris,(IY30+IZ30)*Ppris)</f>
        <v>0</v>
      </c>
      <c r="JB30" s="3">
        <f>JA30*Z30</f>
        <v>0</v>
      </c>
      <c r="JD30">
        <f>IF(AND(R30&gt;1,OR(Jordtype1=1,Jordtype1=3,Markvand1=2)),Kudvask,0)</f>
        <v>0</v>
      </c>
      <c r="JE30">
        <f>$DV30+$EH30</f>
        <v>82.64266666666667</v>
      </c>
      <c r="JF30">
        <f>DB30</f>
        <v>61</v>
      </c>
      <c r="JG30">
        <f>CY30</f>
        <v>0</v>
      </c>
      <c r="JH30" s="3">
        <f>IF(HdgVaerdiNbal=1,JG30*Kpris,(JF30+JG30)*Kpris)</f>
        <v>0</v>
      </c>
      <c r="JI30" s="3">
        <f>JH30*Z30</f>
        <v>0</v>
      </c>
      <c r="JK30">
        <f>IS30+JA30+JH30</f>
        <v>912.59999999999991</v>
      </c>
      <c r="JL30" s="3">
        <f>IF(Nbal!GT30&lt;&gt;"",Nbal!GT30,$JK30)</f>
        <v>912.59999999999991</v>
      </c>
      <c r="JM30" s="3">
        <f>JL30*Z30</f>
        <v>2482.2719999999999</v>
      </c>
      <c r="JO30">
        <f>VLOOKUP(R30,Afgr,Data!$AQ$3)*PlantevJust</f>
        <v>703</v>
      </c>
      <c r="JP30" s="3">
        <f>IF(Nbal!GZ30&lt;&gt;"",Nbal!GZ30,JO30)</f>
        <v>703</v>
      </c>
      <c r="JQ30" s="3">
        <f>JP30*Z30</f>
        <v>1912.16</v>
      </c>
      <c r="JS30">
        <f>VLOOKUP(R30,Afgr,Data!$AR$3)+AM30*VLOOKUP(R30,Afgr,Data!$BH$3)</f>
        <v>0</v>
      </c>
      <c r="JT30" s="3">
        <f>IF(Nbal!HF30&lt;&gt;"",Nbal!HF30,JS30)</f>
        <v>0</v>
      </c>
      <c r="JU30">
        <f>JT30*Z30</f>
        <v>0</v>
      </c>
      <c r="JW30">
        <f>IP30+JL30+JP30+JT30</f>
        <v>2193.6</v>
      </c>
      <c r="JY30">
        <f>IF(VLOOKUP(R30,Afgr,Data!$BY$3)&gt;0,Data!$K$259*J30,0)</f>
        <v>600</v>
      </c>
      <c r="JZ30">
        <f>IF(VLOOKUP(R30,Afgr,Data!$BZ$3)&gt;0,Data!$K$260*J30,0)</f>
        <v>0</v>
      </c>
      <c r="KA30">
        <f>(JY30+JZ30)*MaskJust</f>
        <v>600</v>
      </c>
      <c r="KB30" s="3">
        <f>IF(Nbal!HL30&lt;&gt;"",Nbal!HL30,KA30)</f>
        <v>600</v>
      </c>
      <c r="KC30" s="3">
        <f>KB30*Z30</f>
        <v>1632.0000000000002</v>
      </c>
      <c r="KE30">
        <f>IF(VLOOKUP(R30,Afgr,Data!$CA$3)&gt;0,VLOOKUP(R30,Afgr,Data!$CA$3)*Data!$K$261*K30,0)</f>
        <v>0</v>
      </c>
      <c r="KF30">
        <f>IF(VLOOKUP(R30,Afgr,Data!$CC$3)&gt;0,Data!$K$262*K30,0)</f>
        <v>350</v>
      </c>
      <c r="KG30">
        <f>IF(VLOOKUP(R30,Afgr,Data!$CD$3)&gt;0,VLOOKUP(R30,Afgr,Data!$CD$3)*Data!$K$263*K30,0)</f>
        <v>0</v>
      </c>
      <c r="KH30">
        <f>IF(VLOOKUP(R30,Afgr,Data!$CE$3)&gt;0,Data!$K$264*K30,0)</f>
        <v>0</v>
      </c>
      <c r="KI30">
        <f>IF(VLOOKUP(R30,Afgr,Data!$CF$3)&gt;0,Data!$K$265*K30,0)</f>
        <v>0</v>
      </c>
      <c r="KJ30">
        <f>IF(VLOOKUP(R30,Afgr,Data!$CV$3)&gt;0,Data!$K$266,0)</f>
        <v>0</v>
      </c>
      <c r="KK30">
        <f>IF(VLOOKUP(R30,Afgr,Data!$CG$3)&gt;0,Data!$K$267*K30,0)</f>
        <v>0</v>
      </c>
      <c r="KL30">
        <f>(KE30+KF30+KG30+KH30+KI30+KJ30+KK30)*MaskJust</f>
        <v>350</v>
      </c>
      <c r="KM30" s="3">
        <f>IF(Nbal!HR30&lt;&gt;"",Nbal!HR30,KL30)</f>
        <v>350</v>
      </c>
      <c r="KN30" s="3">
        <f>KM30*Z30</f>
        <v>952.00000000000011</v>
      </c>
      <c r="KP30">
        <f>IF(VLOOKUP(R30,Afgr,Data!$CJ$3)&gt;0,VLOOKUP(R30,Afgr,Data!$CJ$3)*Data!$K$268*K30,0)*MaskJust</f>
        <v>280</v>
      </c>
      <c r="KQ30" s="3">
        <f>IF(Nbal!HX30&lt;&gt;"",Nbal!HX30,KP30)</f>
        <v>280</v>
      </c>
      <c r="KR30" s="3">
        <f>KQ30*Z30</f>
        <v>761.6</v>
      </c>
      <c r="KT30">
        <f>IF(VLOOKUP(R30,Afgr,Data!$CI$3)&gt;0,VLOOKUP(R30,Afgr,Data!$CI$3)*Data!$K$269,0)*MaskJust</f>
        <v>450</v>
      </c>
      <c r="KU30" s="3">
        <f>IF(Nbal!ID30&lt;&gt;"",Nbal!ID30,KT30)</f>
        <v>450</v>
      </c>
      <c r="KV30" s="3">
        <f>KU30*Z30</f>
        <v>1224</v>
      </c>
      <c r="KX30">
        <f>IF(C30=2,VLOOKUP($R30,Afgr,Data!$CY$3),0)</f>
        <v>0</v>
      </c>
      <c r="KY30">
        <f>IF(Nbal!IJ30&lt;&gt;"",Nbal!IJ30,$KX30)</f>
        <v>0</v>
      </c>
      <c r="KZ30">
        <f>IF(AND(R30&gt;1,C30=2),Vandmaskin+$KY30*Flytning/mmprgang+$KY30*Prisprmm,0)</f>
        <v>0</v>
      </c>
      <c r="LA30" s="3">
        <f>IF(Nbal!IP30&lt;&gt;"",Nbal!IP30,$KZ30)</f>
        <v>0</v>
      </c>
      <c r="LB30" s="3">
        <f>LA30*Z30</f>
        <v>0</v>
      </c>
      <c r="LD30">
        <f>IF(VLOOKUP($R30,Afgr,Data!$CK$3)&gt;0,((1+AM30/VLOOKUP($R30,Afgr,Data!$CK$3))/2)*VLOOKUP($R30,Afgr,Data!$CL$3)*VLOOKUP($R30,Afgr,Data!$CN$3)+VLOOKUP($R30,Afgr,Data!$CM$3),0)</f>
        <v>831.17647058823536</v>
      </c>
      <c r="LE30">
        <f>IF(VLOOKUP($R30,Afgr,Data!$CK$3)&gt;0,IF(AND($S30=2,$BA30&gt;0),Data!$K$271,0),0)</f>
        <v>0</v>
      </c>
      <c r="LF30">
        <f>IF(VLOOKUP($R30,Afgr,Data!$CK$3)&gt;0,(AM30/VLOOKUP($R30,Afgr,Data!$CK$3))*VLOOKUP($R30,Afgr,Data!$CO$3)*VLOOKUP($R30,Afgr,Data!$CN$3),0)</f>
        <v>275.29411764705884</v>
      </c>
      <c r="LG30">
        <f>(LD30+LE30+LF30)*MaskJust</f>
        <v>1106.4705882352941</v>
      </c>
      <c r="LH30" s="3">
        <f>IF(Nbal!IV30&lt;&gt;"",Nbal!IV30,LG30)</f>
        <v>1106.4705882352941</v>
      </c>
      <c r="LI30" s="3">
        <f>LH30*Z30</f>
        <v>3009.6000000000004</v>
      </c>
      <c r="LJ30" s="3"/>
      <c r="LK30">
        <f>IF(AND($S30=1,VLOOKUP($R30,Afgr,Data!$CP$3)&gt;0),((1+$BC30/VLOOKUP($R30,Afgr,Data!$CP$3))/2)*VLOOKUP($R30,Afgr,Data!$CQ$3),0)</f>
        <v>628.05555555555554</v>
      </c>
      <c r="LL30">
        <f>IF(AND($S30=1,VLOOKUP($R30,Afgr,Data!$CP$3)&gt;0),($BC30/VLOOKUP($R30,Afgr,Data!$CP$3))*VLOOKUP($R30,Afgr,Data!$CR$3),0)</f>
        <v>278.51851851851848</v>
      </c>
      <c r="LM30">
        <f>(LK30+LL30)*MaskJust</f>
        <v>906.57407407407402</v>
      </c>
      <c r="LN30" s="3">
        <f>IF(Nbal!JB30&lt;&gt;"",Nbal!JB30,LM30)</f>
        <v>906.57407407407402</v>
      </c>
      <c r="LO30" s="3">
        <f>LN30*Z30</f>
        <v>2465.8814814814814</v>
      </c>
      <c r="LQ30">
        <f>$AM30*VLOOKUP($R30,Afgr,Data!$CS$3)*IF($V30=1,VLOOKUP($R30,Afgr,Data!$CT$3),IF($V30=2,VLOOKUP($R30,Afgr,Data!$CU$3),0))</f>
        <v>665.28000000000009</v>
      </c>
      <c r="LR30" s="3">
        <f>IF(Nbal!JK30&lt;&gt;"",Nbal!JK30,LQ30)</f>
        <v>665.28000000000009</v>
      </c>
      <c r="LS30" s="3">
        <f>LR30*Z30</f>
        <v>1809.5616000000005</v>
      </c>
      <c r="LU30">
        <f>VLOOKUP($T30,Efgr,Data!$AC$53)*UdsaedJust</f>
        <v>0</v>
      </c>
      <c r="LV30" s="3">
        <f>IF(Nbal!$JS30&lt;&gt;"",Nbal!$JS30,LU30)</f>
        <v>0</v>
      </c>
      <c r="LW30" s="3">
        <f>LV30*Z30</f>
        <v>0</v>
      </c>
      <c r="LY30" s="3">
        <f>IF(HdgVaerdiNbal=1,(CB30)*Npris,(CB30+CL30)*Npris)</f>
        <v>0</v>
      </c>
      <c r="LZ30" s="3">
        <f>LY30*Z30</f>
        <v>0</v>
      </c>
      <c r="MB30">
        <f>$EO30</f>
        <v>0</v>
      </c>
      <c r="MC30">
        <f>CU30</f>
        <v>0</v>
      </c>
      <c r="MD30">
        <f>CR30</f>
        <v>0</v>
      </c>
      <c r="ME30" s="3">
        <f>IF(HdgVaerdiNbal=1,MD30*Ppris,(MC30+MD30)*Ppris)</f>
        <v>0</v>
      </c>
      <c r="MF30" s="3">
        <f>ME30*Z30</f>
        <v>0</v>
      </c>
      <c r="MH30">
        <f>$ER30</f>
        <v>0</v>
      </c>
      <c r="MI30">
        <f>DC30</f>
        <v>0</v>
      </c>
      <c r="MJ30">
        <f>CZ30</f>
        <v>0</v>
      </c>
      <c r="MK30" s="3">
        <f>IF(HdgVaerdiNbal=1,MJ30*Ppris,(MI30+MJ30)*Ppris)</f>
        <v>0</v>
      </c>
      <c r="ML30" s="3">
        <f>MK30*Z30</f>
        <v>0</v>
      </c>
      <c r="MN30">
        <f>LY30+ME30+MK30</f>
        <v>0</v>
      </c>
      <c r="MO30" s="3">
        <f>IF(Nbal!JY30&lt;&gt;"",Nbal!JY30,$MN30)</f>
        <v>0</v>
      </c>
      <c r="MP30" s="3">
        <f>MO30*Z30</f>
        <v>0</v>
      </c>
      <c r="MR30">
        <f>VLOOKUP($T30,Efgr,Data!$AE$53)*PlantevJust</f>
        <v>0</v>
      </c>
      <c r="MS30" s="3">
        <f>IF(Nbal!KE30&lt;&gt;"",Nbal!KE30,MR30)</f>
        <v>0</v>
      </c>
      <c r="MT30" s="3">
        <f>MS30*Z30</f>
        <v>0</v>
      </c>
      <c r="MV30">
        <f>VLOOKUP($T30,Efgr,Data!$AF$53)+$BR30*VLOOKUP($T30,Efgr,Data!$AL$53)</f>
        <v>0</v>
      </c>
      <c r="MW30" s="3">
        <f>IF(Nbal!KK30&lt;&gt;"",Nbal!KK30,MV30)</f>
        <v>0</v>
      </c>
      <c r="MX30" s="3">
        <f>MW30*Z30</f>
        <v>0</v>
      </c>
      <c r="MZ30">
        <f>LV30+MO30+MS30+MW30</f>
        <v>0</v>
      </c>
      <c r="NB30">
        <f>VLOOKUP($T30,Efgr,Data!$AU$53)*K30*MaskJust</f>
        <v>0</v>
      </c>
      <c r="NC30" s="3">
        <f>IF(Nbal!KQ30&lt;&gt;"",Nbal!KQ30,NB30)</f>
        <v>0</v>
      </c>
      <c r="ND30" s="3">
        <f>NC30*Z30</f>
        <v>0</v>
      </c>
      <c r="NF30">
        <f>VLOOKUP($T30,Efgr,Data!$AW$53)*Data!$K$268*K30*MaskJust</f>
        <v>0</v>
      </c>
      <c r="NG30" s="3">
        <f>IF(Nbal!KW30&lt;&gt;"",Nbal!KW30,NF30)</f>
        <v>0</v>
      </c>
      <c r="NH30" s="3">
        <f>NG30*Z30</f>
        <v>0</v>
      </c>
      <c r="NJ30">
        <f>VLOOKUP($T30,Efgr,Data!$AV$53)*Data!$K$269*MaskJust</f>
        <v>0</v>
      </c>
      <c r="NK30" s="3">
        <f>IF(Nbal!LC30&lt;&gt;"",Nbal!LC30,NJ30)</f>
        <v>0</v>
      </c>
      <c r="NL30" s="3">
        <f>NK30*Z30</f>
        <v>0</v>
      </c>
      <c r="NN30">
        <f>IF(C30=2,VLOOKUP($T30,Efgr,Data!$BC$53),0)</f>
        <v>0</v>
      </c>
      <c r="NO30">
        <f>IF(Nbal!LI30&lt;&gt;"",Nbal!LI30,$NN30)</f>
        <v>0</v>
      </c>
      <c r="NP30">
        <f>IF(C30=2,$NO30*Flytning/mmprgang+$NO30*Prisprmm,0)</f>
        <v>0</v>
      </c>
      <c r="NQ30" s="3">
        <f>IF(Nbal!LO30&lt;&gt;"",Nbal!LO30,$NP30)</f>
        <v>0</v>
      </c>
      <c r="NR30" s="3">
        <f>NQ30*Z30</f>
        <v>0</v>
      </c>
      <c r="NT30">
        <f>IF(VLOOKUP($T30,Efgr,Data!$AX$53)&gt;0,((1+BR30/VLOOKUP($T30,Efgr,Data!$AX$53))/2)*VLOOKUP($T30,Efgr,Data!$AY$53)*VLOOKUP($T30,Efgr,Data!$BA$53)+VLOOKUP($T30,Efgr,Data!$AZ$53),0)</f>
        <v>0</v>
      </c>
      <c r="NU30">
        <f>IF(VLOOKUP($T30,Efgr,Data!$AX$53)&gt;0,($BR30/VLOOKUP($T30,Efgr,Data!$AX$53))*VLOOKUP($T30,Efgr,Data!$BB$53)*VLOOKUP($T30,Efgr,Data!$BA$53),0)</f>
        <v>0</v>
      </c>
      <c r="NV30">
        <f>(NT30+NU30)*MaskJust</f>
        <v>0</v>
      </c>
      <c r="NW30" s="3">
        <f>IF(Nbal!LU30&lt;&gt;"",Nbal!LU30,NV30)</f>
        <v>0</v>
      </c>
      <c r="NX30" s="3">
        <f>NW30*Z30</f>
        <v>0</v>
      </c>
      <c r="NZ30">
        <f>IF($U30=2,Data!$K$304,IF($U30=3,Data!$K$305,0))*MaskJust</f>
        <v>0</v>
      </c>
      <c r="OA30" s="3">
        <f>IF(Nbal!MA30&lt;&gt;"",Nbal!MA30,NZ30)</f>
        <v>0</v>
      </c>
      <c r="OB30" s="3">
        <f>OA30*Z30</f>
        <v>0</v>
      </c>
      <c r="OD30">
        <f>IL30</f>
        <v>12528.888888888889</v>
      </c>
      <c r="OE30">
        <f>JW30+MZ30</f>
        <v>2193.6</v>
      </c>
      <c r="OF30">
        <f>OD30-OE30</f>
        <v>10335.288888888888</v>
      </c>
      <c r="OG30">
        <f>OF30*Z30</f>
        <v>28111.98577777778</v>
      </c>
      <c r="OJ30">
        <f>VLOOKUP($O30,Afgr,Data!$BP$3)+VLOOKUP($P30,Efgr,Data!$AM$53)</f>
        <v>1</v>
      </c>
      <c r="OK30" s="3">
        <f>OJ30*Z30</f>
        <v>2.72</v>
      </c>
      <c r="OL30">
        <f>VLOOKUP($R30,Afgr,Data!$BP$3)+VLOOKUP($T30,Efgr,Data!$AM$53)</f>
        <v>1</v>
      </c>
      <c r="OM30" s="3">
        <f>OL30*Z30</f>
        <v>2.72</v>
      </c>
      <c r="OO30">
        <f>VLOOKUP($P30,Efgr,Data!$AN$53)</f>
        <v>0</v>
      </c>
      <c r="OP30">
        <f>VLOOKUP($O30,Afgr,Data!$BQ$3)</f>
        <v>1</v>
      </c>
      <c r="OQ30">
        <f>VLOOKUP($R30,Afgr,Data!$BR$3)</f>
        <v>0</v>
      </c>
      <c r="OR30">
        <f>OO30*OP30*OQ30</f>
        <v>0</v>
      </c>
      <c r="OS30" s="3">
        <f>OR30*Z30</f>
        <v>0</v>
      </c>
      <c r="OT30" s="3">
        <f>IF(Q30,1,0)*OS30</f>
        <v>0</v>
      </c>
      <c r="OV30">
        <f>VLOOKUP($T30,Efgr,Data!$AN$53)</f>
        <v>0</v>
      </c>
      <c r="OW30">
        <f>VLOOKUP($R30,Afgr,Data!$BQ$3)</f>
        <v>1</v>
      </c>
      <c r="OX30">
        <f>VLOOKUP($X30,Afgr,Data!$BR$3)</f>
        <v>0</v>
      </c>
      <c r="OY30">
        <f>OV30*OW30*OX30</f>
        <v>0</v>
      </c>
      <c r="OZ30" s="3">
        <f>OY30*Z30</f>
        <v>0</v>
      </c>
      <c r="PB30">
        <f>VLOOKUP($T30,Efgr,Data!$AO$53)</f>
        <v>0</v>
      </c>
      <c r="PC30">
        <f>VLOOKUP($O30,Afgr,Data!$BQ$3)</f>
        <v>1</v>
      </c>
      <c r="PD30">
        <f>VLOOKUP($R30,Afgr,Data!$BS$3)</f>
        <v>1</v>
      </c>
      <c r="PE30" s="3">
        <f>PB30*PC30*PD30*$Z30</f>
        <v>0</v>
      </c>
      <c r="PG30">
        <f>VLOOKUP($T30,Efgr,Data!$AO$53)</f>
        <v>0</v>
      </c>
      <c r="PH30">
        <f>VLOOKUP($R30,Afgr,Data!$BQ$3)</f>
        <v>1</v>
      </c>
      <c r="PI30">
        <f>VLOOKUP($X30,Afgr,Data!$BS$3)</f>
        <v>1</v>
      </c>
      <c r="PJ30" s="3">
        <f>PG30*PH30*PI30*$Z30</f>
        <v>0</v>
      </c>
      <c r="PK30" s="3"/>
      <c r="PL30" s="3">
        <f>VLOOKUP($O30,Afgr,Data!$BU$3)</f>
        <v>0</v>
      </c>
      <c r="PM30" s="3">
        <f>PL30*Z30</f>
        <v>0</v>
      </c>
      <c r="PN30" s="3">
        <f>VLOOKUP($R30,Afgr,Data!$BU$3)</f>
        <v>0</v>
      </c>
      <c r="PO30" s="3">
        <f>PN30*Z30</f>
        <v>0</v>
      </c>
      <c r="PQ30">
        <f>VLOOKUP(R30,Afgr,Data!$BX$3)+VLOOKUP(T30,Efgr,Data!$AQ$53)</f>
        <v>1</v>
      </c>
      <c r="PR30">
        <f>IF(PQ30&gt;0,Z30,0)</f>
        <v>2.72</v>
      </c>
      <c r="PT30">
        <f>VLOOKUP($O30,Afgr,Data!$BT$3)</f>
        <v>1</v>
      </c>
      <c r="PU30" s="3">
        <f>PT30*Z30</f>
        <v>2.72</v>
      </c>
      <c r="PV30">
        <f>VLOOKUP($R30,Afgr,Data!$BT$3)</f>
        <v>1</v>
      </c>
      <c r="PW30" s="3">
        <f>PV30*Z30</f>
        <v>2.72</v>
      </c>
      <c r="PY30">
        <f>VLOOKUP($R30,Afgr,Data!$BV$3)</f>
        <v>0</v>
      </c>
      <c r="PZ30">
        <f>PY30*Z30</f>
        <v>0</v>
      </c>
      <c r="QB30">
        <f>VLOOKUP($R30,Afgr,Data!$BW$3)</f>
        <v>0</v>
      </c>
      <c r="QC30">
        <f>QB30*Z30</f>
        <v>0</v>
      </c>
      <c r="QE30">
        <f>AM30*IF(VLOOKUP($R30,Afgr,Data!$BJ$3)&gt;0,1,0)</f>
        <v>72</v>
      </c>
      <c r="QF30">
        <f>QE30*Z30</f>
        <v>195.84</v>
      </c>
      <c r="QH30">
        <f>AM30*VLOOKUP(R30,Afgr,Data!$BK$3)</f>
        <v>7416</v>
      </c>
      <c r="QI30">
        <f>Z30*QH30</f>
        <v>20171.52</v>
      </c>
      <c r="QJ30">
        <f>$AM30*VLOOKUP($R30,Afgr,Data!$BL$3)+$BR30*VLOOKUP($T30,Efgr,Data!$AP$53)</f>
        <v>0</v>
      </c>
      <c r="QK30">
        <f>QJ30*Z30</f>
        <v>0</v>
      </c>
      <c r="QL30">
        <f>$AM30*VLOOKUP($R30,Afgr,Data!$BM$3)</f>
        <v>0</v>
      </c>
      <c r="QM30">
        <f>QL30*Z30</f>
        <v>0</v>
      </c>
      <c r="QN30">
        <f>$AM30*VLOOKUP($R30,Afgr,Data!$BN$3)</f>
        <v>0</v>
      </c>
      <c r="QO30">
        <f>QN30*Z30</f>
        <v>0</v>
      </c>
      <c r="QR30">
        <f>IF(VLOOKUP($R30,Afgr,Data!$DA$3)="Vårbyg",$AN30,0)*VLOOKUP($R30,Afgr,Data!$BJ$3)</f>
        <v>0</v>
      </c>
      <c r="QS30">
        <f>IF(VLOOKUP($R30,Afgr,Data!$DA$3)="Vinterbyg",$AN30,0)*VLOOKUP($R30,Afgr,Data!$BJ$3)</f>
        <v>0</v>
      </c>
      <c r="QT30">
        <f>IF(VLOOKUP($R30,Afgr,Data!$DA$3)="Havre",$AN30,0)*VLOOKUP($R30,Afgr,Data!$BJ$3)</f>
        <v>0</v>
      </c>
      <c r="QU30">
        <f>IF(VLOOKUP($R30,Afgr,Data!$DA$3)="Hvede",$AN30,0)*VLOOKUP($R30,Afgr,Data!$BJ$3)</f>
        <v>22521.600000000002</v>
      </c>
      <c r="QV30">
        <f>IF(VLOOKUP($R30,Afgr,Data!$DA$3)="Triticale",$AN30,0)*VLOOKUP($R30,Afgr,Data!$BJ$3)</f>
        <v>0</v>
      </c>
      <c r="QW30">
        <f>IF(VLOOKUP($R30,Afgr,Data!$DA$3)="Rug",$AN30,0)*VLOOKUP($R30,Afgr,Data!$BJ$3)</f>
        <v>0</v>
      </c>
      <c r="QX30">
        <f>IF(VLOOKUP($R30,Afgr,Data!$DA$3)="Majs",$AN30,0)*VLOOKUP($R30,Afgr,Data!$BJ$3)</f>
        <v>0</v>
      </c>
      <c r="RA30">
        <f>IF(OV30+PB30&gt;0,1,0)</f>
        <v>0</v>
      </c>
      <c r="RB30">
        <f>RA30*LW30</f>
        <v>0</v>
      </c>
      <c r="RC30">
        <f>RA30*MT30</f>
        <v>0</v>
      </c>
      <c r="RD30">
        <f>ND30</f>
        <v>0</v>
      </c>
      <c r="RE30">
        <f>RA30*OB30</f>
        <v>0</v>
      </c>
      <c r="RH30">
        <f>VLOOKUP(B30,Jordtype,Data!$Y$112+DenitNr-1)</f>
        <v>7.25</v>
      </c>
      <c r="RI30">
        <f>FF30*VLOOKUP(B30,Jordtype,Data!$AB$112+DenitNr-1)</f>
        <v>4.32</v>
      </c>
      <c r="RJ30">
        <f>((CJ30+CK30+CL30+Regn2!CO30*0.7)-(RR30+RT30))*VLOOKUP(B30,Jordtype,Data!$AE$112+DenitNr-1)</f>
        <v>11.000508750000002</v>
      </c>
      <c r="RK30">
        <f>0*VLOOKUP(B30,Jordtype,Data!$AE$112+DenitNr-1)</f>
        <v>0</v>
      </c>
      <c r="RL30">
        <f>Regn2!FD30*VLOOKUP(B30,Jordtype,Data!$AH$112+DenitNr-1)</f>
        <v>0</v>
      </c>
      <c r="RM30" s="3">
        <f>RH30+RI30+RJ30+RK30+RL30</f>
        <v>22.570508750000002</v>
      </c>
      <c r="RO30">
        <v>2</v>
      </c>
      <c r="RP30">
        <f>(FF30)*RO30*0.01</f>
        <v>2.16</v>
      </c>
      <c r="RQ30">
        <v>7</v>
      </c>
      <c r="RR30">
        <f>CE30*RQ30*0.01</f>
        <v>0</v>
      </c>
      <c r="RS30">
        <v>7</v>
      </c>
      <c r="RT30">
        <f>(Regn2!CF30+Regn2!CG30)*RS30*0.01</f>
        <v>8.33</v>
      </c>
      <c r="RW30">
        <f>VLOOKUP(R30,Afgr,Data!$EE$3)</f>
        <v>5</v>
      </c>
      <c r="RX30" s="3">
        <f>RP30+RR30+RT30+RV30+RW30</f>
        <v>15.49</v>
      </c>
    </row>
    <row r="31" spans="1:492" x14ac:dyDescent="0.25">
      <c r="GT31" s="12"/>
    </row>
    <row r="32" spans="1:492" x14ac:dyDescent="0.25">
      <c r="A32" s="214" t="str">
        <f>Nbal!B32</f>
        <v>12-0</v>
      </c>
      <c r="B32">
        <v>6</v>
      </c>
      <c r="C32">
        <v>1</v>
      </c>
      <c r="D32">
        <f>IF(C32=1,VLOOKUP(B32,Jordtype,Data!$K$112),VLOOKUP(B32,Jordtype,Data!$L$112))</f>
        <v>9</v>
      </c>
      <c r="E32">
        <f>IF(C32=1,VLOOKUP(B32,Jordtype,Data!$M$112),VLOOKUP(B32,Jordtype,Data!$N$112))</f>
        <v>14</v>
      </c>
      <c r="F32">
        <f>IF(OR(B32=1,B32=3),0,IF(OR(B32=2,B32=4),1,IF(OR(B32=5,B32=6),2,3)))</f>
        <v>2</v>
      </c>
      <c r="G32">
        <f>IF(C32=1,VLOOKUP(B32,Jordtype,Data!$Q$112),VLOOKUP(B32,Jordtype,Data!$R$112))</f>
        <v>25</v>
      </c>
      <c r="H32">
        <f>IF(C32=1,VLOOKUP(B32,Jordtype,Data!$O$112),VLOOKUP(B32,Jordtype,Data!$P$112))</f>
        <v>19</v>
      </c>
      <c r="I32">
        <f>IF(B32&lt;5,0,1)</f>
        <v>1</v>
      </c>
      <c r="J32">
        <f>IF(B32&lt;5,PlojJB,1)</f>
        <v>1</v>
      </c>
      <c r="K32">
        <f>IF(B32&lt;5,SaaJB,1)</f>
        <v>1</v>
      </c>
      <c r="L32">
        <f>IF(C32=1,VLOOKUP(B32,Jordtype,Data!$S$112),VLOOKUP(B32,Jordtype,Data!$T$112))</f>
        <v>8</v>
      </c>
      <c r="M32">
        <f>IF(C32=1,VLOOKUP(B32,Jordtype,Data!$U$112),VLOOKUP(B32,Jordtype,Data!$V$112))</f>
        <v>13</v>
      </c>
      <c r="O32">
        <v>40</v>
      </c>
      <c r="P32">
        <v>1</v>
      </c>
      <c r="Q32" t="b">
        <v>0</v>
      </c>
      <c r="R32">
        <v>35</v>
      </c>
      <c r="S32">
        <v>1</v>
      </c>
      <c r="T32">
        <v>1</v>
      </c>
      <c r="U32">
        <v>1</v>
      </c>
      <c r="V32">
        <v>1</v>
      </c>
      <c r="X32">
        <v>35</v>
      </c>
      <c r="Z32">
        <f>Nbal!AG32</f>
        <v>3.27</v>
      </c>
      <c r="AA32">
        <v>1</v>
      </c>
      <c r="AB32">
        <f>VLOOKUP($R32,Afgr,G32)</f>
        <v>159</v>
      </c>
      <c r="AC32">
        <f>VLOOKUP($O32,Afgr,Data!$AI$3)*VLOOKUP(R32,Afgr,Data!$AJ$3)</f>
        <v>0</v>
      </c>
      <c r="AD32">
        <f>IF($Q32,0,VLOOKUP($P32,Efgr,(Data!$W$53+$V$6-1)))</f>
        <v>0</v>
      </c>
      <c r="AE32">
        <f>AB32-AC32-AD32</f>
        <v>159</v>
      </c>
      <c r="AF32">
        <f>AE32*Z32</f>
        <v>519.92999999999995</v>
      </c>
      <c r="AH32">
        <f>VLOOKUP(R32,Afgr,D32)</f>
        <v>81</v>
      </c>
      <c r="AI32">
        <f>VLOOKUP(O32,Afgr,Data!$AL$3)*VLOOKUP(R32,Afgr,E32)</f>
        <v>0</v>
      </c>
      <c r="AJ32">
        <f>VLOOKUP(P32,Efgr,(Data!$Y$53+I32))</f>
        <v>0</v>
      </c>
      <c r="AK32">
        <f>AH32+AI32+AJ32</f>
        <v>81</v>
      </c>
      <c r="AL32">
        <f>AH32+AI32+AJ32</f>
        <v>81</v>
      </c>
      <c r="AM32" s="3">
        <f>IF(Nbal!CK32&lt;&gt;"",Nbal!CK32,AL32)</f>
        <v>89</v>
      </c>
      <c r="AN32">
        <f>AM32*Z32</f>
        <v>291.03000000000003</v>
      </c>
      <c r="AO32" t="str">
        <f>VLOOKUP(R32,Afgr,3)</f>
        <v>hkg</v>
      </c>
      <c r="AP32">
        <f>IF(AO32="FE",VLOOKUP($R32,Afgr,Data!$AV$3),0)</f>
        <v>0</v>
      </c>
      <c r="AR32">
        <f>VLOOKUP(R32,Afgr,4)</f>
        <v>145</v>
      </c>
      <c r="AS32" s="3">
        <f>IF(Nbal!CW32&lt;&gt;"",Nbal!CW32,AR32)</f>
        <v>145</v>
      </c>
      <c r="AT32" s="3">
        <f>AM32*AS32</f>
        <v>12905</v>
      </c>
      <c r="AU32" s="3">
        <f>AN32*AS32</f>
        <v>42199.350000000006</v>
      </c>
      <c r="AW32">
        <f>VLOOKUP(R32,Afgr,Data!$AN$3)</f>
        <v>0</v>
      </c>
      <c r="AX32" s="3">
        <f>IF(Nbal!DC32&lt;&gt;"",Nbal!DC32,AW32)</f>
        <v>0</v>
      </c>
      <c r="AY32" s="3">
        <f>AX32*Z32</f>
        <v>0</v>
      </c>
      <c r="BA32">
        <f>VLOOKUP(R32,Afgr,H32)</f>
        <v>4700</v>
      </c>
      <c r="BB32">
        <f>IF(ISERROR(BA32*AM32/AK32),0,(BA32*AM32/AK32))</f>
        <v>5164.1975308641977</v>
      </c>
      <c r="BC32" s="3">
        <f>IF(Nbal!DI32&lt;&gt;"",Nbal!DI32,BB32)</f>
        <v>5164.1975308641977</v>
      </c>
      <c r="BD32">
        <f>BC32*Z32</f>
        <v>16886.925925925927</v>
      </c>
      <c r="BG32">
        <f>IF($S32=1,BC32,0)</f>
        <v>5164.1975308641977</v>
      </c>
      <c r="BH32">
        <f>IF($S32=1,BD32,0)</f>
        <v>16886.925925925927</v>
      </c>
      <c r="BI32">
        <f>VLOOKUP(R32,Afgr,Data!$AM$3)</f>
        <v>0.5</v>
      </c>
      <c r="BJ32">
        <f>IF(Nbal!DR32&lt;&gt;"",Nbal!DR32,BI32)</f>
        <v>0.5</v>
      </c>
      <c r="BK32">
        <f>BG32*BJ32</f>
        <v>2582.0987654320988</v>
      </c>
      <c r="BL32">
        <f>BH32*BJ32</f>
        <v>8443.4629629629635</v>
      </c>
      <c r="BN32">
        <f>VLOOKUP($T32,Efgr,M32)</f>
        <v>0</v>
      </c>
      <c r="BO32">
        <f>BN32*Z32</f>
        <v>0</v>
      </c>
      <c r="BQ32">
        <f>VLOOKUP(T32,Efgr,NormudbKolonneNrEfgr1)</f>
        <v>0</v>
      </c>
      <c r="BR32" s="3">
        <f>IF(Nbal!FE32&lt;&gt;"",Nbal!FE32,BQ32)</f>
        <v>0</v>
      </c>
      <c r="BS32">
        <f>BR32*Z32</f>
        <v>0</v>
      </c>
      <c r="BT32" t="s">
        <v>37</v>
      </c>
      <c r="BU32">
        <f>BR32*Efterslaetpris</f>
        <v>0</v>
      </c>
      <c r="BV32">
        <f>BS32*Efterslaetpris</f>
        <v>0</v>
      </c>
      <c r="BW32">
        <f>VLOOKUP(T32,Efgr,Data!$AG$53)</f>
        <v>0</v>
      </c>
      <c r="BX32">
        <f>BR32*BW32</f>
        <v>0</v>
      </c>
      <c r="BZ32">
        <f>Nbal!AQ32</f>
        <v>0</v>
      </c>
      <c r="CA32" s="211">
        <f>Nbal!AT32</f>
        <v>108</v>
      </c>
      <c r="CB32" s="2">
        <f>Nbal!DZ32</f>
        <v>0</v>
      </c>
      <c r="CC32" s="211">
        <f>Nbal!AT32+Nbal!DZ32</f>
        <v>108</v>
      </c>
      <c r="CD32" s="211">
        <f>Nbal!AX32</f>
        <v>0</v>
      </c>
      <c r="CE32">
        <f>Nbal!BH32</f>
        <v>0</v>
      </c>
      <c r="CF32" s="211">
        <f>Nbal!BM32</f>
        <v>119</v>
      </c>
      <c r="CG32" s="2">
        <f>Nbal!EI32</f>
        <v>0</v>
      </c>
      <c r="CH32" s="211">
        <f>Nbal!BM32+Nbal!EI32</f>
        <v>119</v>
      </c>
      <c r="CI32" s="211">
        <f>Nbal!BW32</f>
        <v>0</v>
      </c>
      <c r="CJ32" s="211">
        <f>Nbal!BH32*Nbal!BJ32*0.01</f>
        <v>0</v>
      </c>
      <c r="CK32" s="211">
        <f>(Nbal!BM32*Nbal!BP32*0.01)</f>
        <v>88.333700000000007</v>
      </c>
      <c r="CL32" s="211">
        <f>(Nbal!EI32*Nbal!EL32*0.01)</f>
        <v>0</v>
      </c>
      <c r="CM32" s="211">
        <f>(Nbal!BM32*Nbal!BP32*0.01)+(Nbal!EI32*Nbal!EL32*0.01)</f>
        <v>88.333700000000007</v>
      </c>
      <c r="CN32" s="211">
        <f>Nbal!BW32*Nbal!BY32*0.01</f>
        <v>0</v>
      </c>
      <c r="CO32">
        <f>Nbal!BT32+Nbal!ER32</f>
        <v>0</v>
      </c>
      <c r="CQ32">
        <f>Nbal!BA32</f>
        <v>0</v>
      </c>
      <c r="CR32">
        <f>Nbal!EC32</f>
        <v>0</v>
      </c>
      <c r="CS32">
        <f>(CQ32+CR32)*Z32</f>
        <v>0</v>
      </c>
      <c r="CT32">
        <f>Nbal!CB32</f>
        <v>26</v>
      </c>
      <c r="CU32">
        <f>Nbal!EV32</f>
        <v>0</v>
      </c>
      <c r="CV32">
        <f>(CT32+CU32)*Z32</f>
        <v>85.02</v>
      </c>
      <c r="CW32">
        <f>Nbal!BA32+Nbal!CB32+Nbal!EC32+Nbal!EV32</f>
        <v>26</v>
      </c>
      <c r="CY32">
        <f>Nbal!BD32</f>
        <v>0</v>
      </c>
      <c r="CZ32">
        <f>Nbal!EF32</f>
        <v>0</v>
      </c>
      <c r="DA32">
        <f>(CY32+CZ32)*Z32</f>
        <v>0</v>
      </c>
      <c r="DB32">
        <f>Nbal!CE32</f>
        <v>61</v>
      </c>
      <c r="DC32">
        <f>Nbal!EY32</f>
        <v>0</v>
      </c>
      <c r="DD32">
        <f>(DB32+DC32)*Z32</f>
        <v>199.47</v>
      </c>
      <c r="DE32">
        <f>Nbal!BD32+Nbal!CE32+Nbal!EF32+Nbal!EY32</f>
        <v>61</v>
      </c>
      <c r="DG32">
        <f>VLOOKUP($R32,Afgr,Data!$AW$3)</f>
        <v>10.7</v>
      </c>
      <c r="DH32">
        <f>IF($AO32="FE",$AM32*$AP32*$DG32*0.01,$AM32*100*$DM32*0.01*$DG32*0.01)</f>
        <v>809.45500000000004</v>
      </c>
      <c r="DI32">
        <f>IF(VLOOKUP(R32,Afgr,Data!$BO$3)=1,DH32,0)*Z32</f>
        <v>2646.9178500000003</v>
      </c>
      <c r="DJ32" s="12">
        <f>(BZ32+CC32+CJ32-AE32)*VLOOKUP($R32,Afgr,Data!$AX$3)</f>
        <v>-1.02</v>
      </c>
      <c r="DK32">
        <f>DG32+DJ32</f>
        <v>9.68</v>
      </c>
      <c r="DL32">
        <f>IF(Nbal!CQ32&lt;&gt;"",Nbal!CQ32,DK32)</f>
        <v>9.9</v>
      </c>
      <c r="DM32">
        <f>VLOOKUP(R32,Afgr,Data!$AT$3)</f>
        <v>85</v>
      </c>
      <c r="DN32">
        <f>IF($AO32="FE",$AM32*$AP32*$DL32*0.01,$AM32*100*$DM32*0.01*DL32*0.01)</f>
        <v>748.93500000000006</v>
      </c>
      <c r="DO32">
        <f>IF(VLOOKUP(R32,Afgr,Data!$BO$3)=1,DN32,0)*Z32</f>
        <v>2449.0174500000003</v>
      </c>
      <c r="DP32">
        <f>IF(ISERROR(DN32/VLOOKUP(R32,Afgr,Data!$AY$3)),0,DN32/VLOOKUP(R32,Afgr,Data!$AY$3))</f>
        <v>131.3921052631579</v>
      </c>
      <c r="DQ32">
        <f>DP32*Z32</f>
        <v>429.65218421052634</v>
      </c>
      <c r="DS32">
        <f>IF($AO32="FE",$AM32*$AP32*VLOOKUP($R32,Afgr,Data!$BC$3)*0.001,$AM32*100*$DM32*0.01*VLOOKUP($R32,Afgr,Data!$BC$3)*0.001)</f>
        <v>25.721</v>
      </c>
      <c r="DT32">
        <f>DS32*Z32</f>
        <v>84.107669999999999</v>
      </c>
      <c r="DV32">
        <f>IF($AO32="FE",$AM32*$AP32*VLOOKUP($R32,Afgr,Data!$BF$3)*0.001,$AM32*100*$DM32*0.01*VLOOKUP($R32,Afgr,Data!$BF$3)*0.001)</f>
        <v>36.311999999999998</v>
      </c>
      <c r="DW32">
        <f>DV32*Z32</f>
        <v>118.74023999999999</v>
      </c>
      <c r="DY32">
        <f>IF(ISERROR(VLOOKUP(R32,Afgr,Data!$AZ$3)*DL32/DG32),0,VLOOKUP(R32,Afgr,Data!$AZ$3)*DL32/DG32)</f>
        <v>3.0648364485981312</v>
      </c>
      <c r="DZ32">
        <f>VLOOKUP(R32,Afgr,Data!$AU$3)</f>
        <v>85</v>
      </c>
      <c r="EA32">
        <f>IF($S32=1,$BC32*$DZ32*0.01*DY32*0.01,0)</f>
        <v>134.53307697300107</v>
      </c>
      <c r="EB32">
        <f>EA32/6.25</f>
        <v>21.525292315680172</v>
      </c>
      <c r="EC32">
        <f>EB32*Z32</f>
        <v>70.387705872274168</v>
      </c>
      <c r="EE32">
        <f>IF($S32=1,$BC32*$DZ32*0.01*VLOOKUP($R32,Afgr,Data!$BD$3)*0.001,0)</f>
        <v>3.9506111111111113</v>
      </c>
      <c r="EF32">
        <f>EE32*Z32</f>
        <v>12.918498333333334</v>
      </c>
      <c r="EH32">
        <f>IF($S32=1,$BC32*$DZ32*0.01*VLOOKUP($R32,Afgr,Data!$BG$3)*0.001,0)</f>
        <v>65.843518518518522</v>
      </c>
      <c r="EI32">
        <f>EH32*Z32</f>
        <v>215.30830555555556</v>
      </c>
      <c r="EK32">
        <f>VLOOKUP(T32,Efgr,Data!$AI$53)</f>
        <v>0</v>
      </c>
      <c r="EL32">
        <f>BX32*EK32*0.01/6.25</f>
        <v>0</v>
      </c>
      <c r="EM32">
        <f>EL32*Z32</f>
        <v>0</v>
      </c>
      <c r="EO32">
        <f>$BX32*VLOOKUP($T32,Efgr,Data!$AJ$53)*0.001</f>
        <v>0</v>
      </c>
      <c r="EP32">
        <f>EO32*Z32</f>
        <v>0</v>
      </c>
      <c r="ER32">
        <f>$BX32*VLOOKUP($T32,Efgr,Data!$AK$53)*0.001</f>
        <v>0</v>
      </c>
      <c r="ES32">
        <f>ER32*Z32</f>
        <v>0</v>
      </c>
      <c r="EU32">
        <f>IF(VLOOKUP(R32,Afgr,Data!$DS$3)=1,DP32*VLOOKUP(R32,Afgr,(Data!$DT$3+EftervirkningUdb1))*VLOOKUP(R32,Afgr,Data!$DV$3),0)</f>
        <v>0</v>
      </c>
      <c r="EV32">
        <f>IF(VLOOKUP(R32,Afgr,Data!$DS$3)=2,VLOOKUP(R32,Afgr,Data!$DX$3),0)</f>
        <v>0</v>
      </c>
      <c r="EW32">
        <f>IF(VLOOKUP(R32,Afgr,Data!$DS$3)=3,$DP32*VLOOKUP($R32,Afgr,IF(Jordtype1&lt;5,Data!$DT$3,Data!$DU$3))*VLOOKUP($R32,Afgr,Data!$DV$3),0)</f>
        <v>0</v>
      </c>
      <c r="EX32">
        <f>IF(VLOOKUP(R32,Afgr,Data!$DS$3)=4,(1.232+0.00469*AM32*100+(0.000256*AM32*100+0.089)*60),0)</f>
        <v>0</v>
      </c>
      <c r="EY32" s="211">
        <f>BZ32+CA32+CJ32+CK32</f>
        <v>196.33370000000002</v>
      </c>
      <c r="EZ32">
        <f>IF(VLOOKUP($R32,Afgr,Data!$DS$3)=5,($AM32*0.02742-$AM32*0.0001*$EY32+$AM32*0.0000001111*$EY32*$EY32),0)</f>
        <v>0</v>
      </c>
      <c r="FA32" s="2">
        <f>CB32+CL32</f>
        <v>0</v>
      </c>
      <c r="FB32">
        <f>IF(VLOOKUP($T32,Efgr,Data!$BH$53)=5,($BR32*0.02742-$BR32*0.0001*$FA32+$BR32*0.0000001111*$FA32*$FA32),0)</f>
        <v>0</v>
      </c>
      <c r="FC32" s="3">
        <f>EU32+EV32+EW32+EX32+EZ32+FB32</f>
        <v>0</v>
      </c>
      <c r="FD32" s="3">
        <f>FC32*Z32</f>
        <v>0</v>
      </c>
      <c r="FF32" s="211">
        <f>BZ32+CC32</f>
        <v>108</v>
      </c>
      <c r="FG32" s="211">
        <f>FF32*Z32</f>
        <v>353.16</v>
      </c>
      <c r="FH32" s="211">
        <f>CE32+CH32+CO32</f>
        <v>119</v>
      </c>
      <c r="FI32" s="211">
        <f>FH32*Z32</f>
        <v>389.13</v>
      </c>
      <c r="FJ32">
        <f>VLOOKUP($R32,Afgr,Data!$DK$3)*VLOOKUP($R32,Afgr,Data!$AT$3)*0.01*VLOOKUP($R32,Afgr,Data!$AW$3)*0.01/6.25</f>
        <v>2.3283199999999997</v>
      </c>
      <c r="FK32">
        <f>FJ32*Z32</f>
        <v>7.6136063999999992</v>
      </c>
      <c r="FL32" s="4">
        <f>IF(R32&gt;1,Deposition,0)</f>
        <v>15</v>
      </c>
      <c r="FM32" s="4">
        <f>FL32*Z32</f>
        <v>49.05</v>
      </c>
      <c r="FN32">
        <f>FC32</f>
        <v>0</v>
      </c>
      <c r="FO32">
        <f>FN32*Z32</f>
        <v>0</v>
      </c>
      <c r="FP32" s="211">
        <f>SUM(FF32,FH32,FJ32,FL32,FN32)</f>
        <v>244.32831999999999</v>
      </c>
      <c r="FQ32">
        <f>DP32+EB32+EL32</f>
        <v>152.91739757883806</v>
      </c>
      <c r="FR32" s="3">
        <f>FP32-FQ32</f>
        <v>91.410922421161928</v>
      </c>
      <c r="FS32" s="19">
        <f>FP32*Z32</f>
        <v>798.95360640000001</v>
      </c>
      <c r="FT32" s="19">
        <f>FQ32*Z32</f>
        <v>500.03989008280047</v>
      </c>
      <c r="FU32" s="3">
        <f>FR32*Z32</f>
        <v>298.91371631719949</v>
      </c>
      <c r="FW32">
        <f>CW32</f>
        <v>26</v>
      </c>
      <c r="FX32">
        <f>FW32*Z32</f>
        <v>85.02</v>
      </c>
      <c r="FY32">
        <f>IX32+MB32</f>
        <v>29.671611111111112</v>
      </c>
      <c r="FZ32">
        <f>FY32*Z32</f>
        <v>97.026168333333331</v>
      </c>
      <c r="GA32">
        <f>FW32-FY32</f>
        <v>-3.6716111111111118</v>
      </c>
      <c r="GB32">
        <f>GA32*Z32</f>
        <v>-12.006168333333335</v>
      </c>
      <c r="GD32">
        <f>DE32</f>
        <v>61</v>
      </c>
      <c r="GE32">
        <f>GD32*Z32</f>
        <v>199.47</v>
      </c>
      <c r="GF32">
        <f>JE32+MH32</f>
        <v>102.15551851851852</v>
      </c>
      <c r="GG32">
        <f>GF32*Z32</f>
        <v>334.04854555555556</v>
      </c>
      <c r="GH32">
        <f>GD32-GF32</f>
        <v>-41.155518518518519</v>
      </c>
      <c r="GI32">
        <f>GH32*Z32</f>
        <v>-134.57854555555556</v>
      </c>
      <c r="GK32">
        <f>AA32</f>
        <v>1</v>
      </c>
      <c r="GL32" s="211">
        <f>FF32+FH32+FN32</f>
        <v>227</v>
      </c>
      <c r="GM32" s="211">
        <f>IF(R32=1,"",IF(GK32=1,GL32,""))</f>
        <v>227</v>
      </c>
      <c r="GN32" s="211" t="str">
        <f>IF(R32=1,"",IF(GK32=2,GL32,""))</f>
        <v/>
      </c>
      <c r="GO32" s="211" t="str">
        <f>IF(R32=1,"",IF(GK32=3,GL32,""))</f>
        <v/>
      </c>
      <c r="GP32" s="211" t="str">
        <f>IF(R32=1,"",IF(GK32=4,GL32,""))</f>
        <v/>
      </c>
      <c r="GQ32" s="149">
        <f>IF(OR(R32=1,VLOOKUP(R32,Afgr,Data!$BV$3)=1,VLOOKUP(R32,Afgr,Data!$BW$3)=1),0,IF(GK32=1,Nniveau1,IF(GK32=2,Nniveau2,IF(GK32=3,Nniveau3,IF(GK32=4,Nniveau4,GL32)))))</f>
        <v>173.16922222222217</v>
      </c>
      <c r="GR32" s="222">
        <v>0.32550000000000001</v>
      </c>
      <c r="GS32" s="6">
        <v>0</v>
      </c>
      <c r="GT32" s="149">
        <f>CC32+CM32</f>
        <v>196.33370000000002</v>
      </c>
      <c r="GU32" s="6">
        <f>$FN32</f>
        <v>0</v>
      </c>
      <c r="GV32" s="222">
        <v>0.25280000000000002</v>
      </c>
      <c r="GW32">
        <f>CO32</f>
        <v>0</v>
      </c>
      <c r="GX32" s="222">
        <v>0.376</v>
      </c>
      <c r="GY32" s="149">
        <f>CD32+CN32</f>
        <v>0</v>
      </c>
      <c r="GZ32" s="222">
        <f>IF(B32&gt;3,0.3539,1.0749)</f>
        <v>0.35389999999999999</v>
      </c>
      <c r="HA32" s="11">
        <f>$FQ32</f>
        <v>152.91739757883806</v>
      </c>
      <c r="HB32" s="222">
        <v>0.19359999999999999</v>
      </c>
      <c r="HC32" s="222">
        <f>VLOOKUP($R32,Afgr,Data!$DM$3)</f>
        <v>1</v>
      </c>
      <c r="HD32" s="24">
        <f>IF($HC32&gt;1,0,(VLOOKUP($X32,Afgr,Data!$DP$3)+IF(VLOOKUP($X32,Afgr,Data!$DP$3)=0,VLOOKUP($T32,Efgr,Data!$BI$53,0))))+IF(AND($HC32=7,VLOOKUP($X32,Afgr,Data!$DQ$3)=-2),-2,0)+IF(AND($HC32=6,VLOOKUP($T32,Efgr,Data!$BI$53)=2),8,0)</f>
        <v>1</v>
      </c>
      <c r="HE32" s="6">
        <f>VLOOKUP(SUM(HC32:HD32),Nlesafgr,3)</f>
        <v>-7.6</v>
      </c>
      <c r="HF32" s="7">
        <f>VLOOKUP($O32,Afgr,Data!$DN$3)</f>
        <v>1</v>
      </c>
      <c r="HG32" s="24">
        <f>IF(HF32&gt;1,0,VLOOKUP($R32,Afgr,Data!$DO$3)+IF(VLOOKUP($R32,Afgr,Data!$DO$3)=1,0,VLOOKUP($P32,Efgr,Data!$BJ$53)))</f>
        <v>0</v>
      </c>
      <c r="HH32" s="6">
        <f>VLOOKUP(SUM(HF32:HG32),Nlesforfrugt,3)</f>
        <v>0</v>
      </c>
      <c r="HI32" s="222">
        <f>GR32*GQ32+GV32*(GT32+GU32)+GX32*GW32+GZ32*GY32-HB32*HA32+HE32+HH32</f>
        <v>68.794933022070296</v>
      </c>
      <c r="HJ32" s="222">
        <f>Nlesafskaering</f>
        <v>59.6</v>
      </c>
      <c r="HK32" s="222">
        <f>Teknologi1</f>
        <v>2455</v>
      </c>
      <c r="HL32" s="6">
        <v>2001</v>
      </c>
      <c r="HM32" s="222">
        <f>Teknologi2</f>
        <v>1962.2</v>
      </c>
      <c r="HN32" s="222">
        <f>Tandel</f>
        <v>0.54659999999999997</v>
      </c>
      <c r="HO32" s="222">
        <f>IF(OR(HI32&gt;0,HI32=0),HJ32+HK32/(HL32-HM32),HJ32+HK32/(HL32-HM32)+HN32*HI32)</f>
        <v>122.87319587628873</v>
      </c>
      <c r="HP32" s="222">
        <f>IF(HI32&gt;0,HI32,0.001)</f>
        <v>68.794933022070296</v>
      </c>
      <c r="HQ32" s="222">
        <v>1.5020000000000001E-3</v>
      </c>
      <c r="HR32" s="24">
        <f>IF(R32=1,0,VLOOKUP(PostnrNbal,AfstromData,VLOOKUP($R32,Afgr,Data!$DL$3)+IF(Jordtype1&lt;7,Jordtype1,6),FALSE)-VLOOKUP(T32,Efgr,Data!$AA$53))</f>
        <v>269.74999999999898</v>
      </c>
      <c r="HS32" s="24">
        <f>IF(Nbal!GA32&lt;&gt;"",Nbal!GA32,Regn2!HR32)</f>
        <v>269.74999999999898</v>
      </c>
      <c r="HT32" s="222">
        <v>5.5400000000000002E-4</v>
      </c>
      <c r="HU32" s="24">
        <f>IF(R32=1,0,VLOOKUP(PostnrNbal,AfstromData,VLOOKUP($O32,Afgr,Data!$DL$3)+IF(B32&lt;7,B32,6),FALSE)-VLOOKUP(P32,Efgr,Data!$AA$53))</f>
        <v>304.76666666666603</v>
      </c>
      <c r="HV32" s="24">
        <f>IF(Nbal!FU32&lt;&gt;"",Nbal!FU32,Regn2!HU32)</f>
        <v>304.76666666666603</v>
      </c>
      <c r="HW32" s="222">
        <v>0.10639999999999999</v>
      </c>
      <c r="HX32" s="6">
        <f>VLOOKUP(B32,Jordtype,Data!$W$112)</f>
        <v>3</v>
      </c>
      <c r="HY32" s="222">
        <v>3.2500000000000001E-2</v>
      </c>
      <c r="HZ32" s="6">
        <f>VLOOKUP(B32,Jordtype,Data!$X$112)</f>
        <v>12</v>
      </c>
      <c r="IA32" s="222">
        <v>1.2453000000000001</v>
      </c>
      <c r="IB32" s="222">
        <f>IF(VLOOKUP(T32,Efgr,Data!$AO$53)=1,MlafgrNUdvask,0)</f>
        <v>0</v>
      </c>
      <c r="IC32" s="20">
        <f>IF(ISERROR((HO32+POWER(HP32,1.2))*(1-EXP(-HQ32*HS32))*EXP(-HT32*HV32)*EXP(-HW32*HX32)*EXP(-HY32*HZ32)*IA32),0,(HO32+POWER(HP32,1.2))*(1-EXP(-HQ32*HS32))*EXP(-HT32*HV32)*EXP(-HW32*HX32)*EXP(-HY32*HZ32)*IA32+IB32)</f>
        <v>48.83052489729679</v>
      </c>
      <c r="ID32">
        <f>IC32*Z32</f>
        <v>159.67581641416049</v>
      </c>
      <c r="IE32">
        <f>IF(Nbal!GF32&lt;&gt;"",Nbal!GF32,RetentionNbal)</f>
        <v>65</v>
      </c>
      <c r="IF32">
        <f>IC32*(100-IE32)*0.01</f>
        <v>17.090683714053874</v>
      </c>
      <c r="IG32">
        <f>IF32*Z32</f>
        <v>55.88653574495617</v>
      </c>
      <c r="IH32" s="2">
        <f>HS32*10000</f>
        <v>2697499.9999999898</v>
      </c>
      <c r="II32" s="2">
        <f>IH32*Z32</f>
        <v>8820824.9999999665</v>
      </c>
      <c r="IJ32">
        <f>IF(ISERROR(IC32*1000*1000/IH32),0,IC32*1000*1000/IH32)</f>
        <v>18.102140833103604</v>
      </c>
      <c r="IL32">
        <f>AT32+AX32+BK32+BU32</f>
        <v>15487.0987654321</v>
      </c>
      <c r="IO32">
        <f>VLOOKUP(R32,Afgr,Data!$AP$3)*UdsaedJust</f>
        <v>578</v>
      </c>
      <c r="IP32" s="3">
        <f>IF(Nbal!GN32&lt;&gt;"",Nbal!GN32,IO32)</f>
        <v>578</v>
      </c>
      <c r="IQ32" s="3">
        <f>IP32*Z32</f>
        <v>1890.06</v>
      </c>
      <c r="IS32" s="3">
        <f>IF(HdgVaerdiNbal=1,(BZ32+CA32)*Npris,(BZ32+CA32+CJ32+CK32)*Npris)</f>
        <v>912.59999999999991</v>
      </c>
      <c r="IT32" s="3">
        <f>IS32*Z32</f>
        <v>2984.2019999999998</v>
      </c>
      <c r="IV32">
        <f>VLOOKUP($R32,Afgr,Data!$BA$3)</f>
        <v>0</v>
      </c>
      <c r="IW32">
        <f>VLOOKUP($R32,Afgr,Data!$BB$3)</f>
        <v>0</v>
      </c>
      <c r="IX32">
        <f>$DS32+$EE32</f>
        <v>29.671611111111112</v>
      </c>
      <c r="IY32">
        <f>CT32</f>
        <v>26</v>
      </c>
      <c r="IZ32">
        <f>CQ32</f>
        <v>0</v>
      </c>
      <c r="JA32" s="3">
        <f>IF(HdgVaerdiNbal=1,(IZ32)*Ppris,(IY32+IZ32)*Ppris)</f>
        <v>0</v>
      </c>
      <c r="JB32" s="3">
        <f>JA32*Z32</f>
        <v>0</v>
      </c>
      <c r="JD32">
        <f>IF(AND(R32&gt;1,OR(Jordtype1=1,Jordtype1=3,Markvand1=2)),Kudvask,0)</f>
        <v>0</v>
      </c>
      <c r="JE32">
        <f>$DV32+$EH32</f>
        <v>102.15551851851852</v>
      </c>
      <c r="JF32">
        <f>DB32</f>
        <v>61</v>
      </c>
      <c r="JG32">
        <f>CY32</f>
        <v>0</v>
      </c>
      <c r="JH32" s="3">
        <f>IF(HdgVaerdiNbal=1,JG32*Kpris,(JF32+JG32)*Kpris)</f>
        <v>0</v>
      </c>
      <c r="JI32" s="3">
        <f>JH32*Z32</f>
        <v>0</v>
      </c>
      <c r="JK32">
        <f>IS32+JA32+JH32</f>
        <v>912.59999999999991</v>
      </c>
      <c r="JL32" s="3">
        <f>IF(Nbal!GT32&lt;&gt;"",Nbal!GT32,$JK32)</f>
        <v>912.59999999999991</v>
      </c>
      <c r="JM32" s="3">
        <f>JL32*Z32</f>
        <v>2984.2019999999998</v>
      </c>
      <c r="JO32">
        <f>VLOOKUP(R32,Afgr,Data!$AQ$3)*PlantevJust</f>
        <v>703</v>
      </c>
      <c r="JP32" s="3">
        <f>IF(Nbal!GZ32&lt;&gt;"",Nbal!GZ32,JO32)</f>
        <v>703</v>
      </c>
      <c r="JQ32" s="3">
        <f>JP32*Z32</f>
        <v>2298.81</v>
      </c>
      <c r="JS32">
        <f>VLOOKUP(R32,Afgr,Data!$AR$3)+AM32*VLOOKUP(R32,Afgr,Data!$BH$3)</f>
        <v>0</v>
      </c>
      <c r="JT32" s="3">
        <f>IF(Nbal!HF32&lt;&gt;"",Nbal!HF32,JS32)</f>
        <v>0</v>
      </c>
      <c r="JU32">
        <f>JT32*Z32</f>
        <v>0</v>
      </c>
      <c r="JW32">
        <f>IP32+JL32+JP32+JT32</f>
        <v>2193.6</v>
      </c>
      <c r="JY32">
        <f>IF(VLOOKUP(R32,Afgr,Data!$BY$3)&gt;0,Data!$K$259*J32,0)</f>
        <v>600</v>
      </c>
      <c r="JZ32">
        <f>IF(VLOOKUP(R32,Afgr,Data!$BZ$3)&gt;0,Data!$K$260*J32,0)</f>
        <v>0</v>
      </c>
      <c r="KA32">
        <f>(JY32+JZ32)*MaskJust</f>
        <v>600</v>
      </c>
      <c r="KB32" s="3">
        <f>IF(Nbal!HL32&lt;&gt;"",Nbal!HL32,KA32)</f>
        <v>600</v>
      </c>
      <c r="KC32" s="3">
        <f>KB32*Z32</f>
        <v>1962</v>
      </c>
      <c r="KE32">
        <f>IF(VLOOKUP(R32,Afgr,Data!$CA$3)&gt;0,VLOOKUP(R32,Afgr,Data!$CA$3)*Data!$K$261*K32,0)</f>
        <v>0</v>
      </c>
      <c r="KF32">
        <f>IF(VLOOKUP(R32,Afgr,Data!$CC$3)&gt;0,Data!$K$262*K32,0)</f>
        <v>350</v>
      </c>
      <c r="KG32">
        <f>IF(VLOOKUP(R32,Afgr,Data!$CD$3)&gt;0,VLOOKUP(R32,Afgr,Data!$CD$3)*Data!$K$263*K32,0)</f>
        <v>0</v>
      </c>
      <c r="KH32">
        <f>IF(VLOOKUP(R32,Afgr,Data!$CE$3)&gt;0,Data!$K$264*K32,0)</f>
        <v>0</v>
      </c>
      <c r="KI32">
        <f>IF(VLOOKUP(R32,Afgr,Data!$CF$3)&gt;0,Data!$K$265*K32,0)</f>
        <v>0</v>
      </c>
      <c r="KJ32">
        <f>IF(VLOOKUP(R32,Afgr,Data!$CV$3)&gt;0,Data!$K$266,0)</f>
        <v>0</v>
      </c>
      <c r="KK32">
        <f>IF(VLOOKUP(R32,Afgr,Data!$CG$3)&gt;0,Data!$K$267*K32,0)</f>
        <v>0</v>
      </c>
      <c r="KL32">
        <f>(KE32+KF32+KG32+KH32+KI32+KJ32+KK32)*MaskJust</f>
        <v>350</v>
      </c>
      <c r="KM32" s="3">
        <f>IF(Nbal!HR32&lt;&gt;"",Nbal!HR32,KL32)</f>
        <v>350</v>
      </c>
      <c r="KN32" s="3">
        <f>KM32*Z32</f>
        <v>1144.5</v>
      </c>
      <c r="KP32">
        <f>IF(VLOOKUP(R32,Afgr,Data!$CJ$3)&gt;0,VLOOKUP(R32,Afgr,Data!$CJ$3)*Data!$K$268*K32,0)*MaskJust</f>
        <v>280</v>
      </c>
      <c r="KQ32" s="3">
        <f>IF(Nbal!HX32&lt;&gt;"",Nbal!HX32,KP32)</f>
        <v>280</v>
      </c>
      <c r="KR32" s="3">
        <f>KQ32*Z32</f>
        <v>915.6</v>
      </c>
      <c r="KT32">
        <f>IF(VLOOKUP(R32,Afgr,Data!$CI$3)&gt;0,VLOOKUP(R32,Afgr,Data!$CI$3)*Data!$K$269,0)*MaskJust</f>
        <v>450</v>
      </c>
      <c r="KU32" s="3">
        <f>IF(Nbal!ID32&lt;&gt;"",Nbal!ID32,KT32)</f>
        <v>450</v>
      </c>
      <c r="KV32" s="3">
        <f>KU32*Z32</f>
        <v>1471.5</v>
      </c>
      <c r="KX32">
        <f>IF(C32=2,VLOOKUP($R32,Afgr,Data!$CY$3),0)</f>
        <v>0</v>
      </c>
      <c r="KY32">
        <f>IF(Nbal!IJ32&lt;&gt;"",Nbal!IJ32,$KX32)</f>
        <v>0</v>
      </c>
      <c r="KZ32">
        <f>IF(AND(R32&gt;1,C32=2),Vandmaskin+$KY32*Flytning/mmprgang+$KY32*Prisprmm,0)</f>
        <v>0</v>
      </c>
      <c r="LA32" s="3">
        <f>IF(Nbal!IP32&lt;&gt;"",Nbal!IP32,$KZ32)</f>
        <v>0</v>
      </c>
      <c r="LB32" s="3">
        <f>LA32*Z32</f>
        <v>0</v>
      </c>
      <c r="LD32">
        <f>IF(VLOOKUP($R32,Afgr,Data!$CK$3)&gt;0,((1+AM32/VLOOKUP($R32,Afgr,Data!$CK$3))/2)*VLOOKUP($R32,Afgr,Data!$CL$3)*VLOOKUP($R32,Afgr,Data!$CN$3)+VLOOKUP($R32,Afgr,Data!$CM$3),0)</f>
        <v>921.17647058823525</v>
      </c>
      <c r="LE32">
        <f>IF(VLOOKUP($R32,Afgr,Data!$CK$3)&gt;0,IF(AND($S32=2,$BA32&gt;0),Data!$K$271,0),0)</f>
        <v>0</v>
      </c>
      <c r="LF32">
        <f>IF(VLOOKUP($R32,Afgr,Data!$CK$3)&gt;0,(AM32/VLOOKUP($R32,Afgr,Data!$CK$3))*VLOOKUP($R32,Afgr,Data!$CO$3)*VLOOKUP($R32,Afgr,Data!$CN$3),0)</f>
        <v>340.29411764705884</v>
      </c>
      <c r="LG32">
        <f>(LD32+LE32+LF32)*MaskJust</f>
        <v>1261.4705882352941</v>
      </c>
      <c r="LH32" s="3">
        <f>IF(Nbal!IV32&lt;&gt;"",Nbal!IV32,LG32)</f>
        <v>1261.4705882352941</v>
      </c>
      <c r="LI32" s="3">
        <f>LH32*Z32</f>
        <v>4125.0088235294115</v>
      </c>
      <c r="LJ32" s="3"/>
      <c r="LK32">
        <f>IF(AND($S32=1,VLOOKUP($R32,Afgr,Data!$CP$3)&gt;0),((1+$BC32/VLOOKUP($R32,Afgr,Data!$CP$3))/2)*VLOOKUP($R32,Afgr,Data!$CQ$3),0)</f>
        <v>714.36728395061732</v>
      </c>
      <c r="LL32">
        <f>IF(AND($S32=1,VLOOKUP($R32,Afgr,Data!$CP$3)&gt;0),($BC32/VLOOKUP($R32,Afgr,Data!$CP$3))*VLOOKUP($R32,Afgr,Data!$CR$3),0)</f>
        <v>344.27983539094652</v>
      </c>
      <c r="LM32">
        <f>(LK32+LL32)*MaskJust</f>
        <v>1058.6471193415639</v>
      </c>
      <c r="LN32" s="3">
        <f>IF(Nbal!JB32&lt;&gt;"",Nbal!JB32,LM32)</f>
        <v>1058.6471193415639</v>
      </c>
      <c r="LO32" s="3">
        <f>LN32*Z32</f>
        <v>3461.7760802469138</v>
      </c>
      <c r="LQ32">
        <f>$AM32*VLOOKUP($R32,Afgr,Data!$CS$3)*IF($V32=1,VLOOKUP($R32,Afgr,Data!$CT$3),IF($V32=2,VLOOKUP($R32,Afgr,Data!$CU$3),0))</f>
        <v>822.36000000000013</v>
      </c>
      <c r="LR32" s="3">
        <f>IF(Nbal!JK32&lt;&gt;"",Nbal!JK32,LQ32)</f>
        <v>822.36000000000013</v>
      </c>
      <c r="LS32" s="3">
        <f>LR32*Z32</f>
        <v>2689.1172000000006</v>
      </c>
      <c r="LU32">
        <f>VLOOKUP($T32,Efgr,Data!$AC$53)*UdsaedJust</f>
        <v>0</v>
      </c>
      <c r="LV32" s="3">
        <f>IF(Nbal!$JS32&lt;&gt;"",Nbal!$JS32,LU32)</f>
        <v>0</v>
      </c>
      <c r="LW32" s="3">
        <f>LV32*Z32</f>
        <v>0</v>
      </c>
      <c r="LY32" s="3">
        <f>IF(HdgVaerdiNbal=1,(CB32)*Npris,(CB32+CL32)*Npris)</f>
        <v>0</v>
      </c>
      <c r="LZ32" s="3">
        <f>LY32*Z32</f>
        <v>0</v>
      </c>
      <c r="MB32">
        <f>$EO32</f>
        <v>0</v>
      </c>
      <c r="MC32">
        <f>CU32</f>
        <v>0</v>
      </c>
      <c r="MD32">
        <f>CR32</f>
        <v>0</v>
      </c>
      <c r="ME32" s="3">
        <f>IF(HdgVaerdiNbal=1,MD32*Ppris,(MC32+MD32)*Ppris)</f>
        <v>0</v>
      </c>
      <c r="MF32" s="3">
        <f>ME32*Z32</f>
        <v>0</v>
      </c>
      <c r="MH32">
        <f>$ER32</f>
        <v>0</v>
      </c>
      <c r="MI32">
        <f>DC32</f>
        <v>0</v>
      </c>
      <c r="MJ32">
        <f>CZ32</f>
        <v>0</v>
      </c>
      <c r="MK32" s="3">
        <f>IF(HdgVaerdiNbal=1,MJ32*Ppris,(MI32+MJ32)*Ppris)</f>
        <v>0</v>
      </c>
      <c r="ML32" s="3">
        <f>MK32*Z32</f>
        <v>0</v>
      </c>
      <c r="MN32">
        <f>LY32+ME32+MK32</f>
        <v>0</v>
      </c>
      <c r="MO32" s="3">
        <f>IF(Nbal!JY32&lt;&gt;"",Nbal!JY32,$MN32)</f>
        <v>0</v>
      </c>
      <c r="MP32" s="3">
        <f>MO32*Z32</f>
        <v>0</v>
      </c>
      <c r="MR32">
        <f>VLOOKUP($T32,Efgr,Data!$AE$53)*PlantevJust</f>
        <v>0</v>
      </c>
      <c r="MS32" s="3">
        <f>IF(Nbal!KE32&lt;&gt;"",Nbal!KE32,MR32)</f>
        <v>0</v>
      </c>
      <c r="MT32" s="3">
        <f>MS32*Z32</f>
        <v>0</v>
      </c>
      <c r="MV32">
        <f>VLOOKUP($T32,Efgr,Data!$AF$53)+$BR32*VLOOKUP($T32,Efgr,Data!$AL$53)</f>
        <v>0</v>
      </c>
      <c r="MW32" s="3">
        <f>IF(Nbal!KK32&lt;&gt;"",Nbal!KK32,MV32)</f>
        <v>0</v>
      </c>
      <c r="MX32" s="3">
        <f>MW32*Z32</f>
        <v>0</v>
      </c>
      <c r="MZ32">
        <f>LV32+MO32+MS32+MW32</f>
        <v>0</v>
      </c>
      <c r="NB32">
        <f>VLOOKUP($T32,Efgr,Data!$AU$53)*K32*MaskJust</f>
        <v>0</v>
      </c>
      <c r="NC32" s="3">
        <f>IF(Nbal!KQ32&lt;&gt;"",Nbal!KQ32,NB32)</f>
        <v>0</v>
      </c>
      <c r="ND32" s="3">
        <f>NC32*Z32</f>
        <v>0</v>
      </c>
      <c r="NF32">
        <f>VLOOKUP($T32,Efgr,Data!$AW$53)*Data!$K$268*K32*MaskJust</f>
        <v>0</v>
      </c>
      <c r="NG32" s="3">
        <f>IF(Nbal!KW32&lt;&gt;"",Nbal!KW32,NF32)</f>
        <v>0</v>
      </c>
      <c r="NH32" s="3">
        <f>NG32*Z32</f>
        <v>0</v>
      </c>
      <c r="NJ32">
        <f>VLOOKUP($T32,Efgr,Data!$AV$53)*Data!$K$269*MaskJust</f>
        <v>0</v>
      </c>
      <c r="NK32" s="3">
        <f>IF(Nbal!LC32&lt;&gt;"",Nbal!LC32,NJ32)</f>
        <v>0</v>
      </c>
      <c r="NL32" s="3">
        <f>NK32*Z32</f>
        <v>0</v>
      </c>
      <c r="NN32">
        <f>IF(C32=2,VLOOKUP($T32,Efgr,Data!$BC$53),0)</f>
        <v>0</v>
      </c>
      <c r="NO32">
        <f>IF(Nbal!LI32&lt;&gt;"",Nbal!LI32,$NN32)</f>
        <v>0</v>
      </c>
      <c r="NP32">
        <f>IF(C32=2,$NO32*Flytning/mmprgang+$NO32*Prisprmm,0)</f>
        <v>0</v>
      </c>
      <c r="NQ32" s="3">
        <f>IF(Nbal!LO32&lt;&gt;"",Nbal!LO32,$NP32)</f>
        <v>0</v>
      </c>
      <c r="NR32" s="3">
        <f>NQ32*Z32</f>
        <v>0</v>
      </c>
      <c r="NT32">
        <f>IF(VLOOKUP($T32,Efgr,Data!$AX$53)&gt;0,((1+BR32/VLOOKUP($T32,Efgr,Data!$AX$53))/2)*VLOOKUP($T32,Efgr,Data!$AY$53)*VLOOKUP($T32,Efgr,Data!$BA$53)+VLOOKUP($T32,Efgr,Data!$AZ$53),0)</f>
        <v>0</v>
      </c>
      <c r="NU32">
        <f>IF(VLOOKUP($T32,Efgr,Data!$AX$53)&gt;0,($BR32/VLOOKUP($T32,Efgr,Data!$AX$53))*VLOOKUP($T32,Efgr,Data!$BB$53)*VLOOKUP($T32,Efgr,Data!$BA$53),0)</f>
        <v>0</v>
      </c>
      <c r="NV32">
        <f>(NT32+NU32)*MaskJust</f>
        <v>0</v>
      </c>
      <c r="NW32" s="3">
        <f>IF(Nbal!LU32&lt;&gt;"",Nbal!LU32,NV32)</f>
        <v>0</v>
      </c>
      <c r="NX32" s="3">
        <f>NW32*Z32</f>
        <v>0</v>
      </c>
      <c r="NZ32">
        <f>IF($U32=2,Data!$K$304,IF($U32=3,Data!$K$305,0))*MaskJust</f>
        <v>0</v>
      </c>
      <c r="OA32" s="3">
        <f>IF(Nbal!MA32&lt;&gt;"",Nbal!MA32,NZ32)</f>
        <v>0</v>
      </c>
      <c r="OB32" s="3">
        <f>OA32*Z32</f>
        <v>0</v>
      </c>
      <c r="OD32">
        <f>IL32</f>
        <v>15487.0987654321</v>
      </c>
      <c r="OE32">
        <f>JW32+MZ32</f>
        <v>2193.6</v>
      </c>
      <c r="OF32">
        <f>OD32-OE32</f>
        <v>13293.498765432099</v>
      </c>
      <c r="OG32">
        <f>OF32*Z32</f>
        <v>43469.740962962962</v>
      </c>
      <c r="OJ32">
        <f>VLOOKUP($O32,Afgr,Data!$BP$3)+VLOOKUP($P32,Efgr,Data!$AM$53)</f>
        <v>1</v>
      </c>
      <c r="OK32" s="3">
        <f>OJ32*Z32</f>
        <v>3.27</v>
      </c>
      <c r="OL32">
        <f>VLOOKUP($R32,Afgr,Data!$BP$3)+VLOOKUP($T32,Efgr,Data!$AM$53)</f>
        <v>1</v>
      </c>
      <c r="OM32" s="3">
        <f>OL32*Z32</f>
        <v>3.27</v>
      </c>
      <c r="OO32">
        <f>VLOOKUP($P32,Efgr,Data!$AN$53)</f>
        <v>0</v>
      </c>
      <c r="OP32">
        <f>VLOOKUP($O32,Afgr,Data!$BQ$3)</f>
        <v>1</v>
      </c>
      <c r="OQ32">
        <f>VLOOKUP($R32,Afgr,Data!$BR$3)</f>
        <v>0</v>
      </c>
      <c r="OR32">
        <f>OO32*OP32*OQ32</f>
        <v>0</v>
      </c>
      <c r="OS32" s="3">
        <f>OR32*Z32</f>
        <v>0</v>
      </c>
      <c r="OT32" s="3">
        <f>IF(Q32,1,0)*OS32</f>
        <v>0</v>
      </c>
      <c r="OV32">
        <f>VLOOKUP($T32,Efgr,Data!$AN$53)</f>
        <v>0</v>
      </c>
      <c r="OW32">
        <f>VLOOKUP($R32,Afgr,Data!$BQ$3)</f>
        <v>1</v>
      </c>
      <c r="OX32">
        <f>VLOOKUP($X32,Afgr,Data!$BR$3)</f>
        <v>0</v>
      </c>
      <c r="OY32">
        <f>OV32*OW32*OX32</f>
        <v>0</v>
      </c>
      <c r="OZ32" s="3">
        <f>OY32*Z32</f>
        <v>0</v>
      </c>
      <c r="PB32">
        <f>VLOOKUP($T32,Efgr,Data!$AO$53)</f>
        <v>0</v>
      </c>
      <c r="PC32">
        <f>VLOOKUP($O32,Afgr,Data!$BQ$3)</f>
        <v>1</v>
      </c>
      <c r="PD32">
        <f>VLOOKUP($R32,Afgr,Data!$BS$3)</f>
        <v>1</v>
      </c>
      <c r="PE32" s="3">
        <f>PB32*PC32*PD32*$Z32</f>
        <v>0</v>
      </c>
      <c r="PG32">
        <f>VLOOKUP($T32,Efgr,Data!$AO$53)</f>
        <v>0</v>
      </c>
      <c r="PH32">
        <f>VLOOKUP($R32,Afgr,Data!$BQ$3)</f>
        <v>1</v>
      </c>
      <c r="PI32">
        <f>VLOOKUP($X32,Afgr,Data!$BS$3)</f>
        <v>1</v>
      </c>
      <c r="PJ32" s="3">
        <f>PG32*PH32*PI32*$Z32</f>
        <v>0</v>
      </c>
      <c r="PK32" s="3"/>
      <c r="PL32" s="3">
        <f>VLOOKUP($O32,Afgr,Data!$BU$3)</f>
        <v>0</v>
      </c>
      <c r="PM32" s="3">
        <f>PL32*Z32</f>
        <v>0</v>
      </c>
      <c r="PN32" s="3">
        <f>VLOOKUP($R32,Afgr,Data!$BU$3)</f>
        <v>0</v>
      </c>
      <c r="PO32" s="3">
        <f>PN32*Z32</f>
        <v>0</v>
      </c>
      <c r="PQ32">
        <f>VLOOKUP(R32,Afgr,Data!$BX$3)+VLOOKUP(T32,Efgr,Data!$AQ$53)</f>
        <v>1</v>
      </c>
      <c r="PR32">
        <f>IF(PQ32&gt;0,Z32,0)</f>
        <v>3.27</v>
      </c>
      <c r="PT32">
        <f>VLOOKUP($O32,Afgr,Data!$BT$3)</f>
        <v>1</v>
      </c>
      <c r="PU32" s="3">
        <f>PT32*Z32</f>
        <v>3.27</v>
      </c>
      <c r="PV32">
        <f>VLOOKUP($R32,Afgr,Data!$BT$3)</f>
        <v>1</v>
      </c>
      <c r="PW32" s="3">
        <f>PV32*Z32</f>
        <v>3.27</v>
      </c>
      <c r="PY32">
        <f>VLOOKUP($R32,Afgr,Data!$BV$3)</f>
        <v>0</v>
      </c>
      <c r="PZ32">
        <f>PY32*Z32</f>
        <v>0</v>
      </c>
      <c r="QB32">
        <f>VLOOKUP($R32,Afgr,Data!$BW$3)</f>
        <v>0</v>
      </c>
      <c r="QC32">
        <f>QB32*Z32</f>
        <v>0</v>
      </c>
      <c r="QE32">
        <f>AM32*IF(VLOOKUP($R32,Afgr,Data!$BJ$3)&gt;0,1,0)</f>
        <v>89</v>
      </c>
      <c r="QF32">
        <f>QE32*Z32</f>
        <v>291.03000000000003</v>
      </c>
      <c r="QH32">
        <f>AM32*VLOOKUP(R32,Afgr,Data!$BK$3)</f>
        <v>9167</v>
      </c>
      <c r="QI32">
        <f>Z32*QH32</f>
        <v>29976.09</v>
      </c>
      <c r="QJ32">
        <f>$AM32*VLOOKUP($R32,Afgr,Data!$BL$3)+$BR32*VLOOKUP($T32,Efgr,Data!$AP$53)</f>
        <v>0</v>
      </c>
      <c r="QK32">
        <f>QJ32*Z32</f>
        <v>0</v>
      </c>
      <c r="QL32">
        <f>$AM32*VLOOKUP($R32,Afgr,Data!$BM$3)</f>
        <v>0</v>
      </c>
      <c r="QM32">
        <f>QL32*Z32</f>
        <v>0</v>
      </c>
      <c r="QN32">
        <f>$AM32*VLOOKUP($R32,Afgr,Data!$BN$3)</f>
        <v>0</v>
      </c>
      <c r="QO32">
        <f>QN32*Z32</f>
        <v>0</v>
      </c>
      <c r="QR32">
        <f>IF(VLOOKUP($R32,Afgr,Data!$DA$3)="Vårbyg",$AN32,0)*VLOOKUP($R32,Afgr,Data!$BJ$3)</f>
        <v>0</v>
      </c>
      <c r="QS32">
        <f>IF(VLOOKUP($R32,Afgr,Data!$DA$3)="Vinterbyg",$AN32,0)*VLOOKUP($R32,Afgr,Data!$BJ$3)</f>
        <v>0</v>
      </c>
      <c r="QT32">
        <f>IF(VLOOKUP($R32,Afgr,Data!$DA$3)="Havre",$AN32,0)*VLOOKUP($R32,Afgr,Data!$BJ$3)</f>
        <v>0</v>
      </c>
      <c r="QU32">
        <f>IF(VLOOKUP($R32,Afgr,Data!$DA$3)="Hvede",$AN32,0)*VLOOKUP($R32,Afgr,Data!$BJ$3)</f>
        <v>33468.450000000004</v>
      </c>
      <c r="QV32">
        <f>IF(VLOOKUP($R32,Afgr,Data!$DA$3)="Triticale",$AN32,0)*VLOOKUP($R32,Afgr,Data!$BJ$3)</f>
        <v>0</v>
      </c>
      <c r="QW32">
        <f>IF(VLOOKUP($R32,Afgr,Data!$DA$3)="Rug",$AN32,0)*VLOOKUP($R32,Afgr,Data!$BJ$3)</f>
        <v>0</v>
      </c>
      <c r="QX32">
        <f>IF(VLOOKUP($R32,Afgr,Data!$DA$3)="Majs",$AN32,0)*VLOOKUP($R32,Afgr,Data!$BJ$3)</f>
        <v>0</v>
      </c>
      <c r="RA32">
        <f>IF(OV32+PB32&gt;0,1,0)</f>
        <v>0</v>
      </c>
      <c r="RB32">
        <f>RA32*LW32</f>
        <v>0</v>
      </c>
      <c r="RC32">
        <f>RA32*MT32</f>
        <v>0</v>
      </c>
      <c r="RD32">
        <f>ND32</f>
        <v>0</v>
      </c>
      <c r="RE32">
        <f>RA32*OB32</f>
        <v>0</v>
      </c>
      <c r="RH32">
        <f>VLOOKUP(B32,Jordtype,Data!$Y$112+DenitNr-1)</f>
        <v>7.25</v>
      </c>
      <c r="RI32">
        <f>FF32*VLOOKUP(B32,Jordtype,Data!$AB$112+DenitNr-1)</f>
        <v>4.32</v>
      </c>
      <c r="RJ32">
        <f>((CJ32+CK32+CL32+Regn2!CO32*0.7)-(RR32+RT32))*VLOOKUP(B32,Jordtype,Data!$AE$112+DenitNr-1)</f>
        <v>11.000508750000002</v>
      </c>
      <c r="RK32">
        <f>0*VLOOKUP(B32,Jordtype,Data!$AE$112+DenitNr-1)</f>
        <v>0</v>
      </c>
      <c r="RL32">
        <f>Regn2!FD32*VLOOKUP(B32,Jordtype,Data!$AH$112+DenitNr-1)</f>
        <v>0</v>
      </c>
      <c r="RM32" s="3">
        <f>RH32+RI32+RJ32+RK32+RL32</f>
        <v>22.570508750000002</v>
      </c>
      <c r="RO32">
        <v>2</v>
      </c>
      <c r="RP32">
        <f>(FF32)*RO32*0.01</f>
        <v>2.16</v>
      </c>
      <c r="RQ32">
        <v>7</v>
      </c>
      <c r="RR32">
        <f>CE32*RQ32*0.01</f>
        <v>0</v>
      </c>
      <c r="RS32">
        <v>7</v>
      </c>
      <c r="RT32">
        <f>(Regn2!CF32+Regn2!CG32)*RS32*0.01</f>
        <v>8.33</v>
      </c>
      <c r="RW32">
        <f>VLOOKUP(R32,Afgr,Data!$EE$3)</f>
        <v>5</v>
      </c>
      <c r="RX32" s="3">
        <f>RP32+RR32+RT32+RV32+RW32</f>
        <v>15.49</v>
      </c>
    </row>
    <row r="33" spans="1:492" x14ac:dyDescent="0.25">
      <c r="GT33" s="12"/>
    </row>
    <row r="34" spans="1:492" x14ac:dyDescent="0.25">
      <c r="A34" s="214" t="str">
        <f>Nbal!B34</f>
        <v>14-0</v>
      </c>
      <c r="B34">
        <v>6</v>
      </c>
      <c r="C34">
        <v>1</v>
      </c>
      <c r="D34">
        <f>IF(C34=1,VLOOKUP(B34,Jordtype,Data!$K$112),VLOOKUP(B34,Jordtype,Data!$L$112))</f>
        <v>9</v>
      </c>
      <c r="E34">
        <f>IF(C34=1,VLOOKUP(B34,Jordtype,Data!$M$112),VLOOKUP(B34,Jordtype,Data!$N$112))</f>
        <v>14</v>
      </c>
      <c r="F34">
        <f>IF(OR(B34=1,B34=3),0,IF(OR(B34=2,B34=4),1,IF(OR(B34=5,B34=6),2,3)))</f>
        <v>2</v>
      </c>
      <c r="G34">
        <f>IF(C34=1,VLOOKUP(B34,Jordtype,Data!$Q$112),VLOOKUP(B34,Jordtype,Data!$R$112))</f>
        <v>25</v>
      </c>
      <c r="H34">
        <f>IF(C34=1,VLOOKUP(B34,Jordtype,Data!$O$112),VLOOKUP(B34,Jordtype,Data!$P$112))</f>
        <v>19</v>
      </c>
      <c r="I34">
        <f>IF(B34&lt;5,0,1)</f>
        <v>1</v>
      </c>
      <c r="J34">
        <f>IF(B34&lt;5,PlojJB,1)</f>
        <v>1</v>
      </c>
      <c r="K34">
        <f>IF(B34&lt;5,SaaJB,1)</f>
        <v>1</v>
      </c>
      <c r="L34">
        <f>IF(C34=1,VLOOKUP(B34,Jordtype,Data!$S$112),VLOOKUP(B34,Jordtype,Data!$T$112))</f>
        <v>8</v>
      </c>
      <c r="M34">
        <f>IF(C34=1,VLOOKUP(B34,Jordtype,Data!$U$112),VLOOKUP(B34,Jordtype,Data!$V$112))</f>
        <v>13</v>
      </c>
      <c r="O34">
        <v>40</v>
      </c>
      <c r="P34">
        <v>1</v>
      </c>
      <c r="Q34" t="b">
        <v>0</v>
      </c>
      <c r="R34">
        <v>35</v>
      </c>
      <c r="S34">
        <v>1</v>
      </c>
      <c r="T34">
        <v>1</v>
      </c>
      <c r="U34">
        <v>1</v>
      </c>
      <c r="V34">
        <v>1</v>
      </c>
      <c r="X34">
        <v>35</v>
      </c>
      <c r="Z34">
        <f>Nbal!AG34</f>
        <v>8.93</v>
      </c>
      <c r="AA34">
        <v>1</v>
      </c>
      <c r="AB34">
        <f>VLOOKUP($R34,Afgr,G34)</f>
        <v>159</v>
      </c>
      <c r="AC34">
        <f>VLOOKUP($O34,Afgr,Data!$AI$3)*VLOOKUP(R34,Afgr,Data!$AJ$3)</f>
        <v>0</v>
      </c>
      <c r="AD34">
        <f>IF($Q34,0,VLOOKUP($P34,Efgr,(Data!$W$53+$V$6-1)))</f>
        <v>0</v>
      </c>
      <c r="AE34">
        <f>AB34-AC34-AD34</f>
        <v>159</v>
      </c>
      <c r="AF34">
        <f>AE34*Z34</f>
        <v>1419.87</v>
      </c>
      <c r="AH34">
        <f>VLOOKUP(R34,Afgr,D34)</f>
        <v>81</v>
      </c>
      <c r="AI34">
        <f>VLOOKUP(O34,Afgr,Data!$AL$3)*VLOOKUP(R34,Afgr,E34)</f>
        <v>0</v>
      </c>
      <c r="AJ34">
        <f>VLOOKUP(P34,Efgr,(Data!$Y$53+I34))</f>
        <v>0</v>
      </c>
      <c r="AK34">
        <f>AH34+AI34+AJ34</f>
        <v>81</v>
      </c>
      <c r="AL34">
        <f>AH34+AI34+AJ34</f>
        <v>81</v>
      </c>
      <c r="AM34" s="3">
        <f>IF(Nbal!CK34&lt;&gt;"",Nbal!CK34,AL34)</f>
        <v>56</v>
      </c>
      <c r="AN34">
        <f>AM34*Z34</f>
        <v>500.08</v>
      </c>
      <c r="AO34" t="str">
        <f>VLOOKUP(R34,Afgr,3)</f>
        <v>hkg</v>
      </c>
      <c r="AP34">
        <f>IF(AO34="FE",VLOOKUP($R34,Afgr,Data!$AV$3),0)</f>
        <v>0</v>
      </c>
      <c r="AR34">
        <f>VLOOKUP(R34,Afgr,4)</f>
        <v>145</v>
      </c>
      <c r="AS34" s="3">
        <f>IF(Nbal!CW34&lt;&gt;"",Nbal!CW34,AR34)</f>
        <v>145</v>
      </c>
      <c r="AT34" s="3">
        <f>AM34*AS34</f>
        <v>8120</v>
      </c>
      <c r="AU34" s="3">
        <f>AN34*AS34</f>
        <v>72511.599999999991</v>
      </c>
      <c r="AW34">
        <f>VLOOKUP(R34,Afgr,Data!$AN$3)</f>
        <v>0</v>
      </c>
      <c r="AX34" s="3">
        <f>IF(Nbal!DC34&lt;&gt;"",Nbal!DC34,AW34)</f>
        <v>0</v>
      </c>
      <c r="AY34" s="3">
        <f>AX34*Z34</f>
        <v>0</v>
      </c>
      <c r="BA34">
        <f>VLOOKUP(R34,Afgr,H34)</f>
        <v>4700</v>
      </c>
      <c r="BB34">
        <f>IF(ISERROR(BA34*AM34/AK34),0,(BA34*AM34/AK34))</f>
        <v>3249.3827160493829</v>
      </c>
      <c r="BC34" s="3">
        <f>IF(Nbal!DI34&lt;&gt;"",Nbal!DI34,BB34)</f>
        <v>3249.3827160493829</v>
      </c>
      <c r="BD34">
        <f>BC34*Z34</f>
        <v>29016.987654320987</v>
      </c>
      <c r="BG34">
        <f>IF($S34=1,BC34,0)</f>
        <v>3249.3827160493829</v>
      </c>
      <c r="BH34">
        <f>IF($S34=1,BD34,0)</f>
        <v>29016.987654320987</v>
      </c>
      <c r="BI34">
        <f>VLOOKUP(R34,Afgr,Data!$AM$3)</f>
        <v>0.5</v>
      </c>
      <c r="BJ34">
        <f>IF(Nbal!DR34&lt;&gt;"",Nbal!DR34,BI34)</f>
        <v>0.5</v>
      </c>
      <c r="BK34">
        <f>BG34*BJ34</f>
        <v>1624.6913580246915</v>
      </c>
      <c r="BL34">
        <f>BH34*BJ34</f>
        <v>14508.493827160493</v>
      </c>
      <c r="BN34">
        <f>VLOOKUP($T34,Efgr,M34)</f>
        <v>0</v>
      </c>
      <c r="BO34">
        <f>BN34*Z34</f>
        <v>0</v>
      </c>
      <c r="BQ34">
        <f>VLOOKUP(T34,Efgr,NormudbKolonneNrEfgr1)</f>
        <v>0</v>
      </c>
      <c r="BR34" s="3">
        <f>IF(Nbal!FE34&lt;&gt;"",Nbal!FE34,BQ34)</f>
        <v>0</v>
      </c>
      <c r="BS34">
        <f>BR34*Z34</f>
        <v>0</v>
      </c>
      <c r="BT34" t="s">
        <v>37</v>
      </c>
      <c r="BU34">
        <f>BR34*Efterslaetpris</f>
        <v>0</v>
      </c>
      <c r="BV34">
        <f>BS34*Efterslaetpris</f>
        <v>0</v>
      </c>
      <c r="BW34">
        <f>VLOOKUP(T34,Efgr,Data!$AG$53)</f>
        <v>0</v>
      </c>
      <c r="BX34">
        <f>BR34*BW34</f>
        <v>0</v>
      </c>
      <c r="BZ34">
        <f>Nbal!AQ34</f>
        <v>0</v>
      </c>
      <c r="CA34" s="211">
        <f>Nbal!AT34</f>
        <v>108</v>
      </c>
      <c r="CB34" s="2">
        <f>Nbal!DZ34</f>
        <v>0</v>
      </c>
      <c r="CC34" s="211">
        <f>Nbal!AT34+Nbal!DZ34</f>
        <v>108</v>
      </c>
      <c r="CD34" s="211">
        <f>Nbal!AX34</f>
        <v>0</v>
      </c>
      <c r="CE34">
        <f>Nbal!BH34</f>
        <v>0</v>
      </c>
      <c r="CF34" s="211">
        <f>Nbal!BM34</f>
        <v>119</v>
      </c>
      <c r="CG34" s="2">
        <f>Nbal!EI34</f>
        <v>0</v>
      </c>
      <c r="CH34" s="211">
        <f>Nbal!BM34+Nbal!EI34</f>
        <v>119</v>
      </c>
      <c r="CI34" s="211">
        <f>Nbal!BW34</f>
        <v>0</v>
      </c>
      <c r="CJ34" s="211">
        <f>Nbal!BH34*Nbal!BJ34*0.01</f>
        <v>0</v>
      </c>
      <c r="CK34" s="211">
        <f>(Nbal!BM34*Nbal!BP34*0.01)</f>
        <v>88.333700000000007</v>
      </c>
      <c r="CL34" s="211">
        <f>(Nbal!EI34*Nbal!EL34*0.01)</f>
        <v>0</v>
      </c>
      <c r="CM34" s="211">
        <f>(Nbal!BM34*Nbal!BP34*0.01)+(Nbal!EI34*Nbal!EL34*0.01)</f>
        <v>88.333700000000007</v>
      </c>
      <c r="CN34" s="211">
        <f>Nbal!BW34*Nbal!BY34*0.01</f>
        <v>0</v>
      </c>
      <c r="CO34">
        <f>Nbal!BT34+Nbal!ER34</f>
        <v>0</v>
      </c>
      <c r="CQ34">
        <f>Nbal!BA34</f>
        <v>0</v>
      </c>
      <c r="CR34">
        <f>Nbal!EC34</f>
        <v>0</v>
      </c>
      <c r="CS34">
        <f>(CQ34+CR34)*Z34</f>
        <v>0</v>
      </c>
      <c r="CT34">
        <f>Nbal!CB34</f>
        <v>26</v>
      </c>
      <c r="CU34">
        <f>Nbal!EV34</f>
        <v>0</v>
      </c>
      <c r="CV34">
        <f>(CT34+CU34)*Z34</f>
        <v>232.18</v>
      </c>
      <c r="CW34">
        <f>Nbal!BA34+Nbal!CB34+Nbal!EC34+Nbal!EV34</f>
        <v>26</v>
      </c>
      <c r="CY34">
        <f>Nbal!BD34</f>
        <v>0</v>
      </c>
      <c r="CZ34">
        <f>Nbal!EF34</f>
        <v>0</v>
      </c>
      <c r="DA34">
        <f>(CY34+CZ34)*Z34</f>
        <v>0</v>
      </c>
      <c r="DB34">
        <f>Nbal!CE34</f>
        <v>61</v>
      </c>
      <c r="DC34">
        <f>Nbal!EY34</f>
        <v>0</v>
      </c>
      <c r="DD34">
        <f>(DB34+DC34)*Z34</f>
        <v>544.73</v>
      </c>
      <c r="DE34">
        <f>Nbal!BD34+Nbal!CE34+Nbal!EF34+Nbal!EY34</f>
        <v>61</v>
      </c>
      <c r="DG34">
        <f>VLOOKUP($R34,Afgr,Data!$AW$3)</f>
        <v>10.7</v>
      </c>
      <c r="DH34">
        <f>IF($AO34="FE",$AM34*$AP34*$DG34*0.01,$AM34*100*$DM34*0.01*$DG34*0.01)</f>
        <v>509.32</v>
      </c>
      <c r="DI34">
        <f>IF(VLOOKUP(R34,Afgr,Data!$BO$3)=1,DH34,0)*Z34</f>
        <v>4548.2276000000002</v>
      </c>
      <c r="DJ34" s="12">
        <f>(BZ34+CC34+CJ34-AE34)*VLOOKUP($R34,Afgr,Data!$AX$3)</f>
        <v>-1.02</v>
      </c>
      <c r="DK34">
        <f>DG34+DJ34</f>
        <v>9.68</v>
      </c>
      <c r="DL34">
        <f>IF(Nbal!CQ34&lt;&gt;"",Nbal!CQ34,DK34)</f>
        <v>12.3</v>
      </c>
      <c r="DM34">
        <f>VLOOKUP(R34,Afgr,Data!$AT$3)</f>
        <v>85</v>
      </c>
      <c r="DN34">
        <f>IF($AO34="FE",$AM34*$AP34*$DL34*0.01,$AM34*100*$DM34*0.01*DL34*0.01)</f>
        <v>585.48</v>
      </c>
      <c r="DO34">
        <f>IF(VLOOKUP(R34,Afgr,Data!$BO$3)=1,DN34,0)*Z34</f>
        <v>5228.3364000000001</v>
      </c>
      <c r="DP34">
        <f>IF(ISERROR(DN34/VLOOKUP(R34,Afgr,Data!$AY$3)),0,DN34/VLOOKUP(R34,Afgr,Data!$AY$3))</f>
        <v>102.71578947368421</v>
      </c>
      <c r="DQ34">
        <f>DP34*Z34</f>
        <v>917.25199999999995</v>
      </c>
      <c r="DS34">
        <f>IF($AO34="FE",$AM34*$AP34*VLOOKUP($R34,Afgr,Data!$BC$3)*0.001,$AM34*100*$DM34*0.01*VLOOKUP($R34,Afgr,Data!$BC$3)*0.001)</f>
        <v>16.184000000000001</v>
      </c>
      <c r="DT34">
        <f>DS34*Z34</f>
        <v>144.52312000000001</v>
      </c>
      <c r="DV34">
        <f>IF($AO34="FE",$AM34*$AP34*VLOOKUP($R34,Afgr,Data!$BF$3)*0.001,$AM34*100*$DM34*0.01*VLOOKUP($R34,Afgr,Data!$BF$3)*0.001)</f>
        <v>22.847999999999999</v>
      </c>
      <c r="DW34">
        <f>DV34*Z34</f>
        <v>204.03263999999999</v>
      </c>
      <c r="DY34">
        <f>IF(ISERROR(VLOOKUP(R34,Afgr,Data!$AZ$3)*DL34/DG34),0,VLOOKUP(R34,Afgr,Data!$AZ$3)*DL34/DG34)</f>
        <v>3.8078271028037389</v>
      </c>
      <c r="DZ34">
        <f>VLOOKUP(R34,Afgr,Data!$AU$3)</f>
        <v>85</v>
      </c>
      <c r="EA34">
        <f>IF($S34=1,$BC34*$DZ34*0.01*DY34*0.01,0)</f>
        <v>105.17124437521636</v>
      </c>
      <c r="EB34">
        <f>EA34/6.25</f>
        <v>16.827399100034619</v>
      </c>
      <c r="EC34">
        <f>EB34*Z34</f>
        <v>150.26867396330914</v>
      </c>
      <c r="EE34">
        <f>IF($S34=1,$BC34*$DZ34*0.01*VLOOKUP($R34,Afgr,Data!$BD$3)*0.001,0)</f>
        <v>2.4857777777777779</v>
      </c>
      <c r="EF34">
        <f>EE34*Z34</f>
        <v>22.197995555555554</v>
      </c>
      <c r="EH34">
        <f>IF($S34=1,$BC34*$DZ34*0.01*VLOOKUP($R34,Afgr,Data!$BG$3)*0.001,0)</f>
        <v>41.429629629629638</v>
      </c>
      <c r="EI34">
        <f>EH34*Z34</f>
        <v>369.96659259259263</v>
      </c>
      <c r="EK34">
        <f>VLOOKUP(T34,Efgr,Data!$AI$53)</f>
        <v>0</v>
      </c>
      <c r="EL34">
        <f>BX34*EK34*0.01/6.25</f>
        <v>0</v>
      </c>
      <c r="EM34">
        <f>EL34*Z34</f>
        <v>0</v>
      </c>
      <c r="EO34">
        <f>$BX34*VLOOKUP($T34,Efgr,Data!$AJ$53)*0.001</f>
        <v>0</v>
      </c>
      <c r="EP34">
        <f>EO34*Z34</f>
        <v>0</v>
      </c>
      <c r="ER34">
        <f>$BX34*VLOOKUP($T34,Efgr,Data!$AK$53)*0.001</f>
        <v>0</v>
      </c>
      <c r="ES34">
        <f>ER34*Z34</f>
        <v>0</v>
      </c>
      <c r="EU34">
        <f>IF(VLOOKUP(R34,Afgr,Data!$DS$3)=1,DP34*VLOOKUP(R34,Afgr,(Data!$DT$3+EftervirkningUdb1))*VLOOKUP(R34,Afgr,Data!$DV$3),0)</f>
        <v>0</v>
      </c>
      <c r="EV34">
        <f>IF(VLOOKUP(R34,Afgr,Data!$DS$3)=2,VLOOKUP(R34,Afgr,Data!$DX$3),0)</f>
        <v>0</v>
      </c>
      <c r="EW34">
        <f>IF(VLOOKUP(R34,Afgr,Data!$DS$3)=3,$DP34*VLOOKUP($R34,Afgr,IF(Jordtype1&lt;5,Data!$DT$3,Data!$DU$3))*VLOOKUP($R34,Afgr,Data!$DV$3),0)</f>
        <v>0</v>
      </c>
      <c r="EX34">
        <f>IF(VLOOKUP(R34,Afgr,Data!$DS$3)=4,(1.232+0.00469*AM34*100+(0.000256*AM34*100+0.089)*60),0)</f>
        <v>0</v>
      </c>
      <c r="EY34" s="211">
        <f>BZ34+CA34+CJ34+CK34</f>
        <v>196.33370000000002</v>
      </c>
      <c r="EZ34">
        <f>IF(VLOOKUP($R34,Afgr,Data!$DS$3)=5,($AM34*0.02742-$AM34*0.0001*$EY34+$AM34*0.0000001111*$EY34*$EY34),0)</f>
        <v>0</v>
      </c>
      <c r="FA34" s="2">
        <f>CB34+CL34</f>
        <v>0</v>
      </c>
      <c r="FB34">
        <f>IF(VLOOKUP($T34,Efgr,Data!$BH$53)=5,($BR34*0.02742-$BR34*0.0001*$FA34+$BR34*0.0000001111*$FA34*$FA34),0)</f>
        <v>0</v>
      </c>
      <c r="FC34" s="3">
        <f>EU34+EV34+EW34+EX34+EZ34+FB34</f>
        <v>0</v>
      </c>
      <c r="FD34" s="3">
        <f>FC34*Z34</f>
        <v>0</v>
      </c>
      <c r="FF34" s="211">
        <f>BZ34+CC34</f>
        <v>108</v>
      </c>
      <c r="FG34" s="211">
        <f>FF34*Z34</f>
        <v>964.43999999999994</v>
      </c>
      <c r="FH34" s="211">
        <f>CE34+CH34+CO34</f>
        <v>119</v>
      </c>
      <c r="FI34" s="211">
        <f>FH34*Z34</f>
        <v>1062.67</v>
      </c>
      <c r="FJ34">
        <f>VLOOKUP($R34,Afgr,Data!$DK$3)*VLOOKUP($R34,Afgr,Data!$AT$3)*0.01*VLOOKUP($R34,Afgr,Data!$AW$3)*0.01/6.25</f>
        <v>2.3283199999999997</v>
      </c>
      <c r="FK34">
        <f>FJ34*Z34</f>
        <v>20.791897599999995</v>
      </c>
      <c r="FL34" s="4">
        <f>IF(R34&gt;1,Deposition,0)</f>
        <v>15</v>
      </c>
      <c r="FM34" s="4">
        <f>FL34*Z34</f>
        <v>133.94999999999999</v>
      </c>
      <c r="FN34">
        <f>FC34</f>
        <v>0</v>
      </c>
      <c r="FO34">
        <f>FN34*Z34</f>
        <v>0</v>
      </c>
      <c r="FP34" s="211">
        <f>SUM(FF34,FH34,FJ34,FL34,FN34)</f>
        <v>244.32831999999999</v>
      </c>
      <c r="FQ34">
        <f>DP34+EB34+EL34</f>
        <v>119.54318857371882</v>
      </c>
      <c r="FR34" s="3">
        <f>FP34-FQ34</f>
        <v>124.78513142628117</v>
      </c>
      <c r="FS34" s="19">
        <f>FP34*Z34</f>
        <v>2181.8518976</v>
      </c>
      <c r="FT34" s="19">
        <f>FQ34*Z34</f>
        <v>1067.520673963309</v>
      </c>
      <c r="FU34" s="3">
        <f>FR34*Z34</f>
        <v>1114.3312236366908</v>
      </c>
      <c r="FW34">
        <f>CW34</f>
        <v>26</v>
      </c>
      <c r="FX34">
        <f>FW34*Z34</f>
        <v>232.18</v>
      </c>
      <c r="FY34">
        <f>IX34+MB34</f>
        <v>18.669777777777778</v>
      </c>
      <c r="FZ34">
        <f>FY34*Z34</f>
        <v>166.72111555555554</v>
      </c>
      <c r="GA34">
        <f>FW34-FY34</f>
        <v>7.330222222222222</v>
      </c>
      <c r="GB34">
        <f>GA34*Z34</f>
        <v>65.458884444444436</v>
      </c>
      <c r="GD34">
        <f>DE34</f>
        <v>61</v>
      </c>
      <c r="GE34">
        <f>GD34*Z34</f>
        <v>544.73</v>
      </c>
      <c r="GF34">
        <f>JE34+MH34</f>
        <v>64.277629629629644</v>
      </c>
      <c r="GG34">
        <f>GF34*Z34</f>
        <v>573.99923259259265</v>
      </c>
      <c r="GH34">
        <f>GD34-GF34</f>
        <v>-3.2776296296296437</v>
      </c>
      <c r="GI34">
        <f>GH34*Z34</f>
        <v>-29.269232592592719</v>
      </c>
      <c r="GK34">
        <f>AA34</f>
        <v>1</v>
      </c>
      <c r="GL34" s="211">
        <f>FF34+FH34+FN34</f>
        <v>227</v>
      </c>
      <c r="GM34" s="211">
        <f>IF(R34=1,"",IF(GK34=1,GL34,""))</f>
        <v>227</v>
      </c>
      <c r="GN34" s="211" t="str">
        <f>IF(R34=1,"",IF(GK34=2,GL34,""))</f>
        <v/>
      </c>
      <c r="GO34" s="211" t="str">
        <f>IF(R34=1,"",IF(GK34=3,GL34,""))</f>
        <v/>
      </c>
      <c r="GP34" s="211" t="str">
        <f>IF(R34=1,"",IF(GK34=4,GL34,""))</f>
        <v/>
      </c>
      <c r="GQ34" s="149">
        <f>IF(OR(R34=1,VLOOKUP(R34,Afgr,Data!$BV$3)=1,VLOOKUP(R34,Afgr,Data!$BW$3)=1),0,IF(GK34=1,Nniveau1,IF(GK34=2,Nniveau2,IF(GK34=3,Nniveau3,IF(GK34=4,Nniveau4,GL34)))))</f>
        <v>173.16922222222217</v>
      </c>
      <c r="GR34" s="222">
        <v>0.32550000000000001</v>
      </c>
      <c r="GS34" s="6">
        <v>0</v>
      </c>
      <c r="GT34" s="149">
        <f>CC34+CM34</f>
        <v>196.33370000000002</v>
      </c>
      <c r="GU34" s="6">
        <f>$FN34</f>
        <v>0</v>
      </c>
      <c r="GV34" s="222">
        <v>0.25280000000000002</v>
      </c>
      <c r="GW34">
        <f>CO34</f>
        <v>0</v>
      </c>
      <c r="GX34" s="222">
        <v>0.376</v>
      </c>
      <c r="GY34" s="149">
        <f>CD34+CN34</f>
        <v>0</v>
      </c>
      <c r="GZ34" s="222">
        <f>IF(B34&gt;3,0.3539,1.0749)</f>
        <v>0.35389999999999999</v>
      </c>
      <c r="HA34" s="11">
        <f>$FQ34</f>
        <v>119.54318857371882</v>
      </c>
      <c r="HB34" s="222">
        <v>0.19359999999999999</v>
      </c>
      <c r="HC34" s="222">
        <f>VLOOKUP($R34,Afgr,Data!$DM$3)</f>
        <v>1</v>
      </c>
      <c r="HD34" s="24">
        <f>IF($HC34&gt;1,0,(VLOOKUP($X34,Afgr,Data!$DP$3)+IF(VLOOKUP($X34,Afgr,Data!$DP$3)=0,VLOOKUP($T34,Efgr,Data!$BI$53,0))))+IF(AND($HC34=7,VLOOKUP($X34,Afgr,Data!$DQ$3)=-2),-2,0)+IF(AND($HC34=6,VLOOKUP($T34,Efgr,Data!$BI$53)=2),8,0)</f>
        <v>1</v>
      </c>
      <c r="HE34" s="6">
        <f>VLOOKUP(SUM(HC34:HD34),Nlesafgr,3)</f>
        <v>-7.6</v>
      </c>
      <c r="HF34" s="7">
        <f>VLOOKUP($O34,Afgr,Data!$DN$3)</f>
        <v>1</v>
      </c>
      <c r="HG34" s="24">
        <f>IF(HF34&gt;1,0,VLOOKUP($R34,Afgr,Data!$DO$3)+IF(VLOOKUP($R34,Afgr,Data!$DO$3)=1,0,VLOOKUP($P34,Efgr,Data!$BJ$53)))</f>
        <v>0</v>
      </c>
      <c r="HH34" s="6">
        <f>VLOOKUP(SUM(HF34:HG34),Nlesforfrugt,3)</f>
        <v>0</v>
      </c>
      <c r="HI34" s="222">
        <f>GR34*GQ34+GV34*(GT34+GU34)+GX34*GW34+GZ34*GY34-HB34*HA34+HE34+HH34</f>
        <v>75.256179885461378</v>
      </c>
      <c r="HJ34" s="222">
        <f>Nlesafskaering</f>
        <v>59.6</v>
      </c>
      <c r="HK34" s="222">
        <f>Teknologi1</f>
        <v>2455</v>
      </c>
      <c r="HL34" s="6">
        <v>2001</v>
      </c>
      <c r="HM34" s="222">
        <f>Teknologi2</f>
        <v>1962.2</v>
      </c>
      <c r="HN34" s="222">
        <f>Tandel</f>
        <v>0.54659999999999997</v>
      </c>
      <c r="HO34" s="222">
        <f>IF(OR(HI34&gt;0,HI34=0),HJ34+HK34/(HL34-HM34),HJ34+HK34/(HL34-HM34)+HN34*HI34)</f>
        <v>122.87319587628873</v>
      </c>
      <c r="HP34" s="222">
        <f>IF(HI34&gt;0,HI34,0.001)</f>
        <v>75.256179885461378</v>
      </c>
      <c r="HQ34" s="222">
        <v>1.5020000000000001E-3</v>
      </c>
      <c r="HR34" s="24">
        <f>IF(R34=1,0,VLOOKUP(PostnrNbal,AfstromData,VLOOKUP($R34,Afgr,Data!$DL$3)+IF(Jordtype1&lt;7,Jordtype1,6),FALSE)-VLOOKUP(T34,Efgr,Data!$AA$53))</f>
        <v>269.74999999999898</v>
      </c>
      <c r="HS34" s="24">
        <f>IF(Nbal!GA34&lt;&gt;"",Nbal!GA34,Regn2!HR34)</f>
        <v>269.74999999999898</v>
      </c>
      <c r="HT34" s="222">
        <v>5.5400000000000002E-4</v>
      </c>
      <c r="HU34" s="24">
        <f>IF(R34=1,0,VLOOKUP(PostnrNbal,AfstromData,VLOOKUP($O34,Afgr,Data!$DL$3)+IF(B34&lt;7,B34,6),FALSE)-VLOOKUP(P34,Efgr,Data!$AA$53))</f>
        <v>304.76666666666603</v>
      </c>
      <c r="HV34" s="24">
        <f>IF(Nbal!FU34&lt;&gt;"",Nbal!FU34,Regn2!HU34)</f>
        <v>304.76666666666603</v>
      </c>
      <c r="HW34" s="222">
        <v>0.10639999999999999</v>
      </c>
      <c r="HX34" s="6">
        <f>VLOOKUP(B34,Jordtype,Data!$W$112)</f>
        <v>3</v>
      </c>
      <c r="HY34" s="222">
        <v>3.2500000000000001E-2</v>
      </c>
      <c r="HZ34" s="6">
        <f>VLOOKUP(B34,Jordtype,Data!$X$112)</f>
        <v>12</v>
      </c>
      <c r="IA34" s="222">
        <v>1.2453000000000001</v>
      </c>
      <c r="IB34" s="222">
        <f>IF(VLOOKUP(T34,Efgr,Data!$AO$53)=1,MlafgrNUdvask,0)</f>
        <v>0</v>
      </c>
      <c r="IC34" s="20">
        <f>IF(ISERROR((HO34+POWER(HP34,1.2))*(1-EXP(-HQ34*HS34))*EXP(-HT34*HV34)*EXP(-HW34*HX34)*EXP(-HY34*HZ34)*IA34),0,(HO34+POWER(HP34,1.2))*(1-EXP(-HQ34*HS34))*EXP(-HT34*HV34)*EXP(-HW34*HX34)*EXP(-HY34*HZ34)*IA34+IB34)</f>
        <v>51.97490368561013</v>
      </c>
      <c r="ID34">
        <f>IC34*Z34</f>
        <v>464.13588991249844</v>
      </c>
      <c r="IE34">
        <f>IF(Nbal!GF34&lt;&gt;"",Nbal!GF34,RetentionNbal)</f>
        <v>65</v>
      </c>
      <c r="IF34">
        <f>IC34*(100-IE34)*0.01</f>
        <v>18.191216289963545</v>
      </c>
      <c r="IG34">
        <f>IF34*Z34</f>
        <v>162.44756146937445</v>
      </c>
      <c r="IH34" s="2">
        <f>HS34*10000</f>
        <v>2697499.9999999898</v>
      </c>
      <c r="II34" s="2">
        <f>IH34*Z34</f>
        <v>24088674.999999907</v>
      </c>
      <c r="IJ34">
        <f>IF(ISERROR(IC34*1000*1000/IH34),0,IC34*1000*1000/IH34)</f>
        <v>19.267804888085386</v>
      </c>
      <c r="IL34">
        <f>AT34+AX34+BK34+BU34</f>
        <v>9744.691358024691</v>
      </c>
      <c r="IO34">
        <f>VLOOKUP(R34,Afgr,Data!$AP$3)*UdsaedJust</f>
        <v>578</v>
      </c>
      <c r="IP34" s="3">
        <f>IF(Nbal!GN34&lt;&gt;"",Nbal!GN34,IO34)</f>
        <v>578</v>
      </c>
      <c r="IQ34" s="3">
        <f>IP34*Z34</f>
        <v>5161.54</v>
      </c>
      <c r="IS34" s="3">
        <f>IF(HdgVaerdiNbal=1,(BZ34+CA34)*Npris,(BZ34+CA34+CJ34+CK34)*Npris)</f>
        <v>912.59999999999991</v>
      </c>
      <c r="IT34" s="3">
        <f>IS34*Z34</f>
        <v>8149.5179999999991</v>
      </c>
      <c r="IV34">
        <f>VLOOKUP($R34,Afgr,Data!$BA$3)</f>
        <v>0</v>
      </c>
      <c r="IW34">
        <f>VLOOKUP($R34,Afgr,Data!$BB$3)</f>
        <v>0</v>
      </c>
      <c r="IX34">
        <f>$DS34+$EE34</f>
        <v>18.669777777777778</v>
      </c>
      <c r="IY34">
        <f>CT34</f>
        <v>26</v>
      </c>
      <c r="IZ34">
        <f>CQ34</f>
        <v>0</v>
      </c>
      <c r="JA34" s="3">
        <f>IF(HdgVaerdiNbal=1,(IZ34)*Ppris,(IY34+IZ34)*Ppris)</f>
        <v>0</v>
      </c>
      <c r="JB34" s="3">
        <f>JA34*Z34</f>
        <v>0</v>
      </c>
      <c r="JD34">
        <f>IF(AND(R34&gt;1,OR(Jordtype1=1,Jordtype1=3,Markvand1=2)),Kudvask,0)</f>
        <v>0</v>
      </c>
      <c r="JE34">
        <f>$DV34+$EH34</f>
        <v>64.277629629629644</v>
      </c>
      <c r="JF34">
        <f>DB34</f>
        <v>61</v>
      </c>
      <c r="JG34">
        <f>CY34</f>
        <v>0</v>
      </c>
      <c r="JH34" s="3">
        <f>IF(HdgVaerdiNbal=1,JG34*Kpris,(JF34+JG34)*Kpris)</f>
        <v>0</v>
      </c>
      <c r="JI34" s="3">
        <f>JH34*Z34</f>
        <v>0</v>
      </c>
      <c r="JK34">
        <f>IS34+JA34+JH34</f>
        <v>912.59999999999991</v>
      </c>
      <c r="JL34" s="3">
        <f>IF(Nbal!GT34&lt;&gt;"",Nbal!GT34,$JK34)</f>
        <v>912.59999999999991</v>
      </c>
      <c r="JM34" s="3">
        <f>JL34*Z34</f>
        <v>8149.5179999999991</v>
      </c>
      <c r="JO34">
        <f>VLOOKUP(R34,Afgr,Data!$AQ$3)*PlantevJust</f>
        <v>703</v>
      </c>
      <c r="JP34" s="3">
        <f>IF(Nbal!GZ34&lt;&gt;"",Nbal!GZ34,JO34)</f>
        <v>703</v>
      </c>
      <c r="JQ34" s="3">
        <f>JP34*Z34</f>
        <v>6277.79</v>
      </c>
      <c r="JS34">
        <f>VLOOKUP(R34,Afgr,Data!$AR$3)+AM34*VLOOKUP(R34,Afgr,Data!$BH$3)</f>
        <v>0</v>
      </c>
      <c r="JT34" s="3">
        <f>IF(Nbal!HF34&lt;&gt;"",Nbal!HF34,JS34)</f>
        <v>0</v>
      </c>
      <c r="JU34">
        <f>JT34*Z34</f>
        <v>0</v>
      </c>
      <c r="JW34">
        <f>IP34+JL34+JP34+JT34</f>
        <v>2193.6</v>
      </c>
      <c r="JY34">
        <f>IF(VLOOKUP(R34,Afgr,Data!$BY$3)&gt;0,Data!$K$259*J34,0)</f>
        <v>600</v>
      </c>
      <c r="JZ34">
        <f>IF(VLOOKUP(R34,Afgr,Data!$BZ$3)&gt;0,Data!$K$260*J34,0)</f>
        <v>0</v>
      </c>
      <c r="KA34">
        <f>(JY34+JZ34)*MaskJust</f>
        <v>600</v>
      </c>
      <c r="KB34" s="3">
        <f>IF(Nbal!HL34&lt;&gt;"",Nbal!HL34,KA34)</f>
        <v>600</v>
      </c>
      <c r="KC34" s="3">
        <f>KB34*Z34</f>
        <v>5358</v>
      </c>
      <c r="KE34">
        <f>IF(VLOOKUP(R34,Afgr,Data!$CA$3)&gt;0,VLOOKUP(R34,Afgr,Data!$CA$3)*Data!$K$261*K34,0)</f>
        <v>0</v>
      </c>
      <c r="KF34">
        <f>IF(VLOOKUP(R34,Afgr,Data!$CC$3)&gt;0,Data!$K$262*K34,0)</f>
        <v>350</v>
      </c>
      <c r="KG34">
        <f>IF(VLOOKUP(R34,Afgr,Data!$CD$3)&gt;0,VLOOKUP(R34,Afgr,Data!$CD$3)*Data!$K$263*K34,0)</f>
        <v>0</v>
      </c>
      <c r="KH34">
        <f>IF(VLOOKUP(R34,Afgr,Data!$CE$3)&gt;0,Data!$K$264*K34,0)</f>
        <v>0</v>
      </c>
      <c r="KI34">
        <f>IF(VLOOKUP(R34,Afgr,Data!$CF$3)&gt;0,Data!$K$265*K34,0)</f>
        <v>0</v>
      </c>
      <c r="KJ34">
        <f>IF(VLOOKUP(R34,Afgr,Data!$CV$3)&gt;0,Data!$K$266,0)</f>
        <v>0</v>
      </c>
      <c r="KK34">
        <f>IF(VLOOKUP(R34,Afgr,Data!$CG$3)&gt;0,Data!$K$267*K34,0)</f>
        <v>0</v>
      </c>
      <c r="KL34">
        <f>(KE34+KF34+KG34+KH34+KI34+KJ34+KK34)*MaskJust</f>
        <v>350</v>
      </c>
      <c r="KM34" s="3">
        <f>IF(Nbal!HR34&lt;&gt;"",Nbal!HR34,KL34)</f>
        <v>350</v>
      </c>
      <c r="KN34" s="3">
        <f>KM34*Z34</f>
        <v>3125.5</v>
      </c>
      <c r="KP34">
        <f>IF(VLOOKUP(R34,Afgr,Data!$CJ$3)&gt;0,VLOOKUP(R34,Afgr,Data!$CJ$3)*Data!$K$268*K34,0)*MaskJust</f>
        <v>280</v>
      </c>
      <c r="KQ34" s="3">
        <f>IF(Nbal!HX34&lt;&gt;"",Nbal!HX34,KP34)</f>
        <v>280</v>
      </c>
      <c r="KR34" s="3">
        <f>KQ34*Z34</f>
        <v>2500.4</v>
      </c>
      <c r="KT34">
        <f>IF(VLOOKUP(R34,Afgr,Data!$CI$3)&gt;0,VLOOKUP(R34,Afgr,Data!$CI$3)*Data!$K$269,0)*MaskJust</f>
        <v>450</v>
      </c>
      <c r="KU34" s="3">
        <f>IF(Nbal!ID34&lt;&gt;"",Nbal!ID34,KT34)</f>
        <v>450</v>
      </c>
      <c r="KV34" s="3">
        <f>KU34*Z34</f>
        <v>4018.5</v>
      </c>
      <c r="KX34">
        <f>IF(C34=2,VLOOKUP($R34,Afgr,Data!$CY$3),0)</f>
        <v>0</v>
      </c>
      <c r="KY34">
        <f>IF(Nbal!IJ34&lt;&gt;"",Nbal!IJ34,$KX34)</f>
        <v>0</v>
      </c>
      <c r="KZ34">
        <f>IF(AND(R34&gt;1,C34=2),Vandmaskin+$KY34*Flytning/mmprgang+$KY34*Prisprmm,0)</f>
        <v>0</v>
      </c>
      <c r="LA34" s="3">
        <f>IF(Nbal!IP34&lt;&gt;"",Nbal!IP34,$KZ34)</f>
        <v>0</v>
      </c>
      <c r="LB34" s="3">
        <f>LA34*Z34</f>
        <v>0</v>
      </c>
      <c r="LD34">
        <f>IF(VLOOKUP($R34,Afgr,Data!$CK$3)&gt;0,((1+AM34/VLOOKUP($R34,Afgr,Data!$CK$3))/2)*VLOOKUP($R34,Afgr,Data!$CL$3)*VLOOKUP($R34,Afgr,Data!$CN$3)+VLOOKUP($R34,Afgr,Data!$CM$3),0)</f>
        <v>746.47058823529403</v>
      </c>
      <c r="LE34">
        <f>IF(VLOOKUP($R34,Afgr,Data!$CK$3)&gt;0,IF(AND($S34=2,$BA34&gt;0),Data!$K$271,0),0)</f>
        <v>0</v>
      </c>
      <c r="LF34">
        <f>IF(VLOOKUP($R34,Afgr,Data!$CK$3)&gt;0,(AM34/VLOOKUP($R34,Afgr,Data!$CK$3))*VLOOKUP($R34,Afgr,Data!$CO$3)*VLOOKUP($R34,Afgr,Data!$CN$3),0)</f>
        <v>214.11764705882354</v>
      </c>
      <c r="LG34">
        <f>(LD34+LE34+LF34)*MaskJust</f>
        <v>960.58823529411757</v>
      </c>
      <c r="LH34" s="3">
        <f>IF(Nbal!IV34&lt;&gt;"",Nbal!IV34,LG34)</f>
        <v>960.58823529411757</v>
      </c>
      <c r="LI34" s="3">
        <f>LH34*Z34</f>
        <v>8578.0529411764692</v>
      </c>
      <c r="LJ34" s="3"/>
      <c r="LK34">
        <f>IF(AND($S34=1,VLOOKUP($R34,Afgr,Data!$CP$3)&gt;0),((1+$BC34/VLOOKUP($R34,Afgr,Data!$CP$3))/2)*VLOOKUP($R34,Afgr,Data!$CQ$3),0)</f>
        <v>546.82098765432102</v>
      </c>
      <c r="LL34">
        <f>IF(AND($S34=1,VLOOKUP($R34,Afgr,Data!$CP$3)&gt;0),($BC34/VLOOKUP($R34,Afgr,Data!$CP$3))*VLOOKUP($R34,Afgr,Data!$CR$3),0)</f>
        <v>216.62551440329221</v>
      </c>
      <c r="LM34">
        <f>(LK34+LL34)*MaskJust</f>
        <v>763.4465020576132</v>
      </c>
      <c r="LN34" s="3">
        <f>IF(Nbal!JB34&lt;&gt;"",Nbal!JB34,LM34)</f>
        <v>763.4465020576132</v>
      </c>
      <c r="LO34" s="3">
        <f>LN34*Z34</f>
        <v>6817.5772633744855</v>
      </c>
      <c r="LQ34">
        <f>$AM34*VLOOKUP($R34,Afgr,Data!$CS$3)*IF($V34=1,VLOOKUP($R34,Afgr,Data!$CT$3),IF($V34=2,VLOOKUP($R34,Afgr,Data!$CU$3),0))</f>
        <v>517.44000000000005</v>
      </c>
      <c r="LR34" s="3">
        <f>IF(Nbal!JK34&lt;&gt;"",Nbal!JK34,LQ34)</f>
        <v>517.44000000000005</v>
      </c>
      <c r="LS34" s="3">
        <f>LR34*Z34</f>
        <v>4620.7392</v>
      </c>
      <c r="LU34">
        <f>VLOOKUP($T34,Efgr,Data!$AC$53)*UdsaedJust</f>
        <v>0</v>
      </c>
      <c r="LV34" s="3">
        <f>IF(Nbal!$JS34&lt;&gt;"",Nbal!$JS34,LU34)</f>
        <v>0</v>
      </c>
      <c r="LW34" s="3">
        <f>LV34*Z34</f>
        <v>0</v>
      </c>
      <c r="LY34" s="3">
        <f>IF(HdgVaerdiNbal=1,(CB34)*Npris,(CB34+CL34)*Npris)</f>
        <v>0</v>
      </c>
      <c r="LZ34" s="3">
        <f>LY34*Z34</f>
        <v>0</v>
      </c>
      <c r="MB34">
        <f>$EO34</f>
        <v>0</v>
      </c>
      <c r="MC34">
        <f>CU34</f>
        <v>0</v>
      </c>
      <c r="MD34">
        <f>CR34</f>
        <v>0</v>
      </c>
      <c r="ME34" s="3">
        <f>IF(HdgVaerdiNbal=1,MD34*Ppris,(MC34+MD34)*Ppris)</f>
        <v>0</v>
      </c>
      <c r="MF34" s="3">
        <f>ME34*Z34</f>
        <v>0</v>
      </c>
      <c r="MH34">
        <f>$ER34</f>
        <v>0</v>
      </c>
      <c r="MI34">
        <f>DC34</f>
        <v>0</v>
      </c>
      <c r="MJ34">
        <f>CZ34</f>
        <v>0</v>
      </c>
      <c r="MK34" s="3">
        <f>IF(HdgVaerdiNbal=1,MJ34*Ppris,(MI34+MJ34)*Ppris)</f>
        <v>0</v>
      </c>
      <c r="ML34" s="3">
        <f>MK34*Z34</f>
        <v>0</v>
      </c>
      <c r="MN34">
        <f>LY34+ME34+MK34</f>
        <v>0</v>
      </c>
      <c r="MO34" s="3">
        <f>IF(Nbal!JY34&lt;&gt;"",Nbal!JY34,$MN34)</f>
        <v>0</v>
      </c>
      <c r="MP34" s="3">
        <f>MO34*Z34</f>
        <v>0</v>
      </c>
      <c r="MR34">
        <f>VLOOKUP($T34,Efgr,Data!$AE$53)*PlantevJust</f>
        <v>0</v>
      </c>
      <c r="MS34" s="3">
        <f>IF(Nbal!KE34&lt;&gt;"",Nbal!KE34,MR34)</f>
        <v>0</v>
      </c>
      <c r="MT34" s="3">
        <f>MS34*Z34</f>
        <v>0</v>
      </c>
      <c r="MV34">
        <f>VLOOKUP($T34,Efgr,Data!$AF$53)+$BR34*VLOOKUP($T34,Efgr,Data!$AL$53)</f>
        <v>0</v>
      </c>
      <c r="MW34" s="3">
        <f>IF(Nbal!KK34&lt;&gt;"",Nbal!KK34,MV34)</f>
        <v>0</v>
      </c>
      <c r="MX34" s="3">
        <f>MW34*Z34</f>
        <v>0</v>
      </c>
      <c r="MZ34">
        <f>LV34+MO34+MS34+MW34</f>
        <v>0</v>
      </c>
      <c r="NB34">
        <f>VLOOKUP($T34,Efgr,Data!$AU$53)*K34*MaskJust</f>
        <v>0</v>
      </c>
      <c r="NC34" s="3">
        <f>IF(Nbal!KQ34&lt;&gt;"",Nbal!KQ34,NB34)</f>
        <v>0</v>
      </c>
      <c r="ND34" s="3">
        <f>NC34*Z34</f>
        <v>0</v>
      </c>
      <c r="NF34">
        <f>VLOOKUP($T34,Efgr,Data!$AW$53)*Data!$K$268*K34*MaskJust</f>
        <v>0</v>
      </c>
      <c r="NG34" s="3">
        <f>IF(Nbal!KW34&lt;&gt;"",Nbal!KW34,NF34)</f>
        <v>0</v>
      </c>
      <c r="NH34" s="3">
        <f>NG34*Z34</f>
        <v>0</v>
      </c>
      <c r="NJ34">
        <f>VLOOKUP($T34,Efgr,Data!$AV$53)*Data!$K$269*MaskJust</f>
        <v>0</v>
      </c>
      <c r="NK34" s="3">
        <f>IF(Nbal!LC34&lt;&gt;"",Nbal!LC34,NJ34)</f>
        <v>0</v>
      </c>
      <c r="NL34" s="3">
        <f>NK34*Z34</f>
        <v>0</v>
      </c>
      <c r="NN34">
        <f>IF(C34=2,VLOOKUP($T34,Efgr,Data!$BC$53),0)</f>
        <v>0</v>
      </c>
      <c r="NO34">
        <f>IF(Nbal!LI34&lt;&gt;"",Nbal!LI34,$NN34)</f>
        <v>0</v>
      </c>
      <c r="NP34">
        <f>IF(C34=2,$NO34*Flytning/mmprgang+$NO34*Prisprmm,0)</f>
        <v>0</v>
      </c>
      <c r="NQ34" s="3">
        <f>IF(Nbal!LO34&lt;&gt;"",Nbal!LO34,$NP34)</f>
        <v>0</v>
      </c>
      <c r="NR34" s="3">
        <f>NQ34*Z34</f>
        <v>0</v>
      </c>
      <c r="NT34">
        <f>IF(VLOOKUP($T34,Efgr,Data!$AX$53)&gt;0,((1+BR34/VLOOKUP($T34,Efgr,Data!$AX$53))/2)*VLOOKUP($T34,Efgr,Data!$AY$53)*VLOOKUP($T34,Efgr,Data!$BA$53)+VLOOKUP($T34,Efgr,Data!$AZ$53),0)</f>
        <v>0</v>
      </c>
      <c r="NU34">
        <f>IF(VLOOKUP($T34,Efgr,Data!$AX$53)&gt;0,($BR34/VLOOKUP($T34,Efgr,Data!$AX$53))*VLOOKUP($T34,Efgr,Data!$BB$53)*VLOOKUP($T34,Efgr,Data!$BA$53),0)</f>
        <v>0</v>
      </c>
      <c r="NV34">
        <f>(NT34+NU34)*MaskJust</f>
        <v>0</v>
      </c>
      <c r="NW34" s="3">
        <f>IF(Nbal!LU34&lt;&gt;"",Nbal!LU34,NV34)</f>
        <v>0</v>
      </c>
      <c r="NX34" s="3">
        <f>NW34*Z34</f>
        <v>0</v>
      </c>
      <c r="NZ34">
        <f>IF($U34=2,Data!$K$304,IF($U34=3,Data!$K$305,0))*MaskJust</f>
        <v>0</v>
      </c>
      <c r="OA34" s="3">
        <f>IF(Nbal!MA34&lt;&gt;"",Nbal!MA34,NZ34)</f>
        <v>0</v>
      </c>
      <c r="OB34" s="3">
        <f>OA34*Z34</f>
        <v>0</v>
      </c>
      <c r="OD34">
        <f>IL34</f>
        <v>9744.691358024691</v>
      </c>
      <c r="OE34">
        <f>JW34+MZ34</f>
        <v>2193.6</v>
      </c>
      <c r="OF34">
        <f>OD34-OE34</f>
        <v>7551.0913580246906</v>
      </c>
      <c r="OG34">
        <f>OF34*Z34</f>
        <v>67431.245827160485</v>
      </c>
      <c r="OJ34">
        <f>VLOOKUP($O34,Afgr,Data!$BP$3)+VLOOKUP($P34,Efgr,Data!$AM$53)</f>
        <v>1</v>
      </c>
      <c r="OK34" s="3">
        <f>OJ34*Z34</f>
        <v>8.93</v>
      </c>
      <c r="OL34">
        <f>VLOOKUP($R34,Afgr,Data!$BP$3)+VLOOKUP($T34,Efgr,Data!$AM$53)</f>
        <v>1</v>
      </c>
      <c r="OM34" s="3">
        <f>OL34*Z34</f>
        <v>8.93</v>
      </c>
      <c r="OO34">
        <f>VLOOKUP($P34,Efgr,Data!$AN$53)</f>
        <v>0</v>
      </c>
      <c r="OP34">
        <f>VLOOKUP($O34,Afgr,Data!$BQ$3)</f>
        <v>1</v>
      </c>
      <c r="OQ34">
        <f>VLOOKUP($R34,Afgr,Data!$BR$3)</f>
        <v>0</v>
      </c>
      <c r="OR34">
        <f>OO34*OP34*OQ34</f>
        <v>0</v>
      </c>
      <c r="OS34" s="3">
        <f>OR34*Z34</f>
        <v>0</v>
      </c>
      <c r="OT34" s="3">
        <f>IF(Q34,1,0)*OS34</f>
        <v>0</v>
      </c>
      <c r="OV34">
        <f>VLOOKUP($T34,Efgr,Data!$AN$53)</f>
        <v>0</v>
      </c>
      <c r="OW34">
        <f>VLOOKUP($R34,Afgr,Data!$BQ$3)</f>
        <v>1</v>
      </c>
      <c r="OX34">
        <f>VLOOKUP($X34,Afgr,Data!$BR$3)</f>
        <v>0</v>
      </c>
      <c r="OY34">
        <f>OV34*OW34*OX34</f>
        <v>0</v>
      </c>
      <c r="OZ34" s="3">
        <f>OY34*Z34</f>
        <v>0</v>
      </c>
      <c r="PB34">
        <f>VLOOKUP($T34,Efgr,Data!$AO$53)</f>
        <v>0</v>
      </c>
      <c r="PC34">
        <f>VLOOKUP($O34,Afgr,Data!$BQ$3)</f>
        <v>1</v>
      </c>
      <c r="PD34">
        <f>VLOOKUP($R34,Afgr,Data!$BS$3)</f>
        <v>1</v>
      </c>
      <c r="PE34" s="3">
        <f>PB34*PC34*PD34*$Z34</f>
        <v>0</v>
      </c>
      <c r="PG34">
        <f>VLOOKUP($T34,Efgr,Data!$AO$53)</f>
        <v>0</v>
      </c>
      <c r="PH34">
        <f>VLOOKUP($R34,Afgr,Data!$BQ$3)</f>
        <v>1</v>
      </c>
      <c r="PI34">
        <f>VLOOKUP($X34,Afgr,Data!$BS$3)</f>
        <v>1</v>
      </c>
      <c r="PJ34" s="3">
        <f>PG34*PH34*PI34*$Z34</f>
        <v>0</v>
      </c>
      <c r="PK34" s="3"/>
      <c r="PL34" s="3">
        <f>VLOOKUP($O34,Afgr,Data!$BU$3)</f>
        <v>0</v>
      </c>
      <c r="PM34" s="3">
        <f>PL34*Z34</f>
        <v>0</v>
      </c>
      <c r="PN34" s="3">
        <f>VLOOKUP($R34,Afgr,Data!$BU$3)</f>
        <v>0</v>
      </c>
      <c r="PO34" s="3">
        <f>PN34*Z34</f>
        <v>0</v>
      </c>
      <c r="PQ34">
        <f>VLOOKUP(R34,Afgr,Data!$BX$3)+VLOOKUP(T34,Efgr,Data!$AQ$53)</f>
        <v>1</v>
      </c>
      <c r="PR34">
        <f>IF(PQ34&gt;0,Z34,0)</f>
        <v>8.93</v>
      </c>
      <c r="PT34">
        <f>VLOOKUP($O34,Afgr,Data!$BT$3)</f>
        <v>1</v>
      </c>
      <c r="PU34" s="3">
        <f>PT34*Z34</f>
        <v>8.93</v>
      </c>
      <c r="PV34">
        <f>VLOOKUP($R34,Afgr,Data!$BT$3)</f>
        <v>1</v>
      </c>
      <c r="PW34" s="3">
        <f>PV34*Z34</f>
        <v>8.93</v>
      </c>
      <c r="PY34">
        <f>VLOOKUP($R34,Afgr,Data!$BV$3)</f>
        <v>0</v>
      </c>
      <c r="PZ34">
        <f>PY34*Z34</f>
        <v>0</v>
      </c>
      <c r="QB34">
        <f>VLOOKUP($R34,Afgr,Data!$BW$3)</f>
        <v>0</v>
      </c>
      <c r="QC34">
        <f>QB34*Z34</f>
        <v>0</v>
      </c>
      <c r="QE34">
        <f>AM34*IF(VLOOKUP($R34,Afgr,Data!$BJ$3)&gt;0,1,0)</f>
        <v>56</v>
      </c>
      <c r="QF34">
        <f>QE34*Z34</f>
        <v>500.08</v>
      </c>
      <c r="QH34">
        <f>AM34*VLOOKUP(R34,Afgr,Data!$BK$3)</f>
        <v>5768</v>
      </c>
      <c r="QI34">
        <f>Z34*QH34</f>
        <v>51508.24</v>
      </c>
      <c r="QJ34">
        <f>$AM34*VLOOKUP($R34,Afgr,Data!$BL$3)+$BR34*VLOOKUP($T34,Efgr,Data!$AP$53)</f>
        <v>0</v>
      </c>
      <c r="QK34">
        <f>QJ34*Z34</f>
        <v>0</v>
      </c>
      <c r="QL34">
        <f>$AM34*VLOOKUP($R34,Afgr,Data!$BM$3)</f>
        <v>0</v>
      </c>
      <c r="QM34">
        <f>QL34*Z34</f>
        <v>0</v>
      </c>
      <c r="QN34">
        <f>$AM34*VLOOKUP($R34,Afgr,Data!$BN$3)</f>
        <v>0</v>
      </c>
      <c r="QO34">
        <f>QN34*Z34</f>
        <v>0</v>
      </c>
      <c r="QR34">
        <f>IF(VLOOKUP($R34,Afgr,Data!$DA$3)="Vårbyg",$AN34,0)*VLOOKUP($R34,Afgr,Data!$BJ$3)</f>
        <v>0</v>
      </c>
      <c r="QS34">
        <f>IF(VLOOKUP($R34,Afgr,Data!$DA$3)="Vinterbyg",$AN34,0)*VLOOKUP($R34,Afgr,Data!$BJ$3)</f>
        <v>0</v>
      </c>
      <c r="QT34">
        <f>IF(VLOOKUP($R34,Afgr,Data!$DA$3)="Havre",$AN34,0)*VLOOKUP($R34,Afgr,Data!$BJ$3)</f>
        <v>0</v>
      </c>
      <c r="QU34">
        <f>IF(VLOOKUP($R34,Afgr,Data!$DA$3)="Hvede",$AN34,0)*VLOOKUP($R34,Afgr,Data!$BJ$3)</f>
        <v>57509.2</v>
      </c>
      <c r="QV34">
        <f>IF(VLOOKUP($R34,Afgr,Data!$DA$3)="Triticale",$AN34,0)*VLOOKUP($R34,Afgr,Data!$BJ$3)</f>
        <v>0</v>
      </c>
      <c r="QW34">
        <f>IF(VLOOKUP($R34,Afgr,Data!$DA$3)="Rug",$AN34,0)*VLOOKUP($R34,Afgr,Data!$BJ$3)</f>
        <v>0</v>
      </c>
      <c r="QX34">
        <f>IF(VLOOKUP($R34,Afgr,Data!$DA$3)="Majs",$AN34,0)*VLOOKUP($R34,Afgr,Data!$BJ$3)</f>
        <v>0</v>
      </c>
      <c r="RA34">
        <f>IF(OV34+PB34&gt;0,1,0)</f>
        <v>0</v>
      </c>
      <c r="RB34">
        <f>RA34*LW34</f>
        <v>0</v>
      </c>
      <c r="RC34">
        <f>RA34*MT34</f>
        <v>0</v>
      </c>
      <c r="RD34">
        <f>ND34</f>
        <v>0</v>
      </c>
      <c r="RE34">
        <f>RA34*OB34</f>
        <v>0</v>
      </c>
      <c r="RH34">
        <f>VLOOKUP(B34,Jordtype,Data!$Y$112+DenitNr-1)</f>
        <v>7.25</v>
      </c>
      <c r="RI34">
        <f>FF34*VLOOKUP(B34,Jordtype,Data!$AB$112+DenitNr-1)</f>
        <v>4.32</v>
      </c>
      <c r="RJ34">
        <f>((CJ34+CK34+CL34+Regn2!CO34*0.7)-(RR34+RT34))*VLOOKUP(B34,Jordtype,Data!$AE$112+DenitNr-1)</f>
        <v>11.000508750000002</v>
      </c>
      <c r="RK34">
        <f>0*VLOOKUP(B34,Jordtype,Data!$AE$112+DenitNr-1)</f>
        <v>0</v>
      </c>
      <c r="RL34">
        <f>Regn2!FD34*VLOOKUP(B34,Jordtype,Data!$AH$112+DenitNr-1)</f>
        <v>0</v>
      </c>
      <c r="RM34" s="3">
        <f>RH34+RI34+RJ34+RK34+RL34</f>
        <v>22.570508750000002</v>
      </c>
      <c r="RO34">
        <v>2</v>
      </c>
      <c r="RP34">
        <f>(FF34)*RO34*0.01</f>
        <v>2.16</v>
      </c>
      <c r="RQ34">
        <v>7</v>
      </c>
      <c r="RR34">
        <f>CE34*RQ34*0.01</f>
        <v>0</v>
      </c>
      <c r="RS34">
        <v>7</v>
      </c>
      <c r="RT34">
        <f>(Regn2!CF34+Regn2!CG34)*RS34*0.01</f>
        <v>8.33</v>
      </c>
      <c r="RW34">
        <f>VLOOKUP(R34,Afgr,Data!$EE$3)</f>
        <v>5</v>
      </c>
      <c r="RX34" s="3">
        <f>RP34+RR34+RT34+RV34+RW34</f>
        <v>15.49</v>
      </c>
    </row>
    <row r="35" spans="1:492" x14ac:dyDescent="0.25">
      <c r="GT35" s="12"/>
    </row>
    <row r="36" spans="1:492" x14ac:dyDescent="0.25">
      <c r="A36" s="214" t="str">
        <f>Nbal!B36</f>
        <v>15-0</v>
      </c>
      <c r="B36">
        <v>6</v>
      </c>
      <c r="C36">
        <v>1</v>
      </c>
      <c r="D36">
        <f>IF(C36=1,VLOOKUP(B36,Jordtype,Data!$K$112),VLOOKUP(B36,Jordtype,Data!$L$112))</f>
        <v>9</v>
      </c>
      <c r="E36">
        <f>IF(C36=1,VLOOKUP(B36,Jordtype,Data!$M$112),VLOOKUP(B36,Jordtype,Data!$N$112))</f>
        <v>14</v>
      </c>
      <c r="F36">
        <f>IF(OR(B36=1,B36=3),0,IF(OR(B36=2,B36=4),1,IF(OR(B36=5,B36=6),2,3)))</f>
        <v>2</v>
      </c>
      <c r="G36">
        <f>IF(C36=1,VLOOKUP(B36,Jordtype,Data!$Q$112),VLOOKUP(B36,Jordtype,Data!$R$112))</f>
        <v>25</v>
      </c>
      <c r="H36">
        <f>IF(C36=1,VLOOKUP(B36,Jordtype,Data!$O$112),VLOOKUP(B36,Jordtype,Data!$P$112))</f>
        <v>19</v>
      </c>
      <c r="I36">
        <f>IF(B36&lt;5,0,1)</f>
        <v>1</v>
      </c>
      <c r="J36">
        <f>IF(B36&lt;5,PlojJB,1)</f>
        <v>1</v>
      </c>
      <c r="K36">
        <f>IF(B36&lt;5,SaaJB,1)</f>
        <v>1</v>
      </c>
      <c r="L36">
        <f>IF(C36=1,VLOOKUP(B36,Jordtype,Data!$S$112),VLOOKUP(B36,Jordtype,Data!$T$112))</f>
        <v>8</v>
      </c>
      <c r="M36">
        <f>IF(C36=1,VLOOKUP(B36,Jordtype,Data!$U$112),VLOOKUP(B36,Jordtype,Data!$V$112))</f>
        <v>13</v>
      </c>
      <c r="O36">
        <v>40</v>
      </c>
      <c r="P36">
        <v>1</v>
      </c>
      <c r="Q36" t="b">
        <v>0</v>
      </c>
      <c r="R36">
        <v>35</v>
      </c>
      <c r="S36">
        <v>1</v>
      </c>
      <c r="T36">
        <v>1</v>
      </c>
      <c r="U36">
        <v>1</v>
      </c>
      <c r="V36">
        <v>1</v>
      </c>
      <c r="X36">
        <v>35</v>
      </c>
      <c r="Z36">
        <f>Nbal!AG36</f>
        <v>3.78</v>
      </c>
      <c r="AA36">
        <v>1</v>
      </c>
      <c r="AB36">
        <f>VLOOKUP($R36,Afgr,G36)</f>
        <v>159</v>
      </c>
      <c r="AC36">
        <f>VLOOKUP($O36,Afgr,Data!$AI$3)*VLOOKUP(R36,Afgr,Data!$AJ$3)</f>
        <v>0</v>
      </c>
      <c r="AD36">
        <f>IF($Q36,0,VLOOKUP($P36,Efgr,(Data!$W$53+$V$6-1)))</f>
        <v>0</v>
      </c>
      <c r="AE36">
        <f>AB36-AC36-AD36</f>
        <v>159</v>
      </c>
      <c r="AF36">
        <f>AE36*Z36</f>
        <v>601.02</v>
      </c>
      <c r="AH36">
        <f>VLOOKUP(R36,Afgr,D36)</f>
        <v>81</v>
      </c>
      <c r="AI36">
        <f>VLOOKUP(O36,Afgr,Data!$AL$3)*VLOOKUP(R36,Afgr,E36)</f>
        <v>0</v>
      </c>
      <c r="AJ36">
        <f>VLOOKUP(P36,Efgr,(Data!$Y$53+I36))</f>
        <v>0</v>
      </c>
      <c r="AK36">
        <f>AH36+AI36+AJ36</f>
        <v>81</v>
      </c>
      <c r="AL36">
        <f>AH36+AI36+AJ36</f>
        <v>81</v>
      </c>
      <c r="AM36" s="3">
        <f>IF(Nbal!CK36&lt;&gt;"",Nbal!CK36,AL36)</f>
        <v>58</v>
      </c>
      <c r="AN36">
        <f>AM36*Z36</f>
        <v>219.23999999999998</v>
      </c>
      <c r="AO36" t="str">
        <f>VLOOKUP(R36,Afgr,3)</f>
        <v>hkg</v>
      </c>
      <c r="AP36">
        <f>IF(AO36="FE",VLOOKUP($R36,Afgr,Data!$AV$3),0)</f>
        <v>0</v>
      </c>
      <c r="AR36">
        <f>VLOOKUP(R36,Afgr,4)</f>
        <v>145</v>
      </c>
      <c r="AS36" s="3">
        <f>IF(Nbal!CW36&lt;&gt;"",Nbal!CW36,AR36)</f>
        <v>145</v>
      </c>
      <c r="AT36" s="3">
        <f>AM36*AS36</f>
        <v>8410</v>
      </c>
      <c r="AU36" s="3">
        <f>AN36*AS36</f>
        <v>31789.799999999996</v>
      </c>
      <c r="AW36">
        <f>VLOOKUP(R36,Afgr,Data!$AN$3)</f>
        <v>0</v>
      </c>
      <c r="AX36" s="3">
        <f>IF(Nbal!DC36&lt;&gt;"",Nbal!DC36,AW36)</f>
        <v>0</v>
      </c>
      <c r="AY36" s="3">
        <f>AX36*Z36</f>
        <v>0</v>
      </c>
      <c r="BA36">
        <f>VLOOKUP(R36,Afgr,H36)</f>
        <v>4700</v>
      </c>
      <c r="BB36">
        <f>IF(ISERROR(BA36*AM36/AK36),0,(BA36*AM36/AK36))</f>
        <v>3365.4320987654319</v>
      </c>
      <c r="BC36" s="3">
        <f>IF(Nbal!DI36&lt;&gt;"",Nbal!DI36,BB36)</f>
        <v>3365.4320987654319</v>
      </c>
      <c r="BD36">
        <f>BC36*Z36</f>
        <v>12721.333333333332</v>
      </c>
      <c r="BG36">
        <f>IF($S36=1,BC36,0)</f>
        <v>3365.4320987654319</v>
      </c>
      <c r="BH36">
        <f>IF($S36=1,BD36,0)</f>
        <v>12721.333333333332</v>
      </c>
      <c r="BI36">
        <f>VLOOKUP(R36,Afgr,Data!$AM$3)</f>
        <v>0.5</v>
      </c>
      <c r="BJ36">
        <f>IF(Nbal!DR36&lt;&gt;"",Nbal!DR36,BI36)</f>
        <v>0.5</v>
      </c>
      <c r="BK36">
        <f>BG36*BJ36</f>
        <v>1682.7160493827159</v>
      </c>
      <c r="BL36">
        <f>BH36*BJ36</f>
        <v>6360.6666666666661</v>
      </c>
      <c r="BN36">
        <f>VLOOKUP($T36,Efgr,M36)</f>
        <v>0</v>
      </c>
      <c r="BO36">
        <f>BN36*Z36</f>
        <v>0</v>
      </c>
      <c r="BQ36">
        <f>VLOOKUP(T36,Efgr,NormudbKolonneNrEfgr1)</f>
        <v>0</v>
      </c>
      <c r="BR36" s="3">
        <f>IF(Nbal!FE36&lt;&gt;"",Nbal!FE36,BQ36)</f>
        <v>0</v>
      </c>
      <c r="BS36">
        <f>BR36*Z36</f>
        <v>0</v>
      </c>
      <c r="BT36" t="s">
        <v>37</v>
      </c>
      <c r="BU36">
        <f>BR36*Efterslaetpris</f>
        <v>0</v>
      </c>
      <c r="BV36">
        <f>BS36*Efterslaetpris</f>
        <v>0</v>
      </c>
      <c r="BW36">
        <f>VLOOKUP(T36,Efgr,Data!$AG$53)</f>
        <v>0</v>
      </c>
      <c r="BX36">
        <f>BR36*BW36</f>
        <v>0</v>
      </c>
      <c r="BZ36">
        <f>Nbal!AQ36</f>
        <v>0</v>
      </c>
      <c r="CA36" s="211">
        <f>Nbal!AT36</f>
        <v>108</v>
      </c>
      <c r="CB36" s="2">
        <f>Nbal!DZ36</f>
        <v>0</v>
      </c>
      <c r="CC36" s="211">
        <f>Nbal!AT36+Nbal!DZ36</f>
        <v>108</v>
      </c>
      <c r="CD36" s="211">
        <f>Nbal!AX36</f>
        <v>0</v>
      </c>
      <c r="CE36">
        <f>Nbal!BH36</f>
        <v>0</v>
      </c>
      <c r="CF36" s="211">
        <f>Nbal!BM36</f>
        <v>119</v>
      </c>
      <c r="CG36" s="2">
        <f>Nbal!EI36</f>
        <v>0</v>
      </c>
      <c r="CH36" s="211">
        <f>Nbal!BM36+Nbal!EI36</f>
        <v>119</v>
      </c>
      <c r="CI36" s="211">
        <f>Nbal!BW36</f>
        <v>0</v>
      </c>
      <c r="CJ36" s="211">
        <f>Nbal!BH36*Nbal!BJ36*0.01</f>
        <v>0</v>
      </c>
      <c r="CK36" s="211">
        <f>(Nbal!BM36*Nbal!BP36*0.01)</f>
        <v>88.333700000000007</v>
      </c>
      <c r="CL36" s="211">
        <f>(Nbal!EI36*Nbal!EL36*0.01)</f>
        <v>0</v>
      </c>
      <c r="CM36" s="211">
        <f>(Nbal!BM36*Nbal!BP36*0.01)+(Nbal!EI36*Nbal!EL36*0.01)</f>
        <v>88.333700000000007</v>
      </c>
      <c r="CN36" s="211">
        <f>Nbal!BW36*Nbal!BY36*0.01</f>
        <v>0</v>
      </c>
      <c r="CO36">
        <f>Nbal!BT36+Nbal!ER36</f>
        <v>0</v>
      </c>
      <c r="CQ36">
        <f>Nbal!BA36</f>
        <v>0</v>
      </c>
      <c r="CR36">
        <f>Nbal!EC36</f>
        <v>0</v>
      </c>
      <c r="CS36">
        <f>(CQ36+CR36)*Z36</f>
        <v>0</v>
      </c>
      <c r="CT36">
        <f>Nbal!CB36</f>
        <v>26</v>
      </c>
      <c r="CU36">
        <f>Nbal!EV36</f>
        <v>0</v>
      </c>
      <c r="CV36">
        <f>(CT36+CU36)*Z36</f>
        <v>98.28</v>
      </c>
      <c r="CW36">
        <f>Nbal!BA36+Nbal!CB36+Nbal!EC36+Nbal!EV36</f>
        <v>26</v>
      </c>
      <c r="CY36">
        <f>Nbal!BD36</f>
        <v>0</v>
      </c>
      <c r="CZ36">
        <f>Nbal!EF36</f>
        <v>0</v>
      </c>
      <c r="DA36">
        <f>(CY36+CZ36)*Z36</f>
        <v>0</v>
      </c>
      <c r="DB36">
        <f>Nbal!CE36</f>
        <v>61</v>
      </c>
      <c r="DC36">
        <f>Nbal!EY36</f>
        <v>0</v>
      </c>
      <c r="DD36">
        <f>(DB36+DC36)*Z36</f>
        <v>230.57999999999998</v>
      </c>
      <c r="DE36">
        <f>Nbal!BD36+Nbal!CE36+Nbal!EF36+Nbal!EY36</f>
        <v>61</v>
      </c>
      <c r="DG36">
        <f>VLOOKUP($R36,Afgr,Data!$AW$3)</f>
        <v>10.7</v>
      </c>
      <c r="DH36">
        <f>IF($AO36="FE",$AM36*$AP36*$DG36*0.01,$AM36*100*$DM36*0.01*$DG36*0.01)</f>
        <v>527.51</v>
      </c>
      <c r="DI36">
        <f>IF(VLOOKUP(R36,Afgr,Data!$BO$3)=1,DH36,0)*Z36</f>
        <v>1993.9877999999999</v>
      </c>
      <c r="DJ36" s="12">
        <f>(BZ36+CC36+CJ36-AE36)*VLOOKUP($R36,Afgr,Data!$AX$3)</f>
        <v>-1.02</v>
      </c>
      <c r="DK36">
        <f>DG36+DJ36</f>
        <v>9.68</v>
      </c>
      <c r="DL36">
        <f>IF(Nbal!CQ36&lt;&gt;"",Nbal!CQ36,DK36)</f>
        <v>12.3</v>
      </c>
      <c r="DM36">
        <f>VLOOKUP(R36,Afgr,Data!$AT$3)</f>
        <v>85</v>
      </c>
      <c r="DN36">
        <f>IF($AO36="FE",$AM36*$AP36*$DL36*0.01,$AM36*100*$DM36*0.01*DL36*0.01)</f>
        <v>606.39</v>
      </c>
      <c r="DO36">
        <f>IF(VLOOKUP(R36,Afgr,Data!$BO$3)=1,DN36,0)*Z36</f>
        <v>2292.1541999999999</v>
      </c>
      <c r="DP36">
        <f>IF(ISERROR(DN36/VLOOKUP(R36,Afgr,Data!$AY$3)),0,DN36/VLOOKUP(R36,Afgr,Data!$AY$3))</f>
        <v>106.38421052631578</v>
      </c>
      <c r="DQ36">
        <f>DP36*Z36</f>
        <v>402.13231578947364</v>
      </c>
      <c r="DS36">
        <f>IF($AO36="FE",$AM36*$AP36*VLOOKUP($R36,Afgr,Data!$BC$3)*0.001,$AM36*100*$DM36*0.01*VLOOKUP($R36,Afgr,Data!$BC$3)*0.001)</f>
        <v>16.762</v>
      </c>
      <c r="DT36">
        <f>DS36*Z36</f>
        <v>63.36036</v>
      </c>
      <c r="DV36">
        <f>IF($AO36="FE",$AM36*$AP36*VLOOKUP($R36,Afgr,Data!$BF$3)*0.001,$AM36*100*$DM36*0.01*VLOOKUP($R36,Afgr,Data!$BF$3)*0.001)</f>
        <v>23.664000000000001</v>
      </c>
      <c r="DW36">
        <f>DV36*Z36</f>
        <v>89.449920000000006</v>
      </c>
      <c r="DY36">
        <f>IF(ISERROR(VLOOKUP(R36,Afgr,Data!$AZ$3)*DL36/DG36),0,VLOOKUP(R36,Afgr,Data!$AZ$3)*DL36/DG36)</f>
        <v>3.8078271028037389</v>
      </c>
      <c r="DZ36">
        <f>VLOOKUP(R36,Afgr,Data!$AU$3)</f>
        <v>85</v>
      </c>
      <c r="EA36">
        <f>IF($S36=1,$BC36*$DZ36*0.01*DY36*0.01,0)</f>
        <v>108.9273602457598</v>
      </c>
      <c r="EB36">
        <f>EA36/6.25</f>
        <v>17.428377639321567</v>
      </c>
      <c r="EC36">
        <f>EB36*Z36</f>
        <v>65.879267476635519</v>
      </c>
      <c r="EE36">
        <f>IF($S36=1,$BC36*$DZ36*0.01*VLOOKUP($R36,Afgr,Data!$BD$3)*0.001,0)</f>
        <v>2.5745555555555559</v>
      </c>
      <c r="EF36">
        <f>EE36*Z36</f>
        <v>9.7318200000000008</v>
      </c>
      <c r="EH36">
        <f>IF($S36=1,$BC36*$DZ36*0.01*VLOOKUP($R36,Afgr,Data!$BG$3)*0.001,0)</f>
        <v>42.909259259259258</v>
      </c>
      <c r="EI36">
        <f>EH36*Z36</f>
        <v>162.19699999999997</v>
      </c>
      <c r="EK36">
        <f>VLOOKUP(T36,Efgr,Data!$AI$53)</f>
        <v>0</v>
      </c>
      <c r="EL36">
        <f>BX36*EK36*0.01/6.25</f>
        <v>0</v>
      </c>
      <c r="EM36">
        <f>EL36*Z36</f>
        <v>0</v>
      </c>
      <c r="EO36">
        <f>$BX36*VLOOKUP($T36,Efgr,Data!$AJ$53)*0.001</f>
        <v>0</v>
      </c>
      <c r="EP36">
        <f>EO36*Z36</f>
        <v>0</v>
      </c>
      <c r="ER36">
        <f>$BX36*VLOOKUP($T36,Efgr,Data!$AK$53)*0.001</f>
        <v>0</v>
      </c>
      <c r="ES36">
        <f>ER36*Z36</f>
        <v>0</v>
      </c>
      <c r="EU36">
        <f>IF(VLOOKUP(R36,Afgr,Data!$DS$3)=1,DP36*VLOOKUP(R36,Afgr,(Data!$DT$3+EftervirkningUdb1))*VLOOKUP(R36,Afgr,Data!$DV$3),0)</f>
        <v>0</v>
      </c>
      <c r="EV36">
        <f>IF(VLOOKUP(R36,Afgr,Data!$DS$3)=2,VLOOKUP(R36,Afgr,Data!$DX$3),0)</f>
        <v>0</v>
      </c>
      <c r="EW36">
        <f>IF(VLOOKUP(R36,Afgr,Data!$DS$3)=3,$DP36*VLOOKUP($R36,Afgr,IF(Jordtype1&lt;5,Data!$DT$3,Data!$DU$3))*VLOOKUP($R36,Afgr,Data!$DV$3),0)</f>
        <v>0</v>
      </c>
      <c r="EX36">
        <f>IF(VLOOKUP(R36,Afgr,Data!$DS$3)=4,(1.232+0.00469*AM36*100+(0.000256*AM36*100+0.089)*60),0)</f>
        <v>0</v>
      </c>
      <c r="EY36" s="211">
        <f>BZ36+CA36+CJ36+CK36</f>
        <v>196.33370000000002</v>
      </c>
      <c r="EZ36">
        <f>IF(VLOOKUP($R36,Afgr,Data!$DS$3)=5,($AM36*0.02742-$AM36*0.0001*$EY36+$AM36*0.0000001111*$EY36*$EY36),0)</f>
        <v>0</v>
      </c>
      <c r="FA36" s="2">
        <f>CB36+CL36</f>
        <v>0</v>
      </c>
      <c r="FB36">
        <f>IF(VLOOKUP($T36,Efgr,Data!$BH$53)=5,($BR36*0.02742-$BR36*0.0001*$FA36+$BR36*0.0000001111*$FA36*$FA36),0)</f>
        <v>0</v>
      </c>
      <c r="FC36" s="3">
        <f>EU36+EV36+EW36+EX36+EZ36+FB36</f>
        <v>0</v>
      </c>
      <c r="FD36" s="3">
        <f>FC36*Z36</f>
        <v>0</v>
      </c>
      <c r="FF36" s="211">
        <f>BZ36+CC36</f>
        <v>108</v>
      </c>
      <c r="FG36" s="211">
        <f>FF36*Z36</f>
        <v>408.23999999999995</v>
      </c>
      <c r="FH36" s="211">
        <f>CE36+CH36+CO36</f>
        <v>119</v>
      </c>
      <c r="FI36" s="211">
        <f>FH36*Z36</f>
        <v>449.82</v>
      </c>
      <c r="FJ36">
        <f>VLOOKUP($R36,Afgr,Data!$DK$3)*VLOOKUP($R36,Afgr,Data!$AT$3)*0.01*VLOOKUP($R36,Afgr,Data!$AW$3)*0.01/6.25</f>
        <v>2.3283199999999997</v>
      </c>
      <c r="FK36">
        <f>FJ36*Z36</f>
        <v>8.8010495999999989</v>
      </c>
      <c r="FL36" s="4">
        <f>IF(R36&gt;1,Deposition,0)</f>
        <v>15</v>
      </c>
      <c r="FM36" s="4">
        <f>FL36*Z36</f>
        <v>56.699999999999996</v>
      </c>
      <c r="FN36">
        <f>FC36</f>
        <v>0</v>
      </c>
      <c r="FO36">
        <f>FN36*Z36</f>
        <v>0</v>
      </c>
      <c r="FP36" s="211">
        <f>SUM(FF36,FH36,FJ36,FL36,FN36)</f>
        <v>244.32831999999999</v>
      </c>
      <c r="FQ36">
        <f>DP36+EB36+EL36</f>
        <v>123.81258816563735</v>
      </c>
      <c r="FR36" s="3">
        <f>FP36-FQ36</f>
        <v>120.51573183436264</v>
      </c>
      <c r="FS36" s="19">
        <f>FP36*Z36</f>
        <v>923.56104959999993</v>
      </c>
      <c r="FT36" s="19">
        <f>FQ36*Z36</f>
        <v>468.01158326610914</v>
      </c>
      <c r="FU36" s="3">
        <f>FR36*Z36</f>
        <v>455.54946633389073</v>
      </c>
      <c r="FW36">
        <f>CW36</f>
        <v>26</v>
      </c>
      <c r="FX36">
        <f>FW36*Z36</f>
        <v>98.28</v>
      </c>
      <c r="FY36">
        <f>IX36+MB36</f>
        <v>19.336555555555556</v>
      </c>
      <c r="FZ36">
        <f>FY36*Z36</f>
        <v>73.092179999999999</v>
      </c>
      <c r="GA36">
        <f>FW36-FY36</f>
        <v>6.6634444444444441</v>
      </c>
      <c r="GB36">
        <f>GA36*Z36</f>
        <v>25.187819999999999</v>
      </c>
      <c r="GD36">
        <f>DE36</f>
        <v>61</v>
      </c>
      <c r="GE36">
        <f>GD36*Z36</f>
        <v>230.57999999999998</v>
      </c>
      <c r="GF36">
        <f>JE36+MH36</f>
        <v>66.57325925925926</v>
      </c>
      <c r="GG36">
        <f>GF36*Z36</f>
        <v>251.64691999999999</v>
      </c>
      <c r="GH36">
        <f>GD36-GF36</f>
        <v>-5.5732592592592596</v>
      </c>
      <c r="GI36">
        <f>GH36*Z36</f>
        <v>-21.06692</v>
      </c>
      <c r="GK36">
        <f>AA36</f>
        <v>1</v>
      </c>
      <c r="GL36" s="211">
        <f>FF36+FH36+FN36</f>
        <v>227</v>
      </c>
      <c r="GM36" s="211">
        <f>IF(R36=1,"",IF(GK36=1,GL36,""))</f>
        <v>227</v>
      </c>
      <c r="GN36" s="211" t="str">
        <f>IF(R36=1,"",IF(GK36=2,GL36,""))</f>
        <v/>
      </c>
      <c r="GO36" s="211" t="str">
        <f>IF(R36=1,"",IF(GK36=3,GL36,""))</f>
        <v/>
      </c>
      <c r="GP36" s="211" t="str">
        <f>IF(R36=1,"",IF(GK36=4,GL36,""))</f>
        <v/>
      </c>
      <c r="GQ36" s="149">
        <f>IF(OR(R36=1,VLOOKUP(R36,Afgr,Data!$BV$3)=1,VLOOKUP(R36,Afgr,Data!$BW$3)=1),0,IF(GK36=1,Nniveau1,IF(GK36=2,Nniveau2,IF(GK36=3,Nniveau3,IF(GK36=4,Nniveau4,GL36)))))</f>
        <v>173.16922222222217</v>
      </c>
      <c r="GR36" s="222">
        <v>0.32550000000000001</v>
      </c>
      <c r="GS36" s="6">
        <v>0</v>
      </c>
      <c r="GT36" s="149">
        <f>CC36+CM36</f>
        <v>196.33370000000002</v>
      </c>
      <c r="GU36" s="6">
        <f>$FN36</f>
        <v>0</v>
      </c>
      <c r="GV36" s="222">
        <v>0.25280000000000002</v>
      </c>
      <c r="GW36">
        <f>CO36</f>
        <v>0</v>
      </c>
      <c r="GX36" s="222">
        <v>0.376</v>
      </c>
      <c r="GY36" s="149">
        <f>CD36+CN36</f>
        <v>0</v>
      </c>
      <c r="GZ36" s="222">
        <f>IF(B36&gt;3,0.3539,1.0749)</f>
        <v>0.35389999999999999</v>
      </c>
      <c r="HA36" s="11">
        <f>$FQ36</f>
        <v>123.81258816563735</v>
      </c>
      <c r="HB36" s="222">
        <v>0.19359999999999999</v>
      </c>
      <c r="HC36" s="222">
        <f>VLOOKUP($R36,Afgr,Data!$DM$3)</f>
        <v>1</v>
      </c>
      <c r="HD36" s="24">
        <f>IF($HC36&gt;1,0,(VLOOKUP($X36,Afgr,Data!$DP$3)+IF(VLOOKUP($X36,Afgr,Data!$DP$3)=0,VLOOKUP($T36,Efgr,Data!$BI$53,0))))+IF(AND($HC36=7,VLOOKUP($X36,Afgr,Data!$DQ$3)=-2),-2,0)+IF(AND($HC36=6,VLOOKUP($T36,Efgr,Data!$BI$53)=2),8,0)</f>
        <v>1</v>
      </c>
      <c r="HE36" s="6">
        <f>VLOOKUP(SUM(HC36:HD36),Nlesafgr,3)</f>
        <v>-7.6</v>
      </c>
      <c r="HF36" s="7">
        <f>VLOOKUP($O36,Afgr,Data!$DN$3)</f>
        <v>1</v>
      </c>
      <c r="HG36" s="24">
        <f>IF(HF36&gt;1,0,VLOOKUP($R36,Afgr,Data!$DO$3)+IF(VLOOKUP($R36,Afgr,Data!$DO$3)=1,0,VLOOKUP($P36,Efgr,Data!$BJ$53)))</f>
        <v>0</v>
      </c>
      <c r="HH36" s="6">
        <f>VLOOKUP(SUM(HF36:HG36),Nlesforfrugt,3)</f>
        <v>0</v>
      </c>
      <c r="HI36" s="222">
        <f>GR36*GQ36+GV36*(GT36+GU36)+GX36*GW36+GZ36*GY36-HB36*HA36+HE36+HH36</f>
        <v>74.429624124465946</v>
      </c>
      <c r="HJ36" s="222">
        <f>Nlesafskaering</f>
        <v>59.6</v>
      </c>
      <c r="HK36" s="222">
        <f>Teknologi1</f>
        <v>2455</v>
      </c>
      <c r="HL36" s="6">
        <v>2001</v>
      </c>
      <c r="HM36" s="222">
        <f>Teknologi2</f>
        <v>1962.2</v>
      </c>
      <c r="HN36" s="222">
        <f>Tandel</f>
        <v>0.54659999999999997</v>
      </c>
      <c r="HO36" s="222">
        <f>IF(OR(HI36&gt;0,HI36=0),HJ36+HK36/(HL36-HM36),HJ36+HK36/(HL36-HM36)+HN36*HI36)</f>
        <v>122.87319587628873</v>
      </c>
      <c r="HP36" s="222">
        <f>IF(HI36&gt;0,HI36,0.001)</f>
        <v>74.429624124465946</v>
      </c>
      <c r="HQ36" s="222">
        <v>1.5020000000000001E-3</v>
      </c>
      <c r="HR36" s="24">
        <f>IF(R36=1,0,VLOOKUP(PostnrNbal,AfstromData,VLOOKUP($R36,Afgr,Data!$DL$3)+IF(Jordtype1&lt;7,Jordtype1,6),FALSE)-VLOOKUP(T36,Efgr,Data!$AA$53))</f>
        <v>269.74999999999898</v>
      </c>
      <c r="HS36" s="24">
        <f>IF(Nbal!GA36&lt;&gt;"",Nbal!GA36,Regn2!HR36)</f>
        <v>269.74999999999898</v>
      </c>
      <c r="HT36" s="222">
        <v>5.5400000000000002E-4</v>
      </c>
      <c r="HU36" s="24">
        <f>IF(R36=1,0,VLOOKUP(PostnrNbal,AfstromData,VLOOKUP($O36,Afgr,Data!$DL$3)+IF(B36&lt;7,B36,6),FALSE)-VLOOKUP(P36,Efgr,Data!$AA$53))</f>
        <v>304.76666666666603</v>
      </c>
      <c r="HV36" s="24">
        <f>IF(Nbal!FU36&lt;&gt;"",Nbal!FU36,Regn2!HU36)</f>
        <v>304.76666666666603</v>
      </c>
      <c r="HW36" s="222">
        <v>0.10639999999999999</v>
      </c>
      <c r="HX36" s="6">
        <f>VLOOKUP(B36,Jordtype,Data!$W$112)</f>
        <v>3</v>
      </c>
      <c r="HY36" s="222">
        <v>3.2500000000000001E-2</v>
      </c>
      <c r="HZ36" s="6">
        <f>VLOOKUP(B36,Jordtype,Data!$X$112)</f>
        <v>12</v>
      </c>
      <c r="IA36" s="222">
        <v>1.2453000000000001</v>
      </c>
      <c r="IB36" s="222">
        <f>IF(VLOOKUP(T36,Efgr,Data!$AO$53)=1,MlafgrNUdvask,0)</f>
        <v>0</v>
      </c>
      <c r="IC36" s="20">
        <f>IF(ISERROR((HO36+POWER(HP36,1.2))*(1-EXP(-HQ36*HS36))*EXP(-HT36*HV36)*EXP(-HW36*HX36)*EXP(-HY36*HZ36)*IA36),0,(HO36+POWER(HP36,1.2))*(1-EXP(-HQ36*HS36))*EXP(-HT36*HV36)*EXP(-HW36*HX36)*EXP(-HY36*HZ36)*IA36+IB36)</f>
        <v>51.569538507281244</v>
      </c>
      <c r="ID36">
        <f>IC36*Z36</f>
        <v>194.93285555752308</v>
      </c>
      <c r="IE36">
        <f>IF(Nbal!GF36&lt;&gt;"",Nbal!GF36,RetentionNbal)</f>
        <v>65</v>
      </c>
      <c r="IF36">
        <f>IC36*(100-IE36)*0.01</f>
        <v>18.049338477548435</v>
      </c>
      <c r="IG36">
        <f>IF36*Z36</f>
        <v>68.226499445133086</v>
      </c>
      <c r="IH36" s="2">
        <f>HS36*10000</f>
        <v>2697499.9999999898</v>
      </c>
      <c r="II36" s="2">
        <f>IH36*Z36</f>
        <v>10196549.999999961</v>
      </c>
      <c r="IJ36">
        <f>IF(ISERROR(IC36*1000*1000/IH36),0,IC36*1000*1000/IH36)</f>
        <v>19.117530493894879</v>
      </c>
      <c r="IL36">
        <f>AT36+AX36+BK36+BU36</f>
        <v>10092.716049382716</v>
      </c>
      <c r="IO36">
        <f>VLOOKUP(R36,Afgr,Data!$AP$3)*UdsaedJust</f>
        <v>578</v>
      </c>
      <c r="IP36" s="3">
        <f>IF(Nbal!GN36&lt;&gt;"",Nbal!GN36,IO36)</f>
        <v>578</v>
      </c>
      <c r="IQ36" s="3">
        <f>IP36*Z36</f>
        <v>2184.8399999999997</v>
      </c>
      <c r="IS36" s="3">
        <f>IF(HdgVaerdiNbal=1,(BZ36+CA36)*Npris,(BZ36+CA36+CJ36+CK36)*Npris)</f>
        <v>912.59999999999991</v>
      </c>
      <c r="IT36" s="3">
        <f>IS36*Z36</f>
        <v>3449.6279999999997</v>
      </c>
      <c r="IV36">
        <f>VLOOKUP($R36,Afgr,Data!$BA$3)</f>
        <v>0</v>
      </c>
      <c r="IW36">
        <f>VLOOKUP($R36,Afgr,Data!$BB$3)</f>
        <v>0</v>
      </c>
      <c r="IX36">
        <f>$DS36+$EE36</f>
        <v>19.336555555555556</v>
      </c>
      <c r="IY36">
        <f>CT36</f>
        <v>26</v>
      </c>
      <c r="IZ36">
        <f>CQ36</f>
        <v>0</v>
      </c>
      <c r="JA36" s="3">
        <f>IF(HdgVaerdiNbal=1,(IZ36)*Ppris,(IY36+IZ36)*Ppris)</f>
        <v>0</v>
      </c>
      <c r="JB36" s="3">
        <f>JA36*Z36</f>
        <v>0</v>
      </c>
      <c r="JD36">
        <f>IF(AND(R36&gt;1,OR(Jordtype1=1,Jordtype1=3,Markvand1=2)),Kudvask,0)</f>
        <v>0</v>
      </c>
      <c r="JE36">
        <f>$DV36+$EH36</f>
        <v>66.57325925925926</v>
      </c>
      <c r="JF36">
        <f>DB36</f>
        <v>61</v>
      </c>
      <c r="JG36">
        <f>CY36</f>
        <v>0</v>
      </c>
      <c r="JH36" s="3">
        <f>IF(HdgVaerdiNbal=1,JG36*Kpris,(JF36+JG36)*Kpris)</f>
        <v>0</v>
      </c>
      <c r="JI36" s="3">
        <f>JH36*Z36</f>
        <v>0</v>
      </c>
      <c r="JK36">
        <f>IS36+JA36+JH36</f>
        <v>912.59999999999991</v>
      </c>
      <c r="JL36" s="3">
        <f>IF(Nbal!GT36&lt;&gt;"",Nbal!GT36,$JK36)</f>
        <v>912.59999999999991</v>
      </c>
      <c r="JM36" s="3">
        <f>JL36*Z36</f>
        <v>3449.6279999999997</v>
      </c>
      <c r="JO36">
        <f>VLOOKUP(R36,Afgr,Data!$AQ$3)*PlantevJust</f>
        <v>703</v>
      </c>
      <c r="JP36" s="3">
        <f>IF(Nbal!GZ36&lt;&gt;"",Nbal!GZ36,JO36)</f>
        <v>703</v>
      </c>
      <c r="JQ36" s="3">
        <f>JP36*Z36</f>
        <v>2657.3399999999997</v>
      </c>
      <c r="JS36">
        <f>VLOOKUP(R36,Afgr,Data!$AR$3)+AM36*VLOOKUP(R36,Afgr,Data!$BH$3)</f>
        <v>0</v>
      </c>
      <c r="JT36" s="3">
        <f>IF(Nbal!HF36&lt;&gt;"",Nbal!HF36,JS36)</f>
        <v>0</v>
      </c>
      <c r="JU36">
        <f>JT36*Z36</f>
        <v>0</v>
      </c>
      <c r="JW36">
        <f>IP36+JL36+JP36+JT36</f>
        <v>2193.6</v>
      </c>
      <c r="JY36">
        <f>IF(VLOOKUP(R36,Afgr,Data!$BY$3)&gt;0,Data!$K$259*J36,0)</f>
        <v>600</v>
      </c>
      <c r="JZ36">
        <f>IF(VLOOKUP(R36,Afgr,Data!$BZ$3)&gt;0,Data!$K$260*J36,0)</f>
        <v>0</v>
      </c>
      <c r="KA36">
        <f>(JY36+JZ36)*MaskJust</f>
        <v>600</v>
      </c>
      <c r="KB36" s="3">
        <f>IF(Nbal!HL36&lt;&gt;"",Nbal!HL36,KA36)</f>
        <v>600</v>
      </c>
      <c r="KC36" s="3">
        <f>KB36*Z36</f>
        <v>2268</v>
      </c>
      <c r="KE36">
        <f>IF(VLOOKUP(R36,Afgr,Data!$CA$3)&gt;0,VLOOKUP(R36,Afgr,Data!$CA$3)*Data!$K$261*K36,0)</f>
        <v>0</v>
      </c>
      <c r="KF36">
        <f>IF(VLOOKUP(R36,Afgr,Data!$CC$3)&gt;0,Data!$K$262*K36,0)</f>
        <v>350</v>
      </c>
      <c r="KG36">
        <f>IF(VLOOKUP(R36,Afgr,Data!$CD$3)&gt;0,VLOOKUP(R36,Afgr,Data!$CD$3)*Data!$K$263*K36,0)</f>
        <v>0</v>
      </c>
      <c r="KH36">
        <f>IF(VLOOKUP(R36,Afgr,Data!$CE$3)&gt;0,Data!$K$264*K36,0)</f>
        <v>0</v>
      </c>
      <c r="KI36">
        <f>IF(VLOOKUP(R36,Afgr,Data!$CF$3)&gt;0,Data!$K$265*K36,0)</f>
        <v>0</v>
      </c>
      <c r="KJ36">
        <f>IF(VLOOKUP(R36,Afgr,Data!$CV$3)&gt;0,Data!$K$266,0)</f>
        <v>0</v>
      </c>
      <c r="KK36">
        <f>IF(VLOOKUP(R36,Afgr,Data!$CG$3)&gt;0,Data!$K$267*K36,0)</f>
        <v>0</v>
      </c>
      <c r="KL36">
        <f>(KE36+KF36+KG36+KH36+KI36+KJ36+KK36)*MaskJust</f>
        <v>350</v>
      </c>
      <c r="KM36" s="3">
        <f>IF(Nbal!HR36&lt;&gt;"",Nbal!HR36,KL36)</f>
        <v>350</v>
      </c>
      <c r="KN36" s="3">
        <f>KM36*Z36</f>
        <v>1323</v>
      </c>
      <c r="KP36">
        <f>IF(VLOOKUP(R36,Afgr,Data!$CJ$3)&gt;0,VLOOKUP(R36,Afgr,Data!$CJ$3)*Data!$K$268*K36,0)*MaskJust</f>
        <v>280</v>
      </c>
      <c r="KQ36" s="3">
        <f>IF(Nbal!HX36&lt;&gt;"",Nbal!HX36,KP36)</f>
        <v>280</v>
      </c>
      <c r="KR36" s="3">
        <f>KQ36*Z36</f>
        <v>1058.3999999999999</v>
      </c>
      <c r="KT36">
        <f>IF(VLOOKUP(R36,Afgr,Data!$CI$3)&gt;0,VLOOKUP(R36,Afgr,Data!$CI$3)*Data!$K$269,0)*MaskJust</f>
        <v>450</v>
      </c>
      <c r="KU36" s="3">
        <f>IF(Nbal!ID36&lt;&gt;"",Nbal!ID36,KT36)</f>
        <v>450</v>
      </c>
      <c r="KV36" s="3">
        <f>KU36*Z36</f>
        <v>1701</v>
      </c>
      <c r="KX36">
        <f>IF(C36=2,VLOOKUP($R36,Afgr,Data!$CY$3),0)</f>
        <v>0</v>
      </c>
      <c r="KY36">
        <f>IF(Nbal!IJ36&lt;&gt;"",Nbal!IJ36,$KX36)</f>
        <v>0</v>
      </c>
      <c r="KZ36">
        <f>IF(AND(R36&gt;1,C36=2),Vandmaskin+$KY36*Flytning/mmprgang+$KY36*Prisprmm,0)</f>
        <v>0</v>
      </c>
      <c r="LA36" s="3">
        <f>IF(Nbal!IP36&lt;&gt;"",Nbal!IP36,$KZ36)</f>
        <v>0</v>
      </c>
      <c r="LB36" s="3">
        <f>LA36*Z36</f>
        <v>0</v>
      </c>
      <c r="LD36">
        <f>IF(VLOOKUP($R36,Afgr,Data!$CK$3)&gt;0,((1+AM36/VLOOKUP($R36,Afgr,Data!$CK$3))/2)*VLOOKUP($R36,Afgr,Data!$CL$3)*VLOOKUP($R36,Afgr,Data!$CN$3)+VLOOKUP($R36,Afgr,Data!$CM$3),0)</f>
        <v>757.05882352941182</v>
      </c>
      <c r="LE36">
        <f>IF(VLOOKUP($R36,Afgr,Data!$CK$3)&gt;0,IF(AND($S36=2,$BA36&gt;0),Data!$K$271,0),0)</f>
        <v>0</v>
      </c>
      <c r="LF36">
        <f>IF(VLOOKUP($R36,Afgr,Data!$CK$3)&gt;0,(AM36/VLOOKUP($R36,Afgr,Data!$CK$3))*VLOOKUP($R36,Afgr,Data!$CO$3)*VLOOKUP($R36,Afgr,Data!$CN$3),0)</f>
        <v>221.76470588235296</v>
      </c>
      <c r="LG36">
        <f>(LD36+LE36+LF36)*MaskJust</f>
        <v>978.82352941176475</v>
      </c>
      <c r="LH36" s="3">
        <f>IF(Nbal!IV36&lt;&gt;"",Nbal!IV36,LG36)</f>
        <v>978.82352941176475</v>
      </c>
      <c r="LI36" s="3">
        <f>LH36*Z36</f>
        <v>3699.9529411764706</v>
      </c>
      <c r="LJ36" s="3"/>
      <c r="LK36">
        <f>IF(AND($S36=1,VLOOKUP($R36,Afgr,Data!$CP$3)&gt;0),((1+$BC36/VLOOKUP($R36,Afgr,Data!$CP$3))/2)*VLOOKUP($R36,Afgr,Data!$CQ$3),0)</f>
        <v>556.97530864197529</v>
      </c>
      <c r="LL36">
        <f>IF(AND($S36=1,VLOOKUP($R36,Afgr,Data!$CP$3)&gt;0),($BC36/VLOOKUP($R36,Afgr,Data!$CP$3))*VLOOKUP($R36,Afgr,Data!$CR$3),0)</f>
        <v>224.36213991769546</v>
      </c>
      <c r="LM36">
        <f>(LK36+LL36)*MaskJust</f>
        <v>781.33744855967075</v>
      </c>
      <c r="LN36" s="3">
        <f>IF(Nbal!JB36&lt;&gt;"",Nbal!JB36,LM36)</f>
        <v>781.33744855967075</v>
      </c>
      <c r="LO36" s="3">
        <f>LN36*Z36</f>
        <v>2953.4555555555553</v>
      </c>
      <c r="LQ36">
        <f>$AM36*VLOOKUP($R36,Afgr,Data!$CS$3)*IF($V36=1,VLOOKUP($R36,Afgr,Data!$CT$3),IF($V36=2,VLOOKUP($R36,Afgr,Data!$CU$3),0))</f>
        <v>535.92000000000007</v>
      </c>
      <c r="LR36" s="3">
        <f>IF(Nbal!JK36&lt;&gt;"",Nbal!JK36,LQ36)</f>
        <v>535.92000000000007</v>
      </c>
      <c r="LS36" s="3">
        <f>LR36*Z36</f>
        <v>2025.7776000000001</v>
      </c>
      <c r="LU36">
        <f>VLOOKUP($T36,Efgr,Data!$AC$53)*UdsaedJust</f>
        <v>0</v>
      </c>
      <c r="LV36" s="3">
        <f>IF(Nbal!$JS36&lt;&gt;"",Nbal!$JS36,LU36)</f>
        <v>0</v>
      </c>
      <c r="LW36" s="3">
        <f>LV36*Z36</f>
        <v>0</v>
      </c>
      <c r="LY36" s="3">
        <f>IF(HdgVaerdiNbal=1,(CB36)*Npris,(CB36+CL36)*Npris)</f>
        <v>0</v>
      </c>
      <c r="LZ36" s="3">
        <f>LY36*Z36</f>
        <v>0</v>
      </c>
      <c r="MB36">
        <f>$EO36</f>
        <v>0</v>
      </c>
      <c r="MC36">
        <f>CU36</f>
        <v>0</v>
      </c>
      <c r="MD36">
        <f>CR36</f>
        <v>0</v>
      </c>
      <c r="ME36" s="3">
        <f>IF(HdgVaerdiNbal=1,MD36*Ppris,(MC36+MD36)*Ppris)</f>
        <v>0</v>
      </c>
      <c r="MF36" s="3">
        <f>ME36*Z36</f>
        <v>0</v>
      </c>
      <c r="MH36">
        <f>$ER36</f>
        <v>0</v>
      </c>
      <c r="MI36">
        <f>DC36</f>
        <v>0</v>
      </c>
      <c r="MJ36">
        <f>CZ36</f>
        <v>0</v>
      </c>
      <c r="MK36" s="3">
        <f>IF(HdgVaerdiNbal=1,MJ36*Ppris,(MI36+MJ36)*Ppris)</f>
        <v>0</v>
      </c>
      <c r="ML36" s="3">
        <f>MK36*Z36</f>
        <v>0</v>
      </c>
      <c r="MN36">
        <f>LY36+ME36+MK36</f>
        <v>0</v>
      </c>
      <c r="MO36" s="3">
        <f>IF(Nbal!JY36&lt;&gt;"",Nbal!JY36,$MN36)</f>
        <v>0</v>
      </c>
      <c r="MP36" s="3">
        <f>MO36*Z36</f>
        <v>0</v>
      </c>
      <c r="MR36">
        <f>VLOOKUP($T36,Efgr,Data!$AE$53)*PlantevJust</f>
        <v>0</v>
      </c>
      <c r="MS36" s="3">
        <f>IF(Nbal!KE36&lt;&gt;"",Nbal!KE36,MR36)</f>
        <v>0</v>
      </c>
      <c r="MT36" s="3">
        <f>MS36*Z36</f>
        <v>0</v>
      </c>
      <c r="MV36">
        <f>VLOOKUP($T36,Efgr,Data!$AF$53)+$BR36*VLOOKUP($T36,Efgr,Data!$AL$53)</f>
        <v>0</v>
      </c>
      <c r="MW36" s="3">
        <f>IF(Nbal!KK36&lt;&gt;"",Nbal!KK36,MV36)</f>
        <v>0</v>
      </c>
      <c r="MX36" s="3">
        <f>MW36*Z36</f>
        <v>0</v>
      </c>
      <c r="MZ36">
        <f>LV36+MO36+MS36+MW36</f>
        <v>0</v>
      </c>
      <c r="NB36">
        <f>VLOOKUP($T36,Efgr,Data!$AU$53)*K36*MaskJust</f>
        <v>0</v>
      </c>
      <c r="NC36" s="3">
        <f>IF(Nbal!KQ36&lt;&gt;"",Nbal!KQ36,NB36)</f>
        <v>0</v>
      </c>
      <c r="ND36" s="3">
        <f>NC36*Z36</f>
        <v>0</v>
      </c>
      <c r="NF36">
        <f>VLOOKUP($T36,Efgr,Data!$AW$53)*Data!$K$268*K36*MaskJust</f>
        <v>0</v>
      </c>
      <c r="NG36" s="3">
        <f>IF(Nbal!KW36&lt;&gt;"",Nbal!KW36,NF36)</f>
        <v>0</v>
      </c>
      <c r="NH36" s="3">
        <f>NG36*Z36</f>
        <v>0</v>
      </c>
      <c r="NJ36">
        <f>VLOOKUP($T36,Efgr,Data!$AV$53)*Data!$K$269*MaskJust</f>
        <v>0</v>
      </c>
      <c r="NK36" s="3">
        <f>IF(Nbal!LC36&lt;&gt;"",Nbal!LC36,NJ36)</f>
        <v>0</v>
      </c>
      <c r="NL36" s="3">
        <f>NK36*Z36</f>
        <v>0</v>
      </c>
      <c r="NN36">
        <f>IF(C36=2,VLOOKUP($T36,Efgr,Data!$BC$53),0)</f>
        <v>0</v>
      </c>
      <c r="NO36">
        <f>IF(Nbal!LI36&lt;&gt;"",Nbal!LI36,$NN36)</f>
        <v>0</v>
      </c>
      <c r="NP36">
        <f>IF(C36=2,$NO36*Flytning/mmprgang+$NO36*Prisprmm,0)</f>
        <v>0</v>
      </c>
      <c r="NQ36" s="3">
        <f>IF(Nbal!LO36&lt;&gt;"",Nbal!LO36,$NP36)</f>
        <v>0</v>
      </c>
      <c r="NR36" s="3">
        <f>NQ36*Z36</f>
        <v>0</v>
      </c>
      <c r="NT36">
        <f>IF(VLOOKUP($T36,Efgr,Data!$AX$53)&gt;0,((1+BR36/VLOOKUP($T36,Efgr,Data!$AX$53))/2)*VLOOKUP($T36,Efgr,Data!$AY$53)*VLOOKUP($T36,Efgr,Data!$BA$53)+VLOOKUP($T36,Efgr,Data!$AZ$53),0)</f>
        <v>0</v>
      </c>
      <c r="NU36">
        <f>IF(VLOOKUP($T36,Efgr,Data!$AX$53)&gt;0,($BR36/VLOOKUP($T36,Efgr,Data!$AX$53))*VLOOKUP($T36,Efgr,Data!$BB$53)*VLOOKUP($T36,Efgr,Data!$BA$53),0)</f>
        <v>0</v>
      </c>
      <c r="NV36">
        <f>(NT36+NU36)*MaskJust</f>
        <v>0</v>
      </c>
      <c r="NW36" s="3">
        <f>IF(Nbal!LU36&lt;&gt;"",Nbal!LU36,NV36)</f>
        <v>0</v>
      </c>
      <c r="NX36" s="3">
        <f>NW36*Z36</f>
        <v>0</v>
      </c>
      <c r="NZ36">
        <f>IF($U36=2,Data!$K$304,IF($U36=3,Data!$K$305,0))*MaskJust</f>
        <v>0</v>
      </c>
      <c r="OA36" s="3">
        <f>IF(Nbal!MA36&lt;&gt;"",Nbal!MA36,NZ36)</f>
        <v>0</v>
      </c>
      <c r="OB36" s="3">
        <f>OA36*Z36</f>
        <v>0</v>
      </c>
      <c r="OD36">
        <f>IL36</f>
        <v>10092.716049382716</v>
      </c>
      <c r="OE36">
        <f>JW36+MZ36</f>
        <v>2193.6</v>
      </c>
      <c r="OF36">
        <f>OD36-OE36</f>
        <v>7899.1160493827156</v>
      </c>
      <c r="OG36">
        <f>OF36*Z36</f>
        <v>29858.658666666663</v>
      </c>
      <c r="OJ36">
        <f>VLOOKUP($O36,Afgr,Data!$BP$3)+VLOOKUP($P36,Efgr,Data!$AM$53)</f>
        <v>1</v>
      </c>
      <c r="OK36" s="3">
        <f>OJ36*Z36</f>
        <v>3.78</v>
      </c>
      <c r="OL36">
        <f>VLOOKUP($R36,Afgr,Data!$BP$3)+VLOOKUP($T36,Efgr,Data!$AM$53)</f>
        <v>1</v>
      </c>
      <c r="OM36" s="3">
        <f>OL36*Z36</f>
        <v>3.78</v>
      </c>
      <c r="OO36">
        <f>VLOOKUP($P36,Efgr,Data!$AN$53)</f>
        <v>0</v>
      </c>
      <c r="OP36">
        <f>VLOOKUP($O36,Afgr,Data!$BQ$3)</f>
        <v>1</v>
      </c>
      <c r="OQ36">
        <f>VLOOKUP($R36,Afgr,Data!$BR$3)</f>
        <v>0</v>
      </c>
      <c r="OR36">
        <f>OO36*OP36*OQ36</f>
        <v>0</v>
      </c>
      <c r="OS36" s="3">
        <f>OR36*Z36</f>
        <v>0</v>
      </c>
      <c r="OT36" s="3">
        <f>IF(Q36,1,0)*OS36</f>
        <v>0</v>
      </c>
      <c r="OV36">
        <f>VLOOKUP($T36,Efgr,Data!$AN$53)</f>
        <v>0</v>
      </c>
      <c r="OW36">
        <f>VLOOKUP($R36,Afgr,Data!$BQ$3)</f>
        <v>1</v>
      </c>
      <c r="OX36">
        <f>VLOOKUP($X36,Afgr,Data!$BR$3)</f>
        <v>0</v>
      </c>
      <c r="OY36">
        <f>OV36*OW36*OX36</f>
        <v>0</v>
      </c>
      <c r="OZ36" s="3">
        <f>OY36*Z36</f>
        <v>0</v>
      </c>
      <c r="PB36">
        <f>VLOOKUP($T36,Efgr,Data!$AO$53)</f>
        <v>0</v>
      </c>
      <c r="PC36">
        <f>VLOOKUP($O36,Afgr,Data!$BQ$3)</f>
        <v>1</v>
      </c>
      <c r="PD36">
        <f>VLOOKUP($R36,Afgr,Data!$BS$3)</f>
        <v>1</v>
      </c>
      <c r="PE36" s="3">
        <f>PB36*PC36*PD36*$Z36</f>
        <v>0</v>
      </c>
      <c r="PG36">
        <f>VLOOKUP($T36,Efgr,Data!$AO$53)</f>
        <v>0</v>
      </c>
      <c r="PH36">
        <f>VLOOKUP($R36,Afgr,Data!$BQ$3)</f>
        <v>1</v>
      </c>
      <c r="PI36">
        <f>VLOOKUP($X36,Afgr,Data!$BS$3)</f>
        <v>1</v>
      </c>
      <c r="PJ36" s="3">
        <f>PG36*PH36*PI36*$Z36</f>
        <v>0</v>
      </c>
      <c r="PK36" s="3"/>
      <c r="PL36" s="3">
        <f>VLOOKUP($O36,Afgr,Data!$BU$3)</f>
        <v>0</v>
      </c>
      <c r="PM36" s="3">
        <f>PL36*Z36</f>
        <v>0</v>
      </c>
      <c r="PN36" s="3">
        <f>VLOOKUP($R36,Afgr,Data!$BU$3)</f>
        <v>0</v>
      </c>
      <c r="PO36" s="3">
        <f>PN36*Z36</f>
        <v>0</v>
      </c>
      <c r="PQ36">
        <f>VLOOKUP(R36,Afgr,Data!$BX$3)+VLOOKUP(T36,Efgr,Data!$AQ$53)</f>
        <v>1</v>
      </c>
      <c r="PR36">
        <f>IF(PQ36&gt;0,Z36,0)</f>
        <v>3.78</v>
      </c>
      <c r="PT36">
        <f>VLOOKUP($O36,Afgr,Data!$BT$3)</f>
        <v>1</v>
      </c>
      <c r="PU36" s="3">
        <f>PT36*Z36</f>
        <v>3.78</v>
      </c>
      <c r="PV36">
        <f>VLOOKUP($R36,Afgr,Data!$BT$3)</f>
        <v>1</v>
      </c>
      <c r="PW36" s="3">
        <f>PV36*Z36</f>
        <v>3.78</v>
      </c>
      <c r="PY36">
        <f>VLOOKUP($R36,Afgr,Data!$BV$3)</f>
        <v>0</v>
      </c>
      <c r="PZ36">
        <f>PY36*Z36</f>
        <v>0</v>
      </c>
      <c r="QB36">
        <f>VLOOKUP($R36,Afgr,Data!$BW$3)</f>
        <v>0</v>
      </c>
      <c r="QC36">
        <f>QB36*Z36</f>
        <v>0</v>
      </c>
      <c r="QE36">
        <f>AM36*IF(VLOOKUP($R36,Afgr,Data!$BJ$3)&gt;0,1,0)</f>
        <v>58</v>
      </c>
      <c r="QF36">
        <f>QE36*Z36</f>
        <v>219.23999999999998</v>
      </c>
      <c r="QH36">
        <f>AM36*VLOOKUP(R36,Afgr,Data!$BK$3)</f>
        <v>5974</v>
      </c>
      <c r="QI36">
        <f>Z36*QH36</f>
        <v>22581.719999999998</v>
      </c>
      <c r="QJ36">
        <f>$AM36*VLOOKUP($R36,Afgr,Data!$BL$3)+$BR36*VLOOKUP($T36,Efgr,Data!$AP$53)</f>
        <v>0</v>
      </c>
      <c r="QK36">
        <f>QJ36*Z36</f>
        <v>0</v>
      </c>
      <c r="QL36">
        <f>$AM36*VLOOKUP($R36,Afgr,Data!$BM$3)</f>
        <v>0</v>
      </c>
      <c r="QM36">
        <f>QL36*Z36</f>
        <v>0</v>
      </c>
      <c r="QN36">
        <f>$AM36*VLOOKUP($R36,Afgr,Data!$BN$3)</f>
        <v>0</v>
      </c>
      <c r="QO36">
        <f>QN36*Z36</f>
        <v>0</v>
      </c>
      <c r="QR36">
        <f>IF(VLOOKUP($R36,Afgr,Data!$DA$3)="Vårbyg",$AN36,0)*VLOOKUP($R36,Afgr,Data!$BJ$3)</f>
        <v>0</v>
      </c>
      <c r="QS36">
        <f>IF(VLOOKUP($R36,Afgr,Data!$DA$3)="Vinterbyg",$AN36,0)*VLOOKUP($R36,Afgr,Data!$BJ$3)</f>
        <v>0</v>
      </c>
      <c r="QT36">
        <f>IF(VLOOKUP($R36,Afgr,Data!$DA$3)="Havre",$AN36,0)*VLOOKUP($R36,Afgr,Data!$BJ$3)</f>
        <v>0</v>
      </c>
      <c r="QU36">
        <f>IF(VLOOKUP($R36,Afgr,Data!$DA$3)="Hvede",$AN36,0)*VLOOKUP($R36,Afgr,Data!$BJ$3)</f>
        <v>25212.6</v>
      </c>
      <c r="QV36">
        <f>IF(VLOOKUP($R36,Afgr,Data!$DA$3)="Triticale",$AN36,0)*VLOOKUP($R36,Afgr,Data!$BJ$3)</f>
        <v>0</v>
      </c>
      <c r="QW36">
        <f>IF(VLOOKUP($R36,Afgr,Data!$DA$3)="Rug",$AN36,0)*VLOOKUP($R36,Afgr,Data!$BJ$3)</f>
        <v>0</v>
      </c>
      <c r="QX36">
        <f>IF(VLOOKUP($R36,Afgr,Data!$DA$3)="Majs",$AN36,0)*VLOOKUP($R36,Afgr,Data!$BJ$3)</f>
        <v>0</v>
      </c>
      <c r="RA36">
        <f>IF(OV36+PB36&gt;0,1,0)</f>
        <v>0</v>
      </c>
      <c r="RB36">
        <f>RA36*LW36</f>
        <v>0</v>
      </c>
      <c r="RC36">
        <f>RA36*MT36</f>
        <v>0</v>
      </c>
      <c r="RD36">
        <f>ND36</f>
        <v>0</v>
      </c>
      <c r="RE36">
        <f>RA36*OB36</f>
        <v>0</v>
      </c>
      <c r="RH36">
        <f>VLOOKUP(B36,Jordtype,Data!$Y$112+DenitNr-1)</f>
        <v>7.25</v>
      </c>
      <c r="RI36">
        <f>FF36*VLOOKUP(B36,Jordtype,Data!$AB$112+DenitNr-1)</f>
        <v>4.32</v>
      </c>
      <c r="RJ36">
        <f>((CJ36+CK36+CL36+Regn2!CO36*0.7)-(RR36+RT36))*VLOOKUP(B36,Jordtype,Data!$AE$112+DenitNr-1)</f>
        <v>11.000508750000002</v>
      </c>
      <c r="RK36">
        <f>0*VLOOKUP(B36,Jordtype,Data!$AE$112+DenitNr-1)</f>
        <v>0</v>
      </c>
      <c r="RL36">
        <f>Regn2!FD36*VLOOKUP(B36,Jordtype,Data!$AH$112+DenitNr-1)</f>
        <v>0</v>
      </c>
      <c r="RM36" s="3">
        <f>RH36+RI36+RJ36+RK36+RL36</f>
        <v>22.570508750000002</v>
      </c>
      <c r="RO36">
        <v>2</v>
      </c>
      <c r="RP36">
        <f>(FF36)*RO36*0.01</f>
        <v>2.16</v>
      </c>
      <c r="RQ36">
        <v>7</v>
      </c>
      <c r="RR36">
        <f>CE36*RQ36*0.01</f>
        <v>0</v>
      </c>
      <c r="RS36">
        <v>7</v>
      </c>
      <c r="RT36">
        <f>(Regn2!CF36+Regn2!CG36)*RS36*0.01</f>
        <v>8.33</v>
      </c>
      <c r="RW36">
        <f>VLOOKUP(R36,Afgr,Data!$EE$3)</f>
        <v>5</v>
      </c>
      <c r="RX36" s="3">
        <f>RP36+RR36+RT36+RV36+RW36</f>
        <v>15.49</v>
      </c>
    </row>
    <row r="38" spans="1:492" x14ac:dyDescent="0.25">
      <c r="A38" s="214" t="str">
        <f>Nbal!B38</f>
        <v>16-0</v>
      </c>
      <c r="B38">
        <v>6</v>
      </c>
      <c r="C38">
        <v>1</v>
      </c>
      <c r="D38">
        <f>IF(C38=1,VLOOKUP(B38,Jordtype,Data!$K$112),VLOOKUP(B38,Jordtype,Data!$L$112))</f>
        <v>9</v>
      </c>
      <c r="E38">
        <f>IF(C38=1,VLOOKUP(B38,Jordtype,Data!$M$112),VLOOKUP(B38,Jordtype,Data!$N$112))</f>
        <v>14</v>
      </c>
      <c r="F38">
        <f>IF(OR(B38=1,B38=3),0,IF(OR(B38=2,B38=4),1,IF(OR(B38=5,B38=6),2,3)))</f>
        <v>2</v>
      </c>
      <c r="G38">
        <f>IF(C38=1,VLOOKUP(B38,Jordtype,Data!$Q$112),VLOOKUP(B38,Jordtype,Data!$R$112))</f>
        <v>25</v>
      </c>
      <c r="H38">
        <f>IF(C38=1,VLOOKUP(B38,Jordtype,Data!$O$112),VLOOKUP(B38,Jordtype,Data!$P$112))</f>
        <v>19</v>
      </c>
      <c r="I38">
        <f>IF(B38&lt;5,0,1)</f>
        <v>1</v>
      </c>
      <c r="J38">
        <f>IF(B38&lt;5,PlojJB,1)</f>
        <v>1</v>
      </c>
      <c r="K38">
        <f>IF(B38&lt;5,SaaJB,1)</f>
        <v>1</v>
      </c>
      <c r="L38">
        <f>IF(C38=1,VLOOKUP(B38,Jordtype,Data!$S$112),VLOOKUP(B38,Jordtype,Data!$T$112))</f>
        <v>8</v>
      </c>
      <c r="M38">
        <f>IF(C38=1,VLOOKUP(B38,Jordtype,Data!$U$112),VLOOKUP(B38,Jordtype,Data!$V$112))</f>
        <v>13</v>
      </c>
      <c r="O38">
        <v>40</v>
      </c>
      <c r="P38">
        <v>4</v>
      </c>
      <c r="Q38" t="b">
        <v>0</v>
      </c>
      <c r="R38">
        <v>40</v>
      </c>
      <c r="S38">
        <v>2</v>
      </c>
      <c r="T38">
        <v>4</v>
      </c>
      <c r="U38">
        <v>2</v>
      </c>
      <c r="V38">
        <v>1</v>
      </c>
      <c r="X38">
        <v>40</v>
      </c>
      <c r="Z38">
        <f>Nbal!AG38</f>
        <v>0.72</v>
      </c>
      <c r="AA38">
        <v>1</v>
      </c>
      <c r="AB38">
        <f>VLOOKUP($R38,Afgr,G38)</f>
        <v>110</v>
      </c>
      <c r="AC38">
        <f>VLOOKUP($O38,Afgr,Data!$AI$3)*VLOOKUP(R38,Afgr,Data!$AJ$3)</f>
        <v>0</v>
      </c>
      <c r="AD38">
        <f>IF($Q38,0,VLOOKUP($P38,Efgr,(Data!$W$53+$V$6-1)))</f>
        <v>17</v>
      </c>
      <c r="AE38">
        <f>AB38-AC38-AD38</f>
        <v>93</v>
      </c>
      <c r="AF38">
        <f>AE38*Z38</f>
        <v>66.959999999999994</v>
      </c>
      <c r="AH38">
        <f>VLOOKUP(R38,Afgr,D38)</f>
        <v>56</v>
      </c>
      <c r="AI38">
        <f>VLOOKUP(O38,Afgr,Data!$AL$3)*VLOOKUP(R38,Afgr,E38)</f>
        <v>0</v>
      </c>
      <c r="AJ38">
        <f>VLOOKUP(P38,Efgr,(Data!$Y$53+I38))</f>
        <v>0</v>
      </c>
      <c r="AK38">
        <f>AH38+AI38+AJ38</f>
        <v>56</v>
      </c>
      <c r="AL38">
        <f>AH38+AI38+AJ38</f>
        <v>56</v>
      </c>
      <c r="AM38" s="3">
        <f>IF(Nbal!CK38&lt;&gt;"",Nbal!CK38,AL38)</f>
        <v>33</v>
      </c>
      <c r="AN38">
        <f>AM38*Z38</f>
        <v>23.759999999999998</v>
      </c>
      <c r="AO38" t="str">
        <f>VLOOKUP(R38,Afgr,3)</f>
        <v>hkg</v>
      </c>
      <c r="AP38">
        <f>IF(AO38="FE",VLOOKUP($R38,Afgr,Data!$AV$3),0)</f>
        <v>0</v>
      </c>
      <c r="AR38">
        <f>VLOOKUP(R38,Afgr,4)</f>
        <v>145</v>
      </c>
      <c r="AS38" s="3">
        <f>IF(Nbal!CW38&lt;&gt;"",Nbal!CW38,AR38)</f>
        <v>145</v>
      </c>
      <c r="AT38" s="3">
        <f>AM38*AS38</f>
        <v>4785</v>
      </c>
      <c r="AU38" s="3">
        <f>AN38*AS38</f>
        <v>3445.2</v>
      </c>
      <c r="AW38">
        <f>VLOOKUP(R38,Afgr,Data!$AN$3)</f>
        <v>0</v>
      </c>
      <c r="AX38" s="3">
        <f>IF(Nbal!DC38&lt;&gt;"",Nbal!DC38,AW38)</f>
        <v>0</v>
      </c>
      <c r="AY38" s="3">
        <f>AX38*Z38</f>
        <v>0</v>
      </c>
      <c r="BA38">
        <f>VLOOKUP(R38,Afgr,H38)</f>
        <v>3000</v>
      </c>
      <c r="BB38">
        <f>IF(ISERROR(BA38*AM38/AK38),0,(BA38*AM38/AK38))</f>
        <v>1767.8571428571429</v>
      </c>
      <c r="BC38" s="3">
        <f>IF(Nbal!DI38&lt;&gt;"",Nbal!DI38,BB38)</f>
        <v>1767.8571428571429</v>
      </c>
      <c r="BD38">
        <f>BC38*Z38</f>
        <v>1272.8571428571429</v>
      </c>
      <c r="BG38">
        <f>IF($S38=1,BC38,0)</f>
        <v>0</v>
      </c>
      <c r="BH38">
        <f>IF($S38=1,BD38,0)</f>
        <v>0</v>
      </c>
      <c r="BI38">
        <f>VLOOKUP(R38,Afgr,Data!$AM$3)</f>
        <v>0.5</v>
      </c>
      <c r="BJ38">
        <f>IF(Nbal!DR38&lt;&gt;"",Nbal!DR38,BI38)</f>
        <v>0.5</v>
      </c>
      <c r="BK38">
        <f>BG38*BJ38</f>
        <v>0</v>
      </c>
      <c r="BL38">
        <f>BH38*BJ38</f>
        <v>0</v>
      </c>
      <c r="BN38">
        <f>VLOOKUP($T38,Efgr,M38)</f>
        <v>0</v>
      </c>
      <c r="BO38">
        <f>BN38*Z38</f>
        <v>0</v>
      </c>
      <c r="BQ38">
        <f>VLOOKUP(T38,Efgr,NormudbKolonneNrEfgr1)</f>
        <v>0</v>
      </c>
      <c r="BR38" s="3">
        <f>IF(Nbal!FE38&lt;&gt;"",Nbal!FE38,BQ38)</f>
        <v>0</v>
      </c>
      <c r="BS38">
        <f>BR38*Z38</f>
        <v>0</v>
      </c>
      <c r="BT38" t="s">
        <v>37</v>
      </c>
      <c r="BU38">
        <f>BR38*Efterslaetpris</f>
        <v>0</v>
      </c>
      <c r="BV38">
        <f>BS38*Efterslaetpris</f>
        <v>0</v>
      </c>
      <c r="BW38">
        <f>VLOOKUP(T38,Efgr,Data!$AG$53)</f>
        <v>0</v>
      </c>
      <c r="BX38">
        <f>BR38*BW38</f>
        <v>0</v>
      </c>
      <c r="BZ38">
        <f>Nbal!AQ38</f>
        <v>0</v>
      </c>
      <c r="CA38" s="211">
        <f>Nbal!AT38</f>
        <v>41</v>
      </c>
      <c r="CB38" s="2">
        <f>Nbal!DZ38</f>
        <v>0</v>
      </c>
      <c r="CC38" s="211">
        <f>Nbal!AT38+Nbal!DZ38</f>
        <v>41</v>
      </c>
      <c r="CD38" s="211">
        <f>Nbal!AX38</f>
        <v>0</v>
      </c>
      <c r="CE38">
        <f>Nbal!BH38</f>
        <v>0</v>
      </c>
      <c r="CF38" s="211">
        <f>Nbal!BM38</f>
        <v>85</v>
      </c>
      <c r="CG38" s="2">
        <f>Nbal!EI38</f>
        <v>0</v>
      </c>
      <c r="CH38" s="211">
        <f>Nbal!BM38+Nbal!EI38</f>
        <v>85</v>
      </c>
      <c r="CI38" s="211">
        <f>Nbal!BW38</f>
        <v>0</v>
      </c>
      <c r="CJ38" s="211">
        <f>Nbal!BH38*Nbal!BJ38*0.01</f>
        <v>0</v>
      </c>
      <c r="CK38" s="211">
        <f>(Nbal!BM38*Nbal!BP38*0.01)</f>
        <v>63.095500000000001</v>
      </c>
      <c r="CL38" s="211">
        <f>(Nbal!EI38*Nbal!EL38*0.01)</f>
        <v>0</v>
      </c>
      <c r="CM38" s="211">
        <f>(Nbal!BM38*Nbal!BP38*0.01)+(Nbal!EI38*Nbal!EL38*0.01)</f>
        <v>63.095500000000001</v>
      </c>
      <c r="CN38" s="211">
        <f>Nbal!BW38*Nbal!BY38*0.01</f>
        <v>0</v>
      </c>
      <c r="CO38">
        <f>Nbal!BT38+Nbal!ER38</f>
        <v>0</v>
      </c>
      <c r="CQ38">
        <f>Nbal!BA38</f>
        <v>0</v>
      </c>
      <c r="CR38">
        <f>Nbal!EC38</f>
        <v>0</v>
      </c>
      <c r="CS38">
        <f>(CQ38+CR38)*Z38</f>
        <v>0</v>
      </c>
      <c r="CT38">
        <f>Nbal!CB38</f>
        <v>18</v>
      </c>
      <c r="CU38">
        <f>Nbal!EV38</f>
        <v>0</v>
      </c>
      <c r="CV38">
        <f>(CT38+CU38)*Z38</f>
        <v>12.959999999999999</v>
      </c>
      <c r="CW38">
        <f>Nbal!BA38+Nbal!CB38+Nbal!EC38+Nbal!EV38</f>
        <v>18</v>
      </c>
      <c r="CY38">
        <f>Nbal!BD38</f>
        <v>0</v>
      </c>
      <c r="CZ38">
        <f>Nbal!EF38</f>
        <v>0</v>
      </c>
      <c r="DA38">
        <f>(CY38+CZ38)*Z38</f>
        <v>0</v>
      </c>
      <c r="DB38">
        <f>Nbal!CE38</f>
        <v>44</v>
      </c>
      <c r="DC38">
        <f>Nbal!EY38</f>
        <v>0</v>
      </c>
      <c r="DD38">
        <f>(DB38+DC38)*Z38</f>
        <v>31.68</v>
      </c>
      <c r="DE38">
        <f>Nbal!BD38+Nbal!CE38+Nbal!EF38+Nbal!EY38</f>
        <v>44</v>
      </c>
      <c r="DG38">
        <f>VLOOKUP($R38,Afgr,Data!$AW$3)</f>
        <v>11.1875</v>
      </c>
      <c r="DH38">
        <f>IF($AO38="FE",$AM38*$AP38*$DG38*0.01,$AM38*100*$DM38*0.01*$DG38*0.01)</f>
        <v>313.80937499999999</v>
      </c>
      <c r="DI38">
        <f>IF(VLOOKUP(R38,Afgr,Data!$BO$3)=1,DH38,0)*Z38</f>
        <v>225.94274999999999</v>
      </c>
      <c r="DJ38" s="12">
        <f>(BZ38+CC38+CJ38-AE38)*VLOOKUP($R38,Afgr,Data!$AX$3)</f>
        <v>-1.04</v>
      </c>
      <c r="DK38">
        <f>DG38+DJ38</f>
        <v>10.147500000000001</v>
      </c>
      <c r="DL38">
        <f>IF(Nbal!CQ38&lt;&gt;"",Nbal!CQ38,DK38)</f>
        <v>12.1</v>
      </c>
      <c r="DM38">
        <f>VLOOKUP(R38,Afgr,Data!$AT$3)</f>
        <v>85</v>
      </c>
      <c r="DN38">
        <f>IF($AO38="FE",$AM38*$AP38*$DL38*0.01,$AM38*100*$DM38*0.01*DL38*0.01)</f>
        <v>339.40500000000003</v>
      </c>
      <c r="DO38">
        <f>IF(VLOOKUP(R38,Afgr,Data!$BO$3)=1,DN38,0)*Z38</f>
        <v>244.3716</v>
      </c>
      <c r="DP38">
        <f>IF(ISERROR(DN38/VLOOKUP(R38,Afgr,Data!$AY$3)),0,DN38/VLOOKUP(R38,Afgr,Data!$AY$3))</f>
        <v>54.304800000000007</v>
      </c>
      <c r="DQ38">
        <f>DP38*Z38</f>
        <v>39.099456000000004</v>
      </c>
      <c r="DS38">
        <f>IF($AO38="FE",$AM38*$AP38*VLOOKUP($R38,Afgr,Data!$BC$3)*0.001,$AM38*100*$DM38*0.01*VLOOKUP($R38,Afgr,Data!$BC$3)*0.001)</f>
        <v>10.659000000000001</v>
      </c>
      <c r="DT38">
        <f>DS38*Z38</f>
        <v>7.67448</v>
      </c>
      <c r="DV38">
        <f>IF($AO38="FE",$AM38*$AP38*VLOOKUP($R38,Afgr,Data!$BF$3)*0.001,$AM38*100*$DM38*0.01*VLOOKUP($R38,Afgr,Data!$BF$3)*0.001)</f>
        <v>13.1835</v>
      </c>
      <c r="DW38">
        <f>DV38*Z38</f>
        <v>9.4921199999999999</v>
      </c>
      <c r="DY38">
        <f>IF(ISERROR(VLOOKUP(R38,Afgr,Data!$AZ$3)*DL38/DG38),0,VLOOKUP(R38,Afgr,Data!$AZ$3)*DL38/DG38)</f>
        <v>4.3262569832402233</v>
      </c>
      <c r="DZ38">
        <f>VLOOKUP(R38,Afgr,Data!$AU$3)</f>
        <v>85</v>
      </c>
      <c r="EA38">
        <f>IF($S38=1,$BC38*$DZ38*0.01*DY38*0.01,0)</f>
        <v>0</v>
      </c>
      <c r="EB38">
        <f>EA38/6.25</f>
        <v>0</v>
      </c>
      <c r="EC38">
        <f>EB38*Z38</f>
        <v>0</v>
      </c>
      <c r="EE38">
        <f>IF($S38=1,$BC38*$DZ38*0.01*VLOOKUP($R38,Afgr,Data!$BD$3)*0.001,0)</f>
        <v>0</v>
      </c>
      <c r="EF38">
        <f>EE38*Z38</f>
        <v>0</v>
      </c>
      <c r="EH38">
        <f>IF($S38=1,$BC38*$DZ38*0.01*VLOOKUP($R38,Afgr,Data!$BG$3)*0.001,0)</f>
        <v>0</v>
      </c>
      <c r="EI38">
        <f>EH38*Z38</f>
        <v>0</v>
      </c>
      <c r="EK38">
        <f>VLOOKUP(T38,Efgr,Data!$AI$53)</f>
        <v>0</v>
      </c>
      <c r="EL38">
        <f>BX38*EK38*0.01/6.25</f>
        <v>0</v>
      </c>
      <c r="EM38">
        <f>EL38*Z38</f>
        <v>0</v>
      </c>
      <c r="EO38">
        <f>$BX38*VLOOKUP($T38,Efgr,Data!$AJ$53)*0.001</f>
        <v>0</v>
      </c>
      <c r="EP38">
        <f>EO38*Z38</f>
        <v>0</v>
      </c>
      <c r="ER38">
        <f>$BX38*VLOOKUP($T38,Efgr,Data!$AK$53)*0.001</f>
        <v>0</v>
      </c>
      <c r="ES38">
        <f>ER38*Z38</f>
        <v>0</v>
      </c>
      <c r="EU38">
        <f>IF(VLOOKUP(R38,Afgr,Data!$DS$3)=1,DP38*VLOOKUP(R38,Afgr,(Data!$DT$3+EftervirkningUdb1))*VLOOKUP(R38,Afgr,Data!$DV$3),0)</f>
        <v>0</v>
      </c>
      <c r="EV38">
        <f>IF(VLOOKUP(R38,Afgr,Data!$DS$3)=2,VLOOKUP(R38,Afgr,Data!$DX$3),0)</f>
        <v>0</v>
      </c>
      <c r="EW38">
        <f>IF(VLOOKUP(R38,Afgr,Data!$DS$3)=3,$DP38*VLOOKUP($R38,Afgr,IF(Jordtype1&lt;5,Data!$DT$3,Data!$DU$3))*VLOOKUP($R38,Afgr,Data!$DV$3),0)</f>
        <v>0</v>
      </c>
      <c r="EX38">
        <f>IF(VLOOKUP(R38,Afgr,Data!$DS$3)=4,(1.232+0.00469*AM38*100+(0.000256*AM38*100+0.089)*60),0)</f>
        <v>0</v>
      </c>
      <c r="EY38" s="211">
        <f>BZ38+CA38+CJ38+CK38</f>
        <v>104.0955</v>
      </c>
      <c r="EZ38">
        <f>IF(VLOOKUP($R38,Afgr,Data!$DS$3)=5,($AM38*0.02742-$AM38*0.0001*$EY38+$AM38*0.0000001111*$EY38*$EY38),0)</f>
        <v>0</v>
      </c>
      <c r="FA38" s="2">
        <f>CB38+CL38</f>
        <v>0</v>
      </c>
      <c r="FB38">
        <f>IF(VLOOKUP($T38,Efgr,Data!$BH$53)=5,($BR38*0.02742-$BR38*0.0001*$FA38+$BR38*0.0000001111*$FA38*$FA38),0)</f>
        <v>0</v>
      </c>
      <c r="FC38" s="3">
        <f>EU38+EV38+EW38+EX38+EZ38+FB38</f>
        <v>0</v>
      </c>
      <c r="FD38" s="3">
        <f>FC38*Z38</f>
        <v>0</v>
      </c>
      <c r="FF38" s="211">
        <f>BZ38+CC38</f>
        <v>41</v>
      </c>
      <c r="FG38" s="211">
        <f>FF38*Z38</f>
        <v>29.52</v>
      </c>
      <c r="FH38" s="211">
        <f>CE38+CH38+CO38</f>
        <v>85</v>
      </c>
      <c r="FI38" s="211">
        <f>FH38*Z38</f>
        <v>61.199999999999996</v>
      </c>
      <c r="FJ38">
        <f>VLOOKUP($R38,Afgr,Data!$DK$3)*VLOOKUP($R38,Afgr,Data!$AT$3)*0.01*VLOOKUP($R38,Afgr,Data!$AW$3)*0.01/6.25</f>
        <v>2.4344000000000001</v>
      </c>
      <c r="FK38">
        <f>FJ38*Z38</f>
        <v>1.7527680000000001</v>
      </c>
      <c r="FL38" s="4">
        <f>IF(R38&gt;1,Deposition,0)</f>
        <v>15</v>
      </c>
      <c r="FM38" s="4">
        <f>FL38*Z38</f>
        <v>10.799999999999999</v>
      </c>
      <c r="FN38">
        <f>FC38</f>
        <v>0</v>
      </c>
      <c r="FO38">
        <f>FN38*Z38</f>
        <v>0</v>
      </c>
      <c r="FP38" s="211">
        <f>SUM(FF38,FH38,FJ38,FL38,FN38)</f>
        <v>143.43440000000001</v>
      </c>
      <c r="FQ38">
        <f>DP38+EB38+EL38</f>
        <v>54.304800000000007</v>
      </c>
      <c r="FR38" s="3">
        <f>FP38-FQ38</f>
        <v>89.129600000000011</v>
      </c>
      <c r="FS38" s="19">
        <f>FP38*Z38</f>
        <v>103.272768</v>
      </c>
      <c r="FT38" s="19">
        <f>FQ38*Z38</f>
        <v>39.099456000000004</v>
      </c>
      <c r="FU38" s="3">
        <f>FR38*Z38</f>
        <v>64.17331200000001</v>
      </c>
      <c r="FW38">
        <f>CW38</f>
        <v>18</v>
      </c>
      <c r="FX38">
        <f>FW38*Z38</f>
        <v>12.959999999999999</v>
      </c>
      <c r="FY38">
        <f>IX38+MB38</f>
        <v>10.659000000000001</v>
      </c>
      <c r="FZ38">
        <f>FY38*Z38</f>
        <v>7.67448</v>
      </c>
      <c r="GA38">
        <f>FW38-FY38</f>
        <v>7.3409999999999993</v>
      </c>
      <c r="GB38">
        <f>GA38*Z38</f>
        <v>5.2855199999999991</v>
      </c>
      <c r="GD38">
        <f>DE38</f>
        <v>44</v>
      </c>
      <c r="GE38">
        <f>GD38*Z38</f>
        <v>31.68</v>
      </c>
      <c r="GF38">
        <f>JE38+MH38</f>
        <v>13.1835</v>
      </c>
      <c r="GG38">
        <f>GF38*Z38</f>
        <v>9.4921199999999999</v>
      </c>
      <c r="GH38">
        <f>GD38-GF38</f>
        <v>30.816499999999998</v>
      </c>
      <c r="GI38">
        <f>GH38*Z38</f>
        <v>22.187879999999996</v>
      </c>
      <c r="GK38">
        <f>AA38</f>
        <v>1</v>
      </c>
      <c r="GL38" s="211">
        <f>FF38+FH38+FN38</f>
        <v>126</v>
      </c>
      <c r="GM38" s="211">
        <f>IF(R38=1,"",IF(GK38=1,GL38,""))</f>
        <v>126</v>
      </c>
      <c r="GN38" s="211" t="str">
        <f>IF(R38=1,"",IF(GK38=2,GL38,""))</f>
        <v/>
      </c>
      <c r="GO38" s="211" t="str">
        <f>IF(R38=1,"",IF(GK38=3,GL38,""))</f>
        <v/>
      </c>
      <c r="GP38" s="211" t="str">
        <f>IF(R38=1,"",IF(GK38=4,GL38,""))</f>
        <v/>
      </c>
      <c r="GQ38" s="149">
        <f>IF(OR(R38=1,VLOOKUP(R38,Afgr,Data!$BV$3)=1,VLOOKUP(R38,Afgr,Data!$BW$3)=1),0,IF(GK38=1,Nniveau1,IF(GK38=2,Nniveau2,IF(GK38=3,Nniveau3,IF(GK38=4,Nniveau4,GL38)))))</f>
        <v>173.16922222222217</v>
      </c>
      <c r="GR38" s="241">
        <v>0.32550000000000001</v>
      </c>
      <c r="GS38" s="6">
        <v>0</v>
      </c>
      <c r="GT38" s="149">
        <f>CC38+CM38</f>
        <v>104.0955</v>
      </c>
      <c r="GU38" s="6">
        <f>$FN38</f>
        <v>0</v>
      </c>
      <c r="GV38" s="241">
        <v>0.25280000000000002</v>
      </c>
      <c r="GW38">
        <f>CO38</f>
        <v>0</v>
      </c>
      <c r="GX38" s="241">
        <v>0.376</v>
      </c>
      <c r="GY38" s="149">
        <f>CD38+CN38</f>
        <v>0</v>
      </c>
      <c r="GZ38" s="241">
        <f>IF(B38&gt;3,0.3539,1.0749)</f>
        <v>0.35389999999999999</v>
      </c>
      <c r="HA38" s="11">
        <f>$FQ38</f>
        <v>54.304800000000007</v>
      </c>
      <c r="HB38" s="241">
        <v>0.19359999999999999</v>
      </c>
      <c r="HC38" s="241">
        <f>VLOOKUP($R38,Afgr,Data!$DM$3)</f>
        <v>1</v>
      </c>
      <c r="HD38" s="24">
        <f>IF($HC38&gt;1,0,(VLOOKUP($X38,Afgr,Data!$DP$3)+IF(VLOOKUP($X38,Afgr,Data!$DP$3)=0,VLOOKUP($T38,Efgr,Data!$BI$53,0))))+IF(AND($HC38=7,VLOOKUP($X38,Afgr,Data!$DQ$3)=-2),-2,0)+IF(AND($HC38=6,VLOOKUP($T38,Efgr,Data!$BI$53)=2),8,0)</f>
        <v>2</v>
      </c>
      <c r="HE38" s="6">
        <f>VLOOKUP(SUM(HC38:HD38),Nlesafgr,3)</f>
        <v>-98.6</v>
      </c>
      <c r="HF38" s="7">
        <f>VLOOKUP($O38,Afgr,Data!$DN$3)</f>
        <v>1</v>
      </c>
      <c r="HG38" s="24">
        <f>IF(HF38&gt;1,0,VLOOKUP($R38,Afgr,Data!$DO$3)+IF(VLOOKUP($R38,Afgr,Data!$DO$3)=1,0,VLOOKUP($P38,Efgr,Data!$BJ$53)))</f>
        <v>1</v>
      </c>
      <c r="HH38" s="6">
        <f>VLOOKUP(SUM(HF38:HG38),Nlesforfrugt,3)</f>
        <v>14.2</v>
      </c>
      <c r="HI38" s="241">
        <f>GR38*GQ38+GV38*(GT38+GU38)+GX38*GW38+GZ38*GY38-HB38*HA38+HE38+HH38</f>
        <v>-12.23148504666668</v>
      </c>
      <c r="HJ38" s="241">
        <f>Nlesafskaering</f>
        <v>59.6</v>
      </c>
      <c r="HK38" s="241">
        <f>Teknologi1</f>
        <v>2455</v>
      </c>
      <c r="HL38" s="6">
        <v>2001</v>
      </c>
      <c r="HM38" s="241">
        <f>Teknologi2</f>
        <v>1962.2</v>
      </c>
      <c r="HN38" s="241">
        <f>Tandel</f>
        <v>0.54659999999999997</v>
      </c>
      <c r="HO38" s="241">
        <f>IF(OR(HI38&gt;0,HI38=0),HJ38+HK38/(HL38-HM38),HJ38+HK38/(HL38-HM38)+HN38*HI38)</f>
        <v>116.18746614978073</v>
      </c>
      <c r="HP38" s="241">
        <f>IF(HI38&gt;0,HI38,0.001)</f>
        <v>1E-3</v>
      </c>
      <c r="HQ38" s="241">
        <v>1.5020000000000001E-3</v>
      </c>
      <c r="HR38" s="24">
        <f>IF(R38=1,0,VLOOKUP(PostnrNbal,AfstromData,VLOOKUP($R38,Afgr,Data!$DL$3)+IF(Jordtype1&lt;7,Jordtype1,6),FALSE)-VLOOKUP(T38,Efgr,Data!$AA$53))</f>
        <v>284.76666666666603</v>
      </c>
      <c r="HS38" s="24">
        <f>IF(Nbal!GA38&lt;&gt;"",Nbal!GA38,Regn2!HR38)</f>
        <v>284.76666666666603</v>
      </c>
      <c r="HT38" s="241">
        <v>5.5400000000000002E-4</v>
      </c>
      <c r="HU38" s="24">
        <f>IF(R38=1,0,VLOOKUP(PostnrNbal,AfstromData,VLOOKUP($O38,Afgr,Data!$DL$3)+IF(B38&lt;7,B38,6),FALSE)-VLOOKUP(P38,Efgr,Data!$AA$53))</f>
        <v>284.76666666666603</v>
      </c>
      <c r="HV38" s="24">
        <f>IF(Nbal!FU38&lt;&gt;"",Nbal!FU38,Regn2!HU38)</f>
        <v>284.76666666666603</v>
      </c>
      <c r="HW38" s="241">
        <v>0.10639999999999999</v>
      </c>
      <c r="HX38" s="6">
        <f>VLOOKUP(B38,Jordtype,Data!$W$112)</f>
        <v>3</v>
      </c>
      <c r="HY38" s="241">
        <v>3.2500000000000001E-2</v>
      </c>
      <c r="HZ38" s="6">
        <f>VLOOKUP(B38,Jordtype,Data!$X$112)</f>
        <v>12</v>
      </c>
      <c r="IA38" s="241">
        <v>1.2453000000000001</v>
      </c>
      <c r="IB38" s="241">
        <f>IF(VLOOKUP(T38,Efgr,Data!$AO$53)=1,MlafgrNUdvask,0)</f>
        <v>0</v>
      </c>
      <c r="IC38" s="20">
        <f>IF(ISERROR((HO38+POWER(HP38,1.2))*(1-EXP(-HQ38*HS38))*EXP(-HT38*HV38)*EXP(-HW38*HX38)*EXP(-HY38*HZ38)*IA38),0,(HO38+POWER(HP38,1.2))*(1-EXP(-HQ38*HS38))*EXP(-HT38*HV38)*EXP(-HW38*HX38)*EXP(-HY38*HZ38)*IA38+IB38)</f>
        <v>21.159449401152809</v>
      </c>
      <c r="ID38">
        <f>IC38*Z38</f>
        <v>15.234803568830023</v>
      </c>
      <c r="IE38">
        <f>IF(Nbal!GF38&lt;&gt;"",Nbal!GF38,RetentionNbal)</f>
        <v>65</v>
      </c>
      <c r="IF38">
        <f>IC38*(100-IE38)*0.01</f>
        <v>7.4058072904034828</v>
      </c>
      <c r="IG38">
        <f>IF38*Z38</f>
        <v>5.3321812490905076</v>
      </c>
      <c r="IH38" s="2">
        <f>HS38*10000</f>
        <v>2847666.6666666605</v>
      </c>
      <c r="II38" s="2">
        <f>IH38*Z38</f>
        <v>2050319.9999999953</v>
      </c>
      <c r="IJ38">
        <f>IF(ISERROR(IC38*1000*1000/IH38),0,IC38*1000*1000/IH38)</f>
        <v>7.4304516216151892</v>
      </c>
      <c r="IL38">
        <f>AT38+AX38+BK38+BU38</f>
        <v>4785</v>
      </c>
      <c r="IO38">
        <f>VLOOKUP(R38,Afgr,Data!$AP$3)*UdsaedJust</f>
        <v>488</v>
      </c>
      <c r="IP38" s="3">
        <f>IF(Nbal!GN38&lt;&gt;"",Nbal!GN38,IO38)</f>
        <v>488</v>
      </c>
      <c r="IQ38" s="3">
        <f>IP38*Z38</f>
        <v>351.36</v>
      </c>
      <c r="IS38" s="3">
        <f>IF(HdgVaerdiNbal=1,(BZ38+CA38)*Npris,(BZ38+CA38+CJ38+CK38)*Npris)</f>
        <v>346.45</v>
      </c>
      <c r="IT38" s="3">
        <f>IS38*Z38</f>
        <v>249.44399999999999</v>
      </c>
      <c r="IV38">
        <f>VLOOKUP($R38,Afgr,Data!$BA$3)</f>
        <v>0</v>
      </c>
      <c r="IW38">
        <f>VLOOKUP($R38,Afgr,Data!$BB$3)</f>
        <v>2.5</v>
      </c>
      <c r="IX38">
        <f>$DS38+$EE38</f>
        <v>10.659000000000001</v>
      </c>
      <c r="IY38">
        <f>CT38</f>
        <v>18</v>
      </c>
      <c r="IZ38">
        <f>CQ38</f>
        <v>0</v>
      </c>
      <c r="JA38" s="3">
        <f>IF(HdgVaerdiNbal=1,(IZ38)*Ppris,(IY38+IZ38)*Ppris)</f>
        <v>0</v>
      </c>
      <c r="JB38" s="3">
        <f>JA38*Z38</f>
        <v>0</v>
      </c>
      <c r="JD38">
        <f>IF(AND(R38&gt;1,OR(Jordtype1=1,Jordtype1=3,Markvand1=2)),Kudvask,0)</f>
        <v>0</v>
      </c>
      <c r="JE38">
        <f>$DV38+$EH38</f>
        <v>13.1835</v>
      </c>
      <c r="JF38">
        <f>DB38</f>
        <v>44</v>
      </c>
      <c r="JG38">
        <f>CY38</f>
        <v>0</v>
      </c>
      <c r="JH38" s="3">
        <f>IF(HdgVaerdiNbal=1,JG38*Kpris,(JF38+JG38)*Kpris)</f>
        <v>0</v>
      </c>
      <c r="JI38" s="3">
        <f>JH38*Z38</f>
        <v>0</v>
      </c>
      <c r="JK38">
        <f>IS38+JA38+JH38</f>
        <v>346.45</v>
      </c>
      <c r="JL38" s="3">
        <f>IF(Nbal!GT38&lt;&gt;"",Nbal!GT38,$JK38)</f>
        <v>346.45</v>
      </c>
      <c r="JM38" s="3">
        <f>JL38*Z38</f>
        <v>249.44399999999999</v>
      </c>
      <c r="JO38">
        <f>VLOOKUP(R38,Afgr,Data!$AQ$3)*PlantevJust</f>
        <v>283</v>
      </c>
      <c r="JP38" s="3">
        <f>IF(Nbal!GZ38&lt;&gt;"",Nbal!GZ38,JO38)</f>
        <v>283</v>
      </c>
      <c r="JQ38" s="3">
        <f>JP38*Z38</f>
        <v>203.76</v>
      </c>
      <c r="JS38">
        <f>VLOOKUP(R38,Afgr,Data!$AR$3)+AM38*VLOOKUP(R38,Afgr,Data!$BH$3)</f>
        <v>0</v>
      </c>
      <c r="JT38" s="3">
        <f>IF(Nbal!HF38&lt;&gt;"",Nbal!HF38,JS38)</f>
        <v>0</v>
      </c>
      <c r="JU38">
        <f>JT38*Z38</f>
        <v>0</v>
      </c>
      <c r="JW38">
        <f>IP38+JL38+JP38+JT38</f>
        <v>1117.45</v>
      </c>
      <c r="JY38">
        <f>IF(VLOOKUP(R38,Afgr,Data!$BY$3)&gt;0,Data!$K$259*J38,0)</f>
        <v>600</v>
      </c>
      <c r="JZ38">
        <f>IF(VLOOKUP(R38,Afgr,Data!$BZ$3)&gt;0,Data!$K$260*J38,0)</f>
        <v>0</v>
      </c>
      <c r="KA38">
        <f>(JY38+JZ38)*MaskJust</f>
        <v>600</v>
      </c>
      <c r="KB38" s="3">
        <f>IF(Nbal!HL38&lt;&gt;"",Nbal!HL38,KA38)</f>
        <v>600</v>
      </c>
      <c r="KC38" s="3">
        <f>KB38*Z38</f>
        <v>432</v>
      </c>
      <c r="KE38">
        <f>IF(VLOOKUP(R38,Afgr,Data!$CA$3)&gt;0,VLOOKUP(R38,Afgr,Data!$CA$3)*Data!$K$261*K38,0)</f>
        <v>0</v>
      </c>
      <c r="KF38">
        <f>IF(VLOOKUP(R38,Afgr,Data!$CC$3)&gt;0,Data!$K$262*K38,0)</f>
        <v>350</v>
      </c>
      <c r="KG38">
        <f>IF(VLOOKUP(R38,Afgr,Data!$CD$3)&gt;0,VLOOKUP(R38,Afgr,Data!$CD$3)*Data!$K$263*K38,0)</f>
        <v>0</v>
      </c>
      <c r="KH38">
        <f>IF(VLOOKUP(R38,Afgr,Data!$CE$3)&gt;0,Data!$K$264*K38,0)</f>
        <v>0</v>
      </c>
      <c r="KI38">
        <f>IF(VLOOKUP(R38,Afgr,Data!$CF$3)&gt;0,Data!$K$265*K38,0)</f>
        <v>0</v>
      </c>
      <c r="KJ38">
        <f>IF(VLOOKUP(R38,Afgr,Data!$CV$3)&gt;0,Data!$K$266,0)</f>
        <v>0</v>
      </c>
      <c r="KK38">
        <f>IF(VLOOKUP(R38,Afgr,Data!$CG$3)&gt;0,Data!$K$267*K38,0)</f>
        <v>0</v>
      </c>
      <c r="KL38">
        <f>(KE38+KF38+KG38+KH38+KI38+KJ38+KK38)*MaskJust</f>
        <v>350</v>
      </c>
      <c r="KM38" s="3">
        <f>IF(Nbal!HR38&lt;&gt;"",Nbal!HR38,KL38)</f>
        <v>350</v>
      </c>
      <c r="KN38" s="3">
        <f>KM38*Z38</f>
        <v>252</v>
      </c>
      <c r="KP38">
        <f>IF(VLOOKUP(R38,Afgr,Data!$CJ$3)&gt;0,VLOOKUP(R38,Afgr,Data!$CJ$3)*Data!$K$268*K38,0)*MaskJust</f>
        <v>140</v>
      </c>
      <c r="KQ38" s="3">
        <f>IF(Nbal!HX38&lt;&gt;"",Nbal!HX38,KP38)</f>
        <v>140</v>
      </c>
      <c r="KR38" s="3">
        <f>KQ38*Z38</f>
        <v>100.8</v>
      </c>
      <c r="KT38">
        <f>IF(VLOOKUP(R38,Afgr,Data!$CI$3)&gt;0,VLOOKUP(R38,Afgr,Data!$CI$3)*Data!$K$269,0)*MaskJust</f>
        <v>300</v>
      </c>
      <c r="KU38" s="3">
        <f>IF(Nbal!ID38&lt;&gt;"",Nbal!ID38,KT38)</f>
        <v>300</v>
      </c>
      <c r="KV38" s="3">
        <f>KU38*Z38</f>
        <v>216</v>
      </c>
      <c r="KX38">
        <f>IF(C38=2,VLOOKUP($R38,Afgr,Data!$CY$3),0)</f>
        <v>0</v>
      </c>
      <c r="KY38">
        <f>IF(Nbal!IJ38&lt;&gt;"",Nbal!IJ38,$KX38)</f>
        <v>0</v>
      </c>
      <c r="KZ38">
        <f>IF(AND(R38&gt;1,C38=2),Vandmaskin+$KY38*Flytning/mmprgang+$KY38*Prisprmm,0)</f>
        <v>0</v>
      </c>
      <c r="LA38" s="3">
        <f>IF(Nbal!IP38&lt;&gt;"",Nbal!IP38,$KZ38)</f>
        <v>0</v>
      </c>
      <c r="LB38" s="3">
        <f>LA38*Z38</f>
        <v>0</v>
      </c>
      <c r="LD38">
        <f>IF(VLOOKUP($R38,Afgr,Data!$CK$3)&gt;0,((1+AM38/VLOOKUP($R38,Afgr,Data!$CK$3))/2)*VLOOKUP($R38,Afgr,Data!$CL$3)*VLOOKUP($R38,Afgr,Data!$CN$3)+VLOOKUP($R38,Afgr,Data!$CM$3),0)</f>
        <v>624.7058823529411</v>
      </c>
      <c r="LE38">
        <f>IF(VLOOKUP($R38,Afgr,Data!$CK$3)&gt;0,IF(AND($S38=2,$BA38&gt;0),Data!$K$271,0),0)</f>
        <v>50</v>
      </c>
      <c r="LF38">
        <f>IF(VLOOKUP($R38,Afgr,Data!$CK$3)&gt;0,(AM38/VLOOKUP($R38,Afgr,Data!$CK$3))*VLOOKUP($R38,Afgr,Data!$CO$3)*VLOOKUP($R38,Afgr,Data!$CN$3),0)</f>
        <v>126.17647058823529</v>
      </c>
      <c r="LG38">
        <f>(LD38+LE38+LF38)*MaskJust</f>
        <v>800.88235294117635</v>
      </c>
      <c r="LH38" s="3">
        <f>IF(Nbal!IV38&lt;&gt;"",Nbal!IV38,LG38)</f>
        <v>800.88235294117635</v>
      </c>
      <c r="LI38" s="3">
        <f>LH38*Z38</f>
        <v>576.63529411764694</v>
      </c>
      <c r="LJ38" s="3"/>
      <c r="LK38">
        <f>IF(AND($S38=1,VLOOKUP($R38,Afgr,Data!$CP$3)&gt;0),((1+$BC38/VLOOKUP($R38,Afgr,Data!$CP$3))/2)*VLOOKUP($R38,Afgr,Data!$CQ$3),0)</f>
        <v>0</v>
      </c>
      <c r="LL38">
        <f>IF(AND($S38=1,VLOOKUP($R38,Afgr,Data!$CP$3)&gt;0),($BC38/VLOOKUP($R38,Afgr,Data!$CP$3))*VLOOKUP($R38,Afgr,Data!$CR$3),0)</f>
        <v>0</v>
      </c>
      <c r="LM38">
        <f>(LK38+LL38)*MaskJust</f>
        <v>0</v>
      </c>
      <c r="LN38" s="3">
        <f>IF(Nbal!JB38&lt;&gt;"",Nbal!JB38,LM38)</f>
        <v>0</v>
      </c>
      <c r="LO38" s="3">
        <f>LN38*Z38</f>
        <v>0</v>
      </c>
      <c r="LQ38">
        <f>$AM38*VLOOKUP($R38,Afgr,Data!$CS$3)*IF($V38=1,VLOOKUP($R38,Afgr,Data!$CT$3),IF($V38=2,VLOOKUP($R38,Afgr,Data!$CU$3),0))</f>
        <v>304.92</v>
      </c>
      <c r="LR38" s="3">
        <f>IF(Nbal!JK38&lt;&gt;"",Nbal!JK38,LQ38)</f>
        <v>304.92</v>
      </c>
      <c r="LS38" s="3">
        <f>LR38*Z38</f>
        <v>219.54240000000001</v>
      </c>
      <c r="LU38">
        <f>VLOOKUP($T38,Efgr,Data!$AC$53)*UdsaedJust</f>
        <v>300</v>
      </c>
      <c r="LV38" s="3">
        <f>IF(Nbal!$JS38&lt;&gt;"",Nbal!$JS38,LU38)</f>
        <v>300</v>
      </c>
      <c r="LW38" s="3">
        <f>LV38*Z38</f>
        <v>216</v>
      </c>
      <c r="LY38" s="3">
        <f>IF(HdgVaerdiNbal=1,(CB38)*Npris,(CB38+CL38)*Npris)</f>
        <v>0</v>
      </c>
      <c r="LZ38" s="3">
        <f>LY38*Z38</f>
        <v>0</v>
      </c>
      <c r="MB38">
        <f>$EO38</f>
        <v>0</v>
      </c>
      <c r="MC38">
        <f>CU38</f>
        <v>0</v>
      </c>
      <c r="MD38">
        <f>CR38</f>
        <v>0</v>
      </c>
      <c r="ME38" s="3">
        <f>IF(HdgVaerdiNbal=1,MD38*Ppris,(MC38+MD38)*Ppris)</f>
        <v>0</v>
      </c>
      <c r="MF38" s="3">
        <f>ME38*Z38</f>
        <v>0</v>
      </c>
      <c r="MH38">
        <f>$ER38</f>
        <v>0</v>
      </c>
      <c r="MI38">
        <f>DC38</f>
        <v>0</v>
      </c>
      <c r="MJ38">
        <f>CZ38</f>
        <v>0</v>
      </c>
      <c r="MK38" s="3">
        <f>IF(HdgVaerdiNbal=1,MJ38*Ppris,(MI38+MJ38)*Ppris)</f>
        <v>0</v>
      </c>
      <c r="ML38" s="3">
        <f>MK38*Z38</f>
        <v>0</v>
      </c>
      <c r="MN38">
        <f>LY38+ME38+MK38</f>
        <v>0</v>
      </c>
      <c r="MO38" s="3">
        <f>IF(Nbal!JY38&lt;&gt;"",Nbal!JY38,$MN38)</f>
        <v>0</v>
      </c>
      <c r="MP38" s="3">
        <f>MO38*Z38</f>
        <v>0</v>
      </c>
      <c r="MR38">
        <f>VLOOKUP($T38,Efgr,Data!$AE$53)*PlantevJust</f>
        <v>0</v>
      </c>
      <c r="MS38" s="3">
        <f>IF(Nbal!KE38&lt;&gt;"",Nbal!KE38,MR38)</f>
        <v>0</v>
      </c>
      <c r="MT38" s="3">
        <f>MS38*Z38</f>
        <v>0</v>
      </c>
      <c r="MV38">
        <f>VLOOKUP($T38,Efgr,Data!$AF$53)+$BR38*VLOOKUP($T38,Efgr,Data!$AL$53)</f>
        <v>0</v>
      </c>
      <c r="MW38" s="3">
        <f>IF(Nbal!KK38&lt;&gt;"",Nbal!KK38,MV38)</f>
        <v>0</v>
      </c>
      <c r="MX38" s="3">
        <f>MW38*Z38</f>
        <v>0</v>
      </c>
      <c r="MZ38">
        <f>LV38+MO38+MS38+MW38</f>
        <v>300</v>
      </c>
      <c r="NB38">
        <f>VLOOKUP($T38,Efgr,Data!$AU$53)*K38*MaskJust</f>
        <v>55</v>
      </c>
      <c r="NC38" s="3">
        <f>IF(Nbal!KQ38&lt;&gt;"",Nbal!KQ38,NB38)</f>
        <v>55</v>
      </c>
      <c r="ND38" s="3">
        <f>NC38*Z38</f>
        <v>39.6</v>
      </c>
      <c r="NF38">
        <f>VLOOKUP($T38,Efgr,Data!$AW$53)*Data!$K$268*K38*MaskJust</f>
        <v>0</v>
      </c>
      <c r="NG38" s="3">
        <f>IF(Nbal!KW38&lt;&gt;"",Nbal!KW38,NF38)</f>
        <v>0</v>
      </c>
      <c r="NH38" s="3">
        <f>NG38*Z38</f>
        <v>0</v>
      </c>
      <c r="NJ38">
        <f>VLOOKUP($T38,Efgr,Data!$AV$53)*Data!$K$269*MaskJust</f>
        <v>0</v>
      </c>
      <c r="NK38" s="3">
        <f>IF(Nbal!LC38&lt;&gt;"",Nbal!LC38,NJ38)</f>
        <v>0</v>
      </c>
      <c r="NL38" s="3">
        <f>NK38*Z38</f>
        <v>0</v>
      </c>
      <c r="NN38">
        <f>IF(C38=2,VLOOKUP($T38,Efgr,Data!$BC$53),0)</f>
        <v>0</v>
      </c>
      <c r="NO38">
        <f>IF(Nbal!LI38&lt;&gt;"",Nbal!LI38,$NN38)</f>
        <v>0</v>
      </c>
      <c r="NP38">
        <f>IF(C38=2,$NO38*Flytning/mmprgang+$NO38*Prisprmm,0)</f>
        <v>0</v>
      </c>
      <c r="NQ38" s="3">
        <f>IF(Nbal!LO38&lt;&gt;"",Nbal!LO38,$NP38)</f>
        <v>0</v>
      </c>
      <c r="NR38" s="3">
        <f>NQ38*Z38</f>
        <v>0</v>
      </c>
      <c r="NT38">
        <f>IF(VLOOKUP($T38,Efgr,Data!$AX$53)&gt;0,((1+BR38/VLOOKUP($T38,Efgr,Data!$AX$53))/2)*VLOOKUP($T38,Efgr,Data!$AY$53)*VLOOKUP($T38,Efgr,Data!$BA$53)+VLOOKUP($T38,Efgr,Data!$AZ$53),0)</f>
        <v>0</v>
      </c>
      <c r="NU38">
        <f>IF(VLOOKUP($T38,Efgr,Data!$AX$53)&gt;0,($BR38/VLOOKUP($T38,Efgr,Data!$AX$53))*VLOOKUP($T38,Efgr,Data!$BB$53)*VLOOKUP($T38,Efgr,Data!$BA$53),0)</f>
        <v>0</v>
      </c>
      <c r="NV38">
        <f>(NT38+NU38)*MaskJust</f>
        <v>0</v>
      </c>
      <c r="NW38" s="3">
        <f>IF(Nbal!LU38&lt;&gt;"",Nbal!LU38,NV38)</f>
        <v>0</v>
      </c>
      <c r="NX38" s="3">
        <f>NW38*Z38</f>
        <v>0</v>
      </c>
      <c r="NZ38">
        <f>IF($U38=2,Data!$K$304,IF($U38=3,Data!$K$305,0))*MaskJust</f>
        <v>180</v>
      </c>
      <c r="OA38" s="3">
        <f>IF(Nbal!MA38&lt;&gt;"",Nbal!MA38,NZ38)</f>
        <v>180</v>
      </c>
      <c r="OB38" s="3">
        <f>OA38*Z38</f>
        <v>129.6</v>
      </c>
      <c r="OD38">
        <f>IL38</f>
        <v>4785</v>
      </c>
      <c r="OE38">
        <f>JW38+MZ38</f>
        <v>1417.45</v>
      </c>
      <c r="OF38">
        <f>OD38-OE38</f>
        <v>3367.55</v>
      </c>
      <c r="OG38">
        <f>OF38*Z38</f>
        <v>2424.636</v>
      </c>
      <c r="OJ38">
        <f>VLOOKUP($O38,Afgr,Data!$BP$3)+VLOOKUP($P38,Efgr,Data!$AM$53)</f>
        <v>1</v>
      </c>
      <c r="OK38" s="3">
        <f>OJ38*Z38</f>
        <v>0.72</v>
      </c>
      <c r="OL38">
        <f>VLOOKUP($R38,Afgr,Data!$BP$3)+VLOOKUP($T38,Efgr,Data!$AM$53)</f>
        <v>1</v>
      </c>
      <c r="OM38" s="3">
        <f>OL38*Z38</f>
        <v>0.72</v>
      </c>
      <c r="OO38">
        <f>VLOOKUP($P38,Efgr,Data!$AN$53)</f>
        <v>1</v>
      </c>
      <c r="OP38">
        <f>VLOOKUP($O38,Afgr,Data!$BQ$3)</f>
        <v>1</v>
      </c>
      <c r="OQ38">
        <f>VLOOKUP($R38,Afgr,Data!$BR$3)</f>
        <v>1</v>
      </c>
      <c r="OR38">
        <f>OO38*OP38*OQ38</f>
        <v>1</v>
      </c>
      <c r="OS38" s="3">
        <f>OR38*Z38</f>
        <v>0.72</v>
      </c>
      <c r="OT38" s="3">
        <f>IF(Q38,1,0)*OS38</f>
        <v>0</v>
      </c>
      <c r="OV38">
        <f>VLOOKUP($T38,Efgr,Data!$AN$53)</f>
        <v>1</v>
      </c>
      <c r="OW38">
        <f>VLOOKUP($R38,Afgr,Data!$BQ$3)</f>
        <v>1</v>
      </c>
      <c r="OX38">
        <f>VLOOKUP($X38,Afgr,Data!$BR$3)</f>
        <v>1</v>
      </c>
      <c r="OY38">
        <f>OV38*OW38*OX38</f>
        <v>1</v>
      </c>
      <c r="OZ38" s="3">
        <f>OY38*Z38</f>
        <v>0.72</v>
      </c>
      <c r="PB38">
        <f>VLOOKUP($T38,Efgr,Data!$AO$53)</f>
        <v>0</v>
      </c>
      <c r="PC38">
        <f>VLOOKUP($O38,Afgr,Data!$BQ$3)</f>
        <v>1</v>
      </c>
      <c r="PD38">
        <f>VLOOKUP($R38,Afgr,Data!$BS$3)</f>
        <v>0</v>
      </c>
      <c r="PE38" s="3">
        <f>PB38*PC38*PD38*$Z38</f>
        <v>0</v>
      </c>
      <c r="PG38">
        <f>VLOOKUP($T38,Efgr,Data!$AO$53)</f>
        <v>0</v>
      </c>
      <c r="PH38">
        <f>VLOOKUP($R38,Afgr,Data!$BQ$3)</f>
        <v>1</v>
      </c>
      <c r="PI38">
        <f>VLOOKUP($X38,Afgr,Data!$BS$3)</f>
        <v>0</v>
      </c>
      <c r="PJ38" s="3">
        <f>PG38*PH38*PI38*$Z38</f>
        <v>0</v>
      </c>
      <c r="PK38" s="3"/>
      <c r="PL38" s="3">
        <f>VLOOKUP($O38,Afgr,Data!$BU$3)</f>
        <v>0</v>
      </c>
      <c r="PM38" s="3">
        <f>PL38*Z38</f>
        <v>0</v>
      </c>
      <c r="PN38" s="3">
        <f>VLOOKUP($R38,Afgr,Data!$BU$3)</f>
        <v>0</v>
      </c>
      <c r="PO38" s="3">
        <f>PN38*Z38</f>
        <v>0</v>
      </c>
      <c r="PQ38">
        <f>VLOOKUP(R38,Afgr,Data!$BX$3)+VLOOKUP(T38,Efgr,Data!$AQ$53)</f>
        <v>0</v>
      </c>
      <c r="PR38">
        <f>IF(PQ38&gt;0,Z38,0)</f>
        <v>0</v>
      </c>
      <c r="PT38">
        <f>VLOOKUP($O38,Afgr,Data!$BT$3)</f>
        <v>1</v>
      </c>
      <c r="PU38" s="3">
        <f>PT38*Z38</f>
        <v>0.72</v>
      </c>
      <c r="PV38">
        <f>VLOOKUP($R38,Afgr,Data!$BT$3)</f>
        <v>1</v>
      </c>
      <c r="PW38" s="3">
        <f>PV38*Z38</f>
        <v>0.72</v>
      </c>
      <c r="PY38">
        <f>VLOOKUP($R38,Afgr,Data!$BV$3)</f>
        <v>0</v>
      </c>
      <c r="PZ38">
        <f>PY38*Z38</f>
        <v>0</v>
      </c>
      <c r="QB38">
        <f>VLOOKUP($R38,Afgr,Data!$BW$3)</f>
        <v>0</v>
      </c>
      <c r="QC38">
        <f>QB38*Z38</f>
        <v>0</v>
      </c>
      <c r="QE38">
        <f>AM38*IF(VLOOKUP($R38,Afgr,Data!$BJ$3)&gt;0,1,0)</f>
        <v>33</v>
      </c>
      <c r="QF38">
        <f>QE38*Z38</f>
        <v>23.759999999999998</v>
      </c>
      <c r="QH38">
        <f>AM38*VLOOKUP(R38,Afgr,Data!$BK$3)</f>
        <v>3118.5</v>
      </c>
      <c r="QI38">
        <f>Z38*QH38</f>
        <v>2245.3199999999997</v>
      </c>
      <c r="QJ38">
        <f>$AM38*VLOOKUP($R38,Afgr,Data!$BL$3)+$BR38*VLOOKUP($T38,Efgr,Data!$AP$53)</f>
        <v>0</v>
      </c>
      <c r="QK38">
        <f>QJ38*Z38</f>
        <v>0</v>
      </c>
      <c r="QL38">
        <f>$AM38*VLOOKUP($R38,Afgr,Data!$BM$3)</f>
        <v>0</v>
      </c>
      <c r="QM38">
        <f>QL38*Z38</f>
        <v>0</v>
      </c>
      <c r="QN38">
        <f>$AM38*VLOOKUP($R38,Afgr,Data!$BN$3)</f>
        <v>0</v>
      </c>
      <c r="QO38">
        <f>QN38*Z38</f>
        <v>0</v>
      </c>
      <c r="QR38">
        <f>IF(VLOOKUP($R38,Afgr,Data!$DA$3)="Vårbyg",$AN38,0)*VLOOKUP($R38,Afgr,Data!$BJ$3)</f>
        <v>2423.52</v>
      </c>
      <c r="QS38">
        <f>IF(VLOOKUP($R38,Afgr,Data!$DA$3)="Vinterbyg",$AN38,0)*VLOOKUP($R38,Afgr,Data!$BJ$3)</f>
        <v>0</v>
      </c>
      <c r="QT38">
        <f>IF(VLOOKUP($R38,Afgr,Data!$DA$3)="Havre",$AN38,0)*VLOOKUP($R38,Afgr,Data!$BJ$3)</f>
        <v>0</v>
      </c>
      <c r="QU38">
        <f>IF(VLOOKUP($R38,Afgr,Data!$DA$3)="Hvede",$AN38,0)*VLOOKUP($R38,Afgr,Data!$BJ$3)</f>
        <v>0</v>
      </c>
      <c r="QV38">
        <f>IF(VLOOKUP($R38,Afgr,Data!$DA$3)="Triticale",$AN38,0)*VLOOKUP($R38,Afgr,Data!$BJ$3)</f>
        <v>0</v>
      </c>
      <c r="QW38">
        <f>IF(VLOOKUP($R38,Afgr,Data!$DA$3)="Rug",$AN38,0)*VLOOKUP($R38,Afgr,Data!$BJ$3)</f>
        <v>0</v>
      </c>
      <c r="QX38">
        <f>IF(VLOOKUP($R38,Afgr,Data!$DA$3)="Majs",$AN38,0)*VLOOKUP($R38,Afgr,Data!$BJ$3)</f>
        <v>0</v>
      </c>
      <c r="RA38">
        <f>IF(OV38+PB38&gt;0,1,0)</f>
        <v>1</v>
      </c>
      <c r="RB38">
        <f>RA38*LW38</f>
        <v>216</v>
      </c>
      <c r="RC38">
        <f>RA38*MT38</f>
        <v>0</v>
      </c>
      <c r="RD38">
        <f>ND38</f>
        <v>39.6</v>
      </c>
      <c r="RE38">
        <f>RA38*OB38</f>
        <v>129.6</v>
      </c>
      <c r="RH38">
        <f>VLOOKUP(B38,Jordtype,Data!$Y$112+DenitNr-1)</f>
        <v>7.25</v>
      </c>
      <c r="RI38">
        <f>FF38*VLOOKUP(B38,Jordtype,Data!$AB$112+DenitNr-1)</f>
        <v>1.6400000000000001</v>
      </c>
      <c r="RJ38">
        <f>((CJ38+CK38+CL38+Regn2!CO38*0.7)-(RR38+RT38))*VLOOKUP(B38,Jordtype,Data!$AE$112+DenitNr-1)</f>
        <v>7.8575062500000001</v>
      </c>
      <c r="RK38">
        <f>0*VLOOKUP(B38,Jordtype,Data!$AE$112+DenitNr-1)</f>
        <v>0</v>
      </c>
      <c r="RL38">
        <f>Regn2!FD38*VLOOKUP(B38,Jordtype,Data!$AH$112+DenitNr-1)</f>
        <v>0</v>
      </c>
      <c r="RM38" s="3">
        <f>RH38+RI38+RJ38+RK38+RL38</f>
        <v>16.747506250000001</v>
      </c>
      <c r="RO38">
        <v>2</v>
      </c>
      <c r="RP38">
        <f>(FF38)*RO38*0.01</f>
        <v>0.82000000000000006</v>
      </c>
      <c r="RQ38">
        <v>7</v>
      </c>
      <c r="RR38">
        <f>CE38*RQ38*0.01</f>
        <v>0</v>
      </c>
      <c r="RS38">
        <v>7</v>
      </c>
      <c r="RT38">
        <f>(Regn2!CF38+Regn2!CG38)*RS38*0.01</f>
        <v>5.95</v>
      </c>
      <c r="RW38">
        <f>VLOOKUP(R38,Afgr,Data!$EE$3)</f>
        <v>5</v>
      </c>
      <c r="RX38" s="3">
        <f>RP38+RR38+RT38+RV38+RW38</f>
        <v>11.77</v>
      </c>
    </row>
    <row r="40" spans="1:492" x14ac:dyDescent="0.25">
      <c r="A40" s="214" t="str">
        <f>Nbal!B40</f>
        <v>18-0</v>
      </c>
      <c r="B40">
        <v>11</v>
      </c>
      <c r="C40">
        <v>1</v>
      </c>
      <c r="D40">
        <f>IF(C40=1,VLOOKUP(B40,Jordtype,Data!$K$112),VLOOKUP(B40,Jordtype,Data!$L$112))</f>
        <v>7</v>
      </c>
      <c r="E40">
        <f>IF(C40=1,VLOOKUP(B40,Jordtype,Data!$M$112),VLOOKUP(B40,Jordtype,Data!$N$112))</f>
        <v>12</v>
      </c>
      <c r="F40">
        <f>IF(OR(B40=1,B40=3),0,IF(OR(B40=2,B40=4),1,IF(OR(B40=5,B40=6),2,3)))</f>
        <v>3</v>
      </c>
      <c r="G40">
        <f>IF(C40=1,VLOOKUP(B40,Jordtype,Data!$Q$112),VLOOKUP(B40,Jordtype,Data!$R$112))</f>
        <v>23</v>
      </c>
      <c r="H40">
        <f>IF(C40=1,VLOOKUP(B40,Jordtype,Data!$O$112),VLOOKUP(B40,Jordtype,Data!$P$112))</f>
        <v>17</v>
      </c>
      <c r="I40">
        <f>IF(B40&lt;5,0,1)</f>
        <v>1</v>
      </c>
      <c r="J40">
        <f>IF(B40&lt;5,PlojJB,1)</f>
        <v>1</v>
      </c>
      <c r="K40">
        <f>IF(B40&lt;5,SaaJB,1)</f>
        <v>1</v>
      </c>
      <c r="L40">
        <f>IF(C40=1,VLOOKUP(B40,Jordtype,Data!$S$112),VLOOKUP(B40,Jordtype,Data!$T$112))</f>
        <v>6</v>
      </c>
      <c r="M40">
        <f>IF(C40=1,VLOOKUP(B40,Jordtype,Data!$U$112),VLOOKUP(B40,Jordtype,Data!$V$112))</f>
        <v>11</v>
      </c>
      <c r="O40">
        <v>26</v>
      </c>
      <c r="P40">
        <v>1</v>
      </c>
      <c r="Q40" t="b">
        <v>0</v>
      </c>
      <c r="R40">
        <v>26</v>
      </c>
      <c r="S40">
        <v>1</v>
      </c>
      <c r="T40">
        <v>1</v>
      </c>
      <c r="U40">
        <v>1</v>
      </c>
      <c r="V40">
        <v>1</v>
      </c>
      <c r="X40">
        <v>26</v>
      </c>
      <c r="Z40">
        <f>Nbal!AG40</f>
        <v>5.05</v>
      </c>
      <c r="AA40">
        <v>4</v>
      </c>
      <c r="AB40">
        <f>VLOOKUP($R40,Afgr,G40)</f>
        <v>134</v>
      </c>
      <c r="AC40">
        <f>VLOOKUP($O40,Afgr,Data!$AI$3)*VLOOKUP(R40,Afgr,Data!$AJ$3)</f>
        <v>0</v>
      </c>
      <c r="AD40">
        <f>IF($Q40,0,VLOOKUP($P40,Efgr,(Data!$W$53+$V$6-1)))</f>
        <v>0</v>
      </c>
      <c r="AE40">
        <f>AB40-AC40-AD40</f>
        <v>134</v>
      </c>
      <c r="AF40">
        <f>AE40*Z40</f>
        <v>676.69999999999993</v>
      </c>
      <c r="AH40">
        <f>VLOOKUP(R40,Afgr,D40)</f>
        <v>3000</v>
      </c>
      <c r="AI40">
        <f>VLOOKUP(O40,Afgr,Data!$AL$3)*VLOOKUP(R40,Afgr,E40)</f>
        <v>0</v>
      </c>
      <c r="AJ40">
        <f>VLOOKUP(P40,Efgr,(Data!$Y$53+I40))</f>
        <v>0</v>
      </c>
      <c r="AK40">
        <f>AH40+AI40+AJ40</f>
        <v>3000</v>
      </c>
      <c r="AL40">
        <f>AH40+AI40+AJ40</f>
        <v>3000</v>
      </c>
      <c r="AM40" s="3">
        <f>IF(Nbal!CK40&lt;&gt;"",Nbal!CK40,AL40)</f>
        <v>3000</v>
      </c>
      <c r="AN40">
        <f>AM40*Z40</f>
        <v>15150</v>
      </c>
      <c r="AO40" t="str">
        <f>VLOOKUP(R40,Afgr,3)</f>
        <v>FE</v>
      </c>
      <c r="AP40">
        <f>IF(AO40="FE",VLOOKUP($R40,Afgr,Data!$AV$3),0)</f>
        <v>1.1599999999999999</v>
      </c>
      <c r="AR40">
        <f>VLOOKUP(R40,Afgr,4)</f>
        <v>1.2</v>
      </c>
      <c r="AS40" s="3">
        <f>IF(Nbal!CW40&lt;&gt;"",Nbal!CW40,AR40)</f>
        <v>1.2</v>
      </c>
      <c r="AT40" s="3">
        <f>AM40*AS40</f>
        <v>3600</v>
      </c>
      <c r="AU40" s="3">
        <f>AN40*AS40</f>
        <v>18180</v>
      </c>
      <c r="AW40">
        <f>VLOOKUP(R40,Afgr,Data!$AN$3)</f>
        <v>0</v>
      </c>
      <c r="AX40" s="3">
        <f>IF(Nbal!DC40&lt;&gt;"",Nbal!DC40,AW40)</f>
        <v>0</v>
      </c>
      <c r="AY40" s="3">
        <f>AX40*Z40</f>
        <v>0</v>
      </c>
      <c r="BA40">
        <f>VLOOKUP(R40,Afgr,H40)</f>
        <v>0</v>
      </c>
      <c r="BB40">
        <f>IF(ISERROR(BA40*AM40/AK40),0,(BA40*AM40/AK40))</f>
        <v>0</v>
      </c>
      <c r="BC40" s="3">
        <f>IF(Nbal!DI40&lt;&gt;"",Nbal!DI40,BB40)</f>
        <v>0</v>
      </c>
      <c r="BD40">
        <f>BC40*Z40</f>
        <v>0</v>
      </c>
      <c r="BG40">
        <f>IF($S40=1,BC40,0)</f>
        <v>0</v>
      </c>
      <c r="BH40">
        <f>IF($S40=1,BD40,0)</f>
        <v>0</v>
      </c>
      <c r="BI40">
        <f>VLOOKUP(R40,Afgr,Data!$AM$3)</f>
        <v>0</v>
      </c>
      <c r="BJ40">
        <f>IF(Nbal!DR40&lt;&gt;"",Nbal!DR40,BI40)</f>
        <v>0</v>
      </c>
      <c r="BK40">
        <f>BG40*BJ40</f>
        <v>0</v>
      </c>
      <c r="BL40">
        <f>BH40*BJ40</f>
        <v>0</v>
      </c>
      <c r="BN40">
        <f>VLOOKUP($T40,Efgr,M40)</f>
        <v>0</v>
      </c>
      <c r="BO40">
        <f>BN40*Z40</f>
        <v>0</v>
      </c>
      <c r="BQ40">
        <f>VLOOKUP(T40,Efgr,NormudbKolonneNrEfgr1)</f>
        <v>0</v>
      </c>
      <c r="BR40" s="3">
        <f>IF(Nbal!FE40&lt;&gt;"",Nbal!FE40,BQ40)</f>
        <v>0</v>
      </c>
      <c r="BS40">
        <f>BR40*Z40</f>
        <v>0</v>
      </c>
      <c r="BT40" t="s">
        <v>37</v>
      </c>
      <c r="BU40">
        <f>BR40*Efterslaetpris</f>
        <v>0</v>
      </c>
      <c r="BV40">
        <f>BS40*Efterslaetpris</f>
        <v>0</v>
      </c>
      <c r="BW40">
        <f>VLOOKUP(T40,Efgr,Data!$AG$53)</f>
        <v>0</v>
      </c>
      <c r="BX40">
        <f>BR40*BW40</f>
        <v>0</v>
      </c>
      <c r="BZ40">
        <f>Nbal!AQ40</f>
        <v>0</v>
      </c>
      <c r="CA40" s="211">
        <f>Nbal!AT40</f>
        <v>0</v>
      </c>
      <c r="CB40" s="2">
        <f>Nbal!DZ40</f>
        <v>0</v>
      </c>
      <c r="CC40" s="211">
        <f>Nbal!AT40+Nbal!DZ40</f>
        <v>0</v>
      </c>
      <c r="CD40" s="211">
        <f>Nbal!AX40</f>
        <v>0</v>
      </c>
      <c r="CE40">
        <f>Nbal!BH40</f>
        <v>0</v>
      </c>
      <c r="CF40" s="211">
        <f>Nbal!BM40</f>
        <v>0</v>
      </c>
      <c r="CG40" s="2">
        <f>Nbal!EI40</f>
        <v>0</v>
      </c>
      <c r="CH40" s="211">
        <f>Nbal!BM40+Nbal!EI40</f>
        <v>0</v>
      </c>
      <c r="CI40" s="211">
        <f>Nbal!BW40</f>
        <v>0</v>
      </c>
      <c r="CJ40" s="211">
        <f>Nbal!BH40*Nbal!BJ40*0.01</f>
        <v>0</v>
      </c>
      <c r="CK40" s="211">
        <f>(Nbal!BM40*Nbal!BP40*0.01)</f>
        <v>0</v>
      </c>
      <c r="CL40" s="211">
        <f>(Nbal!EI40*Nbal!EL40*0.01)</f>
        <v>0</v>
      </c>
      <c r="CM40" s="211">
        <f>(Nbal!BM40*Nbal!BP40*0.01)+(Nbal!EI40*Nbal!EL40*0.01)</f>
        <v>0</v>
      </c>
      <c r="CN40" s="211">
        <f>Nbal!BW40*Nbal!BY40*0.01</f>
        <v>0</v>
      </c>
      <c r="CO40">
        <f>Nbal!BT40+Nbal!ER40</f>
        <v>0</v>
      </c>
      <c r="CQ40">
        <f>Nbal!BA40</f>
        <v>0</v>
      </c>
      <c r="CR40">
        <f>Nbal!EC40</f>
        <v>0</v>
      </c>
      <c r="CS40">
        <f>(CQ40+CR40)*Z40</f>
        <v>0</v>
      </c>
      <c r="CT40">
        <f>Nbal!CB40</f>
        <v>0</v>
      </c>
      <c r="CU40">
        <f>Nbal!EV40</f>
        <v>0</v>
      </c>
      <c r="CV40">
        <f>(CT40+CU40)*Z40</f>
        <v>0</v>
      </c>
      <c r="CW40">
        <f>Nbal!BA40+Nbal!CB40+Nbal!EC40+Nbal!EV40</f>
        <v>0</v>
      </c>
      <c r="CY40">
        <f>Nbal!BD40</f>
        <v>0</v>
      </c>
      <c r="CZ40">
        <f>Nbal!EF40</f>
        <v>0</v>
      </c>
      <c r="DA40">
        <f>(CY40+CZ40)*Z40</f>
        <v>0</v>
      </c>
      <c r="DB40">
        <f>Nbal!CE40</f>
        <v>0</v>
      </c>
      <c r="DC40">
        <f>Nbal!EY40</f>
        <v>0</v>
      </c>
      <c r="DD40">
        <f>(DB40+DC40)*Z40</f>
        <v>0</v>
      </c>
      <c r="DE40">
        <f>Nbal!BD40+Nbal!CE40+Nbal!EF40+Nbal!EY40</f>
        <v>0</v>
      </c>
      <c r="DG40">
        <f>VLOOKUP($R40,Afgr,Data!$AW$3)</f>
        <v>14</v>
      </c>
      <c r="DH40">
        <f>IF($AO40="FE",$AM40*$AP40*$DG40*0.01,$AM40*100*$DM40*0.01*$DG40*0.01)</f>
        <v>487.19999999999993</v>
      </c>
      <c r="DI40">
        <f>IF(VLOOKUP(R40,Afgr,Data!$BO$3)=1,DH40,0)*Z40</f>
        <v>0</v>
      </c>
      <c r="DJ40" s="12">
        <f>(BZ40+CC40+CJ40-AE40)*VLOOKUP($R40,Afgr,Data!$AX$3)</f>
        <v>0</v>
      </c>
      <c r="DK40">
        <f>DG40+DJ40</f>
        <v>14</v>
      </c>
      <c r="DL40">
        <f>IF(Nbal!CQ40&lt;&gt;"",Nbal!CQ40,DK40)</f>
        <v>14</v>
      </c>
      <c r="DM40">
        <f>VLOOKUP(R40,Afgr,Data!$AT$3)</f>
        <v>0</v>
      </c>
      <c r="DN40">
        <f>IF($AO40="FE",$AM40*$AP40*$DL40*0.01,$AM40*100*$DM40*0.01*DL40*0.01)</f>
        <v>487.19999999999993</v>
      </c>
      <c r="DO40">
        <f>IF(VLOOKUP(R40,Afgr,Data!$BO$3)=1,DN40,0)*Z40</f>
        <v>0</v>
      </c>
      <c r="DP40">
        <f>IF(ISERROR(DN40/VLOOKUP(R40,Afgr,Data!$AY$3)),0,DN40/VLOOKUP(R40,Afgr,Data!$AY$3))</f>
        <v>77.951999999999984</v>
      </c>
      <c r="DQ40">
        <f>DP40*Z40</f>
        <v>393.65759999999989</v>
      </c>
      <c r="DS40">
        <f>IF($AO40="FE",$AM40*$AP40*VLOOKUP($R40,Afgr,Data!$BC$3)*0.001,$AM40*100*$DM40*0.01*VLOOKUP($R40,Afgr,Data!$BC$3)*0.001)</f>
        <v>9.743999999999998</v>
      </c>
      <c r="DT40">
        <f>DS40*Z40</f>
        <v>49.207199999999986</v>
      </c>
      <c r="DV40">
        <f>IF($AO40="FE",$AM40*$AP40*VLOOKUP($R40,Afgr,Data!$BF$3)*0.001,$AM40*100*$DM40*0.01*VLOOKUP($R40,Afgr,Data!$BF$3)*0.001)</f>
        <v>62.639999999999993</v>
      </c>
      <c r="DW40">
        <f>DV40*Z40</f>
        <v>316.33199999999994</v>
      </c>
      <c r="DY40">
        <f>IF(ISERROR(VLOOKUP(R40,Afgr,Data!$AZ$3)*DL40/DG40),0,VLOOKUP(R40,Afgr,Data!$AZ$3)*DL40/DG40)</f>
        <v>0</v>
      </c>
      <c r="DZ40">
        <f>VLOOKUP(R40,Afgr,Data!$AU$3)</f>
        <v>0</v>
      </c>
      <c r="EA40">
        <f>IF($S40=1,$BC40*$DZ40*0.01*DY40*0.01,0)</f>
        <v>0</v>
      </c>
      <c r="EB40">
        <f>EA40/6.25</f>
        <v>0</v>
      </c>
      <c r="EC40">
        <f>EB40*Z40</f>
        <v>0</v>
      </c>
      <c r="EE40">
        <f>IF($S40=1,$BC40*$DZ40*0.01*VLOOKUP($R40,Afgr,Data!$BD$3)*0.001,0)</f>
        <v>0</v>
      </c>
      <c r="EF40">
        <f>EE40*Z40</f>
        <v>0</v>
      </c>
      <c r="EH40">
        <f>IF($S40=1,$BC40*$DZ40*0.01*VLOOKUP($R40,Afgr,Data!$BG$3)*0.001,0)</f>
        <v>0</v>
      </c>
      <c r="EI40">
        <f>EH40*Z40</f>
        <v>0</v>
      </c>
      <c r="EK40">
        <f>VLOOKUP(T40,Efgr,Data!$AI$53)</f>
        <v>0</v>
      </c>
      <c r="EL40">
        <f>BX40*EK40*0.01/6.25</f>
        <v>0</v>
      </c>
      <c r="EM40">
        <f>EL40*Z40</f>
        <v>0</v>
      </c>
      <c r="EO40">
        <f>$BX40*VLOOKUP($T40,Efgr,Data!$AJ$53)*0.001</f>
        <v>0</v>
      </c>
      <c r="EP40">
        <f>EO40*Z40</f>
        <v>0</v>
      </c>
      <c r="ER40">
        <f>$BX40*VLOOKUP($T40,Efgr,Data!$AK$53)*0.001</f>
        <v>0</v>
      </c>
      <c r="ES40">
        <f>ER40*Z40</f>
        <v>0</v>
      </c>
      <c r="EU40">
        <f>IF(VLOOKUP(R40,Afgr,Data!$DS$3)=1,DP40*VLOOKUP(R40,Afgr,(Data!$DT$3+EftervirkningUdb1))*VLOOKUP(R40,Afgr,Data!$DV$3),0)</f>
        <v>0</v>
      </c>
      <c r="EV40">
        <f>IF(VLOOKUP(R40,Afgr,Data!$DS$3)=2,VLOOKUP(R40,Afgr,Data!$DX$3),0)</f>
        <v>0</v>
      </c>
      <c r="EW40">
        <f>IF(VLOOKUP(R40,Afgr,Data!$DS$3)=3,$DP40*VLOOKUP($R40,Afgr,IF(Jordtype1&lt;5,Data!$DT$3,Data!$DU$3))*VLOOKUP($R40,Afgr,Data!$DV$3),0)</f>
        <v>0</v>
      </c>
      <c r="EX40">
        <f>IF(VLOOKUP(R40,Afgr,Data!$DS$3)=4,(1.232+0.00469*AM40*100+(0.000256*AM40*100+0.089)*60),0)</f>
        <v>0</v>
      </c>
      <c r="EY40" s="211">
        <f>BZ40+CA40+CJ40+CK40</f>
        <v>0</v>
      </c>
      <c r="EZ40">
        <f>IF(VLOOKUP($R40,Afgr,Data!$DS$3)=5,($AM40*0.02742-$AM40*0.0001*$EY40+$AM40*0.0000001111*$EY40*$EY40),0)</f>
        <v>0</v>
      </c>
      <c r="FA40" s="2">
        <f>CB40+CL40</f>
        <v>0</v>
      </c>
      <c r="FB40">
        <f>IF(VLOOKUP($T40,Efgr,Data!$BH$53)=5,($BR40*0.02742-$BR40*0.0001*$FA40+$BR40*0.0000001111*$FA40*$FA40),0)</f>
        <v>0</v>
      </c>
      <c r="FC40" s="3">
        <f>EU40+EV40+EW40+EX40+EZ40+FB40</f>
        <v>0</v>
      </c>
      <c r="FD40" s="3">
        <f>FC40*Z40</f>
        <v>0</v>
      </c>
      <c r="FF40" s="211">
        <f>BZ40+CC40</f>
        <v>0</v>
      </c>
      <c r="FG40" s="211">
        <f>FF40*Z40</f>
        <v>0</v>
      </c>
      <c r="FH40" s="211">
        <f>CE40+CH40+CO40</f>
        <v>0</v>
      </c>
      <c r="FI40" s="211">
        <f>FH40*Z40</f>
        <v>0</v>
      </c>
      <c r="FJ40">
        <f>VLOOKUP($R40,Afgr,Data!$DK$3)*VLOOKUP($R40,Afgr,Data!$AT$3)*0.01*VLOOKUP($R40,Afgr,Data!$AW$3)*0.01/6.25</f>
        <v>0</v>
      </c>
      <c r="FK40">
        <f>FJ40*Z40</f>
        <v>0</v>
      </c>
      <c r="FL40" s="4">
        <f>IF(R40&gt;1,Deposition,0)</f>
        <v>15</v>
      </c>
      <c r="FM40" s="4">
        <f>FL40*Z40</f>
        <v>75.75</v>
      </c>
      <c r="FN40">
        <f>FC40</f>
        <v>0</v>
      </c>
      <c r="FO40">
        <f>FN40*Z40</f>
        <v>0</v>
      </c>
      <c r="FP40" s="211">
        <f>SUM(FF40,FH40,FJ40,FL40,FN40)</f>
        <v>15</v>
      </c>
      <c r="FQ40">
        <f>DP40+EB40+EL40</f>
        <v>77.951999999999984</v>
      </c>
      <c r="FR40" s="3">
        <f>FP40-FQ40</f>
        <v>-62.951999999999984</v>
      </c>
      <c r="FS40" s="19">
        <f>FP40*Z40</f>
        <v>75.75</v>
      </c>
      <c r="FT40" s="19">
        <f>FQ40*Z40</f>
        <v>393.65759999999989</v>
      </c>
      <c r="FU40" s="3">
        <f>FR40*Z40</f>
        <v>-317.90759999999989</v>
      </c>
      <c r="FW40">
        <f>CW40</f>
        <v>0</v>
      </c>
      <c r="FX40">
        <f>FW40*Z40</f>
        <v>0</v>
      </c>
      <c r="FY40">
        <f>IX40+MB40</f>
        <v>9.743999999999998</v>
      </c>
      <c r="FZ40">
        <f>FY40*Z40</f>
        <v>49.207199999999986</v>
      </c>
      <c r="GA40">
        <f>FW40-FY40</f>
        <v>-9.743999999999998</v>
      </c>
      <c r="GB40">
        <f>GA40*Z40</f>
        <v>-49.207199999999986</v>
      </c>
      <c r="GD40">
        <f>DE40</f>
        <v>0</v>
      </c>
      <c r="GE40">
        <f>GD40*Z40</f>
        <v>0</v>
      </c>
      <c r="GF40">
        <f>JE40+MH40</f>
        <v>62.639999999999993</v>
      </c>
      <c r="GG40">
        <f>GF40*Z40</f>
        <v>316.33199999999994</v>
      </c>
      <c r="GH40">
        <f>GD40-GF40</f>
        <v>-62.639999999999993</v>
      </c>
      <c r="GI40">
        <f>GH40*Z40</f>
        <v>-316.33199999999994</v>
      </c>
      <c r="GK40">
        <f>AA40</f>
        <v>4</v>
      </c>
      <c r="GL40" s="211">
        <f>FF40+FH40+FN40</f>
        <v>0</v>
      </c>
      <c r="GM40" s="211" t="str">
        <f>IF(R40=1,"",IF(GK40=1,GL40,""))</f>
        <v/>
      </c>
      <c r="GN40" s="211" t="str">
        <f>IF(R40=1,"",IF(GK40=2,GL40,""))</f>
        <v/>
      </c>
      <c r="GO40" s="211" t="str">
        <f>IF(R40=1,"",IF(GK40=3,GL40,""))</f>
        <v/>
      </c>
      <c r="GP40" s="211">
        <f>IF(R40=1,"",IF(GK40=4,GL40,""))</f>
        <v>0</v>
      </c>
      <c r="GQ40" s="149">
        <f>IF(OR(R40=1,VLOOKUP(R40,Afgr,Data!$BV$3)=1,VLOOKUP(R40,Afgr,Data!$BW$3)=1),0,IF(GK40=1,Nniveau1,IF(GK40=2,Nniveau2,IF(GK40=3,Nniveau3,IF(GK40=4,Nniveau4,GL40)))))</f>
        <v>0</v>
      </c>
      <c r="GR40" s="241">
        <v>0.32550000000000001</v>
      </c>
      <c r="GS40" s="6">
        <v>0</v>
      </c>
      <c r="GT40" s="149">
        <f>CC40+CM40</f>
        <v>0</v>
      </c>
      <c r="GU40" s="6">
        <f>$FN40</f>
        <v>0</v>
      </c>
      <c r="GV40" s="241">
        <v>0.25280000000000002</v>
      </c>
      <c r="GW40">
        <f>CO40</f>
        <v>0</v>
      </c>
      <c r="GX40" s="241">
        <v>0.376</v>
      </c>
      <c r="GY40" s="149">
        <f>CD40+CN40</f>
        <v>0</v>
      </c>
      <c r="GZ40" s="241">
        <f>IF(B40&gt;3,0.3539,1.0749)</f>
        <v>0.35389999999999999</v>
      </c>
      <c r="HA40" s="11">
        <f>$FQ40</f>
        <v>77.951999999999984</v>
      </c>
      <c r="HB40" s="241">
        <v>0.19359999999999999</v>
      </c>
      <c r="HC40" s="241">
        <f>VLOOKUP($R40,Afgr,Data!$DM$3)</f>
        <v>7</v>
      </c>
      <c r="HD40" s="24">
        <f>IF($HC40&gt;1,0,(VLOOKUP($X40,Afgr,Data!$DP$3)+IF(VLOOKUP($X40,Afgr,Data!$DP$3)=0,VLOOKUP($T40,Efgr,Data!$BI$53,0))))+IF(AND($HC40=7,VLOOKUP($X40,Afgr,Data!$DQ$3)=-2),-2,0)+IF(AND($HC40=6,VLOOKUP($T40,Efgr,Data!$BI$53)=2),8,0)</f>
        <v>0</v>
      </c>
      <c r="HE40" s="6">
        <f>VLOOKUP(SUM(HC40:HD40),Nlesafgr,3)</f>
        <v>-165.7</v>
      </c>
      <c r="HF40" s="7">
        <f>VLOOKUP($O40,Afgr,Data!$DN$3)</f>
        <v>4</v>
      </c>
      <c r="HG40" s="24">
        <f>IF(HF40&gt;1,0,VLOOKUP($R40,Afgr,Data!$DO$3)+IF(VLOOKUP($R40,Afgr,Data!$DO$3)=1,0,VLOOKUP($P40,Efgr,Data!$BJ$53)))</f>
        <v>0</v>
      </c>
      <c r="HH40" s="6">
        <f>VLOOKUP(SUM(HF40:HG40),Nlesforfrugt,3)</f>
        <v>34.700000000000003</v>
      </c>
      <c r="HI40" s="241">
        <f>GR40*GQ40+GV40*(GT40+GU40)+GX40*GW40+GZ40*GY40-HB40*HA40+HE40+HH40</f>
        <v>-146.09150719999997</v>
      </c>
      <c r="HJ40" s="241">
        <f>Nlesafskaering</f>
        <v>59.6</v>
      </c>
      <c r="HK40" s="241">
        <f>Teknologi1</f>
        <v>2455</v>
      </c>
      <c r="HL40" s="6">
        <v>2001</v>
      </c>
      <c r="HM40" s="241">
        <f>Teknologi2</f>
        <v>1962.2</v>
      </c>
      <c r="HN40" s="241">
        <f>Tandel</f>
        <v>0.54659999999999997</v>
      </c>
      <c r="HO40" s="241">
        <f>IF(OR(HI40&gt;0,HI40=0),HJ40+HK40/(HL40-HM40),HJ40+HK40/(HL40-HM40)+HN40*HI40)</f>
        <v>43.019578040768749</v>
      </c>
      <c r="HP40" s="241">
        <f>IF(HI40&gt;0,HI40,0.001)</f>
        <v>1E-3</v>
      </c>
      <c r="HQ40" s="241">
        <v>1.5020000000000001E-3</v>
      </c>
      <c r="HR40" s="24">
        <f>IF(R40=1,0,VLOOKUP(PostnrNbal,AfstromData,VLOOKUP($R40,Afgr,Data!$DL$3)+IF(Jordtype1&lt;7,Jordtype1,6),FALSE)-VLOOKUP(T40,Efgr,Data!$AA$53))</f>
        <v>272.32333333333298</v>
      </c>
      <c r="HS40" s="24">
        <f>IF(Nbal!GA40&lt;&gt;"",Nbal!GA40,Regn2!HR40)</f>
        <v>272.32333333333298</v>
      </c>
      <c r="HT40" s="241">
        <v>5.5400000000000002E-4</v>
      </c>
      <c r="HU40" s="24">
        <f>IF(R40=1,0,VLOOKUP(PostnrNbal,AfstromData,VLOOKUP($O40,Afgr,Data!$DL$3)+IF(B40&lt;7,B40,6),FALSE)-VLOOKUP(P40,Efgr,Data!$AA$53))</f>
        <v>272.32333333333298</v>
      </c>
      <c r="HV40" s="24">
        <f>IF(Nbal!FU40&lt;&gt;"",Nbal!FU40,Regn2!HU40)</f>
        <v>272.32333333333298</v>
      </c>
      <c r="HW40" s="241">
        <v>0.10639999999999999</v>
      </c>
      <c r="HX40" s="6">
        <f>VLOOKUP(B40,Jordtype,Data!$W$112)</f>
        <v>26</v>
      </c>
      <c r="HY40" s="241">
        <v>3.2500000000000001E-2</v>
      </c>
      <c r="HZ40" s="6">
        <f>VLOOKUP(B40,Jordtype,Data!$X$112)</f>
        <v>5</v>
      </c>
      <c r="IA40" s="241">
        <v>1.2453000000000001</v>
      </c>
      <c r="IB40" s="241">
        <f>IF(VLOOKUP(T40,Efgr,Data!$AO$53)=1,MlafgrNUdvask,0)</f>
        <v>0</v>
      </c>
      <c r="IC40" s="20">
        <f>IF(ISERROR((HO40+POWER(HP40,1.2))*(1-EXP(-HQ40*HS40))*EXP(-HT40*HV40)*EXP(-HW40*HX40)*EXP(-HY40*HZ40)*IA40),0,(HO40+POWER(HP40,1.2))*(1-EXP(-HQ40*HS40))*EXP(-HT40*HV40)*EXP(-HW40*HX40)*EXP(-HY40*HZ40)*IA40+IB40)</f>
        <v>0.82675191399633163</v>
      </c>
      <c r="ID40">
        <f>IC40*Z40</f>
        <v>4.1750971656814748</v>
      </c>
      <c r="IE40">
        <f>IF(Nbal!GF40&lt;&gt;"",Nbal!GF40,RetentionNbal)</f>
        <v>65</v>
      </c>
      <c r="IF40">
        <f>IC40*(100-IE40)*0.01</f>
        <v>0.28936316989871608</v>
      </c>
      <c r="IG40">
        <f>IF40*Z40</f>
        <v>1.4612840079885161</v>
      </c>
      <c r="IH40" s="2">
        <f>HS40*10000</f>
        <v>2723233.3333333298</v>
      </c>
      <c r="II40" s="2">
        <f>IH40*Z40</f>
        <v>13752328.333333315</v>
      </c>
      <c r="IJ40">
        <f>IF(ISERROR(IC40*1000*1000/IH40),0,IC40*1000*1000/IH40)</f>
        <v>0.30359202198232471</v>
      </c>
      <c r="IL40">
        <f>AT40+AX40+BK40+BU40</f>
        <v>3600</v>
      </c>
      <c r="IO40">
        <f>VLOOKUP(R40,Afgr,Data!$AP$3)*UdsaedJust</f>
        <v>0</v>
      </c>
      <c r="IP40" s="3">
        <f>IF(Nbal!GN40&lt;&gt;"",Nbal!GN40,IO40)</f>
        <v>0</v>
      </c>
      <c r="IQ40" s="3">
        <f>IP40*Z40</f>
        <v>0</v>
      </c>
      <c r="IS40" s="3">
        <f>IF(HdgVaerdiNbal=1,(BZ40+CA40)*Npris,(BZ40+CA40+CJ40+CK40)*Npris)</f>
        <v>0</v>
      </c>
      <c r="IT40" s="3">
        <f>IS40*Z40</f>
        <v>0</v>
      </c>
      <c r="IV40">
        <f>VLOOKUP($R40,Afgr,Data!$BA$3)</f>
        <v>0</v>
      </c>
      <c r="IW40">
        <f>VLOOKUP($R40,Afgr,Data!$BB$3)</f>
        <v>0</v>
      </c>
      <c r="IX40">
        <f>$DS40+$EE40</f>
        <v>9.743999999999998</v>
      </c>
      <c r="IY40">
        <f>CT40</f>
        <v>0</v>
      </c>
      <c r="IZ40">
        <f>CQ40</f>
        <v>0</v>
      </c>
      <c r="JA40" s="3">
        <f>IF(HdgVaerdiNbal=1,(IZ40)*Ppris,(IY40+IZ40)*Ppris)</f>
        <v>0</v>
      </c>
      <c r="JB40" s="3">
        <f>JA40*Z40</f>
        <v>0</v>
      </c>
      <c r="JD40">
        <f>IF(AND(R40&gt;1,OR(Jordtype1=1,Jordtype1=3,Markvand1=2)),Kudvask,0)</f>
        <v>0</v>
      </c>
      <c r="JE40">
        <f>$DV40+$EH40</f>
        <v>62.639999999999993</v>
      </c>
      <c r="JF40">
        <f>DB40</f>
        <v>0</v>
      </c>
      <c r="JG40">
        <f>CY40</f>
        <v>0</v>
      </c>
      <c r="JH40" s="3">
        <f>IF(HdgVaerdiNbal=1,JG40*Kpris,(JF40+JG40)*Kpris)</f>
        <v>0</v>
      </c>
      <c r="JI40" s="3">
        <f>JH40*Z40</f>
        <v>0</v>
      </c>
      <c r="JK40">
        <f>IS40+JA40+JH40</f>
        <v>0</v>
      </c>
      <c r="JL40" s="3">
        <f>IF(Nbal!GT40&lt;&gt;"",Nbal!GT40,$JK40)</f>
        <v>0</v>
      </c>
      <c r="JM40" s="3">
        <f>JL40*Z40</f>
        <v>0</v>
      </c>
      <c r="JO40">
        <f>VLOOKUP(R40,Afgr,Data!$AQ$3)*PlantevJust</f>
        <v>0</v>
      </c>
      <c r="JP40" s="3">
        <f>IF(Nbal!GZ40&lt;&gt;"",Nbal!GZ40,JO40)</f>
        <v>0</v>
      </c>
      <c r="JQ40" s="3">
        <f>JP40*Z40</f>
        <v>0</v>
      </c>
      <c r="JS40">
        <f>VLOOKUP(R40,Afgr,Data!$AR$3)+AM40*VLOOKUP(R40,Afgr,Data!$BH$3)</f>
        <v>0</v>
      </c>
      <c r="JT40" s="3">
        <f>IF(Nbal!HF40&lt;&gt;"",Nbal!HF40,JS40)</f>
        <v>0</v>
      </c>
      <c r="JU40">
        <f>JT40*Z40</f>
        <v>0</v>
      </c>
      <c r="JW40">
        <f>IP40+JL40+JP40+JT40</f>
        <v>0</v>
      </c>
      <c r="JY40">
        <f>IF(VLOOKUP(R40,Afgr,Data!$BY$3)&gt;0,Data!$K$259*J40,0)</f>
        <v>0</v>
      </c>
      <c r="JZ40">
        <f>IF(VLOOKUP(R40,Afgr,Data!$BZ$3)&gt;0,Data!$K$260*J40,0)</f>
        <v>0</v>
      </c>
      <c r="KA40">
        <f>(JY40+JZ40)*MaskJust</f>
        <v>0</v>
      </c>
      <c r="KB40" s="3">
        <f>IF(Nbal!HL40&lt;&gt;"",Nbal!HL40,KA40)</f>
        <v>0</v>
      </c>
      <c r="KC40" s="3">
        <f>KB40*Z40</f>
        <v>0</v>
      </c>
      <c r="KE40">
        <f>IF(VLOOKUP(R40,Afgr,Data!$CA$3)&gt;0,VLOOKUP(R40,Afgr,Data!$CA$3)*Data!$K$261*K40,0)</f>
        <v>0</v>
      </c>
      <c r="KF40">
        <f>IF(VLOOKUP(R40,Afgr,Data!$CC$3)&gt;0,Data!$K$262*K40,0)</f>
        <v>0</v>
      </c>
      <c r="KG40">
        <f>IF(VLOOKUP(R40,Afgr,Data!$CD$3)&gt;0,VLOOKUP(R40,Afgr,Data!$CD$3)*Data!$K$263*K40,0)</f>
        <v>0</v>
      </c>
      <c r="KH40">
        <f>IF(VLOOKUP(R40,Afgr,Data!$CE$3)&gt;0,Data!$K$264*K40,0)</f>
        <v>0</v>
      </c>
      <c r="KI40">
        <f>IF(VLOOKUP(R40,Afgr,Data!$CF$3)&gt;0,Data!$K$265*K40,0)</f>
        <v>0</v>
      </c>
      <c r="KJ40">
        <f>IF(VLOOKUP(R40,Afgr,Data!$CV$3)&gt;0,Data!$K$266,0)</f>
        <v>0</v>
      </c>
      <c r="KK40">
        <f>IF(VLOOKUP(R40,Afgr,Data!$CG$3)&gt;0,Data!$K$267*K40,0)</f>
        <v>0</v>
      </c>
      <c r="KL40">
        <f>(KE40+KF40+KG40+KH40+KI40+KJ40+KK40)*MaskJust</f>
        <v>0</v>
      </c>
      <c r="KM40" s="3">
        <f>IF(Nbal!HR40&lt;&gt;"",Nbal!HR40,KL40)</f>
        <v>0</v>
      </c>
      <c r="KN40" s="3">
        <f>KM40*Z40</f>
        <v>0</v>
      </c>
      <c r="KP40">
        <f>IF(VLOOKUP(R40,Afgr,Data!$CJ$3)&gt;0,VLOOKUP(R40,Afgr,Data!$CJ$3)*Data!$K$268*K40,0)*MaskJust</f>
        <v>280</v>
      </c>
      <c r="KQ40" s="3">
        <f>IF(Nbal!HX40&lt;&gt;"",Nbal!HX40,KP40)</f>
        <v>280</v>
      </c>
      <c r="KR40" s="3">
        <f>KQ40*Z40</f>
        <v>1414</v>
      </c>
      <c r="KT40">
        <f>IF(VLOOKUP(R40,Afgr,Data!$CI$3)&gt;0,VLOOKUP(R40,Afgr,Data!$CI$3)*Data!$K$269,0)*MaskJust</f>
        <v>0</v>
      </c>
      <c r="KU40" s="3">
        <f>IF(Nbal!ID40&lt;&gt;"",Nbal!ID40,KT40)</f>
        <v>0</v>
      </c>
      <c r="KV40" s="3">
        <f>KU40*Z40</f>
        <v>0</v>
      </c>
      <c r="KX40">
        <f>IF(C40=2,VLOOKUP($R40,Afgr,Data!$CY$3),0)</f>
        <v>0</v>
      </c>
      <c r="KY40">
        <f>IF(Nbal!IJ40&lt;&gt;"",Nbal!IJ40,$KX40)</f>
        <v>0</v>
      </c>
      <c r="KZ40">
        <f>IF(AND(R40&gt;1,C40=2),Vandmaskin+$KY40*Flytning/mmprgang+$KY40*Prisprmm,0)</f>
        <v>0</v>
      </c>
      <c r="LA40" s="3">
        <f>IF(Nbal!IP40&lt;&gt;"",Nbal!IP40,$KZ40)</f>
        <v>0</v>
      </c>
      <c r="LB40" s="3">
        <f>LA40*Z40</f>
        <v>0</v>
      </c>
      <c r="LD40">
        <f>IF(VLOOKUP($R40,Afgr,Data!$CK$3)&gt;0,((1+AM40/VLOOKUP($R40,Afgr,Data!$CK$3))/2)*VLOOKUP($R40,Afgr,Data!$CL$3)*VLOOKUP($R40,Afgr,Data!$CN$3)+VLOOKUP($R40,Afgr,Data!$CM$3),0)</f>
        <v>0</v>
      </c>
      <c r="LE40">
        <f>IF(VLOOKUP($R40,Afgr,Data!$CK$3)&gt;0,IF(AND($S40=2,$BA40&gt;0),Data!$K$271,0),0)</f>
        <v>0</v>
      </c>
      <c r="LF40">
        <f>IF(VLOOKUP($R40,Afgr,Data!$CK$3)&gt;0,(AM40/VLOOKUP($R40,Afgr,Data!$CK$3))*VLOOKUP($R40,Afgr,Data!$CO$3)*VLOOKUP($R40,Afgr,Data!$CN$3),0)</f>
        <v>0</v>
      </c>
      <c r="LG40">
        <f>(LD40+LE40+LF40)*MaskJust</f>
        <v>0</v>
      </c>
      <c r="LH40" s="3">
        <f>IF(Nbal!IV40&lt;&gt;"",Nbal!IV40,LG40)</f>
        <v>0</v>
      </c>
      <c r="LI40" s="3">
        <f>LH40*Z40</f>
        <v>0</v>
      </c>
      <c r="LJ40" s="3"/>
      <c r="LK40">
        <f>IF(AND($S40=1,VLOOKUP($R40,Afgr,Data!$CP$3)&gt;0),((1+$BC40/VLOOKUP($R40,Afgr,Data!$CP$3))/2)*VLOOKUP($R40,Afgr,Data!$CQ$3),0)</f>
        <v>0</v>
      </c>
      <c r="LL40">
        <f>IF(AND($S40=1,VLOOKUP($R40,Afgr,Data!$CP$3)&gt;0),($BC40/VLOOKUP($R40,Afgr,Data!$CP$3))*VLOOKUP($R40,Afgr,Data!$CR$3),0)</f>
        <v>0</v>
      </c>
      <c r="LM40">
        <f>(LK40+LL40)*MaskJust</f>
        <v>0</v>
      </c>
      <c r="LN40" s="3">
        <f>IF(Nbal!JB40&lt;&gt;"",Nbal!JB40,LM40)</f>
        <v>0</v>
      </c>
      <c r="LO40" s="3">
        <f>LN40*Z40</f>
        <v>0</v>
      </c>
      <c r="LQ40">
        <f>$AM40*VLOOKUP($R40,Afgr,Data!$CS$3)*IF($V40=1,VLOOKUP($R40,Afgr,Data!$CT$3),IF($V40=2,VLOOKUP($R40,Afgr,Data!$CU$3),0))</f>
        <v>0</v>
      </c>
      <c r="LR40" s="3">
        <f>IF(Nbal!JK40&lt;&gt;"",Nbal!JK40,LQ40)</f>
        <v>0</v>
      </c>
      <c r="LS40" s="3">
        <f>LR40*Z40</f>
        <v>0</v>
      </c>
      <c r="LU40">
        <f>VLOOKUP($T40,Efgr,Data!$AC$53)*UdsaedJust</f>
        <v>0</v>
      </c>
      <c r="LV40" s="3">
        <f>IF(Nbal!$JS40&lt;&gt;"",Nbal!$JS40,LU40)</f>
        <v>0</v>
      </c>
      <c r="LW40" s="3">
        <f>LV40*Z40</f>
        <v>0</v>
      </c>
      <c r="LY40" s="3">
        <f>IF(HdgVaerdiNbal=1,(CB40)*Npris,(CB40+CL40)*Npris)</f>
        <v>0</v>
      </c>
      <c r="LZ40" s="3">
        <f>LY40*Z40</f>
        <v>0</v>
      </c>
      <c r="MB40">
        <f>$EO40</f>
        <v>0</v>
      </c>
      <c r="MC40">
        <f>CU40</f>
        <v>0</v>
      </c>
      <c r="MD40">
        <f>CR40</f>
        <v>0</v>
      </c>
      <c r="ME40" s="3">
        <f>IF(HdgVaerdiNbal=1,MD40*Ppris,(MC40+MD40)*Ppris)</f>
        <v>0</v>
      </c>
      <c r="MF40" s="3">
        <f>ME40*Z40</f>
        <v>0</v>
      </c>
      <c r="MH40">
        <f>$ER40</f>
        <v>0</v>
      </c>
      <c r="MI40">
        <f>DC40</f>
        <v>0</v>
      </c>
      <c r="MJ40">
        <f>CZ40</f>
        <v>0</v>
      </c>
      <c r="MK40" s="3">
        <f>IF(HdgVaerdiNbal=1,MJ40*Ppris,(MI40+MJ40)*Ppris)</f>
        <v>0</v>
      </c>
      <c r="ML40" s="3">
        <f>MK40*Z40</f>
        <v>0</v>
      </c>
      <c r="MN40">
        <f>LY40+ME40+MK40</f>
        <v>0</v>
      </c>
      <c r="MO40" s="3">
        <f>IF(Nbal!JY40&lt;&gt;"",Nbal!JY40,$MN40)</f>
        <v>0</v>
      </c>
      <c r="MP40" s="3">
        <f>MO40*Z40</f>
        <v>0</v>
      </c>
      <c r="MR40">
        <f>VLOOKUP($T40,Efgr,Data!$AE$53)*PlantevJust</f>
        <v>0</v>
      </c>
      <c r="MS40" s="3">
        <f>IF(Nbal!KE40&lt;&gt;"",Nbal!KE40,MR40)</f>
        <v>0</v>
      </c>
      <c r="MT40" s="3">
        <f>MS40*Z40</f>
        <v>0</v>
      </c>
      <c r="MV40">
        <f>VLOOKUP($T40,Efgr,Data!$AF$53)+$BR40*VLOOKUP($T40,Efgr,Data!$AL$53)</f>
        <v>0</v>
      </c>
      <c r="MW40" s="3">
        <f>IF(Nbal!KK40&lt;&gt;"",Nbal!KK40,MV40)</f>
        <v>0</v>
      </c>
      <c r="MX40" s="3">
        <f>MW40*Z40</f>
        <v>0</v>
      </c>
      <c r="MZ40">
        <f>LV40+MO40+MS40+MW40</f>
        <v>0</v>
      </c>
      <c r="NB40">
        <f>VLOOKUP($T40,Efgr,Data!$AU$53)*K40*MaskJust</f>
        <v>0</v>
      </c>
      <c r="NC40" s="3">
        <f>IF(Nbal!KQ40&lt;&gt;"",Nbal!KQ40,NB40)</f>
        <v>0</v>
      </c>
      <c r="ND40" s="3">
        <f>NC40*Z40</f>
        <v>0</v>
      </c>
      <c r="NF40">
        <f>VLOOKUP($T40,Efgr,Data!$AW$53)*Data!$K$268*K40*MaskJust</f>
        <v>0</v>
      </c>
      <c r="NG40" s="3">
        <f>IF(Nbal!KW40&lt;&gt;"",Nbal!KW40,NF40)</f>
        <v>0</v>
      </c>
      <c r="NH40" s="3">
        <f>NG40*Z40</f>
        <v>0</v>
      </c>
      <c r="NJ40">
        <f>VLOOKUP($T40,Efgr,Data!$AV$53)*Data!$K$269*MaskJust</f>
        <v>0</v>
      </c>
      <c r="NK40" s="3">
        <f>IF(Nbal!LC40&lt;&gt;"",Nbal!LC40,NJ40)</f>
        <v>0</v>
      </c>
      <c r="NL40" s="3">
        <f>NK40*Z40</f>
        <v>0</v>
      </c>
      <c r="NN40">
        <f>IF(C40=2,VLOOKUP($T40,Efgr,Data!$BC$53),0)</f>
        <v>0</v>
      </c>
      <c r="NO40">
        <f>IF(Nbal!LI40&lt;&gt;"",Nbal!LI40,$NN40)</f>
        <v>0</v>
      </c>
      <c r="NP40">
        <f>IF(C40=2,$NO40*Flytning/mmprgang+$NO40*Prisprmm,0)</f>
        <v>0</v>
      </c>
      <c r="NQ40" s="3">
        <f>IF(Nbal!LO40&lt;&gt;"",Nbal!LO40,$NP40)</f>
        <v>0</v>
      </c>
      <c r="NR40" s="3">
        <f>NQ40*Z40</f>
        <v>0</v>
      </c>
      <c r="NT40">
        <f>IF(VLOOKUP($T40,Efgr,Data!$AX$53)&gt;0,((1+BR40/VLOOKUP($T40,Efgr,Data!$AX$53))/2)*VLOOKUP($T40,Efgr,Data!$AY$53)*VLOOKUP($T40,Efgr,Data!$BA$53)+VLOOKUP($T40,Efgr,Data!$AZ$53),0)</f>
        <v>0</v>
      </c>
      <c r="NU40">
        <f>IF(VLOOKUP($T40,Efgr,Data!$AX$53)&gt;0,($BR40/VLOOKUP($T40,Efgr,Data!$AX$53))*VLOOKUP($T40,Efgr,Data!$BB$53)*VLOOKUP($T40,Efgr,Data!$BA$53),0)</f>
        <v>0</v>
      </c>
      <c r="NV40">
        <f>(NT40+NU40)*MaskJust</f>
        <v>0</v>
      </c>
      <c r="NW40" s="3">
        <f>IF(Nbal!LU40&lt;&gt;"",Nbal!LU40,NV40)</f>
        <v>0</v>
      </c>
      <c r="NX40" s="3">
        <f>NW40*Z40</f>
        <v>0</v>
      </c>
      <c r="NZ40">
        <f>IF($U40=2,Data!$K$304,IF($U40=3,Data!$K$305,0))*MaskJust</f>
        <v>0</v>
      </c>
      <c r="OA40" s="3">
        <f>IF(Nbal!MA40&lt;&gt;"",Nbal!MA40,NZ40)</f>
        <v>0</v>
      </c>
      <c r="OB40" s="3">
        <f>OA40*Z40</f>
        <v>0</v>
      </c>
      <c r="OD40">
        <f>IL40</f>
        <v>3600</v>
      </c>
      <c r="OE40">
        <f>JW40+MZ40</f>
        <v>0</v>
      </c>
      <c r="OF40">
        <f>OD40-OE40</f>
        <v>3600</v>
      </c>
      <c r="OG40">
        <f>OF40*Z40</f>
        <v>18180</v>
      </c>
      <c r="OJ40">
        <f>VLOOKUP($O40,Afgr,Data!$BP$3)+VLOOKUP($P40,Efgr,Data!$AM$53)</f>
        <v>0</v>
      </c>
      <c r="OK40" s="3">
        <f>OJ40*Z40</f>
        <v>0</v>
      </c>
      <c r="OL40">
        <f>VLOOKUP($R40,Afgr,Data!$BP$3)+VLOOKUP($T40,Efgr,Data!$AM$53)</f>
        <v>0</v>
      </c>
      <c r="OM40" s="3">
        <f>OL40*Z40</f>
        <v>0</v>
      </c>
      <c r="OO40">
        <f>VLOOKUP($P40,Efgr,Data!$AN$53)</f>
        <v>0</v>
      </c>
      <c r="OP40">
        <f>VLOOKUP($O40,Afgr,Data!$BQ$3)</f>
        <v>0</v>
      </c>
      <c r="OQ40">
        <f>VLOOKUP($R40,Afgr,Data!$BR$3)</f>
        <v>0</v>
      </c>
      <c r="OR40">
        <f>OO40*OP40*OQ40</f>
        <v>0</v>
      </c>
      <c r="OS40" s="3">
        <f>OR40*Z40</f>
        <v>0</v>
      </c>
      <c r="OT40" s="3">
        <f>IF(Q40,1,0)*OS40</f>
        <v>0</v>
      </c>
      <c r="OV40">
        <f>VLOOKUP($T40,Efgr,Data!$AN$53)</f>
        <v>0</v>
      </c>
      <c r="OW40">
        <f>VLOOKUP($R40,Afgr,Data!$BQ$3)</f>
        <v>0</v>
      </c>
      <c r="OX40">
        <f>VLOOKUP($X40,Afgr,Data!$BR$3)</f>
        <v>0</v>
      </c>
      <c r="OY40">
        <f>OV40*OW40*OX40</f>
        <v>0</v>
      </c>
      <c r="OZ40" s="3">
        <f>OY40*Z40</f>
        <v>0</v>
      </c>
      <c r="PB40">
        <f>VLOOKUP($T40,Efgr,Data!$AO$53)</f>
        <v>0</v>
      </c>
      <c r="PC40">
        <f>VLOOKUP($O40,Afgr,Data!$BQ$3)</f>
        <v>0</v>
      </c>
      <c r="PD40">
        <f>VLOOKUP($R40,Afgr,Data!$BS$3)</f>
        <v>0</v>
      </c>
      <c r="PE40" s="3">
        <f>PB40*PC40*PD40*$Z40</f>
        <v>0</v>
      </c>
      <c r="PG40">
        <f>VLOOKUP($T40,Efgr,Data!$AO$53)</f>
        <v>0</v>
      </c>
      <c r="PH40">
        <f>VLOOKUP($R40,Afgr,Data!$BQ$3)</f>
        <v>0</v>
      </c>
      <c r="PI40">
        <f>VLOOKUP($X40,Afgr,Data!$BS$3)</f>
        <v>0</v>
      </c>
      <c r="PJ40" s="3">
        <f>PG40*PH40*PI40*$Z40</f>
        <v>0</v>
      </c>
      <c r="PK40" s="3"/>
      <c r="PL40" s="3">
        <f>VLOOKUP($O40,Afgr,Data!$BU$3)</f>
        <v>0</v>
      </c>
      <c r="PM40" s="3">
        <f>PL40*Z40</f>
        <v>0</v>
      </c>
      <c r="PN40" s="3">
        <f>VLOOKUP($R40,Afgr,Data!$BU$3)</f>
        <v>0</v>
      </c>
      <c r="PO40" s="3">
        <f>PN40*Z40</f>
        <v>0</v>
      </c>
      <c r="PQ40">
        <f>VLOOKUP(R40,Afgr,Data!$BX$3)+VLOOKUP(T40,Efgr,Data!$AQ$53)</f>
        <v>1</v>
      </c>
      <c r="PR40">
        <f>IF(PQ40&gt;0,Z40,0)</f>
        <v>5.05</v>
      </c>
      <c r="PT40">
        <f>VLOOKUP($O40,Afgr,Data!$BT$3)</f>
        <v>1</v>
      </c>
      <c r="PU40" s="3">
        <f>PT40*Z40</f>
        <v>5.05</v>
      </c>
      <c r="PV40">
        <f>VLOOKUP($R40,Afgr,Data!$BT$3)</f>
        <v>1</v>
      </c>
      <c r="PW40" s="3">
        <f>PV40*Z40</f>
        <v>5.05</v>
      </c>
      <c r="PY40">
        <f>VLOOKUP($R40,Afgr,Data!$BV$3)</f>
        <v>0</v>
      </c>
      <c r="PZ40">
        <f>PY40*Z40</f>
        <v>0</v>
      </c>
      <c r="QB40">
        <f>VLOOKUP($R40,Afgr,Data!$BW$3)</f>
        <v>0</v>
      </c>
      <c r="QC40">
        <f>QB40*Z40</f>
        <v>0</v>
      </c>
      <c r="QE40">
        <f>AM40*IF(VLOOKUP($R40,Afgr,Data!$BJ$3)&gt;0,1,0)</f>
        <v>0</v>
      </c>
      <c r="QF40">
        <f>QE40*Z40</f>
        <v>0</v>
      </c>
      <c r="QH40">
        <f>AM40*VLOOKUP(R40,Afgr,Data!$BK$3)</f>
        <v>0</v>
      </c>
      <c r="QI40">
        <f>Z40*QH40</f>
        <v>0</v>
      </c>
      <c r="QJ40">
        <f>$AM40*VLOOKUP($R40,Afgr,Data!$BL$3)+$BR40*VLOOKUP($T40,Efgr,Data!$AP$53)</f>
        <v>3000</v>
      </c>
      <c r="QK40">
        <f>QJ40*Z40</f>
        <v>15150</v>
      </c>
      <c r="QL40">
        <f>$AM40*VLOOKUP($R40,Afgr,Data!$BM$3)</f>
        <v>0</v>
      </c>
      <c r="QM40">
        <f>QL40*Z40</f>
        <v>0</v>
      </c>
      <c r="QN40">
        <f>$AM40*VLOOKUP($R40,Afgr,Data!$BN$3)</f>
        <v>0</v>
      </c>
      <c r="QO40">
        <f>QN40*Z40</f>
        <v>0</v>
      </c>
      <c r="QR40">
        <f>IF(VLOOKUP($R40,Afgr,Data!$DA$3)="Vårbyg",$AN40,0)*VLOOKUP($R40,Afgr,Data!$BJ$3)</f>
        <v>0</v>
      </c>
      <c r="QS40">
        <f>IF(VLOOKUP($R40,Afgr,Data!$DA$3)="Vinterbyg",$AN40,0)*VLOOKUP($R40,Afgr,Data!$BJ$3)</f>
        <v>0</v>
      </c>
      <c r="QT40">
        <f>IF(VLOOKUP($R40,Afgr,Data!$DA$3)="Havre",$AN40,0)*VLOOKUP($R40,Afgr,Data!$BJ$3)</f>
        <v>0</v>
      </c>
      <c r="QU40">
        <f>IF(VLOOKUP($R40,Afgr,Data!$DA$3)="Hvede",$AN40,0)*VLOOKUP($R40,Afgr,Data!$BJ$3)</f>
        <v>0</v>
      </c>
      <c r="QV40">
        <f>IF(VLOOKUP($R40,Afgr,Data!$DA$3)="Triticale",$AN40,0)*VLOOKUP($R40,Afgr,Data!$BJ$3)</f>
        <v>0</v>
      </c>
      <c r="QW40">
        <f>IF(VLOOKUP($R40,Afgr,Data!$DA$3)="Rug",$AN40,0)*VLOOKUP($R40,Afgr,Data!$BJ$3)</f>
        <v>0</v>
      </c>
      <c r="QX40">
        <f>IF(VLOOKUP($R40,Afgr,Data!$DA$3)="Majs",$AN40,0)*VLOOKUP($R40,Afgr,Data!$BJ$3)</f>
        <v>0</v>
      </c>
      <c r="RA40">
        <f>IF(OV40+PB40&gt;0,1,0)</f>
        <v>0</v>
      </c>
      <c r="RB40">
        <f>RA40*LW40</f>
        <v>0</v>
      </c>
      <c r="RC40">
        <f>RA40*MT40</f>
        <v>0</v>
      </c>
      <c r="RD40">
        <f>ND40</f>
        <v>0</v>
      </c>
      <c r="RE40">
        <f>RA40*OB40</f>
        <v>0</v>
      </c>
      <c r="RH40">
        <f>VLOOKUP(B40,Jordtype,Data!$Y$112+DenitNr-1)</f>
        <v>0</v>
      </c>
      <c r="RI40">
        <f>FF40*VLOOKUP(B40,Jordtype,Data!$AB$112+DenitNr-1)</f>
        <v>0</v>
      </c>
      <c r="RJ40">
        <f>((CJ40+CK40+CL40+Regn2!CO40*0.7)-(RR40+RT40))*VLOOKUP(B40,Jordtype,Data!$AE$112+DenitNr-1)</f>
        <v>0</v>
      </c>
      <c r="RK40">
        <f>0*VLOOKUP(B40,Jordtype,Data!$AE$112+DenitNr-1)</f>
        <v>0</v>
      </c>
      <c r="RL40">
        <f>Regn2!FD40*VLOOKUP(B40,Jordtype,Data!$AH$112+DenitNr-1)</f>
        <v>0</v>
      </c>
      <c r="RM40" s="3">
        <f>RH40+RI40+RJ40+RK40+RL40</f>
        <v>0</v>
      </c>
      <c r="RO40">
        <v>2</v>
      </c>
      <c r="RP40">
        <f>(FF40)*RO40*0.01</f>
        <v>0</v>
      </c>
      <c r="RQ40">
        <v>7</v>
      </c>
      <c r="RR40">
        <f>CE40*RQ40*0.01</f>
        <v>0</v>
      </c>
      <c r="RS40">
        <v>7</v>
      </c>
      <c r="RT40">
        <f>(Regn2!CF40+Regn2!CG40)*RS40*0.01</f>
        <v>0</v>
      </c>
      <c r="RW40">
        <f>VLOOKUP(R40,Afgr,Data!$EE$3)</f>
        <v>0</v>
      </c>
      <c r="RX40" s="3">
        <f>RP40+RR40+RT40+RV40+RW40</f>
        <v>0</v>
      </c>
    </row>
    <row r="42" spans="1:492" x14ac:dyDescent="0.25">
      <c r="A42" s="214" t="str">
        <f>Nbal!B42</f>
        <v>18-1</v>
      </c>
      <c r="B42">
        <v>11</v>
      </c>
      <c r="C42">
        <v>1</v>
      </c>
      <c r="D42">
        <f>IF(C42=1,VLOOKUP(B42,Jordtype,Data!$K$112),VLOOKUP(B42,Jordtype,Data!$L$112))</f>
        <v>7</v>
      </c>
      <c r="E42">
        <f>IF(C42=1,VLOOKUP(B42,Jordtype,Data!$M$112),VLOOKUP(B42,Jordtype,Data!$N$112))</f>
        <v>12</v>
      </c>
      <c r="F42">
        <f>IF(OR(B42=1,B42=3),0,IF(OR(B42=2,B42=4),1,IF(OR(B42=5,B42=6),2,3)))</f>
        <v>3</v>
      </c>
      <c r="G42">
        <f>IF(C42=1,VLOOKUP(B42,Jordtype,Data!$Q$112),VLOOKUP(B42,Jordtype,Data!$R$112))</f>
        <v>23</v>
      </c>
      <c r="H42">
        <f>IF(C42=1,VLOOKUP(B42,Jordtype,Data!$O$112),VLOOKUP(B42,Jordtype,Data!$P$112))</f>
        <v>17</v>
      </c>
      <c r="I42">
        <f>IF(B42&lt;5,0,1)</f>
        <v>1</v>
      </c>
      <c r="J42">
        <f>IF(B42&lt;5,PlojJB,1)</f>
        <v>1</v>
      </c>
      <c r="K42">
        <f>IF(B42&lt;5,SaaJB,1)</f>
        <v>1</v>
      </c>
      <c r="L42">
        <f>IF(C42=1,VLOOKUP(B42,Jordtype,Data!$S$112),VLOOKUP(B42,Jordtype,Data!$T$112))</f>
        <v>6</v>
      </c>
      <c r="M42">
        <f>IF(C42=1,VLOOKUP(B42,Jordtype,Data!$U$112),VLOOKUP(B42,Jordtype,Data!$V$112))</f>
        <v>11</v>
      </c>
      <c r="O42">
        <v>26</v>
      </c>
      <c r="P42">
        <v>1</v>
      </c>
      <c r="Q42" t="b">
        <v>0</v>
      </c>
      <c r="R42">
        <v>26</v>
      </c>
      <c r="S42">
        <v>1</v>
      </c>
      <c r="T42">
        <v>1</v>
      </c>
      <c r="U42">
        <v>1</v>
      </c>
      <c r="V42">
        <v>1</v>
      </c>
      <c r="X42">
        <v>26</v>
      </c>
      <c r="Z42">
        <f>Nbal!AG42</f>
        <v>2.38</v>
      </c>
      <c r="AA42">
        <v>4</v>
      </c>
      <c r="AB42">
        <f>VLOOKUP($R42,Afgr,G42)</f>
        <v>134</v>
      </c>
      <c r="AC42">
        <f>VLOOKUP($O42,Afgr,Data!$AI$3)*VLOOKUP(R42,Afgr,Data!$AJ$3)</f>
        <v>0</v>
      </c>
      <c r="AD42">
        <f>IF($Q42,0,VLOOKUP($P42,Efgr,(Data!$W$53+$V$6-1)))</f>
        <v>0</v>
      </c>
      <c r="AE42">
        <f>AB42-AC42-AD42</f>
        <v>134</v>
      </c>
      <c r="AF42">
        <f>AE42*Z42</f>
        <v>318.91999999999996</v>
      </c>
      <c r="AH42">
        <f>VLOOKUP(R42,Afgr,D42)</f>
        <v>3000</v>
      </c>
      <c r="AI42">
        <f>VLOOKUP(O42,Afgr,Data!$AL$3)*VLOOKUP(R42,Afgr,E42)</f>
        <v>0</v>
      </c>
      <c r="AJ42">
        <f>VLOOKUP(P42,Efgr,(Data!$Y$53+I42))</f>
        <v>0</v>
      </c>
      <c r="AK42">
        <f>AH42+AI42+AJ42</f>
        <v>3000</v>
      </c>
      <c r="AL42">
        <f>AH42+AI42+AJ42</f>
        <v>3000</v>
      </c>
      <c r="AM42" s="3">
        <f>IF(Nbal!CK42&lt;&gt;"",Nbal!CK42,AL42)</f>
        <v>3000</v>
      </c>
      <c r="AN42">
        <f>AM42*Z42</f>
        <v>7140</v>
      </c>
      <c r="AO42" t="str">
        <f>VLOOKUP(R42,Afgr,3)</f>
        <v>FE</v>
      </c>
      <c r="AP42">
        <f>IF(AO42="FE",VLOOKUP($R42,Afgr,Data!$AV$3),0)</f>
        <v>1.1599999999999999</v>
      </c>
      <c r="AR42">
        <f>VLOOKUP(R42,Afgr,4)</f>
        <v>1.2</v>
      </c>
      <c r="AS42" s="3">
        <f>IF(Nbal!CW42&lt;&gt;"",Nbal!CW42,AR42)</f>
        <v>1.2</v>
      </c>
      <c r="AT42" s="3">
        <f>AM42*AS42</f>
        <v>3600</v>
      </c>
      <c r="AU42" s="3">
        <f>AN42*AS42</f>
        <v>8568</v>
      </c>
      <c r="AW42">
        <f>VLOOKUP(R42,Afgr,Data!$AN$3)</f>
        <v>0</v>
      </c>
      <c r="AX42" s="3">
        <f>IF(Nbal!DC42&lt;&gt;"",Nbal!DC42,AW42)</f>
        <v>0</v>
      </c>
      <c r="AY42" s="3">
        <f>AX42*Z42</f>
        <v>0</v>
      </c>
      <c r="BA42">
        <f>VLOOKUP(R42,Afgr,H42)</f>
        <v>0</v>
      </c>
      <c r="BB42">
        <f>IF(ISERROR(BA42*AM42/AK42),0,(BA42*AM42/AK42))</f>
        <v>0</v>
      </c>
      <c r="BC42" s="3">
        <f>IF(Nbal!DI42&lt;&gt;"",Nbal!DI42,BB42)</f>
        <v>0</v>
      </c>
      <c r="BD42">
        <f>BC42*Z42</f>
        <v>0</v>
      </c>
      <c r="BG42">
        <f>IF($S42=1,BC42,0)</f>
        <v>0</v>
      </c>
      <c r="BH42">
        <f>IF($S42=1,BD42,0)</f>
        <v>0</v>
      </c>
      <c r="BI42">
        <f>VLOOKUP(R42,Afgr,Data!$AM$3)</f>
        <v>0</v>
      </c>
      <c r="BJ42">
        <f>IF(Nbal!DR42&lt;&gt;"",Nbal!DR42,BI42)</f>
        <v>0</v>
      </c>
      <c r="BK42">
        <f>BG42*BJ42</f>
        <v>0</v>
      </c>
      <c r="BL42">
        <f>BH42*BJ42</f>
        <v>0</v>
      </c>
      <c r="BN42">
        <f>VLOOKUP($T42,Efgr,M42)</f>
        <v>0</v>
      </c>
      <c r="BO42">
        <f>BN42*Z42</f>
        <v>0</v>
      </c>
      <c r="BQ42">
        <f>VLOOKUP(T42,Efgr,NormudbKolonneNrEfgr1)</f>
        <v>0</v>
      </c>
      <c r="BR42" s="3">
        <f>IF(Nbal!FE42&lt;&gt;"",Nbal!FE42,BQ42)</f>
        <v>0</v>
      </c>
      <c r="BS42">
        <f>BR42*Z42</f>
        <v>0</v>
      </c>
      <c r="BT42" t="s">
        <v>37</v>
      </c>
      <c r="BU42">
        <f>BR42*Efterslaetpris</f>
        <v>0</v>
      </c>
      <c r="BV42">
        <f>BS42*Efterslaetpris</f>
        <v>0</v>
      </c>
      <c r="BW42">
        <f>VLOOKUP(T42,Efgr,Data!$AG$53)</f>
        <v>0</v>
      </c>
      <c r="BX42">
        <f>BR42*BW42</f>
        <v>0</v>
      </c>
      <c r="BZ42">
        <f>Nbal!AQ42</f>
        <v>0</v>
      </c>
      <c r="CA42" s="211">
        <f>Nbal!AT42</f>
        <v>0</v>
      </c>
      <c r="CB42" s="2">
        <f>Nbal!DZ42</f>
        <v>0</v>
      </c>
      <c r="CC42" s="211">
        <f>Nbal!AT42+Nbal!DZ42</f>
        <v>0</v>
      </c>
      <c r="CD42" s="211">
        <f>Nbal!AX42</f>
        <v>0</v>
      </c>
      <c r="CE42">
        <f>Nbal!BH42</f>
        <v>0</v>
      </c>
      <c r="CF42" s="211">
        <f>Nbal!BM42</f>
        <v>0</v>
      </c>
      <c r="CG42" s="2">
        <f>Nbal!EI42</f>
        <v>0</v>
      </c>
      <c r="CH42" s="211">
        <f>Nbal!BM42+Nbal!EI42</f>
        <v>0</v>
      </c>
      <c r="CI42" s="211">
        <f>Nbal!BW42</f>
        <v>0</v>
      </c>
      <c r="CJ42" s="211">
        <f>Nbal!BH42*Nbal!BJ42*0.01</f>
        <v>0</v>
      </c>
      <c r="CK42" s="211">
        <f>(Nbal!BM42*Nbal!BP42*0.01)</f>
        <v>0</v>
      </c>
      <c r="CL42" s="211">
        <f>(Nbal!EI42*Nbal!EL42*0.01)</f>
        <v>0</v>
      </c>
      <c r="CM42" s="211">
        <f>(Nbal!BM42*Nbal!BP42*0.01)+(Nbal!EI42*Nbal!EL42*0.01)</f>
        <v>0</v>
      </c>
      <c r="CN42" s="211">
        <f>Nbal!BW42*Nbal!BY42*0.01</f>
        <v>0</v>
      </c>
      <c r="CO42">
        <f>Nbal!BT42+Nbal!ER42</f>
        <v>0</v>
      </c>
      <c r="CQ42">
        <f>Nbal!BA42</f>
        <v>0</v>
      </c>
      <c r="CR42">
        <f>Nbal!EC42</f>
        <v>0</v>
      </c>
      <c r="CS42">
        <f>(CQ42+CR42)*Z42</f>
        <v>0</v>
      </c>
      <c r="CT42">
        <f>Nbal!CB42</f>
        <v>0</v>
      </c>
      <c r="CU42">
        <f>Nbal!EV42</f>
        <v>0</v>
      </c>
      <c r="CV42">
        <f>(CT42+CU42)*Z42</f>
        <v>0</v>
      </c>
      <c r="CW42">
        <f>Nbal!BA42+Nbal!CB42+Nbal!EC42+Nbal!EV42</f>
        <v>0</v>
      </c>
      <c r="CY42">
        <f>Nbal!BD42</f>
        <v>0</v>
      </c>
      <c r="CZ42">
        <f>Nbal!EF42</f>
        <v>0</v>
      </c>
      <c r="DA42">
        <f>(CY42+CZ42)*Z42</f>
        <v>0</v>
      </c>
      <c r="DB42">
        <f>Nbal!CE42</f>
        <v>0</v>
      </c>
      <c r="DC42">
        <f>Nbal!EY42</f>
        <v>0</v>
      </c>
      <c r="DD42">
        <f>(DB42+DC42)*Z42</f>
        <v>0</v>
      </c>
      <c r="DE42">
        <f>Nbal!BD42+Nbal!CE42+Nbal!EF42+Nbal!EY42</f>
        <v>0</v>
      </c>
      <c r="DG42">
        <f>VLOOKUP($R42,Afgr,Data!$AW$3)</f>
        <v>14</v>
      </c>
      <c r="DH42">
        <f>IF($AO42="FE",$AM42*$AP42*$DG42*0.01,$AM42*100*$DM42*0.01*$DG42*0.01)</f>
        <v>487.19999999999993</v>
      </c>
      <c r="DI42">
        <f>IF(VLOOKUP(R42,Afgr,Data!$BO$3)=1,DH42,0)*Z42</f>
        <v>0</v>
      </c>
      <c r="DJ42" s="12">
        <f>(BZ42+CC42+CJ42-AE42)*VLOOKUP($R42,Afgr,Data!$AX$3)</f>
        <v>0</v>
      </c>
      <c r="DK42">
        <f>DG42+DJ42</f>
        <v>14</v>
      </c>
      <c r="DL42">
        <f>IF(Nbal!CQ42&lt;&gt;"",Nbal!CQ42,DK42)</f>
        <v>14</v>
      </c>
      <c r="DM42">
        <f>VLOOKUP(R42,Afgr,Data!$AT$3)</f>
        <v>0</v>
      </c>
      <c r="DN42">
        <f>IF($AO42="FE",$AM42*$AP42*$DL42*0.01,$AM42*100*$DM42*0.01*DL42*0.01)</f>
        <v>487.19999999999993</v>
      </c>
      <c r="DO42">
        <f>IF(VLOOKUP(R42,Afgr,Data!$BO$3)=1,DN42,0)*Z42</f>
        <v>0</v>
      </c>
      <c r="DP42">
        <f>IF(ISERROR(DN42/VLOOKUP(R42,Afgr,Data!$AY$3)),0,DN42/VLOOKUP(R42,Afgr,Data!$AY$3))</f>
        <v>77.951999999999984</v>
      </c>
      <c r="DQ42">
        <f>DP42*Z42</f>
        <v>185.52575999999996</v>
      </c>
      <c r="DS42">
        <f>IF($AO42="FE",$AM42*$AP42*VLOOKUP($R42,Afgr,Data!$BC$3)*0.001,$AM42*100*$DM42*0.01*VLOOKUP($R42,Afgr,Data!$BC$3)*0.001)</f>
        <v>9.743999999999998</v>
      </c>
      <c r="DT42">
        <f>DS42*Z42</f>
        <v>23.190719999999995</v>
      </c>
      <c r="DV42">
        <f>IF($AO42="FE",$AM42*$AP42*VLOOKUP($R42,Afgr,Data!$BF$3)*0.001,$AM42*100*$DM42*0.01*VLOOKUP($R42,Afgr,Data!$BF$3)*0.001)</f>
        <v>62.639999999999993</v>
      </c>
      <c r="DW42">
        <f>DV42*Z42</f>
        <v>149.08319999999998</v>
      </c>
      <c r="DY42">
        <f>IF(ISERROR(VLOOKUP(R42,Afgr,Data!$AZ$3)*DL42/DG42),0,VLOOKUP(R42,Afgr,Data!$AZ$3)*DL42/DG42)</f>
        <v>0</v>
      </c>
      <c r="DZ42">
        <f>VLOOKUP(R42,Afgr,Data!$AU$3)</f>
        <v>0</v>
      </c>
      <c r="EA42">
        <f>IF($S42=1,$BC42*$DZ42*0.01*DY42*0.01,0)</f>
        <v>0</v>
      </c>
      <c r="EB42">
        <f>EA42/6.25</f>
        <v>0</v>
      </c>
      <c r="EC42">
        <f>EB42*Z42</f>
        <v>0</v>
      </c>
      <c r="EE42">
        <f>IF($S42=1,$BC42*$DZ42*0.01*VLOOKUP($R42,Afgr,Data!$BD$3)*0.001,0)</f>
        <v>0</v>
      </c>
      <c r="EF42">
        <f>EE42*Z42</f>
        <v>0</v>
      </c>
      <c r="EH42">
        <f>IF($S42=1,$BC42*$DZ42*0.01*VLOOKUP($R42,Afgr,Data!$BG$3)*0.001,0)</f>
        <v>0</v>
      </c>
      <c r="EI42">
        <f>EH42*Z42</f>
        <v>0</v>
      </c>
      <c r="EK42">
        <f>VLOOKUP(T42,Efgr,Data!$AI$53)</f>
        <v>0</v>
      </c>
      <c r="EL42">
        <f>BX42*EK42*0.01/6.25</f>
        <v>0</v>
      </c>
      <c r="EM42">
        <f>EL42*Z42</f>
        <v>0</v>
      </c>
      <c r="EO42">
        <f>$BX42*VLOOKUP($T42,Efgr,Data!$AJ$53)*0.001</f>
        <v>0</v>
      </c>
      <c r="EP42">
        <f>EO42*Z42</f>
        <v>0</v>
      </c>
      <c r="ER42">
        <f>$BX42*VLOOKUP($T42,Efgr,Data!$AK$53)*0.001</f>
        <v>0</v>
      </c>
      <c r="ES42">
        <f>ER42*Z42</f>
        <v>0</v>
      </c>
      <c r="EU42">
        <f>IF(VLOOKUP(R42,Afgr,Data!$DS$3)=1,DP42*VLOOKUP(R42,Afgr,(Data!$DT$3+EftervirkningUdb1))*VLOOKUP(R42,Afgr,Data!$DV$3),0)</f>
        <v>0</v>
      </c>
      <c r="EV42">
        <f>IF(VLOOKUP(R42,Afgr,Data!$DS$3)=2,VLOOKUP(R42,Afgr,Data!$DX$3),0)</f>
        <v>0</v>
      </c>
      <c r="EW42">
        <f>IF(VLOOKUP(R42,Afgr,Data!$DS$3)=3,$DP42*VLOOKUP($R42,Afgr,IF(Jordtype1&lt;5,Data!$DT$3,Data!$DU$3))*VLOOKUP($R42,Afgr,Data!$DV$3),0)</f>
        <v>0</v>
      </c>
      <c r="EX42">
        <f>IF(VLOOKUP(R42,Afgr,Data!$DS$3)=4,(1.232+0.00469*AM42*100+(0.000256*AM42*100+0.089)*60),0)</f>
        <v>0</v>
      </c>
      <c r="EY42" s="211">
        <f>BZ42+CA42+CJ42+CK42</f>
        <v>0</v>
      </c>
      <c r="EZ42">
        <f>IF(VLOOKUP($R42,Afgr,Data!$DS$3)=5,($AM42*0.02742-$AM42*0.0001*$EY42+$AM42*0.0000001111*$EY42*$EY42),0)</f>
        <v>0</v>
      </c>
      <c r="FA42" s="2">
        <f>CB42+CL42</f>
        <v>0</v>
      </c>
      <c r="FB42">
        <f>IF(VLOOKUP($T42,Efgr,Data!$BH$53)=5,($BR42*0.02742-$BR42*0.0001*$FA42+$BR42*0.0000001111*$FA42*$FA42),0)</f>
        <v>0</v>
      </c>
      <c r="FC42" s="3">
        <f>EU42+EV42+EW42+EX42+EZ42+FB42</f>
        <v>0</v>
      </c>
      <c r="FD42" s="3">
        <f>FC42*Z42</f>
        <v>0</v>
      </c>
      <c r="FF42" s="211">
        <f>BZ42+CC42</f>
        <v>0</v>
      </c>
      <c r="FG42" s="211">
        <f>FF42*Z42</f>
        <v>0</v>
      </c>
      <c r="FH42" s="211">
        <f>CE42+CH42+CO42</f>
        <v>0</v>
      </c>
      <c r="FI42" s="211">
        <f>FH42*Z42</f>
        <v>0</v>
      </c>
      <c r="FJ42">
        <f>VLOOKUP($R42,Afgr,Data!$DK$3)*VLOOKUP($R42,Afgr,Data!$AT$3)*0.01*VLOOKUP($R42,Afgr,Data!$AW$3)*0.01/6.25</f>
        <v>0</v>
      </c>
      <c r="FK42">
        <f>FJ42*Z42</f>
        <v>0</v>
      </c>
      <c r="FL42" s="4">
        <f>IF(R42&gt;1,Deposition,0)</f>
        <v>15</v>
      </c>
      <c r="FM42" s="4">
        <f>FL42*Z42</f>
        <v>35.699999999999996</v>
      </c>
      <c r="FN42">
        <f>FC42</f>
        <v>0</v>
      </c>
      <c r="FO42">
        <f>FN42*Z42</f>
        <v>0</v>
      </c>
      <c r="FP42" s="211">
        <f>SUM(FF42,FH42,FJ42,FL42,FN42)</f>
        <v>15</v>
      </c>
      <c r="FQ42">
        <f>DP42+EB42+EL42</f>
        <v>77.951999999999984</v>
      </c>
      <c r="FR42" s="3">
        <f>FP42-FQ42</f>
        <v>-62.951999999999984</v>
      </c>
      <c r="FS42" s="19">
        <f>FP42*Z42</f>
        <v>35.699999999999996</v>
      </c>
      <c r="FT42" s="19">
        <f>FQ42*Z42</f>
        <v>185.52575999999996</v>
      </c>
      <c r="FU42" s="3">
        <f>FR42*Z42</f>
        <v>-149.82575999999995</v>
      </c>
      <c r="FW42">
        <f>CW42</f>
        <v>0</v>
      </c>
      <c r="FX42">
        <f>FW42*Z42</f>
        <v>0</v>
      </c>
      <c r="FY42">
        <f>IX42+MB42</f>
        <v>9.743999999999998</v>
      </c>
      <c r="FZ42">
        <f>FY42*Z42</f>
        <v>23.190719999999995</v>
      </c>
      <c r="GA42">
        <f>FW42-FY42</f>
        <v>-9.743999999999998</v>
      </c>
      <c r="GB42">
        <f>GA42*Z42</f>
        <v>-23.190719999999995</v>
      </c>
      <c r="GD42">
        <f>DE42</f>
        <v>0</v>
      </c>
      <c r="GE42">
        <f>GD42*Z42</f>
        <v>0</v>
      </c>
      <c r="GF42">
        <f>JE42+MH42</f>
        <v>62.639999999999993</v>
      </c>
      <c r="GG42">
        <f>GF42*Z42</f>
        <v>149.08319999999998</v>
      </c>
      <c r="GH42">
        <f>GD42-GF42</f>
        <v>-62.639999999999993</v>
      </c>
      <c r="GI42">
        <f>GH42*Z42</f>
        <v>-149.08319999999998</v>
      </c>
      <c r="GK42">
        <f>AA42</f>
        <v>4</v>
      </c>
      <c r="GL42" s="211">
        <f>FF42+FH42+FN42</f>
        <v>0</v>
      </c>
      <c r="GM42" s="211" t="str">
        <f>IF(R42=1,"",IF(GK42=1,GL42,""))</f>
        <v/>
      </c>
      <c r="GN42" s="211" t="str">
        <f>IF(R42=1,"",IF(GK42=2,GL42,""))</f>
        <v/>
      </c>
      <c r="GO42" s="211" t="str">
        <f>IF(R42=1,"",IF(GK42=3,GL42,""))</f>
        <v/>
      </c>
      <c r="GP42" s="211">
        <f>IF(R42=1,"",IF(GK42=4,GL42,""))</f>
        <v>0</v>
      </c>
      <c r="GQ42" s="149">
        <f>IF(OR(R42=1,VLOOKUP(R42,Afgr,Data!$BV$3)=1,VLOOKUP(R42,Afgr,Data!$BW$3)=1),0,IF(GK42=1,Nniveau1,IF(GK42=2,Nniveau2,IF(GK42=3,Nniveau3,IF(GK42=4,Nniveau4,GL42)))))</f>
        <v>0</v>
      </c>
      <c r="GR42" s="241">
        <v>0.32550000000000001</v>
      </c>
      <c r="GS42" s="6">
        <v>0</v>
      </c>
      <c r="GT42" s="149">
        <f>CC42+CM42</f>
        <v>0</v>
      </c>
      <c r="GU42" s="6">
        <f>$FN42</f>
        <v>0</v>
      </c>
      <c r="GV42" s="241">
        <v>0.25280000000000002</v>
      </c>
      <c r="GW42">
        <f>CO42</f>
        <v>0</v>
      </c>
      <c r="GX42" s="241">
        <v>0.376</v>
      </c>
      <c r="GY42" s="149">
        <f>CD42+CN42</f>
        <v>0</v>
      </c>
      <c r="GZ42" s="241">
        <f>IF(B42&gt;3,0.3539,1.0749)</f>
        <v>0.35389999999999999</v>
      </c>
      <c r="HA42" s="11">
        <f>$FQ42</f>
        <v>77.951999999999984</v>
      </c>
      <c r="HB42" s="241">
        <v>0.19359999999999999</v>
      </c>
      <c r="HC42" s="241">
        <f>VLOOKUP($R42,Afgr,Data!$DM$3)</f>
        <v>7</v>
      </c>
      <c r="HD42" s="24">
        <f>IF($HC42&gt;1,0,(VLOOKUP($X42,Afgr,Data!$DP$3)+IF(VLOOKUP($X42,Afgr,Data!$DP$3)=0,VLOOKUP($T42,Efgr,Data!$BI$53,0))))+IF(AND($HC42=7,VLOOKUP($X42,Afgr,Data!$DQ$3)=-2),-2,0)+IF(AND($HC42=6,VLOOKUP($T42,Efgr,Data!$BI$53)=2),8,0)</f>
        <v>0</v>
      </c>
      <c r="HE42" s="6">
        <f>VLOOKUP(SUM(HC42:HD42),Nlesafgr,3)</f>
        <v>-165.7</v>
      </c>
      <c r="HF42" s="7">
        <f>VLOOKUP($O42,Afgr,Data!$DN$3)</f>
        <v>4</v>
      </c>
      <c r="HG42" s="24">
        <f>IF(HF42&gt;1,0,VLOOKUP($R42,Afgr,Data!$DO$3)+IF(VLOOKUP($R42,Afgr,Data!$DO$3)=1,0,VLOOKUP($P42,Efgr,Data!$BJ$53)))</f>
        <v>0</v>
      </c>
      <c r="HH42" s="6">
        <f>VLOOKUP(SUM(HF42:HG42),Nlesforfrugt,3)</f>
        <v>34.700000000000003</v>
      </c>
      <c r="HI42" s="241">
        <f>GR42*GQ42+GV42*(GT42+GU42)+GX42*GW42+GZ42*GY42-HB42*HA42+HE42+HH42</f>
        <v>-146.09150719999997</v>
      </c>
      <c r="HJ42" s="241">
        <f>Nlesafskaering</f>
        <v>59.6</v>
      </c>
      <c r="HK42" s="241">
        <f>Teknologi1</f>
        <v>2455</v>
      </c>
      <c r="HL42" s="6">
        <v>2001</v>
      </c>
      <c r="HM42" s="241">
        <f>Teknologi2</f>
        <v>1962.2</v>
      </c>
      <c r="HN42" s="241">
        <f>Tandel</f>
        <v>0.54659999999999997</v>
      </c>
      <c r="HO42" s="241">
        <f>IF(OR(HI42&gt;0,HI42=0),HJ42+HK42/(HL42-HM42),HJ42+HK42/(HL42-HM42)+HN42*HI42)</f>
        <v>43.019578040768749</v>
      </c>
      <c r="HP42" s="241">
        <f>IF(HI42&gt;0,HI42,0.001)</f>
        <v>1E-3</v>
      </c>
      <c r="HQ42" s="241">
        <v>1.5020000000000001E-3</v>
      </c>
      <c r="HR42" s="24">
        <f>IF(R42=1,0,VLOOKUP(PostnrNbal,AfstromData,VLOOKUP($R42,Afgr,Data!$DL$3)+IF(Jordtype1&lt;7,Jordtype1,6),FALSE)-VLOOKUP(T42,Efgr,Data!$AA$53))</f>
        <v>272.32333333333298</v>
      </c>
      <c r="HS42" s="24">
        <f>IF(Nbal!GA42&lt;&gt;"",Nbal!GA42,Regn2!HR42)</f>
        <v>272.32333333333298</v>
      </c>
      <c r="HT42" s="241">
        <v>5.5400000000000002E-4</v>
      </c>
      <c r="HU42" s="24">
        <f>IF(R42=1,0,VLOOKUP(PostnrNbal,AfstromData,VLOOKUP($O42,Afgr,Data!$DL$3)+IF(B42&lt;7,B42,6),FALSE)-VLOOKUP(P42,Efgr,Data!$AA$53))</f>
        <v>272.32333333333298</v>
      </c>
      <c r="HV42" s="24">
        <f>IF(Nbal!FU42&lt;&gt;"",Nbal!FU42,Regn2!HU42)</f>
        <v>272.32333333333298</v>
      </c>
      <c r="HW42" s="241">
        <v>0.10639999999999999</v>
      </c>
      <c r="HX42" s="6">
        <f>VLOOKUP(B42,Jordtype,Data!$W$112)</f>
        <v>26</v>
      </c>
      <c r="HY42" s="241">
        <v>3.2500000000000001E-2</v>
      </c>
      <c r="HZ42" s="6">
        <f>VLOOKUP(B42,Jordtype,Data!$X$112)</f>
        <v>5</v>
      </c>
      <c r="IA42" s="241">
        <v>1.2453000000000001</v>
      </c>
      <c r="IB42" s="241">
        <f>IF(VLOOKUP(T42,Efgr,Data!$AO$53)=1,MlafgrNUdvask,0)</f>
        <v>0</v>
      </c>
      <c r="IC42" s="20">
        <f>IF(ISERROR((HO42+POWER(HP42,1.2))*(1-EXP(-HQ42*HS42))*EXP(-HT42*HV42)*EXP(-HW42*HX42)*EXP(-HY42*HZ42)*IA42),0,(HO42+POWER(HP42,1.2))*(1-EXP(-HQ42*HS42))*EXP(-HT42*HV42)*EXP(-HW42*HX42)*EXP(-HY42*HZ42)*IA42+IB42)</f>
        <v>0.82675191399633163</v>
      </c>
      <c r="ID42">
        <f>IC42*Z42</f>
        <v>1.9676695553112693</v>
      </c>
      <c r="IE42">
        <f>IF(Nbal!GF42&lt;&gt;"",Nbal!GF42,RetentionNbal)</f>
        <v>65</v>
      </c>
      <c r="IF42">
        <f>IC42*(100-IE42)*0.01</f>
        <v>0.28936316989871608</v>
      </c>
      <c r="IG42">
        <f>IF42*Z42</f>
        <v>0.68868434435894421</v>
      </c>
      <c r="IH42" s="2">
        <f>HS42*10000</f>
        <v>2723233.3333333298</v>
      </c>
      <c r="II42" s="2">
        <f>IH42*Z42</f>
        <v>6481295.3333333246</v>
      </c>
      <c r="IJ42">
        <f>IF(ISERROR(IC42*1000*1000/IH42),0,IC42*1000*1000/IH42)</f>
        <v>0.30359202198232471</v>
      </c>
      <c r="IL42">
        <f>AT42+AX42+BK42+BU42</f>
        <v>3600</v>
      </c>
      <c r="IO42">
        <f>VLOOKUP(R42,Afgr,Data!$AP$3)*UdsaedJust</f>
        <v>0</v>
      </c>
      <c r="IP42" s="3">
        <f>IF(Nbal!GN42&lt;&gt;"",Nbal!GN42,IO42)</f>
        <v>0</v>
      </c>
      <c r="IQ42" s="3">
        <f>IP42*Z42</f>
        <v>0</v>
      </c>
      <c r="IS42" s="3">
        <f>IF(HdgVaerdiNbal=1,(BZ42+CA42)*Npris,(BZ42+CA42+CJ42+CK42)*Npris)</f>
        <v>0</v>
      </c>
      <c r="IT42" s="3">
        <f>IS42*Z42</f>
        <v>0</v>
      </c>
      <c r="IV42">
        <f>VLOOKUP($R42,Afgr,Data!$BA$3)</f>
        <v>0</v>
      </c>
      <c r="IW42">
        <f>VLOOKUP($R42,Afgr,Data!$BB$3)</f>
        <v>0</v>
      </c>
      <c r="IX42">
        <f>$DS42+$EE42</f>
        <v>9.743999999999998</v>
      </c>
      <c r="IY42">
        <f>CT42</f>
        <v>0</v>
      </c>
      <c r="IZ42">
        <f>CQ42</f>
        <v>0</v>
      </c>
      <c r="JA42" s="3">
        <f>IF(HdgVaerdiNbal=1,(IZ42)*Ppris,(IY42+IZ42)*Ppris)</f>
        <v>0</v>
      </c>
      <c r="JB42" s="3">
        <f>JA42*Z42</f>
        <v>0</v>
      </c>
      <c r="JD42">
        <f>IF(AND(R42&gt;1,OR(Jordtype1=1,Jordtype1=3,Markvand1=2)),Kudvask,0)</f>
        <v>0</v>
      </c>
      <c r="JE42">
        <f>$DV42+$EH42</f>
        <v>62.639999999999993</v>
      </c>
      <c r="JF42">
        <f>DB42</f>
        <v>0</v>
      </c>
      <c r="JG42">
        <f>CY42</f>
        <v>0</v>
      </c>
      <c r="JH42" s="3">
        <f>IF(HdgVaerdiNbal=1,JG42*Kpris,(JF42+JG42)*Kpris)</f>
        <v>0</v>
      </c>
      <c r="JI42" s="3">
        <f>JH42*Z42</f>
        <v>0</v>
      </c>
      <c r="JK42">
        <f>IS42+JA42+JH42</f>
        <v>0</v>
      </c>
      <c r="JL42" s="3">
        <f>IF(Nbal!GT42&lt;&gt;"",Nbal!GT42,$JK42)</f>
        <v>0</v>
      </c>
      <c r="JM42" s="3">
        <f>JL42*Z42</f>
        <v>0</v>
      </c>
      <c r="JO42">
        <f>VLOOKUP(R42,Afgr,Data!$AQ$3)*PlantevJust</f>
        <v>0</v>
      </c>
      <c r="JP42" s="3">
        <f>IF(Nbal!GZ42&lt;&gt;"",Nbal!GZ42,JO42)</f>
        <v>0</v>
      </c>
      <c r="JQ42" s="3">
        <f>JP42*Z42</f>
        <v>0</v>
      </c>
      <c r="JS42">
        <f>VLOOKUP(R42,Afgr,Data!$AR$3)+AM42*VLOOKUP(R42,Afgr,Data!$BH$3)</f>
        <v>0</v>
      </c>
      <c r="JT42" s="3">
        <f>IF(Nbal!HF42&lt;&gt;"",Nbal!HF42,JS42)</f>
        <v>0</v>
      </c>
      <c r="JU42">
        <f>JT42*Z42</f>
        <v>0</v>
      </c>
      <c r="JW42">
        <f>IP42+JL42+JP42+JT42</f>
        <v>0</v>
      </c>
      <c r="JY42">
        <f>IF(VLOOKUP(R42,Afgr,Data!$BY$3)&gt;0,Data!$K$259*J42,0)</f>
        <v>0</v>
      </c>
      <c r="JZ42">
        <f>IF(VLOOKUP(R42,Afgr,Data!$BZ$3)&gt;0,Data!$K$260*J42,0)</f>
        <v>0</v>
      </c>
      <c r="KA42">
        <f>(JY42+JZ42)*MaskJust</f>
        <v>0</v>
      </c>
      <c r="KB42" s="3">
        <f>IF(Nbal!HL42&lt;&gt;"",Nbal!HL42,KA42)</f>
        <v>0</v>
      </c>
      <c r="KC42" s="3">
        <f>KB42*Z42</f>
        <v>0</v>
      </c>
      <c r="KE42">
        <f>IF(VLOOKUP(R42,Afgr,Data!$CA$3)&gt;0,VLOOKUP(R42,Afgr,Data!$CA$3)*Data!$K$261*K42,0)</f>
        <v>0</v>
      </c>
      <c r="KF42">
        <f>IF(VLOOKUP(R42,Afgr,Data!$CC$3)&gt;0,Data!$K$262*K42,0)</f>
        <v>0</v>
      </c>
      <c r="KG42">
        <f>IF(VLOOKUP(R42,Afgr,Data!$CD$3)&gt;0,VLOOKUP(R42,Afgr,Data!$CD$3)*Data!$K$263*K42,0)</f>
        <v>0</v>
      </c>
      <c r="KH42">
        <f>IF(VLOOKUP(R42,Afgr,Data!$CE$3)&gt;0,Data!$K$264*K42,0)</f>
        <v>0</v>
      </c>
      <c r="KI42">
        <f>IF(VLOOKUP(R42,Afgr,Data!$CF$3)&gt;0,Data!$K$265*K42,0)</f>
        <v>0</v>
      </c>
      <c r="KJ42">
        <f>IF(VLOOKUP(R42,Afgr,Data!$CV$3)&gt;0,Data!$K$266,0)</f>
        <v>0</v>
      </c>
      <c r="KK42">
        <f>IF(VLOOKUP(R42,Afgr,Data!$CG$3)&gt;0,Data!$K$267*K42,0)</f>
        <v>0</v>
      </c>
      <c r="KL42">
        <f>(KE42+KF42+KG42+KH42+KI42+KJ42+KK42)*MaskJust</f>
        <v>0</v>
      </c>
      <c r="KM42" s="3">
        <f>IF(Nbal!HR42&lt;&gt;"",Nbal!HR42,KL42)</f>
        <v>0</v>
      </c>
      <c r="KN42" s="3">
        <f>KM42*Z42</f>
        <v>0</v>
      </c>
      <c r="KP42">
        <f>IF(VLOOKUP(R42,Afgr,Data!$CJ$3)&gt;0,VLOOKUP(R42,Afgr,Data!$CJ$3)*Data!$K$268*K42,0)*MaskJust</f>
        <v>280</v>
      </c>
      <c r="KQ42" s="3">
        <f>IF(Nbal!HX42&lt;&gt;"",Nbal!HX42,KP42)</f>
        <v>280</v>
      </c>
      <c r="KR42" s="3">
        <f>KQ42*Z42</f>
        <v>666.4</v>
      </c>
      <c r="KT42">
        <f>IF(VLOOKUP(R42,Afgr,Data!$CI$3)&gt;0,VLOOKUP(R42,Afgr,Data!$CI$3)*Data!$K$269,0)*MaskJust</f>
        <v>0</v>
      </c>
      <c r="KU42" s="3">
        <f>IF(Nbal!ID42&lt;&gt;"",Nbal!ID42,KT42)</f>
        <v>0</v>
      </c>
      <c r="KV42" s="3">
        <f>KU42*Z42</f>
        <v>0</v>
      </c>
      <c r="KX42">
        <f>IF(C42=2,VLOOKUP($R42,Afgr,Data!$CY$3),0)</f>
        <v>0</v>
      </c>
      <c r="KY42">
        <f>IF(Nbal!IJ42&lt;&gt;"",Nbal!IJ42,$KX42)</f>
        <v>0</v>
      </c>
      <c r="KZ42">
        <f>IF(AND(R42&gt;1,C42=2),Vandmaskin+$KY42*Flytning/mmprgang+$KY42*Prisprmm,0)</f>
        <v>0</v>
      </c>
      <c r="LA42" s="3">
        <f>IF(Nbal!IP42&lt;&gt;"",Nbal!IP42,$KZ42)</f>
        <v>0</v>
      </c>
      <c r="LB42" s="3">
        <f>LA42*Z42</f>
        <v>0</v>
      </c>
      <c r="LD42">
        <f>IF(VLOOKUP($R42,Afgr,Data!$CK$3)&gt;0,((1+AM42/VLOOKUP($R42,Afgr,Data!$CK$3))/2)*VLOOKUP($R42,Afgr,Data!$CL$3)*VLOOKUP($R42,Afgr,Data!$CN$3)+VLOOKUP($R42,Afgr,Data!$CM$3),0)</f>
        <v>0</v>
      </c>
      <c r="LE42">
        <f>IF(VLOOKUP($R42,Afgr,Data!$CK$3)&gt;0,IF(AND($S42=2,$BA42&gt;0),Data!$K$271,0),0)</f>
        <v>0</v>
      </c>
      <c r="LF42">
        <f>IF(VLOOKUP($R42,Afgr,Data!$CK$3)&gt;0,(AM42/VLOOKUP($R42,Afgr,Data!$CK$3))*VLOOKUP($R42,Afgr,Data!$CO$3)*VLOOKUP($R42,Afgr,Data!$CN$3),0)</f>
        <v>0</v>
      </c>
      <c r="LG42">
        <f>(LD42+LE42+LF42)*MaskJust</f>
        <v>0</v>
      </c>
      <c r="LH42" s="3">
        <f>IF(Nbal!IV42&lt;&gt;"",Nbal!IV42,LG42)</f>
        <v>0</v>
      </c>
      <c r="LI42" s="3">
        <f>LH42*Z42</f>
        <v>0</v>
      </c>
      <c r="LJ42" s="3"/>
      <c r="LK42">
        <f>IF(AND($S42=1,VLOOKUP($R42,Afgr,Data!$CP$3)&gt;0),((1+$BC42/VLOOKUP($R42,Afgr,Data!$CP$3))/2)*VLOOKUP($R42,Afgr,Data!$CQ$3),0)</f>
        <v>0</v>
      </c>
      <c r="LL42">
        <f>IF(AND($S42=1,VLOOKUP($R42,Afgr,Data!$CP$3)&gt;0),($BC42/VLOOKUP($R42,Afgr,Data!$CP$3))*VLOOKUP($R42,Afgr,Data!$CR$3),0)</f>
        <v>0</v>
      </c>
      <c r="LM42">
        <f>(LK42+LL42)*MaskJust</f>
        <v>0</v>
      </c>
      <c r="LN42" s="3">
        <f>IF(Nbal!JB42&lt;&gt;"",Nbal!JB42,LM42)</f>
        <v>0</v>
      </c>
      <c r="LO42" s="3">
        <f>LN42*Z42</f>
        <v>0</v>
      </c>
      <c r="LQ42">
        <f>$AM42*VLOOKUP($R42,Afgr,Data!$CS$3)*IF($V42=1,VLOOKUP($R42,Afgr,Data!$CT$3),IF($V42=2,VLOOKUP($R42,Afgr,Data!$CU$3),0))</f>
        <v>0</v>
      </c>
      <c r="LR42" s="3">
        <f>IF(Nbal!JK42&lt;&gt;"",Nbal!JK42,LQ42)</f>
        <v>0</v>
      </c>
      <c r="LS42" s="3">
        <f>LR42*Z42</f>
        <v>0</v>
      </c>
      <c r="LU42">
        <f>VLOOKUP($T42,Efgr,Data!$AC$53)*UdsaedJust</f>
        <v>0</v>
      </c>
      <c r="LV42" s="3">
        <f>IF(Nbal!$JS42&lt;&gt;"",Nbal!$JS42,LU42)</f>
        <v>0</v>
      </c>
      <c r="LW42" s="3">
        <f>LV42*Z42</f>
        <v>0</v>
      </c>
      <c r="LY42" s="3">
        <f>IF(HdgVaerdiNbal=1,(CB42)*Npris,(CB42+CL42)*Npris)</f>
        <v>0</v>
      </c>
      <c r="LZ42" s="3">
        <f>LY42*Z42</f>
        <v>0</v>
      </c>
      <c r="MB42">
        <f>$EO42</f>
        <v>0</v>
      </c>
      <c r="MC42">
        <f>CU42</f>
        <v>0</v>
      </c>
      <c r="MD42">
        <f>CR42</f>
        <v>0</v>
      </c>
      <c r="ME42" s="3">
        <f>IF(HdgVaerdiNbal=1,MD42*Ppris,(MC42+MD42)*Ppris)</f>
        <v>0</v>
      </c>
      <c r="MF42" s="3">
        <f>ME42*Z42</f>
        <v>0</v>
      </c>
      <c r="MH42">
        <f>$ER42</f>
        <v>0</v>
      </c>
      <c r="MI42">
        <f>DC42</f>
        <v>0</v>
      </c>
      <c r="MJ42">
        <f>CZ42</f>
        <v>0</v>
      </c>
      <c r="MK42" s="3">
        <f>IF(HdgVaerdiNbal=1,MJ42*Ppris,(MI42+MJ42)*Ppris)</f>
        <v>0</v>
      </c>
      <c r="ML42" s="3">
        <f>MK42*Z42</f>
        <v>0</v>
      </c>
      <c r="MN42">
        <f>LY42+ME42+MK42</f>
        <v>0</v>
      </c>
      <c r="MO42" s="3">
        <f>IF(Nbal!JY42&lt;&gt;"",Nbal!JY42,$MN42)</f>
        <v>0</v>
      </c>
      <c r="MP42" s="3">
        <f>MO42*Z42</f>
        <v>0</v>
      </c>
      <c r="MR42">
        <f>VLOOKUP($T42,Efgr,Data!$AE$53)*PlantevJust</f>
        <v>0</v>
      </c>
      <c r="MS42" s="3">
        <f>IF(Nbal!KE42&lt;&gt;"",Nbal!KE42,MR42)</f>
        <v>0</v>
      </c>
      <c r="MT42" s="3">
        <f>MS42*Z42</f>
        <v>0</v>
      </c>
      <c r="MV42">
        <f>VLOOKUP($T42,Efgr,Data!$AF$53)+$BR42*VLOOKUP($T42,Efgr,Data!$AL$53)</f>
        <v>0</v>
      </c>
      <c r="MW42" s="3">
        <f>IF(Nbal!KK42&lt;&gt;"",Nbal!KK42,MV42)</f>
        <v>0</v>
      </c>
      <c r="MX42" s="3">
        <f>MW42*Z42</f>
        <v>0</v>
      </c>
      <c r="MZ42">
        <f>LV42+MO42+MS42+MW42</f>
        <v>0</v>
      </c>
      <c r="NB42">
        <f>VLOOKUP($T42,Efgr,Data!$AU$53)*K42*MaskJust</f>
        <v>0</v>
      </c>
      <c r="NC42" s="3">
        <f>IF(Nbal!KQ42&lt;&gt;"",Nbal!KQ42,NB42)</f>
        <v>0</v>
      </c>
      <c r="ND42" s="3">
        <f>NC42*Z42</f>
        <v>0</v>
      </c>
      <c r="NF42">
        <f>VLOOKUP($T42,Efgr,Data!$AW$53)*Data!$K$268*K42*MaskJust</f>
        <v>0</v>
      </c>
      <c r="NG42" s="3">
        <f>IF(Nbal!KW42&lt;&gt;"",Nbal!KW42,NF42)</f>
        <v>0</v>
      </c>
      <c r="NH42" s="3">
        <f>NG42*Z42</f>
        <v>0</v>
      </c>
      <c r="NJ42">
        <f>VLOOKUP($T42,Efgr,Data!$AV$53)*Data!$K$269*MaskJust</f>
        <v>0</v>
      </c>
      <c r="NK42" s="3">
        <f>IF(Nbal!LC42&lt;&gt;"",Nbal!LC42,NJ42)</f>
        <v>0</v>
      </c>
      <c r="NL42" s="3">
        <f>NK42*Z42</f>
        <v>0</v>
      </c>
      <c r="NN42">
        <f>IF(C42=2,VLOOKUP($T42,Efgr,Data!$BC$53),0)</f>
        <v>0</v>
      </c>
      <c r="NO42">
        <f>IF(Nbal!LI42&lt;&gt;"",Nbal!LI42,$NN42)</f>
        <v>0</v>
      </c>
      <c r="NP42">
        <f>IF(C42=2,$NO42*Flytning/mmprgang+$NO42*Prisprmm,0)</f>
        <v>0</v>
      </c>
      <c r="NQ42" s="3">
        <f>IF(Nbal!LO42&lt;&gt;"",Nbal!LO42,$NP42)</f>
        <v>0</v>
      </c>
      <c r="NR42" s="3">
        <f>NQ42*Z42</f>
        <v>0</v>
      </c>
      <c r="NT42">
        <f>IF(VLOOKUP($T42,Efgr,Data!$AX$53)&gt;0,((1+BR42/VLOOKUP($T42,Efgr,Data!$AX$53))/2)*VLOOKUP($T42,Efgr,Data!$AY$53)*VLOOKUP($T42,Efgr,Data!$BA$53)+VLOOKUP($T42,Efgr,Data!$AZ$53),0)</f>
        <v>0</v>
      </c>
      <c r="NU42">
        <f>IF(VLOOKUP($T42,Efgr,Data!$AX$53)&gt;0,($BR42/VLOOKUP($T42,Efgr,Data!$AX$53))*VLOOKUP($T42,Efgr,Data!$BB$53)*VLOOKUP($T42,Efgr,Data!$BA$53),0)</f>
        <v>0</v>
      </c>
      <c r="NV42">
        <f>(NT42+NU42)*MaskJust</f>
        <v>0</v>
      </c>
      <c r="NW42" s="3">
        <f>IF(Nbal!LU42&lt;&gt;"",Nbal!LU42,NV42)</f>
        <v>0</v>
      </c>
      <c r="NX42" s="3">
        <f>NW42*Z42</f>
        <v>0</v>
      </c>
      <c r="NZ42">
        <f>IF($U42=2,Data!$K$304,IF($U42=3,Data!$K$305,0))*MaskJust</f>
        <v>0</v>
      </c>
      <c r="OA42" s="3">
        <f>IF(Nbal!MA42&lt;&gt;"",Nbal!MA42,NZ42)</f>
        <v>0</v>
      </c>
      <c r="OB42" s="3">
        <f>OA42*Z42</f>
        <v>0</v>
      </c>
      <c r="OD42">
        <f>IL42</f>
        <v>3600</v>
      </c>
      <c r="OE42">
        <f>JW42+MZ42</f>
        <v>0</v>
      </c>
      <c r="OF42">
        <f>OD42-OE42</f>
        <v>3600</v>
      </c>
      <c r="OG42">
        <f>OF42*Z42</f>
        <v>8568</v>
      </c>
      <c r="OJ42">
        <f>VLOOKUP($O42,Afgr,Data!$BP$3)+VLOOKUP($P42,Efgr,Data!$AM$53)</f>
        <v>0</v>
      </c>
      <c r="OK42" s="3">
        <f>OJ42*Z42</f>
        <v>0</v>
      </c>
      <c r="OL42">
        <f>VLOOKUP($R42,Afgr,Data!$BP$3)+VLOOKUP($T42,Efgr,Data!$AM$53)</f>
        <v>0</v>
      </c>
      <c r="OM42" s="3">
        <f>OL42*Z42</f>
        <v>0</v>
      </c>
      <c r="OO42">
        <f>VLOOKUP($P42,Efgr,Data!$AN$53)</f>
        <v>0</v>
      </c>
      <c r="OP42">
        <f>VLOOKUP($O42,Afgr,Data!$BQ$3)</f>
        <v>0</v>
      </c>
      <c r="OQ42">
        <f>VLOOKUP($R42,Afgr,Data!$BR$3)</f>
        <v>0</v>
      </c>
      <c r="OR42">
        <f>OO42*OP42*OQ42</f>
        <v>0</v>
      </c>
      <c r="OS42" s="3">
        <f>OR42*Z42</f>
        <v>0</v>
      </c>
      <c r="OT42" s="3">
        <f>IF(Q42,1,0)*OS42</f>
        <v>0</v>
      </c>
      <c r="OV42">
        <f>VLOOKUP($T42,Efgr,Data!$AN$53)</f>
        <v>0</v>
      </c>
      <c r="OW42">
        <f>VLOOKUP($R42,Afgr,Data!$BQ$3)</f>
        <v>0</v>
      </c>
      <c r="OX42">
        <f>VLOOKUP($X42,Afgr,Data!$BR$3)</f>
        <v>0</v>
      </c>
      <c r="OY42">
        <f>OV42*OW42*OX42</f>
        <v>0</v>
      </c>
      <c r="OZ42" s="3">
        <f>OY42*Z42</f>
        <v>0</v>
      </c>
      <c r="PB42">
        <f>VLOOKUP($T42,Efgr,Data!$AO$53)</f>
        <v>0</v>
      </c>
      <c r="PC42">
        <f>VLOOKUP($O42,Afgr,Data!$BQ$3)</f>
        <v>0</v>
      </c>
      <c r="PD42">
        <f>VLOOKUP($R42,Afgr,Data!$BS$3)</f>
        <v>0</v>
      </c>
      <c r="PE42" s="3">
        <f>PB42*PC42*PD42*$Z42</f>
        <v>0</v>
      </c>
      <c r="PG42">
        <f>VLOOKUP($T42,Efgr,Data!$AO$53)</f>
        <v>0</v>
      </c>
      <c r="PH42">
        <f>VLOOKUP($R42,Afgr,Data!$BQ$3)</f>
        <v>0</v>
      </c>
      <c r="PI42">
        <f>VLOOKUP($X42,Afgr,Data!$BS$3)</f>
        <v>0</v>
      </c>
      <c r="PJ42" s="3">
        <f>PG42*PH42*PI42*$Z42</f>
        <v>0</v>
      </c>
      <c r="PK42" s="3"/>
      <c r="PL42" s="3">
        <f>VLOOKUP($O42,Afgr,Data!$BU$3)</f>
        <v>0</v>
      </c>
      <c r="PM42" s="3">
        <f>PL42*Z42</f>
        <v>0</v>
      </c>
      <c r="PN42" s="3">
        <f>VLOOKUP($R42,Afgr,Data!$BU$3)</f>
        <v>0</v>
      </c>
      <c r="PO42" s="3">
        <f>PN42*Z42</f>
        <v>0</v>
      </c>
      <c r="PQ42">
        <f>VLOOKUP(R42,Afgr,Data!$BX$3)+VLOOKUP(T42,Efgr,Data!$AQ$53)</f>
        <v>1</v>
      </c>
      <c r="PR42">
        <f>IF(PQ42&gt;0,Z42,0)</f>
        <v>2.38</v>
      </c>
      <c r="PT42">
        <f>VLOOKUP($O42,Afgr,Data!$BT$3)</f>
        <v>1</v>
      </c>
      <c r="PU42" s="3">
        <f>PT42*Z42</f>
        <v>2.38</v>
      </c>
      <c r="PV42">
        <f>VLOOKUP($R42,Afgr,Data!$BT$3)</f>
        <v>1</v>
      </c>
      <c r="PW42" s="3">
        <f>PV42*Z42</f>
        <v>2.38</v>
      </c>
      <c r="PY42">
        <f>VLOOKUP($R42,Afgr,Data!$BV$3)</f>
        <v>0</v>
      </c>
      <c r="PZ42">
        <f>PY42*Z42</f>
        <v>0</v>
      </c>
      <c r="QB42">
        <f>VLOOKUP($R42,Afgr,Data!$BW$3)</f>
        <v>0</v>
      </c>
      <c r="QC42">
        <f>QB42*Z42</f>
        <v>0</v>
      </c>
      <c r="QE42">
        <f>AM42*IF(VLOOKUP($R42,Afgr,Data!$BJ$3)&gt;0,1,0)</f>
        <v>0</v>
      </c>
      <c r="QF42">
        <f>QE42*Z42</f>
        <v>0</v>
      </c>
      <c r="QH42">
        <f>AM42*VLOOKUP(R42,Afgr,Data!$BK$3)</f>
        <v>0</v>
      </c>
      <c r="QI42">
        <f>Z42*QH42</f>
        <v>0</v>
      </c>
      <c r="QJ42">
        <f>$AM42*VLOOKUP($R42,Afgr,Data!$BL$3)+$BR42*VLOOKUP($T42,Efgr,Data!$AP$53)</f>
        <v>3000</v>
      </c>
      <c r="QK42">
        <f>QJ42*Z42</f>
        <v>7140</v>
      </c>
      <c r="QL42">
        <f>$AM42*VLOOKUP($R42,Afgr,Data!$BM$3)</f>
        <v>0</v>
      </c>
      <c r="QM42">
        <f>QL42*Z42</f>
        <v>0</v>
      </c>
      <c r="QN42">
        <f>$AM42*VLOOKUP($R42,Afgr,Data!$BN$3)</f>
        <v>0</v>
      </c>
      <c r="QO42">
        <f>QN42*Z42</f>
        <v>0</v>
      </c>
      <c r="QR42">
        <f>IF(VLOOKUP($R42,Afgr,Data!$DA$3)="Vårbyg",$AN42,0)*VLOOKUP($R42,Afgr,Data!$BJ$3)</f>
        <v>0</v>
      </c>
      <c r="QS42">
        <f>IF(VLOOKUP($R42,Afgr,Data!$DA$3)="Vinterbyg",$AN42,0)*VLOOKUP($R42,Afgr,Data!$BJ$3)</f>
        <v>0</v>
      </c>
      <c r="QT42">
        <f>IF(VLOOKUP($R42,Afgr,Data!$DA$3)="Havre",$AN42,0)*VLOOKUP($R42,Afgr,Data!$BJ$3)</f>
        <v>0</v>
      </c>
      <c r="QU42">
        <f>IF(VLOOKUP($R42,Afgr,Data!$DA$3)="Hvede",$AN42,0)*VLOOKUP($R42,Afgr,Data!$BJ$3)</f>
        <v>0</v>
      </c>
      <c r="QV42">
        <f>IF(VLOOKUP($R42,Afgr,Data!$DA$3)="Triticale",$AN42,0)*VLOOKUP($R42,Afgr,Data!$BJ$3)</f>
        <v>0</v>
      </c>
      <c r="QW42">
        <f>IF(VLOOKUP($R42,Afgr,Data!$DA$3)="Rug",$AN42,0)*VLOOKUP($R42,Afgr,Data!$BJ$3)</f>
        <v>0</v>
      </c>
      <c r="QX42">
        <f>IF(VLOOKUP($R42,Afgr,Data!$DA$3)="Majs",$AN42,0)*VLOOKUP($R42,Afgr,Data!$BJ$3)</f>
        <v>0</v>
      </c>
      <c r="RA42">
        <f>IF(OV42+PB42&gt;0,1,0)</f>
        <v>0</v>
      </c>
      <c r="RB42">
        <f>RA42*LW42</f>
        <v>0</v>
      </c>
      <c r="RC42">
        <f>RA42*MT42</f>
        <v>0</v>
      </c>
      <c r="RD42">
        <f>ND42</f>
        <v>0</v>
      </c>
      <c r="RE42">
        <f>RA42*OB42</f>
        <v>0</v>
      </c>
      <c r="RH42">
        <f>VLOOKUP(B42,Jordtype,Data!$Y$112+DenitNr-1)</f>
        <v>0</v>
      </c>
      <c r="RI42">
        <f>FF42*VLOOKUP(B42,Jordtype,Data!$AB$112+DenitNr-1)</f>
        <v>0</v>
      </c>
      <c r="RJ42">
        <f>((CJ42+CK42+CL42+Regn2!CO42*0.7)-(RR42+RT42))*VLOOKUP(B42,Jordtype,Data!$AE$112+DenitNr-1)</f>
        <v>0</v>
      </c>
      <c r="RK42">
        <f>0*VLOOKUP(B42,Jordtype,Data!$AE$112+DenitNr-1)</f>
        <v>0</v>
      </c>
      <c r="RL42">
        <f>Regn2!FD42*VLOOKUP(B42,Jordtype,Data!$AH$112+DenitNr-1)</f>
        <v>0</v>
      </c>
      <c r="RM42" s="3">
        <f>RH42+RI42+RJ42+RK42+RL42</f>
        <v>0</v>
      </c>
      <c r="RO42">
        <v>2</v>
      </c>
      <c r="RP42">
        <f>(FF42)*RO42*0.01</f>
        <v>0</v>
      </c>
      <c r="RQ42">
        <v>7</v>
      </c>
      <c r="RR42">
        <f>CE42*RQ42*0.01</f>
        <v>0</v>
      </c>
      <c r="RS42">
        <v>7</v>
      </c>
      <c r="RT42">
        <f>(Regn2!CF42+Regn2!CG42)*RS42*0.01</f>
        <v>0</v>
      </c>
      <c r="RW42">
        <f>VLOOKUP(R42,Afgr,Data!$EE$3)</f>
        <v>0</v>
      </c>
      <c r="RX42" s="3">
        <f>RP42+RR42+RT42+RV42+RW42</f>
        <v>0</v>
      </c>
    </row>
    <row r="44" spans="1:492" x14ac:dyDescent="0.25">
      <c r="A44" s="214" t="str">
        <f>Nbal!B44</f>
        <v>19-0</v>
      </c>
      <c r="B44">
        <v>11</v>
      </c>
      <c r="C44">
        <v>1</v>
      </c>
      <c r="D44">
        <f>IF(C44=1,VLOOKUP(B44,Jordtype,Data!$K$112),VLOOKUP(B44,Jordtype,Data!$L$112))</f>
        <v>7</v>
      </c>
      <c r="E44">
        <f>IF(C44=1,VLOOKUP(B44,Jordtype,Data!$M$112),VLOOKUP(B44,Jordtype,Data!$N$112))</f>
        <v>12</v>
      </c>
      <c r="F44">
        <f>IF(OR(B44=1,B44=3),0,IF(OR(B44=2,B44=4),1,IF(OR(B44=5,B44=6),2,3)))</f>
        <v>3</v>
      </c>
      <c r="G44">
        <f>IF(C44=1,VLOOKUP(B44,Jordtype,Data!$Q$112),VLOOKUP(B44,Jordtype,Data!$R$112))</f>
        <v>23</v>
      </c>
      <c r="H44">
        <f>IF(C44=1,VLOOKUP(B44,Jordtype,Data!$O$112),VLOOKUP(B44,Jordtype,Data!$P$112))</f>
        <v>17</v>
      </c>
      <c r="I44">
        <f>IF(B44&lt;5,0,1)</f>
        <v>1</v>
      </c>
      <c r="J44">
        <f>IF(B44&lt;5,PlojJB,1)</f>
        <v>1</v>
      </c>
      <c r="K44">
        <f>IF(B44&lt;5,SaaJB,1)</f>
        <v>1</v>
      </c>
      <c r="L44">
        <f>IF(C44=1,VLOOKUP(B44,Jordtype,Data!$S$112),VLOOKUP(B44,Jordtype,Data!$T$112))</f>
        <v>6</v>
      </c>
      <c r="M44">
        <f>IF(C44=1,VLOOKUP(B44,Jordtype,Data!$U$112),VLOOKUP(B44,Jordtype,Data!$V$112))</f>
        <v>11</v>
      </c>
      <c r="O44">
        <v>26</v>
      </c>
      <c r="P44">
        <v>1</v>
      </c>
      <c r="Q44" t="b">
        <v>0</v>
      </c>
      <c r="R44">
        <v>26</v>
      </c>
      <c r="S44">
        <v>1</v>
      </c>
      <c r="T44">
        <v>1</v>
      </c>
      <c r="U44">
        <v>1</v>
      </c>
      <c r="V44">
        <v>1</v>
      </c>
      <c r="X44">
        <v>26</v>
      </c>
      <c r="Z44">
        <f>Nbal!AG44</f>
        <v>1.1100000000000001</v>
      </c>
      <c r="AA44">
        <v>4</v>
      </c>
      <c r="AB44">
        <f>VLOOKUP($R44,Afgr,G44)</f>
        <v>134</v>
      </c>
      <c r="AC44">
        <f>VLOOKUP($O44,Afgr,Data!$AI$3)*VLOOKUP(R44,Afgr,Data!$AJ$3)</f>
        <v>0</v>
      </c>
      <c r="AD44">
        <f>IF($Q44,0,VLOOKUP($P44,Efgr,(Data!$W$53+$V$6-1)))</f>
        <v>0</v>
      </c>
      <c r="AE44">
        <f>AB44-AC44-AD44</f>
        <v>134</v>
      </c>
      <c r="AF44">
        <f>AE44*Z44</f>
        <v>148.74</v>
      </c>
      <c r="AH44">
        <f>VLOOKUP(R44,Afgr,D44)</f>
        <v>3000</v>
      </c>
      <c r="AI44">
        <f>VLOOKUP(O44,Afgr,Data!$AL$3)*VLOOKUP(R44,Afgr,E44)</f>
        <v>0</v>
      </c>
      <c r="AJ44">
        <f>VLOOKUP(P44,Efgr,(Data!$Y$53+I44))</f>
        <v>0</v>
      </c>
      <c r="AK44">
        <f>AH44+AI44+AJ44</f>
        <v>3000</v>
      </c>
      <c r="AL44">
        <f>AH44+AI44+AJ44</f>
        <v>3000</v>
      </c>
      <c r="AM44" s="3">
        <f>IF(Nbal!CK44&lt;&gt;"",Nbal!CK44,AL44)</f>
        <v>3000</v>
      </c>
      <c r="AN44">
        <f>AM44*Z44</f>
        <v>3330.0000000000005</v>
      </c>
      <c r="AO44" t="str">
        <f>VLOOKUP(R44,Afgr,3)</f>
        <v>FE</v>
      </c>
      <c r="AP44">
        <f>IF(AO44="FE",VLOOKUP($R44,Afgr,Data!$AV$3),0)</f>
        <v>1.1599999999999999</v>
      </c>
      <c r="AR44">
        <f>VLOOKUP(R44,Afgr,4)</f>
        <v>1.2</v>
      </c>
      <c r="AS44" s="3">
        <f>IF(Nbal!CW44&lt;&gt;"",Nbal!CW44,AR44)</f>
        <v>1.2</v>
      </c>
      <c r="AT44" s="3">
        <f>AM44*AS44</f>
        <v>3600</v>
      </c>
      <c r="AU44" s="3">
        <f>AN44*AS44</f>
        <v>3996.0000000000005</v>
      </c>
      <c r="AW44">
        <f>VLOOKUP(R44,Afgr,Data!$AN$3)</f>
        <v>0</v>
      </c>
      <c r="AX44" s="3">
        <f>IF(Nbal!DC44&lt;&gt;"",Nbal!DC44,AW44)</f>
        <v>0</v>
      </c>
      <c r="AY44" s="3">
        <f>AX44*Z44</f>
        <v>0</v>
      </c>
      <c r="BA44">
        <f>VLOOKUP(R44,Afgr,H44)</f>
        <v>0</v>
      </c>
      <c r="BB44">
        <f>IF(ISERROR(BA44*AM44/AK44),0,(BA44*AM44/AK44))</f>
        <v>0</v>
      </c>
      <c r="BC44" s="3">
        <f>IF(Nbal!DI44&lt;&gt;"",Nbal!DI44,BB44)</f>
        <v>0</v>
      </c>
      <c r="BD44">
        <f>BC44*Z44</f>
        <v>0</v>
      </c>
      <c r="BG44">
        <f>IF($S44=1,BC44,0)</f>
        <v>0</v>
      </c>
      <c r="BH44">
        <f>IF($S44=1,BD44,0)</f>
        <v>0</v>
      </c>
      <c r="BI44">
        <f>VLOOKUP(R44,Afgr,Data!$AM$3)</f>
        <v>0</v>
      </c>
      <c r="BJ44">
        <f>IF(Nbal!DR44&lt;&gt;"",Nbal!DR44,BI44)</f>
        <v>0</v>
      </c>
      <c r="BK44">
        <f>BG44*BJ44</f>
        <v>0</v>
      </c>
      <c r="BL44">
        <f>BH44*BJ44</f>
        <v>0</v>
      </c>
      <c r="BN44">
        <f>VLOOKUP($T44,Efgr,M44)</f>
        <v>0</v>
      </c>
      <c r="BO44">
        <f>BN44*Z44</f>
        <v>0</v>
      </c>
      <c r="BQ44">
        <f>VLOOKUP(T44,Efgr,NormudbKolonneNrEfgr1)</f>
        <v>0</v>
      </c>
      <c r="BR44" s="3">
        <f>IF(Nbal!FE44&lt;&gt;"",Nbal!FE44,BQ44)</f>
        <v>0</v>
      </c>
      <c r="BS44">
        <f>BR44*Z44</f>
        <v>0</v>
      </c>
      <c r="BT44" t="s">
        <v>37</v>
      </c>
      <c r="BU44">
        <f>BR44*Efterslaetpris</f>
        <v>0</v>
      </c>
      <c r="BV44">
        <f>BS44*Efterslaetpris</f>
        <v>0</v>
      </c>
      <c r="BW44">
        <f>VLOOKUP(T44,Efgr,Data!$AG$53)</f>
        <v>0</v>
      </c>
      <c r="BX44">
        <f>BR44*BW44</f>
        <v>0</v>
      </c>
      <c r="BZ44">
        <f>Nbal!AQ44</f>
        <v>0</v>
      </c>
      <c r="CA44" s="211">
        <f>Nbal!AT44</f>
        <v>0</v>
      </c>
      <c r="CB44" s="2">
        <f>Nbal!DZ44</f>
        <v>0</v>
      </c>
      <c r="CC44" s="211">
        <f>Nbal!AT44+Nbal!DZ44</f>
        <v>0</v>
      </c>
      <c r="CD44" s="211">
        <f>Nbal!AX44</f>
        <v>0</v>
      </c>
      <c r="CE44">
        <f>Nbal!BH44</f>
        <v>0</v>
      </c>
      <c r="CF44" s="211">
        <f>Nbal!BM44</f>
        <v>0</v>
      </c>
      <c r="CG44" s="2">
        <f>Nbal!EI44</f>
        <v>0</v>
      </c>
      <c r="CH44" s="211">
        <f>Nbal!BM44+Nbal!EI44</f>
        <v>0</v>
      </c>
      <c r="CI44" s="211">
        <f>Nbal!BW44</f>
        <v>0</v>
      </c>
      <c r="CJ44" s="211">
        <f>Nbal!BH44*Nbal!BJ44*0.01</f>
        <v>0</v>
      </c>
      <c r="CK44" s="211">
        <f>(Nbal!BM44*Nbal!BP44*0.01)</f>
        <v>0</v>
      </c>
      <c r="CL44" s="211">
        <f>(Nbal!EI44*Nbal!EL44*0.01)</f>
        <v>0</v>
      </c>
      <c r="CM44" s="211">
        <f>(Nbal!BM44*Nbal!BP44*0.01)+(Nbal!EI44*Nbal!EL44*0.01)</f>
        <v>0</v>
      </c>
      <c r="CN44" s="211">
        <f>Nbal!BW44*Nbal!BY44*0.01</f>
        <v>0</v>
      </c>
      <c r="CO44">
        <f>Nbal!BT44+Nbal!ER44</f>
        <v>0</v>
      </c>
      <c r="CQ44">
        <f>Nbal!BA44</f>
        <v>0</v>
      </c>
      <c r="CR44">
        <f>Nbal!EC44</f>
        <v>0</v>
      </c>
      <c r="CS44">
        <f>(CQ44+CR44)*Z44</f>
        <v>0</v>
      </c>
      <c r="CT44">
        <f>Nbal!CB44</f>
        <v>0</v>
      </c>
      <c r="CU44">
        <f>Nbal!EV44</f>
        <v>0</v>
      </c>
      <c r="CV44">
        <f>(CT44+CU44)*Z44</f>
        <v>0</v>
      </c>
      <c r="CW44">
        <f>Nbal!BA44+Nbal!CB44+Nbal!EC44+Nbal!EV44</f>
        <v>0</v>
      </c>
      <c r="CY44">
        <f>Nbal!BD44</f>
        <v>0</v>
      </c>
      <c r="CZ44">
        <f>Nbal!EF44</f>
        <v>0</v>
      </c>
      <c r="DA44">
        <f>(CY44+CZ44)*Z44</f>
        <v>0</v>
      </c>
      <c r="DB44">
        <f>Nbal!CE44</f>
        <v>0</v>
      </c>
      <c r="DC44">
        <f>Nbal!EY44</f>
        <v>0</v>
      </c>
      <c r="DD44">
        <f>(DB44+DC44)*Z44</f>
        <v>0</v>
      </c>
      <c r="DE44">
        <f>Nbal!BD44+Nbal!CE44+Nbal!EF44+Nbal!EY44</f>
        <v>0</v>
      </c>
      <c r="DG44">
        <f>VLOOKUP($R44,Afgr,Data!$AW$3)</f>
        <v>14</v>
      </c>
      <c r="DH44">
        <f>IF($AO44="FE",$AM44*$AP44*$DG44*0.01,$AM44*100*$DM44*0.01*$DG44*0.01)</f>
        <v>487.19999999999993</v>
      </c>
      <c r="DI44">
        <f>IF(VLOOKUP(R44,Afgr,Data!$BO$3)=1,DH44,0)*Z44</f>
        <v>0</v>
      </c>
      <c r="DJ44" s="12">
        <f>(BZ44+CC44+CJ44-AE44)*VLOOKUP($R44,Afgr,Data!$AX$3)</f>
        <v>0</v>
      </c>
      <c r="DK44">
        <f>DG44+DJ44</f>
        <v>14</v>
      </c>
      <c r="DL44">
        <f>IF(Nbal!CQ44&lt;&gt;"",Nbal!CQ44,DK44)</f>
        <v>14</v>
      </c>
      <c r="DM44">
        <f>VLOOKUP(R44,Afgr,Data!$AT$3)</f>
        <v>0</v>
      </c>
      <c r="DN44">
        <f>IF($AO44="FE",$AM44*$AP44*$DL44*0.01,$AM44*100*$DM44*0.01*DL44*0.01)</f>
        <v>487.19999999999993</v>
      </c>
      <c r="DO44">
        <f>IF(VLOOKUP(R44,Afgr,Data!$BO$3)=1,DN44,0)*Z44</f>
        <v>0</v>
      </c>
      <c r="DP44">
        <f>IF(ISERROR(DN44/VLOOKUP(R44,Afgr,Data!$AY$3)),0,DN44/VLOOKUP(R44,Afgr,Data!$AY$3))</f>
        <v>77.951999999999984</v>
      </c>
      <c r="DQ44">
        <f>DP44*Z44</f>
        <v>86.526719999999983</v>
      </c>
      <c r="DS44">
        <f>IF($AO44="FE",$AM44*$AP44*VLOOKUP($R44,Afgr,Data!$BC$3)*0.001,$AM44*100*$DM44*0.01*VLOOKUP($R44,Afgr,Data!$BC$3)*0.001)</f>
        <v>9.743999999999998</v>
      </c>
      <c r="DT44">
        <f>DS44*Z44</f>
        <v>10.815839999999998</v>
      </c>
      <c r="DV44">
        <f>IF($AO44="FE",$AM44*$AP44*VLOOKUP($R44,Afgr,Data!$BF$3)*0.001,$AM44*100*$DM44*0.01*VLOOKUP($R44,Afgr,Data!$BF$3)*0.001)</f>
        <v>62.639999999999993</v>
      </c>
      <c r="DW44">
        <f>DV44*Z44</f>
        <v>69.5304</v>
      </c>
      <c r="DY44">
        <f>IF(ISERROR(VLOOKUP(R44,Afgr,Data!$AZ$3)*DL44/DG44),0,VLOOKUP(R44,Afgr,Data!$AZ$3)*DL44/DG44)</f>
        <v>0</v>
      </c>
      <c r="DZ44">
        <f>VLOOKUP(R44,Afgr,Data!$AU$3)</f>
        <v>0</v>
      </c>
      <c r="EA44">
        <f>IF($S44=1,$BC44*$DZ44*0.01*DY44*0.01,0)</f>
        <v>0</v>
      </c>
      <c r="EB44">
        <f>EA44/6.25</f>
        <v>0</v>
      </c>
      <c r="EC44">
        <f>EB44*Z44</f>
        <v>0</v>
      </c>
      <c r="EE44">
        <f>IF($S44=1,$BC44*$DZ44*0.01*VLOOKUP($R44,Afgr,Data!$BD$3)*0.001,0)</f>
        <v>0</v>
      </c>
      <c r="EF44">
        <f>EE44*Z44</f>
        <v>0</v>
      </c>
      <c r="EH44">
        <f>IF($S44=1,$BC44*$DZ44*0.01*VLOOKUP($R44,Afgr,Data!$BG$3)*0.001,0)</f>
        <v>0</v>
      </c>
      <c r="EI44">
        <f>EH44*Z44</f>
        <v>0</v>
      </c>
      <c r="EK44">
        <f>VLOOKUP(T44,Efgr,Data!$AI$53)</f>
        <v>0</v>
      </c>
      <c r="EL44">
        <f>BX44*EK44*0.01/6.25</f>
        <v>0</v>
      </c>
      <c r="EM44">
        <f>EL44*Z44</f>
        <v>0</v>
      </c>
      <c r="EO44">
        <f>$BX44*VLOOKUP($T44,Efgr,Data!$AJ$53)*0.001</f>
        <v>0</v>
      </c>
      <c r="EP44">
        <f>EO44*Z44</f>
        <v>0</v>
      </c>
      <c r="ER44">
        <f>$BX44*VLOOKUP($T44,Efgr,Data!$AK$53)*0.001</f>
        <v>0</v>
      </c>
      <c r="ES44">
        <f>ER44*Z44</f>
        <v>0</v>
      </c>
      <c r="EU44">
        <f>IF(VLOOKUP(R44,Afgr,Data!$DS$3)=1,DP44*VLOOKUP(R44,Afgr,(Data!$DT$3+EftervirkningUdb1))*VLOOKUP(R44,Afgr,Data!$DV$3),0)</f>
        <v>0</v>
      </c>
      <c r="EV44">
        <f>IF(VLOOKUP(R44,Afgr,Data!$DS$3)=2,VLOOKUP(R44,Afgr,Data!$DX$3),0)</f>
        <v>0</v>
      </c>
      <c r="EW44">
        <f>IF(VLOOKUP(R44,Afgr,Data!$DS$3)=3,$DP44*VLOOKUP($R44,Afgr,IF(Jordtype1&lt;5,Data!$DT$3,Data!$DU$3))*VLOOKUP($R44,Afgr,Data!$DV$3),0)</f>
        <v>0</v>
      </c>
      <c r="EX44">
        <f>IF(VLOOKUP(R44,Afgr,Data!$DS$3)=4,(1.232+0.00469*AM44*100+(0.000256*AM44*100+0.089)*60),0)</f>
        <v>0</v>
      </c>
      <c r="EY44" s="211">
        <f>BZ44+CA44+CJ44+CK44</f>
        <v>0</v>
      </c>
      <c r="EZ44">
        <f>IF(VLOOKUP($R44,Afgr,Data!$DS$3)=5,($AM44*0.02742-$AM44*0.0001*$EY44+$AM44*0.0000001111*$EY44*$EY44),0)</f>
        <v>0</v>
      </c>
      <c r="FA44" s="2">
        <f>CB44+CL44</f>
        <v>0</v>
      </c>
      <c r="FB44">
        <f>IF(VLOOKUP($T44,Efgr,Data!$BH$53)=5,($BR44*0.02742-$BR44*0.0001*$FA44+$BR44*0.0000001111*$FA44*$FA44),0)</f>
        <v>0</v>
      </c>
      <c r="FC44" s="3">
        <f>EU44+EV44+EW44+EX44+EZ44+FB44</f>
        <v>0</v>
      </c>
      <c r="FD44" s="3">
        <f>FC44*Z44</f>
        <v>0</v>
      </c>
      <c r="FF44" s="211">
        <f>BZ44+CC44</f>
        <v>0</v>
      </c>
      <c r="FG44" s="211">
        <f>FF44*Z44</f>
        <v>0</v>
      </c>
      <c r="FH44" s="211">
        <f>CE44+CH44+CO44</f>
        <v>0</v>
      </c>
      <c r="FI44" s="211">
        <f>FH44*Z44</f>
        <v>0</v>
      </c>
      <c r="FJ44">
        <f>VLOOKUP($R44,Afgr,Data!$DK$3)*VLOOKUP($R44,Afgr,Data!$AT$3)*0.01*VLOOKUP($R44,Afgr,Data!$AW$3)*0.01/6.25</f>
        <v>0</v>
      </c>
      <c r="FK44">
        <f>FJ44*Z44</f>
        <v>0</v>
      </c>
      <c r="FL44" s="4">
        <f>IF(R44&gt;1,Deposition,0)</f>
        <v>15</v>
      </c>
      <c r="FM44" s="4">
        <f>FL44*Z44</f>
        <v>16.650000000000002</v>
      </c>
      <c r="FN44">
        <f>FC44</f>
        <v>0</v>
      </c>
      <c r="FO44">
        <f>FN44*Z44</f>
        <v>0</v>
      </c>
      <c r="FP44" s="211">
        <f>SUM(FF44,FH44,FJ44,FL44,FN44)</f>
        <v>15</v>
      </c>
      <c r="FQ44">
        <f>DP44+EB44+EL44</f>
        <v>77.951999999999984</v>
      </c>
      <c r="FR44" s="3">
        <f>FP44-FQ44</f>
        <v>-62.951999999999984</v>
      </c>
      <c r="FS44" s="19">
        <f>FP44*Z44</f>
        <v>16.650000000000002</v>
      </c>
      <c r="FT44" s="19">
        <f>FQ44*Z44</f>
        <v>86.526719999999983</v>
      </c>
      <c r="FU44" s="3">
        <f>FR44*Z44</f>
        <v>-69.876719999999992</v>
      </c>
      <c r="FW44">
        <f>CW44</f>
        <v>0</v>
      </c>
      <c r="FX44">
        <f>FW44*Z44</f>
        <v>0</v>
      </c>
      <c r="FY44">
        <f>IX44+MB44</f>
        <v>9.743999999999998</v>
      </c>
      <c r="FZ44">
        <f>FY44*Z44</f>
        <v>10.815839999999998</v>
      </c>
      <c r="GA44">
        <f>FW44-FY44</f>
        <v>-9.743999999999998</v>
      </c>
      <c r="GB44">
        <f>GA44*Z44</f>
        <v>-10.815839999999998</v>
      </c>
      <c r="GD44">
        <f>DE44</f>
        <v>0</v>
      </c>
      <c r="GE44">
        <f>GD44*Z44</f>
        <v>0</v>
      </c>
      <c r="GF44">
        <f>JE44+MH44</f>
        <v>62.639999999999993</v>
      </c>
      <c r="GG44">
        <f>GF44*Z44</f>
        <v>69.5304</v>
      </c>
      <c r="GH44">
        <f>GD44-GF44</f>
        <v>-62.639999999999993</v>
      </c>
      <c r="GI44">
        <f>GH44*Z44</f>
        <v>-69.5304</v>
      </c>
      <c r="GK44">
        <f>AA44</f>
        <v>4</v>
      </c>
      <c r="GL44" s="211">
        <f>FF44+FH44+FN44</f>
        <v>0</v>
      </c>
      <c r="GM44" s="211" t="str">
        <f>IF(R44=1,"",IF(GK44=1,GL44,""))</f>
        <v/>
      </c>
      <c r="GN44" s="211" t="str">
        <f>IF(R44=1,"",IF(GK44=2,GL44,""))</f>
        <v/>
      </c>
      <c r="GO44" s="211" t="str">
        <f>IF(R44=1,"",IF(GK44=3,GL44,""))</f>
        <v/>
      </c>
      <c r="GP44" s="211">
        <f>IF(R44=1,"",IF(GK44=4,GL44,""))</f>
        <v>0</v>
      </c>
      <c r="GQ44" s="149">
        <f>IF(OR(R44=1,VLOOKUP(R44,Afgr,Data!$BV$3)=1,VLOOKUP(R44,Afgr,Data!$BW$3)=1),0,IF(GK44=1,Nniveau1,IF(GK44=2,Nniveau2,IF(GK44=3,Nniveau3,IF(GK44=4,Nniveau4,GL44)))))</f>
        <v>0</v>
      </c>
      <c r="GR44" s="241">
        <v>0.32550000000000001</v>
      </c>
      <c r="GS44" s="6">
        <v>0</v>
      </c>
      <c r="GT44" s="149">
        <f>CC44+CM44</f>
        <v>0</v>
      </c>
      <c r="GU44" s="6">
        <f>$FN44</f>
        <v>0</v>
      </c>
      <c r="GV44" s="241">
        <v>0.25280000000000002</v>
      </c>
      <c r="GW44">
        <f>CO44</f>
        <v>0</v>
      </c>
      <c r="GX44" s="241">
        <v>0.376</v>
      </c>
      <c r="GY44" s="149">
        <f>CD44+CN44</f>
        <v>0</v>
      </c>
      <c r="GZ44" s="241">
        <f>IF(B44&gt;3,0.3539,1.0749)</f>
        <v>0.35389999999999999</v>
      </c>
      <c r="HA44" s="11">
        <f>$FQ44</f>
        <v>77.951999999999984</v>
      </c>
      <c r="HB44" s="241">
        <v>0.19359999999999999</v>
      </c>
      <c r="HC44" s="241">
        <f>VLOOKUP($R44,Afgr,Data!$DM$3)</f>
        <v>7</v>
      </c>
      <c r="HD44" s="24">
        <f>IF($HC44&gt;1,0,(VLOOKUP($X44,Afgr,Data!$DP$3)+IF(VLOOKUP($X44,Afgr,Data!$DP$3)=0,VLOOKUP($T44,Efgr,Data!$BI$53,0))))+IF(AND($HC44=7,VLOOKUP($X44,Afgr,Data!$DQ$3)=-2),-2,0)+IF(AND($HC44=6,VLOOKUP($T44,Efgr,Data!$BI$53)=2),8,0)</f>
        <v>0</v>
      </c>
      <c r="HE44" s="6">
        <f>VLOOKUP(SUM(HC44:HD44),Nlesafgr,3)</f>
        <v>-165.7</v>
      </c>
      <c r="HF44" s="7">
        <f>VLOOKUP($O44,Afgr,Data!$DN$3)</f>
        <v>4</v>
      </c>
      <c r="HG44" s="24">
        <f>IF(HF44&gt;1,0,VLOOKUP($R44,Afgr,Data!$DO$3)+IF(VLOOKUP($R44,Afgr,Data!$DO$3)=1,0,VLOOKUP($P44,Efgr,Data!$BJ$53)))</f>
        <v>0</v>
      </c>
      <c r="HH44" s="6">
        <f>VLOOKUP(SUM(HF44:HG44),Nlesforfrugt,3)</f>
        <v>34.700000000000003</v>
      </c>
      <c r="HI44" s="241">
        <f>GR44*GQ44+GV44*(GT44+GU44)+GX44*GW44+GZ44*GY44-HB44*HA44+HE44+HH44</f>
        <v>-146.09150719999997</v>
      </c>
      <c r="HJ44" s="241">
        <f>Nlesafskaering</f>
        <v>59.6</v>
      </c>
      <c r="HK44" s="241">
        <f>Teknologi1</f>
        <v>2455</v>
      </c>
      <c r="HL44" s="6">
        <v>2001</v>
      </c>
      <c r="HM44" s="241">
        <f>Teknologi2</f>
        <v>1962.2</v>
      </c>
      <c r="HN44" s="241">
        <f>Tandel</f>
        <v>0.54659999999999997</v>
      </c>
      <c r="HO44" s="241">
        <f>IF(OR(HI44&gt;0,HI44=0),HJ44+HK44/(HL44-HM44),HJ44+HK44/(HL44-HM44)+HN44*HI44)</f>
        <v>43.019578040768749</v>
      </c>
      <c r="HP44" s="241">
        <f>IF(HI44&gt;0,HI44,0.001)</f>
        <v>1E-3</v>
      </c>
      <c r="HQ44" s="241">
        <v>1.5020000000000001E-3</v>
      </c>
      <c r="HR44" s="24">
        <f>IF(R44=1,0,VLOOKUP(PostnrNbal,AfstromData,VLOOKUP($R44,Afgr,Data!$DL$3)+IF(Jordtype1&lt;7,Jordtype1,6),FALSE)-VLOOKUP(T44,Efgr,Data!$AA$53))</f>
        <v>272.32333333333298</v>
      </c>
      <c r="HS44" s="24">
        <f>IF(Nbal!GA44&lt;&gt;"",Nbal!GA44,Regn2!HR44)</f>
        <v>272.32333333333298</v>
      </c>
      <c r="HT44" s="241">
        <v>5.5400000000000002E-4</v>
      </c>
      <c r="HU44" s="24">
        <f>IF(R44=1,0,VLOOKUP(PostnrNbal,AfstromData,VLOOKUP($O44,Afgr,Data!$DL$3)+IF(B44&lt;7,B44,6),FALSE)-VLOOKUP(P44,Efgr,Data!$AA$53))</f>
        <v>272.32333333333298</v>
      </c>
      <c r="HV44" s="24">
        <f>IF(Nbal!FU44&lt;&gt;"",Nbal!FU44,Regn2!HU44)</f>
        <v>272.32333333333298</v>
      </c>
      <c r="HW44" s="241">
        <v>0.10639999999999999</v>
      </c>
      <c r="HX44" s="6">
        <f>VLOOKUP(B44,Jordtype,Data!$W$112)</f>
        <v>26</v>
      </c>
      <c r="HY44" s="241">
        <v>3.2500000000000001E-2</v>
      </c>
      <c r="HZ44" s="6">
        <f>VLOOKUP(B44,Jordtype,Data!$X$112)</f>
        <v>5</v>
      </c>
      <c r="IA44" s="241">
        <v>1.2453000000000001</v>
      </c>
      <c r="IB44" s="241">
        <f>IF(VLOOKUP(T44,Efgr,Data!$AO$53)=1,MlafgrNUdvask,0)</f>
        <v>0</v>
      </c>
      <c r="IC44" s="20">
        <f>IF(ISERROR((HO44+POWER(HP44,1.2))*(1-EXP(-HQ44*HS44))*EXP(-HT44*HV44)*EXP(-HW44*HX44)*EXP(-HY44*HZ44)*IA44),0,(HO44+POWER(HP44,1.2))*(1-EXP(-HQ44*HS44))*EXP(-HT44*HV44)*EXP(-HW44*HX44)*EXP(-HY44*HZ44)*IA44+IB44)</f>
        <v>0.82675191399633163</v>
      </c>
      <c r="ID44">
        <f>IC44*Z44</f>
        <v>0.91769462453592821</v>
      </c>
      <c r="IE44">
        <f>IF(Nbal!GF44&lt;&gt;"",Nbal!GF44,RetentionNbal)</f>
        <v>65</v>
      </c>
      <c r="IF44">
        <f>IC44*(100-IE44)*0.01</f>
        <v>0.28936316989871608</v>
      </c>
      <c r="IG44">
        <f>IF44*Z44</f>
        <v>0.32119311858757488</v>
      </c>
      <c r="IH44" s="2">
        <f>HS44*10000</f>
        <v>2723233.3333333298</v>
      </c>
      <c r="II44" s="2">
        <f>IH44*Z44</f>
        <v>3022788.9999999963</v>
      </c>
      <c r="IJ44">
        <f>IF(ISERROR(IC44*1000*1000/IH44),0,IC44*1000*1000/IH44)</f>
        <v>0.30359202198232471</v>
      </c>
      <c r="IL44">
        <f>AT44+AX44+BK44+BU44</f>
        <v>3600</v>
      </c>
      <c r="IO44">
        <f>VLOOKUP(R44,Afgr,Data!$AP$3)*UdsaedJust</f>
        <v>0</v>
      </c>
      <c r="IP44" s="3">
        <f>IF(Nbal!GN44&lt;&gt;"",Nbal!GN44,IO44)</f>
        <v>0</v>
      </c>
      <c r="IQ44" s="3">
        <f>IP44*Z44</f>
        <v>0</v>
      </c>
      <c r="IS44" s="3">
        <f>IF(HdgVaerdiNbal=1,(BZ44+CA44)*Npris,(BZ44+CA44+CJ44+CK44)*Npris)</f>
        <v>0</v>
      </c>
      <c r="IT44" s="3">
        <f>IS44*Z44</f>
        <v>0</v>
      </c>
      <c r="IV44">
        <f>VLOOKUP($R44,Afgr,Data!$BA$3)</f>
        <v>0</v>
      </c>
      <c r="IW44">
        <f>VLOOKUP($R44,Afgr,Data!$BB$3)</f>
        <v>0</v>
      </c>
      <c r="IX44">
        <f>$DS44+$EE44</f>
        <v>9.743999999999998</v>
      </c>
      <c r="IY44">
        <f>CT44</f>
        <v>0</v>
      </c>
      <c r="IZ44">
        <f>CQ44</f>
        <v>0</v>
      </c>
      <c r="JA44" s="3">
        <f>IF(HdgVaerdiNbal=1,(IZ44)*Ppris,(IY44+IZ44)*Ppris)</f>
        <v>0</v>
      </c>
      <c r="JB44" s="3">
        <f>JA44*Z44</f>
        <v>0</v>
      </c>
      <c r="JD44">
        <f>IF(AND(R44&gt;1,OR(Jordtype1=1,Jordtype1=3,Markvand1=2)),Kudvask,0)</f>
        <v>0</v>
      </c>
      <c r="JE44">
        <f>$DV44+$EH44</f>
        <v>62.639999999999993</v>
      </c>
      <c r="JF44">
        <f>DB44</f>
        <v>0</v>
      </c>
      <c r="JG44">
        <f>CY44</f>
        <v>0</v>
      </c>
      <c r="JH44" s="3">
        <f>IF(HdgVaerdiNbal=1,JG44*Kpris,(JF44+JG44)*Kpris)</f>
        <v>0</v>
      </c>
      <c r="JI44" s="3">
        <f>JH44*Z44</f>
        <v>0</v>
      </c>
      <c r="JK44">
        <f>IS44+JA44+JH44</f>
        <v>0</v>
      </c>
      <c r="JL44" s="3">
        <f>IF(Nbal!GT44&lt;&gt;"",Nbal!GT44,$JK44)</f>
        <v>0</v>
      </c>
      <c r="JM44" s="3">
        <f>JL44*Z44</f>
        <v>0</v>
      </c>
      <c r="JO44">
        <f>VLOOKUP(R44,Afgr,Data!$AQ$3)*PlantevJust</f>
        <v>0</v>
      </c>
      <c r="JP44" s="3">
        <f>IF(Nbal!GZ44&lt;&gt;"",Nbal!GZ44,JO44)</f>
        <v>0</v>
      </c>
      <c r="JQ44" s="3">
        <f>JP44*Z44</f>
        <v>0</v>
      </c>
      <c r="JS44">
        <f>VLOOKUP(R44,Afgr,Data!$AR$3)+AM44*VLOOKUP(R44,Afgr,Data!$BH$3)</f>
        <v>0</v>
      </c>
      <c r="JT44" s="3">
        <f>IF(Nbal!HF44&lt;&gt;"",Nbal!HF44,JS44)</f>
        <v>0</v>
      </c>
      <c r="JU44">
        <f>JT44*Z44</f>
        <v>0</v>
      </c>
      <c r="JW44">
        <f>IP44+JL44+JP44+JT44</f>
        <v>0</v>
      </c>
      <c r="JY44">
        <f>IF(VLOOKUP(R44,Afgr,Data!$BY$3)&gt;0,Data!$K$259*J44,0)</f>
        <v>0</v>
      </c>
      <c r="JZ44">
        <f>IF(VLOOKUP(R44,Afgr,Data!$BZ$3)&gt;0,Data!$K$260*J44,0)</f>
        <v>0</v>
      </c>
      <c r="KA44">
        <f>(JY44+JZ44)*MaskJust</f>
        <v>0</v>
      </c>
      <c r="KB44" s="3">
        <f>IF(Nbal!HL44&lt;&gt;"",Nbal!HL44,KA44)</f>
        <v>0</v>
      </c>
      <c r="KC44" s="3">
        <f>KB44*Z44</f>
        <v>0</v>
      </c>
      <c r="KE44">
        <f>IF(VLOOKUP(R44,Afgr,Data!$CA$3)&gt;0,VLOOKUP(R44,Afgr,Data!$CA$3)*Data!$K$261*K44,0)</f>
        <v>0</v>
      </c>
      <c r="KF44">
        <f>IF(VLOOKUP(R44,Afgr,Data!$CC$3)&gt;0,Data!$K$262*K44,0)</f>
        <v>0</v>
      </c>
      <c r="KG44">
        <f>IF(VLOOKUP(R44,Afgr,Data!$CD$3)&gt;0,VLOOKUP(R44,Afgr,Data!$CD$3)*Data!$K$263*K44,0)</f>
        <v>0</v>
      </c>
      <c r="KH44">
        <f>IF(VLOOKUP(R44,Afgr,Data!$CE$3)&gt;0,Data!$K$264*K44,0)</f>
        <v>0</v>
      </c>
      <c r="KI44">
        <f>IF(VLOOKUP(R44,Afgr,Data!$CF$3)&gt;0,Data!$K$265*K44,0)</f>
        <v>0</v>
      </c>
      <c r="KJ44">
        <f>IF(VLOOKUP(R44,Afgr,Data!$CV$3)&gt;0,Data!$K$266,0)</f>
        <v>0</v>
      </c>
      <c r="KK44">
        <f>IF(VLOOKUP(R44,Afgr,Data!$CG$3)&gt;0,Data!$K$267*K44,0)</f>
        <v>0</v>
      </c>
      <c r="KL44">
        <f>(KE44+KF44+KG44+KH44+KI44+KJ44+KK44)*MaskJust</f>
        <v>0</v>
      </c>
      <c r="KM44" s="3">
        <f>IF(Nbal!HR44&lt;&gt;"",Nbal!HR44,KL44)</f>
        <v>0</v>
      </c>
      <c r="KN44" s="3">
        <f>KM44*Z44</f>
        <v>0</v>
      </c>
      <c r="KP44">
        <f>IF(VLOOKUP(R44,Afgr,Data!$CJ$3)&gt;0,VLOOKUP(R44,Afgr,Data!$CJ$3)*Data!$K$268*K44,0)*MaskJust</f>
        <v>280</v>
      </c>
      <c r="KQ44" s="3">
        <f>IF(Nbal!HX44&lt;&gt;"",Nbal!HX44,KP44)</f>
        <v>280</v>
      </c>
      <c r="KR44" s="3">
        <f>KQ44*Z44</f>
        <v>310.8</v>
      </c>
      <c r="KT44">
        <f>IF(VLOOKUP(R44,Afgr,Data!$CI$3)&gt;0,VLOOKUP(R44,Afgr,Data!$CI$3)*Data!$K$269,0)*MaskJust</f>
        <v>0</v>
      </c>
      <c r="KU44" s="3">
        <f>IF(Nbal!ID44&lt;&gt;"",Nbal!ID44,KT44)</f>
        <v>0</v>
      </c>
      <c r="KV44" s="3">
        <f>KU44*Z44</f>
        <v>0</v>
      </c>
      <c r="KX44">
        <f>IF(C44=2,VLOOKUP($R44,Afgr,Data!$CY$3),0)</f>
        <v>0</v>
      </c>
      <c r="KY44">
        <f>IF(Nbal!IJ44&lt;&gt;"",Nbal!IJ44,$KX44)</f>
        <v>0</v>
      </c>
      <c r="KZ44">
        <f>IF(AND(R44&gt;1,C44=2),Vandmaskin+$KY44*Flytning/mmprgang+$KY44*Prisprmm,0)</f>
        <v>0</v>
      </c>
      <c r="LA44" s="3">
        <f>IF(Nbal!IP44&lt;&gt;"",Nbal!IP44,$KZ44)</f>
        <v>0</v>
      </c>
      <c r="LB44" s="3">
        <f>LA44*Z44</f>
        <v>0</v>
      </c>
      <c r="LD44">
        <f>IF(VLOOKUP($R44,Afgr,Data!$CK$3)&gt;0,((1+AM44/VLOOKUP($R44,Afgr,Data!$CK$3))/2)*VLOOKUP($R44,Afgr,Data!$CL$3)*VLOOKUP($R44,Afgr,Data!$CN$3)+VLOOKUP($R44,Afgr,Data!$CM$3),0)</f>
        <v>0</v>
      </c>
      <c r="LE44">
        <f>IF(VLOOKUP($R44,Afgr,Data!$CK$3)&gt;0,IF(AND($S44=2,$BA44&gt;0),Data!$K$271,0),0)</f>
        <v>0</v>
      </c>
      <c r="LF44">
        <f>IF(VLOOKUP($R44,Afgr,Data!$CK$3)&gt;0,(AM44/VLOOKUP($R44,Afgr,Data!$CK$3))*VLOOKUP($R44,Afgr,Data!$CO$3)*VLOOKUP($R44,Afgr,Data!$CN$3),0)</f>
        <v>0</v>
      </c>
      <c r="LG44">
        <f>(LD44+LE44+LF44)*MaskJust</f>
        <v>0</v>
      </c>
      <c r="LH44" s="3">
        <f>IF(Nbal!IV44&lt;&gt;"",Nbal!IV44,LG44)</f>
        <v>0</v>
      </c>
      <c r="LI44" s="3">
        <f>LH44*Z44</f>
        <v>0</v>
      </c>
      <c r="LJ44" s="3"/>
      <c r="LK44">
        <f>IF(AND($S44=1,VLOOKUP($R44,Afgr,Data!$CP$3)&gt;0),((1+$BC44/VLOOKUP($R44,Afgr,Data!$CP$3))/2)*VLOOKUP($R44,Afgr,Data!$CQ$3),0)</f>
        <v>0</v>
      </c>
      <c r="LL44">
        <f>IF(AND($S44=1,VLOOKUP($R44,Afgr,Data!$CP$3)&gt;0),($BC44/VLOOKUP($R44,Afgr,Data!$CP$3))*VLOOKUP($R44,Afgr,Data!$CR$3),0)</f>
        <v>0</v>
      </c>
      <c r="LM44">
        <f>(LK44+LL44)*MaskJust</f>
        <v>0</v>
      </c>
      <c r="LN44" s="3">
        <f>IF(Nbal!JB44&lt;&gt;"",Nbal!JB44,LM44)</f>
        <v>0</v>
      </c>
      <c r="LO44" s="3">
        <f>LN44*Z44</f>
        <v>0</v>
      </c>
      <c r="LQ44">
        <f>$AM44*VLOOKUP($R44,Afgr,Data!$CS$3)*IF($V44=1,VLOOKUP($R44,Afgr,Data!$CT$3),IF($V44=2,VLOOKUP($R44,Afgr,Data!$CU$3),0))</f>
        <v>0</v>
      </c>
      <c r="LR44" s="3">
        <f>IF(Nbal!JK44&lt;&gt;"",Nbal!JK44,LQ44)</f>
        <v>0</v>
      </c>
      <c r="LS44" s="3">
        <f>LR44*Z44</f>
        <v>0</v>
      </c>
      <c r="LU44">
        <f>VLOOKUP($T44,Efgr,Data!$AC$53)*UdsaedJust</f>
        <v>0</v>
      </c>
      <c r="LV44" s="3">
        <f>IF(Nbal!$JS44&lt;&gt;"",Nbal!$JS44,LU44)</f>
        <v>0</v>
      </c>
      <c r="LW44" s="3">
        <f>LV44*Z44</f>
        <v>0</v>
      </c>
      <c r="LY44" s="3">
        <f>IF(HdgVaerdiNbal=1,(CB44)*Npris,(CB44+CL44)*Npris)</f>
        <v>0</v>
      </c>
      <c r="LZ44" s="3">
        <f>LY44*Z44</f>
        <v>0</v>
      </c>
      <c r="MB44">
        <f>$EO44</f>
        <v>0</v>
      </c>
      <c r="MC44">
        <f>CU44</f>
        <v>0</v>
      </c>
      <c r="MD44">
        <f>CR44</f>
        <v>0</v>
      </c>
      <c r="ME44" s="3">
        <f>IF(HdgVaerdiNbal=1,MD44*Ppris,(MC44+MD44)*Ppris)</f>
        <v>0</v>
      </c>
      <c r="MF44" s="3">
        <f>ME44*Z44</f>
        <v>0</v>
      </c>
      <c r="MH44">
        <f>$ER44</f>
        <v>0</v>
      </c>
      <c r="MI44">
        <f>DC44</f>
        <v>0</v>
      </c>
      <c r="MJ44">
        <f>CZ44</f>
        <v>0</v>
      </c>
      <c r="MK44" s="3">
        <f>IF(HdgVaerdiNbal=1,MJ44*Ppris,(MI44+MJ44)*Ppris)</f>
        <v>0</v>
      </c>
      <c r="ML44" s="3">
        <f>MK44*Z44</f>
        <v>0</v>
      </c>
      <c r="MN44">
        <f>LY44+ME44+MK44</f>
        <v>0</v>
      </c>
      <c r="MO44" s="3">
        <f>IF(Nbal!JY44&lt;&gt;"",Nbal!JY44,$MN44)</f>
        <v>0</v>
      </c>
      <c r="MP44" s="3">
        <f>MO44*Z44</f>
        <v>0</v>
      </c>
      <c r="MR44">
        <f>VLOOKUP($T44,Efgr,Data!$AE$53)*PlantevJust</f>
        <v>0</v>
      </c>
      <c r="MS44" s="3">
        <f>IF(Nbal!KE44&lt;&gt;"",Nbal!KE44,MR44)</f>
        <v>0</v>
      </c>
      <c r="MT44" s="3">
        <f>MS44*Z44</f>
        <v>0</v>
      </c>
      <c r="MV44">
        <f>VLOOKUP($T44,Efgr,Data!$AF$53)+$BR44*VLOOKUP($T44,Efgr,Data!$AL$53)</f>
        <v>0</v>
      </c>
      <c r="MW44" s="3">
        <f>IF(Nbal!KK44&lt;&gt;"",Nbal!KK44,MV44)</f>
        <v>0</v>
      </c>
      <c r="MX44" s="3">
        <f>MW44*Z44</f>
        <v>0</v>
      </c>
      <c r="MZ44">
        <f>LV44+MO44+MS44+MW44</f>
        <v>0</v>
      </c>
      <c r="NB44">
        <f>VLOOKUP($T44,Efgr,Data!$AU$53)*K44*MaskJust</f>
        <v>0</v>
      </c>
      <c r="NC44" s="3">
        <f>IF(Nbal!KQ44&lt;&gt;"",Nbal!KQ44,NB44)</f>
        <v>0</v>
      </c>
      <c r="ND44" s="3">
        <f>NC44*Z44</f>
        <v>0</v>
      </c>
      <c r="NF44">
        <f>VLOOKUP($T44,Efgr,Data!$AW$53)*Data!$K$268*K44*MaskJust</f>
        <v>0</v>
      </c>
      <c r="NG44" s="3">
        <f>IF(Nbal!KW44&lt;&gt;"",Nbal!KW44,NF44)</f>
        <v>0</v>
      </c>
      <c r="NH44" s="3">
        <f>NG44*Z44</f>
        <v>0</v>
      </c>
      <c r="NJ44">
        <f>VLOOKUP($T44,Efgr,Data!$AV$53)*Data!$K$269*MaskJust</f>
        <v>0</v>
      </c>
      <c r="NK44" s="3">
        <f>IF(Nbal!LC44&lt;&gt;"",Nbal!LC44,NJ44)</f>
        <v>0</v>
      </c>
      <c r="NL44" s="3">
        <f>NK44*Z44</f>
        <v>0</v>
      </c>
      <c r="NN44">
        <f>IF(C44=2,VLOOKUP($T44,Efgr,Data!$BC$53),0)</f>
        <v>0</v>
      </c>
      <c r="NO44">
        <f>IF(Nbal!LI44&lt;&gt;"",Nbal!LI44,$NN44)</f>
        <v>0</v>
      </c>
      <c r="NP44">
        <f>IF(C44=2,$NO44*Flytning/mmprgang+$NO44*Prisprmm,0)</f>
        <v>0</v>
      </c>
      <c r="NQ44" s="3">
        <f>IF(Nbal!LO44&lt;&gt;"",Nbal!LO44,$NP44)</f>
        <v>0</v>
      </c>
      <c r="NR44" s="3">
        <f>NQ44*Z44</f>
        <v>0</v>
      </c>
      <c r="NT44">
        <f>IF(VLOOKUP($T44,Efgr,Data!$AX$53)&gt;0,((1+BR44/VLOOKUP($T44,Efgr,Data!$AX$53))/2)*VLOOKUP($T44,Efgr,Data!$AY$53)*VLOOKUP($T44,Efgr,Data!$BA$53)+VLOOKUP($T44,Efgr,Data!$AZ$53),0)</f>
        <v>0</v>
      </c>
      <c r="NU44">
        <f>IF(VLOOKUP($T44,Efgr,Data!$AX$53)&gt;0,($BR44/VLOOKUP($T44,Efgr,Data!$AX$53))*VLOOKUP($T44,Efgr,Data!$BB$53)*VLOOKUP($T44,Efgr,Data!$BA$53),0)</f>
        <v>0</v>
      </c>
      <c r="NV44">
        <f>(NT44+NU44)*MaskJust</f>
        <v>0</v>
      </c>
      <c r="NW44" s="3">
        <f>IF(Nbal!LU44&lt;&gt;"",Nbal!LU44,NV44)</f>
        <v>0</v>
      </c>
      <c r="NX44" s="3">
        <f>NW44*Z44</f>
        <v>0</v>
      </c>
      <c r="NZ44">
        <f>IF($U44=2,Data!$K$304,IF($U44=3,Data!$K$305,0))*MaskJust</f>
        <v>0</v>
      </c>
      <c r="OA44" s="3">
        <f>IF(Nbal!MA44&lt;&gt;"",Nbal!MA44,NZ44)</f>
        <v>0</v>
      </c>
      <c r="OB44" s="3">
        <f>OA44*Z44</f>
        <v>0</v>
      </c>
      <c r="OD44">
        <f>IL44</f>
        <v>3600</v>
      </c>
      <c r="OE44">
        <f>JW44+MZ44</f>
        <v>0</v>
      </c>
      <c r="OF44">
        <f>OD44-OE44</f>
        <v>3600</v>
      </c>
      <c r="OG44">
        <f>OF44*Z44</f>
        <v>3996.0000000000005</v>
      </c>
      <c r="OJ44">
        <f>VLOOKUP($O44,Afgr,Data!$BP$3)+VLOOKUP($P44,Efgr,Data!$AM$53)</f>
        <v>0</v>
      </c>
      <c r="OK44" s="3">
        <f>OJ44*Z44</f>
        <v>0</v>
      </c>
      <c r="OL44">
        <f>VLOOKUP($R44,Afgr,Data!$BP$3)+VLOOKUP($T44,Efgr,Data!$AM$53)</f>
        <v>0</v>
      </c>
      <c r="OM44" s="3">
        <f>OL44*Z44</f>
        <v>0</v>
      </c>
      <c r="OO44">
        <f>VLOOKUP($P44,Efgr,Data!$AN$53)</f>
        <v>0</v>
      </c>
      <c r="OP44">
        <f>VLOOKUP($O44,Afgr,Data!$BQ$3)</f>
        <v>0</v>
      </c>
      <c r="OQ44">
        <f>VLOOKUP($R44,Afgr,Data!$BR$3)</f>
        <v>0</v>
      </c>
      <c r="OR44">
        <f>OO44*OP44*OQ44</f>
        <v>0</v>
      </c>
      <c r="OS44" s="3">
        <f>OR44*Z44</f>
        <v>0</v>
      </c>
      <c r="OT44" s="3">
        <f>IF(Q44,1,0)*OS44</f>
        <v>0</v>
      </c>
      <c r="OV44">
        <f>VLOOKUP($T44,Efgr,Data!$AN$53)</f>
        <v>0</v>
      </c>
      <c r="OW44">
        <f>VLOOKUP($R44,Afgr,Data!$BQ$3)</f>
        <v>0</v>
      </c>
      <c r="OX44">
        <f>VLOOKUP($X44,Afgr,Data!$BR$3)</f>
        <v>0</v>
      </c>
      <c r="OY44">
        <f>OV44*OW44*OX44</f>
        <v>0</v>
      </c>
      <c r="OZ44" s="3">
        <f>OY44*Z44</f>
        <v>0</v>
      </c>
      <c r="PB44">
        <f>VLOOKUP($T44,Efgr,Data!$AO$53)</f>
        <v>0</v>
      </c>
      <c r="PC44">
        <f>VLOOKUP($O44,Afgr,Data!$BQ$3)</f>
        <v>0</v>
      </c>
      <c r="PD44">
        <f>VLOOKUP($R44,Afgr,Data!$BS$3)</f>
        <v>0</v>
      </c>
      <c r="PE44" s="3">
        <f>PB44*PC44*PD44*$Z44</f>
        <v>0</v>
      </c>
      <c r="PG44">
        <f>VLOOKUP($T44,Efgr,Data!$AO$53)</f>
        <v>0</v>
      </c>
      <c r="PH44">
        <f>VLOOKUP($R44,Afgr,Data!$BQ$3)</f>
        <v>0</v>
      </c>
      <c r="PI44">
        <f>VLOOKUP($X44,Afgr,Data!$BS$3)</f>
        <v>0</v>
      </c>
      <c r="PJ44" s="3">
        <f>PG44*PH44*PI44*$Z44</f>
        <v>0</v>
      </c>
      <c r="PK44" s="3"/>
      <c r="PL44" s="3">
        <f>VLOOKUP($O44,Afgr,Data!$BU$3)</f>
        <v>0</v>
      </c>
      <c r="PM44" s="3">
        <f>PL44*Z44</f>
        <v>0</v>
      </c>
      <c r="PN44" s="3">
        <f>VLOOKUP($R44,Afgr,Data!$BU$3)</f>
        <v>0</v>
      </c>
      <c r="PO44" s="3">
        <f>PN44*Z44</f>
        <v>0</v>
      </c>
      <c r="PQ44">
        <f>VLOOKUP(R44,Afgr,Data!$BX$3)+VLOOKUP(T44,Efgr,Data!$AQ$53)</f>
        <v>1</v>
      </c>
      <c r="PR44">
        <f>IF(PQ44&gt;0,Z44,0)</f>
        <v>1.1100000000000001</v>
      </c>
      <c r="PT44">
        <f>VLOOKUP($O44,Afgr,Data!$BT$3)</f>
        <v>1</v>
      </c>
      <c r="PU44" s="3">
        <f>PT44*Z44</f>
        <v>1.1100000000000001</v>
      </c>
      <c r="PV44">
        <f>VLOOKUP($R44,Afgr,Data!$BT$3)</f>
        <v>1</v>
      </c>
      <c r="PW44" s="3">
        <f>PV44*Z44</f>
        <v>1.1100000000000001</v>
      </c>
      <c r="PY44">
        <f>VLOOKUP($R44,Afgr,Data!$BV$3)</f>
        <v>0</v>
      </c>
      <c r="PZ44">
        <f>PY44*Z44</f>
        <v>0</v>
      </c>
      <c r="QB44">
        <f>VLOOKUP($R44,Afgr,Data!$BW$3)</f>
        <v>0</v>
      </c>
      <c r="QC44">
        <f>QB44*Z44</f>
        <v>0</v>
      </c>
      <c r="QE44">
        <f>AM44*IF(VLOOKUP($R44,Afgr,Data!$BJ$3)&gt;0,1,0)</f>
        <v>0</v>
      </c>
      <c r="QF44">
        <f>QE44*Z44</f>
        <v>0</v>
      </c>
      <c r="QH44">
        <f>AM44*VLOOKUP(R44,Afgr,Data!$BK$3)</f>
        <v>0</v>
      </c>
      <c r="QI44">
        <f>Z44*QH44</f>
        <v>0</v>
      </c>
      <c r="QJ44">
        <f>$AM44*VLOOKUP($R44,Afgr,Data!$BL$3)+$BR44*VLOOKUP($T44,Efgr,Data!$AP$53)</f>
        <v>3000</v>
      </c>
      <c r="QK44">
        <f>QJ44*Z44</f>
        <v>3330.0000000000005</v>
      </c>
      <c r="QL44">
        <f>$AM44*VLOOKUP($R44,Afgr,Data!$BM$3)</f>
        <v>0</v>
      </c>
      <c r="QM44">
        <f>QL44*Z44</f>
        <v>0</v>
      </c>
      <c r="QN44">
        <f>$AM44*VLOOKUP($R44,Afgr,Data!$BN$3)</f>
        <v>0</v>
      </c>
      <c r="QO44">
        <f>QN44*Z44</f>
        <v>0</v>
      </c>
      <c r="QR44">
        <f>IF(VLOOKUP($R44,Afgr,Data!$DA$3)="Vårbyg",$AN44,0)*VLOOKUP($R44,Afgr,Data!$BJ$3)</f>
        <v>0</v>
      </c>
      <c r="QS44">
        <f>IF(VLOOKUP($R44,Afgr,Data!$DA$3)="Vinterbyg",$AN44,0)*VLOOKUP($R44,Afgr,Data!$BJ$3)</f>
        <v>0</v>
      </c>
      <c r="QT44">
        <f>IF(VLOOKUP($R44,Afgr,Data!$DA$3)="Havre",$AN44,0)*VLOOKUP($R44,Afgr,Data!$BJ$3)</f>
        <v>0</v>
      </c>
      <c r="QU44">
        <f>IF(VLOOKUP($R44,Afgr,Data!$DA$3)="Hvede",$AN44,0)*VLOOKUP($R44,Afgr,Data!$BJ$3)</f>
        <v>0</v>
      </c>
      <c r="QV44">
        <f>IF(VLOOKUP($R44,Afgr,Data!$DA$3)="Triticale",$AN44,0)*VLOOKUP($R44,Afgr,Data!$BJ$3)</f>
        <v>0</v>
      </c>
      <c r="QW44">
        <f>IF(VLOOKUP($R44,Afgr,Data!$DA$3)="Rug",$AN44,0)*VLOOKUP($R44,Afgr,Data!$BJ$3)</f>
        <v>0</v>
      </c>
      <c r="QX44">
        <f>IF(VLOOKUP($R44,Afgr,Data!$DA$3)="Majs",$AN44,0)*VLOOKUP($R44,Afgr,Data!$BJ$3)</f>
        <v>0</v>
      </c>
      <c r="RA44">
        <f>IF(OV44+PB44&gt;0,1,0)</f>
        <v>0</v>
      </c>
      <c r="RB44">
        <f>RA44*LW44</f>
        <v>0</v>
      </c>
      <c r="RC44">
        <f>RA44*MT44</f>
        <v>0</v>
      </c>
      <c r="RD44">
        <f>ND44</f>
        <v>0</v>
      </c>
      <c r="RE44">
        <f>RA44*OB44</f>
        <v>0</v>
      </c>
      <c r="RH44">
        <f>VLOOKUP(B44,Jordtype,Data!$Y$112+DenitNr-1)</f>
        <v>0</v>
      </c>
      <c r="RI44">
        <f>FF44*VLOOKUP(B44,Jordtype,Data!$AB$112+DenitNr-1)</f>
        <v>0</v>
      </c>
      <c r="RJ44">
        <f>((CJ44+CK44+CL44+Regn2!CO44*0.7)-(RR44+RT44))*VLOOKUP(B44,Jordtype,Data!$AE$112+DenitNr-1)</f>
        <v>0</v>
      </c>
      <c r="RK44">
        <f>0*VLOOKUP(B44,Jordtype,Data!$AE$112+DenitNr-1)</f>
        <v>0</v>
      </c>
      <c r="RL44">
        <f>Regn2!FD44*VLOOKUP(B44,Jordtype,Data!$AH$112+DenitNr-1)</f>
        <v>0</v>
      </c>
      <c r="RM44" s="3">
        <f>RH44+RI44+RJ44+RK44+RL44</f>
        <v>0</v>
      </c>
      <c r="RO44">
        <v>2</v>
      </c>
      <c r="RP44">
        <f>(FF44)*RO44*0.01</f>
        <v>0</v>
      </c>
      <c r="RQ44">
        <v>7</v>
      </c>
      <c r="RR44">
        <f>CE44*RQ44*0.01</f>
        <v>0</v>
      </c>
      <c r="RS44">
        <v>7</v>
      </c>
      <c r="RT44">
        <f>(Regn2!CF44+Regn2!CG44)*RS44*0.01</f>
        <v>0</v>
      </c>
      <c r="RW44">
        <f>VLOOKUP(R44,Afgr,Data!$EE$3)</f>
        <v>0</v>
      </c>
      <c r="RX44" s="3">
        <f>RP44+RR44+RT44+RV44+RW44</f>
        <v>0</v>
      </c>
    </row>
    <row r="46" spans="1:492" x14ac:dyDescent="0.25">
      <c r="A46" s="214" t="str">
        <f>Nbal!B46</f>
        <v>20-0</v>
      </c>
      <c r="B46">
        <v>11</v>
      </c>
      <c r="C46">
        <v>1</v>
      </c>
      <c r="D46">
        <f>IF(C46=1,VLOOKUP(B46,Jordtype,Data!$K$112),VLOOKUP(B46,Jordtype,Data!$L$112))</f>
        <v>7</v>
      </c>
      <c r="E46">
        <f>IF(C46=1,VLOOKUP(B46,Jordtype,Data!$M$112),VLOOKUP(B46,Jordtype,Data!$N$112))</f>
        <v>12</v>
      </c>
      <c r="F46">
        <f>IF(OR(B46=1,B46=3),0,IF(OR(B46=2,B46=4),1,IF(OR(B46=5,B46=6),2,3)))</f>
        <v>3</v>
      </c>
      <c r="G46">
        <f>IF(C46=1,VLOOKUP(B46,Jordtype,Data!$Q$112),VLOOKUP(B46,Jordtype,Data!$R$112))</f>
        <v>23</v>
      </c>
      <c r="H46">
        <f>IF(C46=1,VLOOKUP(B46,Jordtype,Data!$O$112),VLOOKUP(B46,Jordtype,Data!$P$112))</f>
        <v>17</v>
      </c>
      <c r="I46">
        <f>IF(B46&lt;5,0,1)</f>
        <v>1</v>
      </c>
      <c r="J46">
        <f>IF(B46&lt;5,PlojJB,1)</f>
        <v>1</v>
      </c>
      <c r="K46">
        <f>IF(B46&lt;5,SaaJB,1)</f>
        <v>1</v>
      </c>
      <c r="L46">
        <f>IF(C46=1,VLOOKUP(B46,Jordtype,Data!$S$112),VLOOKUP(B46,Jordtype,Data!$T$112))</f>
        <v>6</v>
      </c>
      <c r="M46">
        <f>IF(C46=1,VLOOKUP(B46,Jordtype,Data!$U$112),VLOOKUP(B46,Jordtype,Data!$V$112))</f>
        <v>11</v>
      </c>
      <c r="O46">
        <v>40</v>
      </c>
      <c r="P46">
        <v>1</v>
      </c>
      <c r="Q46" t="b">
        <v>0</v>
      </c>
      <c r="R46">
        <v>35</v>
      </c>
      <c r="S46">
        <v>1</v>
      </c>
      <c r="T46">
        <v>1</v>
      </c>
      <c r="U46">
        <v>1</v>
      </c>
      <c r="V46">
        <v>1</v>
      </c>
      <c r="X46">
        <v>35</v>
      </c>
      <c r="Z46">
        <f>Nbal!AG46</f>
        <v>3.21</v>
      </c>
      <c r="AA46">
        <v>1</v>
      </c>
      <c r="AB46">
        <f>VLOOKUP($R46,Afgr,G46)</f>
        <v>146</v>
      </c>
      <c r="AC46">
        <f>VLOOKUP($O46,Afgr,Data!$AI$3)*VLOOKUP(R46,Afgr,Data!$AJ$3)</f>
        <v>0</v>
      </c>
      <c r="AD46">
        <f>IF($Q46,0,VLOOKUP($P46,Efgr,(Data!$W$53+$V$6-1)))</f>
        <v>0</v>
      </c>
      <c r="AE46">
        <f>AB46-AC46-AD46</f>
        <v>146</v>
      </c>
      <c r="AF46">
        <f>AE46*Z46</f>
        <v>468.65999999999997</v>
      </c>
      <c r="AH46">
        <f>VLOOKUP(R46,Afgr,D46)</f>
        <v>63</v>
      </c>
      <c r="AI46">
        <f>VLOOKUP(O46,Afgr,Data!$AL$3)*VLOOKUP(R46,Afgr,E46)</f>
        <v>0</v>
      </c>
      <c r="AJ46">
        <f>VLOOKUP(P46,Efgr,(Data!$Y$53+I46))</f>
        <v>0</v>
      </c>
      <c r="AK46">
        <f>AH46+AI46+AJ46</f>
        <v>63</v>
      </c>
      <c r="AL46">
        <f>AH46+AI46+AJ46</f>
        <v>63</v>
      </c>
      <c r="AM46" s="3">
        <f>IF(Nbal!CK46&lt;&gt;"",Nbal!CK46,AL46)</f>
        <v>62</v>
      </c>
      <c r="AN46">
        <f>AM46*Z46</f>
        <v>199.02</v>
      </c>
      <c r="AO46" t="str">
        <f>VLOOKUP(R46,Afgr,3)</f>
        <v>hkg</v>
      </c>
      <c r="AP46">
        <f>IF(AO46="FE",VLOOKUP($R46,Afgr,Data!$AV$3),0)</f>
        <v>0</v>
      </c>
      <c r="AR46">
        <f>VLOOKUP(R46,Afgr,4)</f>
        <v>145</v>
      </c>
      <c r="AS46" s="3">
        <f>IF(Nbal!CW46&lt;&gt;"",Nbal!CW46,AR46)</f>
        <v>145</v>
      </c>
      <c r="AT46" s="3">
        <f>AM46*AS46</f>
        <v>8990</v>
      </c>
      <c r="AU46" s="3">
        <f>AN46*AS46</f>
        <v>28857.9</v>
      </c>
      <c r="AW46">
        <f>VLOOKUP(R46,Afgr,Data!$AN$3)</f>
        <v>0</v>
      </c>
      <c r="AX46" s="3">
        <f>IF(Nbal!DC46&lt;&gt;"",Nbal!DC46,AW46)</f>
        <v>0</v>
      </c>
      <c r="AY46" s="3">
        <f>AX46*Z46</f>
        <v>0</v>
      </c>
      <c r="BA46">
        <f>VLOOKUP(R46,Afgr,H46)</f>
        <v>3500</v>
      </c>
      <c r="BB46">
        <f>IF(ISERROR(BA46*AM46/AK46),0,(BA46*AM46/AK46))</f>
        <v>3444.4444444444443</v>
      </c>
      <c r="BC46" s="3">
        <f>IF(Nbal!DI46&lt;&gt;"",Nbal!DI46,BB46)</f>
        <v>3444.4444444444443</v>
      </c>
      <c r="BD46">
        <f>BC46*Z46</f>
        <v>11056.666666666666</v>
      </c>
      <c r="BG46">
        <f>IF($S46=1,BC46,0)</f>
        <v>3444.4444444444443</v>
      </c>
      <c r="BH46">
        <f>IF($S46=1,BD46,0)</f>
        <v>11056.666666666666</v>
      </c>
      <c r="BI46">
        <f>VLOOKUP(R46,Afgr,Data!$AM$3)</f>
        <v>0.5</v>
      </c>
      <c r="BJ46">
        <f>IF(Nbal!DR46&lt;&gt;"",Nbal!DR46,BI46)</f>
        <v>0.5</v>
      </c>
      <c r="BK46">
        <f>BG46*BJ46</f>
        <v>1722.2222222222222</v>
      </c>
      <c r="BL46">
        <f>BH46*BJ46</f>
        <v>5528.333333333333</v>
      </c>
      <c r="BN46">
        <f>VLOOKUP($T46,Efgr,M46)</f>
        <v>0</v>
      </c>
      <c r="BO46">
        <f>BN46*Z46</f>
        <v>0</v>
      </c>
      <c r="BQ46">
        <f>VLOOKUP(T46,Efgr,NormudbKolonneNrEfgr1)</f>
        <v>0</v>
      </c>
      <c r="BR46" s="3">
        <f>IF(Nbal!FE46&lt;&gt;"",Nbal!FE46,BQ46)</f>
        <v>0</v>
      </c>
      <c r="BS46">
        <f>BR46*Z46</f>
        <v>0</v>
      </c>
      <c r="BT46" t="s">
        <v>37</v>
      </c>
      <c r="BU46">
        <f>BR46*Efterslaetpris</f>
        <v>0</v>
      </c>
      <c r="BV46">
        <f>BS46*Efterslaetpris</f>
        <v>0</v>
      </c>
      <c r="BW46">
        <f>VLOOKUP(T46,Efgr,Data!$AG$53)</f>
        <v>0</v>
      </c>
      <c r="BX46">
        <f>BR46*BW46</f>
        <v>0</v>
      </c>
      <c r="BZ46">
        <f>Nbal!AQ46</f>
        <v>0</v>
      </c>
      <c r="CA46" s="211">
        <f>Nbal!AT46</f>
        <v>108</v>
      </c>
      <c r="CB46" s="2">
        <f>Nbal!DZ46</f>
        <v>0</v>
      </c>
      <c r="CC46" s="211">
        <f>Nbal!AT46+Nbal!DZ46</f>
        <v>108</v>
      </c>
      <c r="CD46" s="211">
        <f>Nbal!AX46</f>
        <v>0</v>
      </c>
      <c r="CE46">
        <f>Nbal!BH46</f>
        <v>0</v>
      </c>
      <c r="CF46" s="211">
        <f>Nbal!BM46</f>
        <v>119</v>
      </c>
      <c r="CG46" s="2">
        <f>Nbal!EI46</f>
        <v>0</v>
      </c>
      <c r="CH46" s="211">
        <f>Nbal!BM46+Nbal!EI46</f>
        <v>119</v>
      </c>
      <c r="CI46" s="211">
        <f>Nbal!BW46</f>
        <v>0</v>
      </c>
      <c r="CJ46" s="211">
        <f>Nbal!BH46*Nbal!BJ46*0.01</f>
        <v>0</v>
      </c>
      <c r="CK46" s="211">
        <f>(Nbal!BM46*Nbal!BP46*0.01)</f>
        <v>88.333700000000007</v>
      </c>
      <c r="CL46" s="211">
        <f>(Nbal!EI46*Nbal!EL46*0.01)</f>
        <v>0</v>
      </c>
      <c r="CM46" s="211">
        <f>(Nbal!BM46*Nbal!BP46*0.01)+(Nbal!EI46*Nbal!EL46*0.01)</f>
        <v>88.333700000000007</v>
      </c>
      <c r="CN46" s="211">
        <f>Nbal!BW46*Nbal!BY46*0.01</f>
        <v>0</v>
      </c>
      <c r="CO46">
        <f>Nbal!BT46+Nbal!ER46</f>
        <v>0</v>
      </c>
      <c r="CQ46">
        <f>Nbal!BA46</f>
        <v>0</v>
      </c>
      <c r="CR46">
        <f>Nbal!EC46</f>
        <v>0</v>
      </c>
      <c r="CS46">
        <f>(CQ46+CR46)*Z46</f>
        <v>0</v>
      </c>
      <c r="CT46">
        <f>Nbal!CB46</f>
        <v>26</v>
      </c>
      <c r="CU46">
        <f>Nbal!EV46</f>
        <v>0</v>
      </c>
      <c r="CV46">
        <f>(CT46+CU46)*Z46</f>
        <v>83.46</v>
      </c>
      <c r="CW46">
        <f>Nbal!BA46+Nbal!CB46+Nbal!EC46+Nbal!EV46</f>
        <v>26</v>
      </c>
      <c r="CY46">
        <f>Nbal!BD46</f>
        <v>0</v>
      </c>
      <c r="CZ46">
        <f>Nbal!EF46</f>
        <v>0</v>
      </c>
      <c r="DA46">
        <f>(CY46+CZ46)*Z46</f>
        <v>0</v>
      </c>
      <c r="DB46">
        <f>Nbal!CE46</f>
        <v>61</v>
      </c>
      <c r="DC46">
        <f>Nbal!EY46</f>
        <v>0</v>
      </c>
      <c r="DD46">
        <f>(DB46+DC46)*Z46</f>
        <v>195.81</v>
      </c>
      <c r="DE46">
        <f>Nbal!BD46+Nbal!CE46+Nbal!EF46+Nbal!EY46</f>
        <v>61</v>
      </c>
      <c r="DG46">
        <f>VLOOKUP($R46,Afgr,Data!$AW$3)</f>
        <v>10.7</v>
      </c>
      <c r="DH46">
        <f>IF($AO46="FE",$AM46*$AP46*$DG46*0.01,$AM46*100*$DM46*0.01*$DG46*0.01)</f>
        <v>563.89</v>
      </c>
      <c r="DI46">
        <f>IF(VLOOKUP(R46,Afgr,Data!$BO$3)=1,DH46,0)*Z46</f>
        <v>1810.0869</v>
      </c>
      <c r="DJ46" s="12">
        <f>(BZ46+CC46+CJ46-AE46)*VLOOKUP($R46,Afgr,Data!$AX$3)</f>
        <v>-0.76</v>
      </c>
      <c r="DK46">
        <f>DG46+DJ46</f>
        <v>9.94</v>
      </c>
      <c r="DL46">
        <f>IF(Nbal!CQ46&lt;&gt;"",Nbal!CQ46,DK46)</f>
        <v>12.1</v>
      </c>
      <c r="DM46">
        <f>VLOOKUP(R46,Afgr,Data!$AT$3)</f>
        <v>85</v>
      </c>
      <c r="DN46">
        <f>IF($AO46="FE",$AM46*$AP46*$DL46*0.01,$AM46*100*$DM46*0.01*DL46*0.01)</f>
        <v>637.66999999999996</v>
      </c>
      <c r="DO46">
        <f>IF(VLOOKUP(R46,Afgr,Data!$BO$3)=1,DN46,0)*Z46</f>
        <v>2046.9206999999999</v>
      </c>
      <c r="DP46">
        <f>IF(ISERROR(DN46/VLOOKUP(R46,Afgr,Data!$AY$3)),0,DN46/VLOOKUP(R46,Afgr,Data!$AY$3))</f>
        <v>111.87192982456139</v>
      </c>
      <c r="DQ46">
        <f>DP46*Z46</f>
        <v>359.10889473684205</v>
      </c>
      <c r="DS46">
        <f>IF($AO46="FE",$AM46*$AP46*VLOOKUP($R46,Afgr,Data!$BC$3)*0.001,$AM46*100*$DM46*0.01*VLOOKUP($R46,Afgr,Data!$BC$3)*0.001)</f>
        <v>17.917999999999999</v>
      </c>
      <c r="DT46">
        <f>DS46*Z46</f>
        <v>57.516779999999997</v>
      </c>
      <c r="DV46">
        <f>IF($AO46="FE",$AM46*$AP46*VLOOKUP($R46,Afgr,Data!$BF$3)*0.001,$AM46*100*$DM46*0.01*VLOOKUP($R46,Afgr,Data!$BF$3)*0.001)</f>
        <v>25.295999999999999</v>
      </c>
      <c r="DW46">
        <f>DV46*Z46</f>
        <v>81.200159999999997</v>
      </c>
      <c r="DY46">
        <f>IF(ISERROR(VLOOKUP(R46,Afgr,Data!$AZ$3)*DL46/DG46),0,VLOOKUP(R46,Afgr,Data!$AZ$3)*DL46/DG46)</f>
        <v>3.7459112149532712</v>
      </c>
      <c r="DZ46">
        <f>VLOOKUP(R46,Afgr,Data!$AU$3)</f>
        <v>85</v>
      </c>
      <c r="EA46">
        <f>IF($S46=1,$BC46*$DZ46*0.01*DY46*0.01,0)</f>
        <v>109.67195612668742</v>
      </c>
      <c r="EB46">
        <f>EA46/6.25</f>
        <v>17.547512980269985</v>
      </c>
      <c r="EC46">
        <f>EB46*Z46</f>
        <v>56.327516666666654</v>
      </c>
      <c r="EE46">
        <f>IF($S46=1,$BC46*$DZ46*0.01*VLOOKUP($R46,Afgr,Data!$BD$3)*0.001,0)</f>
        <v>2.6349999999999998</v>
      </c>
      <c r="EF46">
        <f>EE46*Z46</f>
        <v>8.4583499999999994</v>
      </c>
      <c r="EH46">
        <f>IF($S46=1,$BC46*$DZ46*0.01*VLOOKUP($R46,Afgr,Data!$BG$3)*0.001,0)</f>
        <v>43.916666666666657</v>
      </c>
      <c r="EI46">
        <f>EH46*Z46</f>
        <v>140.97249999999997</v>
      </c>
      <c r="EK46">
        <f>VLOOKUP(T46,Efgr,Data!$AI$53)</f>
        <v>0</v>
      </c>
      <c r="EL46">
        <f>BX46*EK46*0.01/6.25</f>
        <v>0</v>
      </c>
      <c r="EM46">
        <f>EL46*Z46</f>
        <v>0</v>
      </c>
      <c r="EO46">
        <f>$BX46*VLOOKUP($T46,Efgr,Data!$AJ$53)*0.001</f>
        <v>0</v>
      </c>
      <c r="EP46">
        <f>EO46*Z46</f>
        <v>0</v>
      </c>
      <c r="ER46">
        <f>$BX46*VLOOKUP($T46,Efgr,Data!$AK$53)*0.001</f>
        <v>0</v>
      </c>
      <c r="ES46">
        <f>ER46*Z46</f>
        <v>0</v>
      </c>
      <c r="EU46">
        <f>IF(VLOOKUP(R46,Afgr,Data!$DS$3)=1,DP46*VLOOKUP(R46,Afgr,(Data!$DT$3+EftervirkningUdb1))*VLOOKUP(R46,Afgr,Data!$DV$3),0)</f>
        <v>0</v>
      </c>
      <c r="EV46">
        <f>IF(VLOOKUP(R46,Afgr,Data!$DS$3)=2,VLOOKUP(R46,Afgr,Data!$DX$3),0)</f>
        <v>0</v>
      </c>
      <c r="EW46">
        <f>IF(VLOOKUP(R46,Afgr,Data!$DS$3)=3,$DP46*VLOOKUP($R46,Afgr,IF(Jordtype1&lt;5,Data!$DT$3,Data!$DU$3))*VLOOKUP($R46,Afgr,Data!$DV$3),0)</f>
        <v>0</v>
      </c>
      <c r="EX46">
        <f>IF(VLOOKUP(R46,Afgr,Data!$DS$3)=4,(1.232+0.00469*AM46*100+(0.000256*AM46*100+0.089)*60),0)</f>
        <v>0</v>
      </c>
      <c r="EY46" s="211">
        <f>BZ46+CA46+CJ46+CK46</f>
        <v>196.33370000000002</v>
      </c>
      <c r="EZ46">
        <f>IF(VLOOKUP($R46,Afgr,Data!$DS$3)=5,($AM46*0.02742-$AM46*0.0001*$EY46+$AM46*0.0000001111*$EY46*$EY46),0)</f>
        <v>0</v>
      </c>
      <c r="FA46" s="2">
        <f>CB46+CL46</f>
        <v>0</v>
      </c>
      <c r="FB46">
        <f>IF(VLOOKUP($T46,Efgr,Data!$BH$53)=5,($BR46*0.02742-$BR46*0.0001*$FA46+$BR46*0.0000001111*$FA46*$FA46),0)</f>
        <v>0</v>
      </c>
      <c r="FC46" s="3">
        <f>EU46+EV46+EW46+EX46+EZ46+FB46</f>
        <v>0</v>
      </c>
      <c r="FD46" s="3">
        <f>FC46*Z46</f>
        <v>0</v>
      </c>
      <c r="FF46" s="211">
        <f>BZ46+CC46</f>
        <v>108</v>
      </c>
      <c r="FG46" s="211">
        <f>FF46*Z46</f>
        <v>346.68</v>
      </c>
      <c r="FH46" s="211">
        <f>CE46+CH46+CO46</f>
        <v>119</v>
      </c>
      <c r="FI46" s="211">
        <f>FH46*Z46</f>
        <v>381.99</v>
      </c>
      <c r="FJ46">
        <f>VLOOKUP($R46,Afgr,Data!$DK$3)*VLOOKUP($R46,Afgr,Data!$AT$3)*0.01*VLOOKUP($R46,Afgr,Data!$AW$3)*0.01/6.25</f>
        <v>2.3283199999999997</v>
      </c>
      <c r="FK46">
        <f>FJ46*Z46</f>
        <v>7.4739071999999993</v>
      </c>
      <c r="FL46" s="4">
        <f>IF(R46&gt;1,Deposition,0)</f>
        <v>15</v>
      </c>
      <c r="FM46" s="4">
        <f>FL46*Z46</f>
        <v>48.15</v>
      </c>
      <c r="FN46">
        <f>FC46</f>
        <v>0</v>
      </c>
      <c r="FO46">
        <f>FN46*Z46</f>
        <v>0</v>
      </c>
      <c r="FP46" s="211">
        <f>SUM(FF46,FH46,FJ46,FL46,FN46)</f>
        <v>244.32831999999999</v>
      </c>
      <c r="FQ46">
        <f>DP46+EB46+EL46</f>
        <v>129.41944280483136</v>
      </c>
      <c r="FR46" s="3">
        <f>FP46-FQ46</f>
        <v>114.90887719516863</v>
      </c>
      <c r="FS46" s="19">
        <f>FP46*Z46</f>
        <v>784.29390719999992</v>
      </c>
      <c r="FT46" s="19">
        <f>FQ46*Z46</f>
        <v>415.43641140350866</v>
      </c>
      <c r="FU46" s="3">
        <f>FR46*Z46</f>
        <v>368.85749579649132</v>
      </c>
      <c r="FW46">
        <f>CW46</f>
        <v>26</v>
      </c>
      <c r="FX46">
        <f>FW46*Z46</f>
        <v>83.46</v>
      </c>
      <c r="FY46">
        <f>IX46+MB46</f>
        <v>20.552999999999997</v>
      </c>
      <c r="FZ46">
        <f>FY46*Z46</f>
        <v>65.975129999999993</v>
      </c>
      <c r="GA46">
        <f>FW46-FY46</f>
        <v>5.4470000000000027</v>
      </c>
      <c r="GB46">
        <f>GA46*Z46</f>
        <v>17.484870000000008</v>
      </c>
      <c r="GD46">
        <f>DE46</f>
        <v>61</v>
      </c>
      <c r="GE46">
        <f>GD46*Z46</f>
        <v>195.81</v>
      </c>
      <c r="GF46">
        <f>JE46+MH46</f>
        <v>69.212666666666649</v>
      </c>
      <c r="GG46">
        <f>GF46*Z46</f>
        <v>222.17265999999995</v>
      </c>
      <c r="GH46">
        <f>GD46-GF46</f>
        <v>-8.2126666666666495</v>
      </c>
      <c r="GI46">
        <f>GH46*Z46</f>
        <v>-26.362659999999945</v>
      </c>
      <c r="GK46">
        <f>AA46</f>
        <v>1</v>
      </c>
      <c r="GL46" s="211">
        <f>FF46+FH46+FN46</f>
        <v>227</v>
      </c>
      <c r="GM46" s="211">
        <f>IF(R46=1,"",IF(GK46=1,GL46,""))</f>
        <v>227</v>
      </c>
      <c r="GN46" s="211" t="str">
        <f>IF(R46=1,"",IF(GK46=2,GL46,""))</f>
        <v/>
      </c>
      <c r="GO46" s="211" t="str">
        <f>IF(R46=1,"",IF(GK46=3,GL46,""))</f>
        <v/>
      </c>
      <c r="GP46" s="211" t="str">
        <f>IF(R46=1,"",IF(GK46=4,GL46,""))</f>
        <v/>
      </c>
      <c r="GQ46" s="149">
        <f>IF(OR(R46=1,VLOOKUP(R46,Afgr,Data!$BV$3)=1,VLOOKUP(R46,Afgr,Data!$BW$3)=1),0,IF(GK46=1,Nniveau1,IF(GK46=2,Nniveau2,IF(GK46=3,Nniveau3,IF(GK46=4,Nniveau4,GL46)))))</f>
        <v>173.16922222222217</v>
      </c>
      <c r="GR46" s="241">
        <v>0.32550000000000001</v>
      </c>
      <c r="GS46" s="6">
        <v>0</v>
      </c>
      <c r="GT46" s="149">
        <f>CC46+CM46</f>
        <v>196.33370000000002</v>
      </c>
      <c r="GU46" s="6">
        <f>$FN46</f>
        <v>0</v>
      </c>
      <c r="GV46" s="241">
        <v>0.25280000000000002</v>
      </c>
      <c r="GW46">
        <f>CO46</f>
        <v>0</v>
      </c>
      <c r="GX46" s="241">
        <v>0.376</v>
      </c>
      <c r="GY46" s="149">
        <f>CD46+CN46</f>
        <v>0</v>
      </c>
      <c r="GZ46" s="241">
        <f>IF(B46&gt;3,0.3539,1.0749)</f>
        <v>0.35389999999999999</v>
      </c>
      <c r="HA46" s="11">
        <f>$FQ46</f>
        <v>129.41944280483136</v>
      </c>
      <c r="HB46" s="241">
        <v>0.19359999999999999</v>
      </c>
      <c r="HC46" s="241">
        <f>VLOOKUP($R46,Afgr,Data!$DM$3)</f>
        <v>1</v>
      </c>
      <c r="HD46" s="24">
        <f>IF($HC46&gt;1,0,(VLOOKUP($X46,Afgr,Data!$DP$3)+IF(VLOOKUP($X46,Afgr,Data!$DP$3)=0,VLOOKUP($T46,Efgr,Data!$BI$53,0))))+IF(AND($HC46=7,VLOOKUP($X46,Afgr,Data!$DQ$3)=-2),-2,0)+IF(AND($HC46=6,VLOOKUP($T46,Efgr,Data!$BI$53)=2),8,0)</f>
        <v>1</v>
      </c>
      <c r="HE46" s="6">
        <f>VLOOKUP(SUM(HC46:HD46),Nlesafgr,3)</f>
        <v>-7.6</v>
      </c>
      <c r="HF46" s="7">
        <f>VLOOKUP($O46,Afgr,Data!$DN$3)</f>
        <v>1</v>
      </c>
      <c r="HG46" s="24">
        <f>IF(HF46&gt;1,0,VLOOKUP($R46,Afgr,Data!$DO$3)+IF(VLOOKUP($R46,Afgr,Data!$DO$3)=1,0,VLOOKUP($P46,Efgr,Data!$BJ$53)))</f>
        <v>0</v>
      </c>
      <c r="HH46" s="6">
        <f>VLOOKUP(SUM(HF46:HG46),Nlesforfrugt,3)</f>
        <v>0</v>
      </c>
      <c r="HI46" s="241">
        <f>GR46*GQ46+GV46*(GT46+GU46)+GX46*GW46+GZ46*GY46-HB46*HA46+HE46+HH46</f>
        <v>73.344137066317984</v>
      </c>
      <c r="HJ46" s="241">
        <f>Nlesafskaering</f>
        <v>59.6</v>
      </c>
      <c r="HK46" s="241">
        <f>Teknologi1</f>
        <v>2455</v>
      </c>
      <c r="HL46" s="6">
        <v>2001</v>
      </c>
      <c r="HM46" s="241">
        <f>Teknologi2</f>
        <v>1962.2</v>
      </c>
      <c r="HN46" s="241">
        <f>Tandel</f>
        <v>0.54659999999999997</v>
      </c>
      <c r="HO46" s="241">
        <f>IF(OR(HI46&gt;0,HI46=0),HJ46+HK46/(HL46-HM46),HJ46+HK46/(HL46-HM46)+HN46*HI46)</f>
        <v>122.87319587628873</v>
      </c>
      <c r="HP46" s="241">
        <f>IF(HI46&gt;0,HI46,0.001)</f>
        <v>73.344137066317984</v>
      </c>
      <c r="HQ46" s="241">
        <v>1.5020000000000001E-3</v>
      </c>
      <c r="HR46" s="24">
        <f>IF(R46=1,0,VLOOKUP(PostnrNbal,AfstromData,VLOOKUP($R46,Afgr,Data!$DL$3)+IF(Jordtype1&lt;7,Jordtype1,6),FALSE)-VLOOKUP(T46,Efgr,Data!$AA$53))</f>
        <v>269.74999999999898</v>
      </c>
      <c r="HS46" s="24">
        <f>IF(Nbal!GA46&lt;&gt;"",Nbal!GA46,Regn2!HR46)</f>
        <v>269.74999999999898</v>
      </c>
      <c r="HT46" s="241">
        <v>5.5400000000000002E-4</v>
      </c>
      <c r="HU46" s="24">
        <f>IF(R46=1,0,VLOOKUP(PostnrNbal,AfstromData,VLOOKUP($O46,Afgr,Data!$DL$3)+IF(B46&lt;7,B46,6),FALSE)-VLOOKUP(P46,Efgr,Data!$AA$53))</f>
        <v>304.76666666666603</v>
      </c>
      <c r="HV46" s="24">
        <f>IF(Nbal!FU46&lt;&gt;"",Nbal!FU46,Regn2!HU46)</f>
        <v>304.76666666666603</v>
      </c>
      <c r="HW46" s="241">
        <v>0.10639999999999999</v>
      </c>
      <c r="HX46" s="6">
        <f>VLOOKUP(B46,Jordtype,Data!$W$112)</f>
        <v>26</v>
      </c>
      <c r="HY46" s="241">
        <v>3.2500000000000001E-2</v>
      </c>
      <c r="HZ46" s="6">
        <f>VLOOKUP(B46,Jordtype,Data!$X$112)</f>
        <v>5</v>
      </c>
      <c r="IA46" s="241">
        <v>1.2453000000000001</v>
      </c>
      <c r="IB46" s="241">
        <f>IF(VLOOKUP(T46,Efgr,Data!$AO$53)=1,MlafgrNUdvask,0)</f>
        <v>0</v>
      </c>
      <c r="IC46" s="20">
        <f>IF(ISERROR((HO46+POWER(HP46,1.2))*(1-EXP(-HQ46*HS46))*EXP(-HT46*HV46)*EXP(-HW46*HX46)*EXP(-HY46*HZ46)*IA46),0,(HO46+POWER(HP46,1.2))*(1-EXP(-HQ46*HS46))*EXP(-HT46*HV46)*EXP(-HW46*HX46)*EXP(-HY46*HZ46)*IA46+IB46)</f>
        <v>5.5449150703654144</v>
      </c>
      <c r="ID46">
        <f>IC46*Z46</f>
        <v>17.799177375872979</v>
      </c>
      <c r="IE46">
        <f>IF(Nbal!GF46&lt;&gt;"",Nbal!GF46,RetentionNbal)</f>
        <v>65</v>
      </c>
      <c r="IF46">
        <f>IC46*(100-IE46)*0.01</f>
        <v>1.9407202746278949</v>
      </c>
      <c r="IG46">
        <f>IF46*Z46</f>
        <v>6.2297120815555429</v>
      </c>
      <c r="IH46" s="2">
        <f>HS46*10000</f>
        <v>2697499.9999999898</v>
      </c>
      <c r="II46" s="2">
        <f>IH46*Z46</f>
        <v>8658974.9999999665</v>
      </c>
      <c r="IJ46">
        <f>IF(ISERROR(IC46*1000*1000/IH46),0,IC46*1000*1000/IH46)</f>
        <v>2.0555755589862597</v>
      </c>
      <c r="IL46">
        <f>AT46+AX46+BK46+BU46</f>
        <v>10712.222222222223</v>
      </c>
      <c r="IO46">
        <f>VLOOKUP(R46,Afgr,Data!$AP$3)*UdsaedJust</f>
        <v>578</v>
      </c>
      <c r="IP46" s="3">
        <f>IF(Nbal!GN46&lt;&gt;"",Nbal!GN46,IO46)</f>
        <v>578</v>
      </c>
      <c r="IQ46" s="3">
        <f>IP46*Z46</f>
        <v>1855.3799999999999</v>
      </c>
      <c r="IS46" s="3">
        <f>IF(HdgVaerdiNbal=1,(BZ46+CA46)*Npris,(BZ46+CA46+CJ46+CK46)*Npris)</f>
        <v>912.59999999999991</v>
      </c>
      <c r="IT46" s="3">
        <f>IS46*Z46</f>
        <v>2929.4459999999995</v>
      </c>
      <c r="IV46">
        <f>VLOOKUP($R46,Afgr,Data!$BA$3)</f>
        <v>0</v>
      </c>
      <c r="IW46">
        <f>VLOOKUP($R46,Afgr,Data!$BB$3)</f>
        <v>0</v>
      </c>
      <c r="IX46">
        <f>$DS46+$EE46</f>
        <v>20.552999999999997</v>
      </c>
      <c r="IY46">
        <f>CT46</f>
        <v>26</v>
      </c>
      <c r="IZ46">
        <f>CQ46</f>
        <v>0</v>
      </c>
      <c r="JA46" s="3">
        <f>IF(HdgVaerdiNbal=1,(IZ46)*Ppris,(IY46+IZ46)*Ppris)</f>
        <v>0</v>
      </c>
      <c r="JB46" s="3">
        <f>JA46*Z46</f>
        <v>0</v>
      </c>
      <c r="JD46">
        <f>IF(AND(R46&gt;1,OR(Jordtype1=1,Jordtype1=3,Markvand1=2)),Kudvask,0)</f>
        <v>0</v>
      </c>
      <c r="JE46">
        <f>$DV46+$EH46</f>
        <v>69.212666666666649</v>
      </c>
      <c r="JF46">
        <f>DB46</f>
        <v>61</v>
      </c>
      <c r="JG46">
        <f>CY46</f>
        <v>0</v>
      </c>
      <c r="JH46" s="3">
        <f>IF(HdgVaerdiNbal=1,JG46*Kpris,(JF46+JG46)*Kpris)</f>
        <v>0</v>
      </c>
      <c r="JI46" s="3">
        <f>JH46*Z46</f>
        <v>0</v>
      </c>
      <c r="JK46">
        <f>IS46+JA46+JH46</f>
        <v>912.59999999999991</v>
      </c>
      <c r="JL46" s="3">
        <f>IF(Nbal!GT46&lt;&gt;"",Nbal!GT46,$JK46)</f>
        <v>912.59999999999991</v>
      </c>
      <c r="JM46" s="3">
        <f>JL46*Z46</f>
        <v>2929.4459999999995</v>
      </c>
      <c r="JO46">
        <f>VLOOKUP(R46,Afgr,Data!$AQ$3)*PlantevJust</f>
        <v>703</v>
      </c>
      <c r="JP46" s="3">
        <f>IF(Nbal!GZ46&lt;&gt;"",Nbal!GZ46,JO46)</f>
        <v>703</v>
      </c>
      <c r="JQ46" s="3">
        <f>JP46*Z46</f>
        <v>2256.63</v>
      </c>
      <c r="JS46">
        <f>VLOOKUP(R46,Afgr,Data!$AR$3)+AM46*VLOOKUP(R46,Afgr,Data!$BH$3)</f>
        <v>0</v>
      </c>
      <c r="JT46" s="3">
        <f>IF(Nbal!HF46&lt;&gt;"",Nbal!HF46,JS46)</f>
        <v>0</v>
      </c>
      <c r="JU46">
        <f>JT46*Z46</f>
        <v>0</v>
      </c>
      <c r="JW46">
        <f>IP46+JL46+JP46+JT46</f>
        <v>2193.6</v>
      </c>
      <c r="JY46">
        <f>IF(VLOOKUP(R46,Afgr,Data!$BY$3)&gt;0,Data!$K$259*J46,0)</f>
        <v>600</v>
      </c>
      <c r="JZ46">
        <f>IF(VLOOKUP(R46,Afgr,Data!$BZ$3)&gt;0,Data!$K$260*J46,0)</f>
        <v>0</v>
      </c>
      <c r="KA46">
        <f>(JY46+JZ46)*MaskJust</f>
        <v>600</v>
      </c>
      <c r="KB46" s="3">
        <f>IF(Nbal!HL46&lt;&gt;"",Nbal!HL46,KA46)</f>
        <v>600</v>
      </c>
      <c r="KC46" s="3">
        <f>KB46*Z46</f>
        <v>1926</v>
      </c>
      <c r="KE46">
        <f>IF(VLOOKUP(R46,Afgr,Data!$CA$3)&gt;0,VLOOKUP(R46,Afgr,Data!$CA$3)*Data!$K$261*K46,0)</f>
        <v>0</v>
      </c>
      <c r="KF46">
        <f>IF(VLOOKUP(R46,Afgr,Data!$CC$3)&gt;0,Data!$K$262*K46,0)</f>
        <v>350</v>
      </c>
      <c r="KG46">
        <f>IF(VLOOKUP(R46,Afgr,Data!$CD$3)&gt;0,VLOOKUP(R46,Afgr,Data!$CD$3)*Data!$K$263*K46,0)</f>
        <v>0</v>
      </c>
      <c r="KH46">
        <f>IF(VLOOKUP(R46,Afgr,Data!$CE$3)&gt;0,Data!$K$264*K46,0)</f>
        <v>0</v>
      </c>
      <c r="KI46">
        <f>IF(VLOOKUP(R46,Afgr,Data!$CF$3)&gt;0,Data!$K$265*K46,0)</f>
        <v>0</v>
      </c>
      <c r="KJ46">
        <f>IF(VLOOKUP(R46,Afgr,Data!$CV$3)&gt;0,Data!$K$266,0)</f>
        <v>0</v>
      </c>
      <c r="KK46">
        <f>IF(VLOOKUP(R46,Afgr,Data!$CG$3)&gt;0,Data!$K$267*K46,0)</f>
        <v>0</v>
      </c>
      <c r="KL46">
        <f>(KE46+KF46+KG46+KH46+KI46+KJ46+KK46)*MaskJust</f>
        <v>350</v>
      </c>
      <c r="KM46" s="3">
        <f>IF(Nbal!HR46&lt;&gt;"",Nbal!HR46,KL46)</f>
        <v>350</v>
      </c>
      <c r="KN46" s="3">
        <f>KM46*Z46</f>
        <v>1123.5</v>
      </c>
      <c r="KP46">
        <f>IF(VLOOKUP(R46,Afgr,Data!$CJ$3)&gt;0,VLOOKUP(R46,Afgr,Data!$CJ$3)*Data!$K$268*K46,0)*MaskJust</f>
        <v>280</v>
      </c>
      <c r="KQ46" s="3">
        <f>IF(Nbal!HX46&lt;&gt;"",Nbal!HX46,KP46)</f>
        <v>280</v>
      </c>
      <c r="KR46" s="3">
        <f>KQ46*Z46</f>
        <v>898.8</v>
      </c>
      <c r="KT46">
        <f>IF(VLOOKUP(R46,Afgr,Data!$CI$3)&gt;0,VLOOKUP(R46,Afgr,Data!$CI$3)*Data!$K$269,0)*MaskJust</f>
        <v>450</v>
      </c>
      <c r="KU46" s="3">
        <f>IF(Nbal!ID46&lt;&gt;"",Nbal!ID46,KT46)</f>
        <v>450</v>
      </c>
      <c r="KV46" s="3">
        <f>KU46*Z46</f>
        <v>1444.5</v>
      </c>
      <c r="KX46">
        <f>IF(C46=2,VLOOKUP($R46,Afgr,Data!$CY$3),0)</f>
        <v>0</v>
      </c>
      <c r="KY46">
        <f>IF(Nbal!IJ46&lt;&gt;"",Nbal!IJ46,$KX46)</f>
        <v>0</v>
      </c>
      <c r="KZ46">
        <f>IF(AND(R46&gt;1,C46=2),Vandmaskin+$KY46*Flytning/mmprgang+$KY46*Prisprmm,0)</f>
        <v>0</v>
      </c>
      <c r="LA46" s="3">
        <f>IF(Nbal!IP46&lt;&gt;"",Nbal!IP46,$KZ46)</f>
        <v>0</v>
      </c>
      <c r="LB46" s="3">
        <f>LA46*Z46</f>
        <v>0</v>
      </c>
      <c r="LD46">
        <f>IF(VLOOKUP($R46,Afgr,Data!$CK$3)&gt;0,((1+AM46/VLOOKUP($R46,Afgr,Data!$CK$3))/2)*VLOOKUP($R46,Afgr,Data!$CL$3)*VLOOKUP($R46,Afgr,Data!$CN$3)+VLOOKUP($R46,Afgr,Data!$CM$3),0)</f>
        <v>778.23529411764707</v>
      </c>
      <c r="LE46">
        <f>IF(VLOOKUP($R46,Afgr,Data!$CK$3)&gt;0,IF(AND($S46=2,$BA46&gt;0),Data!$K$271,0),0)</f>
        <v>0</v>
      </c>
      <c r="LF46">
        <f>IF(VLOOKUP($R46,Afgr,Data!$CK$3)&gt;0,(AM46/VLOOKUP($R46,Afgr,Data!$CK$3))*VLOOKUP($R46,Afgr,Data!$CO$3)*VLOOKUP($R46,Afgr,Data!$CN$3),0)</f>
        <v>237.05882352941174</v>
      </c>
      <c r="LG46">
        <f>(LD46+LE46+LF46)*MaskJust</f>
        <v>1015.2941176470588</v>
      </c>
      <c r="LH46" s="3">
        <f>IF(Nbal!IV46&lt;&gt;"",Nbal!IV46,LG46)</f>
        <v>1015.2941176470588</v>
      </c>
      <c r="LI46" s="3">
        <f>LH46*Z46</f>
        <v>3259.0941176470587</v>
      </c>
      <c r="LJ46" s="3"/>
      <c r="LK46">
        <f>IF(AND($S46=1,VLOOKUP($R46,Afgr,Data!$CP$3)&gt;0),((1+$BC46/VLOOKUP($R46,Afgr,Data!$CP$3))/2)*VLOOKUP($R46,Afgr,Data!$CQ$3),0)</f>
        <v>563.8888888888888</v>
      </c>
      <c r="LL46">
        <f>IF(AND($S46=1,VLOOKUP($R46,Afgr,Data!$CP$3)&gt;0),($BC46/VLOOKUP($R46,Afgr,Data!$CP$3))*VLOOKUP($R46,Afgr,Data!$CR$3),0)</f>
        <v>229.62962962962962</v>
      </c>
      <c r="LM46">
        <f>(LK46+LL46)*MaskJust</f>
        <v>793.51851851851848</v>
      </c>
      <c r="LN46" s="3">
        <f>IF(Nbal!JB46&lt;&gt;"",Nbal!JB46,LM46)</f>
        <v>793.51851851851848</v>
      </c>
      <c r="LO46" s="3">
        <f>LN46*Z46</f>
        <v>2547.1944444444443</v>
      </c>
      <c r="LQ46">
        <f>$AM46*VLOOKUP($R46,Afgr,Data!$CS$3)*IF($V46=1,VLOOKUP($R46,Afgr,Data!$CT$3),IF($V46=2,VLOOKUP($R46,Afgr,Data!$CU$3),0))</f>
        <v>572.88000000000011</v>
      </c>
      <c r="LR46" s="3">
        <f>IF(Nbal!JK46&lt;&gt;"",Nbal!JK46,LQ46)</f>
        <v>572.88000000000011</v>
      </c>
      <c r="LS46" s="3">
        <f>LR46*Z46</f>
        <v>1838.9448000000004</v>
      </c>
      <c r="LU46">
        <f>VLOOKUP($T46,Efgr,Data!$AC$53)*UdsaedJust</f>
        <v>0</v>
      </c>
      <c r="LV46" s="3">
        <f>IF(Nbal!$JS46&lt;&gt;"",Nbal!$JS46,LU46)</f>
        <v>0</v>
      </c>
      <c r="LW46" s="3">
        <f>LV46*Z46</f>
        <v>0</v>
      </c>
      <c r="LY46" s="3">
        <f>IF(HdgVaerdiNbal=1,(CB46)*Npris,(CB46+CL46)*Npris)</f>
        <v>0</v>
      </c>
      <c r="LZ46" s="3">
        <f>LY46*Z46</f>
        <v>0</v>
      </c>
      <c r="MB46">
        <f>$EO46</f>
        <v>0</v>
      </c>
      <c r="MC46">
        <f>CU46</f>
        <v>0</v>
      </c>
      <c r="MD46">
        <f>CR46</f>
        <v>0</v>
      </c>
      <c r="ME46" s="3">
        <f>IF(HdgVaerdiNbal=1,MD46*Ppris,(MC46+MD46)*Ppris)</f>
        <v>0</v>
      </c>
      <c r="MF46" s="3">
        <f>ME46*Z46</f>
        <v>0</v>
      </c>
      <c r="MH46">
        <f>$ER46</f>
        <v>0</v>
      </c>
      <c r="MI46">
        <f>DC46</f>
        <v>0</v>
      </c>
      <c r="MJ46">
        <f>CZ46</f>
        <v>0</v>
      </c>
      <c r="MK46" s="3">
        <f>IF(HdgVaerdiNbal=1,MJ46*Ppris,(MI46+MJ46)*Ppris)</f>
        <v>0</v>
      </c>
      <c r="ML46" s="3">
        <f>MK46*Z46</f>
        <v>0</v>
      </c>
      <c r="MN46">
        <f>LY46+ME46+MK46</f>
        <v>0</v>
      </c>
      <c r="MO46" s="3">
        <f>IF(Nbal!JY46&lt;&gt;"",Nbal!JY46,$MN46)</f>
        <v>0</v>
      </c>
      <c r="MP46" s="3">
        <f>MO46*Z46</f>
        <v>0</v>
      </c>
      <c r="MR46">
        <f>VLOOKUP($T46,Efgr,Data!$AE$53)*PlantevJust</f>
        <v>0</v>
      </c>
      <c r="MS46" s="3">
        <f>IF(Nbal!KE46&lt;&gt;"",Nbal!KE46,MR46)</f>
        <v>0</v>
      </c>
      <c r="MT46" s="3">
        <f>MS46*Z46</f>
        <v>0</v>
      </c>
      <c r="MV46">
        <f>VLOOKUP($T46,Efgr,Data!$AF$53)+$BR46*VLOOKUP($T46,Efgr,Data!$AL$53)</f>
        <v>0</v>
      </c>
      <c r="MW46" s="3">
        <f>IF(Nbal!KK46&lt;&gt;"",Nbal!KK46,MV46)</f>
        <v>0</v>
      </c>
      <c r="MX46" s="3">
        <f>MW46*Z46</f>
        <v>0</v>
      </c>
      <c r="MZ46">
        <f>LV46+MO46+MS46+MW46</f>
        <v>0</v>
      </c>
      <c r="NB46">
        <f>VLOOKUP($T46,Efgr,Data!$AU$53)*K46*MaskJust</f>
        <v>0</v>
      </c>
      <c r="NC46" s="3">
        <f>IF(Nbal!KQ46&lt;&gt;"",Nbal!KQ46,NB46)</f>
        <v>0</v>
      </c>
      <c r="ND46" s="3">
        <f>NC46*Z46</f>
        <v>0</v>
      </c>
      <c r="NF46">
        <f>VLOOKUP($T46,Efgr,Data!$AW$53)*Data!$K$268*K46*MaskJust</f>
        <v>0</v>
      </c>
      <c r="NG46" s="3">
        <f>IF(Nbal!KW46&lt;&gt;"",Nbal!KW46,NF46)</f>
        <v>0</v>
      </c>
      <c r="NH46" s="3">
        <f>NG46*Z46</f>
        <v>0</v>
      </c>
      <c r="NJ46">
        <f>VLOOKUP($T46,Efgr,Data!$AV$53)*Data!$K$269*MaskJust</f>
        <v>0</v>
      </c>
      <c r="NK46" s="3">
        <f>IF(Nbal!LC46&lt;&gt;"",Nbal!LC46,NJ46)</f>
        <v>0</v>
      </c>
      <c r="NL46" s="3">
        <f>NK46*Z46</f>
        <v>0</v>
      </c>
      <c r="NN46">
        <f>IF(C46=2,VLOOKUP($T46,Efgr,Data!$BC$53),0)</f>
        <v>0</v>
      </c>
      <c r="NO46">
        <f>IF(Nbal!LI46&lt;&gt;"",Nbal!LI46,$NN46)</f>
        <v>0</v>
      </c>
      <c r="NP46">
        <f>IF(C46=2,$NO46*Flytning/mmprgang+$NO46*Prisprmm,0)</f>
        <v>0</v>
      </c>
      <c r="NQ46" s="3">
        <f>IF(Nbal!LO46&lt;&gt;"",Nbal!LO46,$NP46)</f>
        <v>0</v>
      </c>
      <c r="NR46" s="3">
        <f>NQ46*Z46</f>
        <v>0</v>
      </c>
      <c r="NT46">
        <f>IF(VLOOKUP($T46,Efgr,Data!$AX$53)&gt;0,((1+BR46/VLOOKUP($T46,Efgr,Data!$AX$53))/2)*VLOOKUP($T46,Efgr,Data!$AY$53)*VLOOKUP($T46,Efgr,Data!$BA$53)+VLOOKUP($T46,Efgr,Data!$AZ$53),0)</f>
        <v>0</v>
      </c>
      <c r="NU46">
        <f>IF(VLOOKUP($T46,Efgr,Data!$AX$53)&gt;0,($BR46/VLOOKUP($T46,Efgr,Data!$AX$53))*VLOOKUP($T46,Efgr,Data!$BB$53)*VLOOKUP($T46,Efgr,Data!$BA$53),0)</f>
        <v>0</v>
      </c>
      <c r="NV46">
        <f>(NT46+NU46)*MaskJust</f>
        <v>0</v>
      </c>
      <c r="NW46" s="3">
        <f>IF(Nbal!LU46&lt;&gt;"",Nbal!LU46,NV46)</f>
        <v>0</v>
      </c>
      <c r="NX46" s="3">
        <f>NW46*Z46</f>
        <v>0</v>
      </c>
      <c r="NZ46">
        <f>IF($U46=2,Data!$K$304,IF($U46=3,Data!$K$305,0))*MaskJust</f>
        <v>0</v>
      </c>
      <c r="OA46" s="3">
        <f>IF(Nbal!MA46&lt;&gt;"",Nbal!MA46,NZ46)</f>
        <v>0</v>
      </c>
      <c r="OB46" s="3">
        <f>OA46*Z46</f>
        <v>0</v>
      </c>
      <c r="OD46">
        <f>IL46</f>
        <v>10712.222222222223</v>
      </c>
      <c r="OE46">
        <f>JW46+MZ46</f>
        <v>2193.6</v>
      </c>
      <c r="OF46">
        <f>OD46-OE46</f>
        <v>8518.6222222222223</v>
      </c>
      <c r="OG46">
        <f>OF46*Z46</f>
        <v>27344.777333333332</v>
      </c>
      <c r="OJ46">
        <f>VLOOKUP($O46,Afgr,Data!$BP$3)+VLOOKUP($P46,Efgr,Data!$AM$53)</f>
        <v>1</v>
      </c>
      <c r="OK46" s="3">
        <f>OJ46*Z46</f>
        <v>3.21</v>
      </c>
      <c r="OL46">
        <f>VLOOKUP($R46,Afgr,Data!$BP$3)+VLOOKUP($T46,Efgr,Data!$AM$53)</f>
        <v>1</v>
      </c>
      <c r="OM46" s="3">
        <f>OL46*Z46</f>
        <v>3.21</v>
      </c>
      <c r="OO46">
        <f>VLOOKUP($P46,Efgr,Data!$AN$53)</f>
        <v>0</v>
      </c>
      <c r="OP46">
        <f>VLOOKUP($O46,Afgr,Data!$BQ$3)</f>
        <v>1</v>
      </c>
      <c r="OQ46">
        <f>VLOOKUP($R46,Afgr,Data!$BR$3)</f>
        <v>0</v>
      </c>
      <c r="OR46">
        <f>OO46*OP46*OQ46</f>
        <v>0</v>
      </c>
      <c r="OS46" s="3">
        <f>OR46*Z46</f>
        <v>0</v>
      </c>
      <c r="OT46" s="3">
        <f>IF(Q46,1,0)*OS46</f>
        <v>0</v>
      </c>
      <c r="OV46">
        <f>VLOOKUP($T46,Efgr,Data!$AN$53)</f>
        <v>0</v>
      </c>
      <c r="OW46">
        <f>VLOOKUP($R46,Afgr,Data!$BQ$3)</f>
        <v>1</v>
      </c>
      <c r="OX46">
        <f>VLOOKUP($X46,Afgr,Data!$BR$3)</f>
        <v>0</v>
      </c>
      <c r="OY46">
        <f>OV46*OW46*OX46</f>
        <v>0</v>
      </c>
      <c r="OZ46" s="3">
        <f>OY46*Z46</f>
        <v>0</v>
      </c>
      <c r="PB46">
        <f>VLOOKUP($T46,Efgr,Data!$AO$53)</f>
        <v>0</v>
      </c>
      <c r="PC46">
        <f>VLOOKUP($O46,Afgr,Data!$BQ$3)</f>
        <v>1</v>
      </c>
      <c r="PD46">
        <f>VLOOKUP($R46,Afgr,Data!$BS$3)</f>
        <v>1</v>
      </c>
      <c r="PE46" s="3">
        <f>PB46*PC46*PD46*$Z46</f>
        <v>0</v>
      </c>
      <c r="PG46">
        <f>VLOOKUP($T46,Efgr,Data!$AO$53)</f>
        <v>0</v>
      </c>
      <c r="PH46">
        <f>VLOOKUP($R46,Afgr,Data!$BQ$3)</f>
        <v>1</v>
      </c>
      <c r="PI46">
        <f>VLOOKUP($X46,Afgr,Data!$BS$3)</f>
        <v>1</v>
      </c>
      <c r="PJ46" s="3">
        <f>PG46*PH46*PI46*$Z46</f>
        <v>0</v>
      </c>
      <c r="PK46" s="3"/>
      <c r="PL46" s="3">
        <f>VLOOKUP($O46,Afgr,Data!$BU$3)</f>
        <v>0</v>
      </c>
      <c r="PM46" s="3">
        <f>PL46*Z46</f>
        <v>0</v>
      </c>
      <c r="PN46" s="3">
        <f>VLOOKUP($R46,Afgr,Data!$BU$3)</f>
        <v>0</v>
      </c>
      <c r="PO46" s="3">
        <f>PN46*Z46</f>
        <v>0</v>
      </c>
      <c r="PQ46">
        <f>VLOOKUP(R46,Afgr,Data!$BX$3)+VLOOKUP(T46,Efgr,Data!$AQ$53)</f>
        <v>1</v>
      </c>
      <c r="PR46">
        <f>IF(PQ46&gt;0,Z46,0)</f>
        <v>3.21</v>
      </c>
      <c r="PT46">
        <f>VLOOKUP($O46,Afgr,Data!$BT$3)</f>
        <v>1</v>
      </c>
      <c r="PU46" s="3">
        <f>PT46*Z46</f>
        <v>3.21</v>
      </c>
      <c r="PV46">
        <f>VLOOKUP($R46,Afgr,Data!$BT$3)</f>
        <v>1</v>
      </c>
      <c r="PW46" s="3">
        <f>PV46*Z46</f>
        <v>3.21</v>
      </c>
      <c r="PY46">
        <f>VLOOKUP($R46,Afgr,Data!$BV$3)</f>
        <v>0</v>
      </c>
      <c r="PZ46">
        <f>PY46*Z46</f>
        <v>0</v>
      </c>
      <c r="QB46">
        <f>VLOOKUP($R46,Afgr,Data!$BW$3)</f>
        <v>0</v>
      </c>
      <c r="QC46">
        <f>QB46*Z46</f>
        <v>0</v>
      </c>
      <c r="QE46">
        <f>AM46*IF(VLOOKUP($R46,Afgr,Data!$BJ$3)&gt;0,1,0)</f>
        <v>62</v>
      </c>
      <c r="QF46">
        <f>QE46*Z46</f>
        <v>199.02</v>
      </c>
      <c r="QH46">
        <f>AM46*VLOOKUP(R46,Afgr,Data!$BK$3)</f>
        <v>6386</v>
      </c>
      <c r="QI46">
        <f>Z46*QH46</f>
        <v>20499.060000000001</v>
      </c>
      <c r="QJ46">
        <f>$AM46*VLOOKUP($R46,Afgr,Data!$BL$3)+$BR46*VLOOKUP($T46,Efgr,Data!$AP$53)</f>
        <v>0</v>
      </c>
      <c r="QK46">
        <f>QJ46*Z46</f>
        <v>0</v>
      </c>
      <c r="QL46">
        <f>$AM46*VLOOKUP($R46,Afgr,Data!$BM$3)</f>
        <v>0</v>
      </c>
      <c r="QM46">
        <f>QL46*Z46</f>
        <v>0</v>
      </c>
      <c r="QN46">
        <f>$AM46*VLOOKUP($R46,Afgr,Data!$BN$3)</f>
        <v>0</v>
      </c>
      <c r="QO46">
        <f>QN46*Z46</f>
        <v>0</v>
      </c>
      <c r="QR46">
        <f>IF(VLOOKUP($R46,Afgr,Data!$DA$3)="Vårbyg",$AN46,0)*VLOOKUP($R46,Afgr,Data!$BJ$3)</f>
        <v>0</v>
      </c>
      <c r="QS46">
        <f>IF(VLOOKUP($R46,Afgr,Data!$DA$3)="Vinterbyg",$AN46,0)*VLOOKUP($R46,Afgr,Data!$BJ$3)</f>
        <v>0</v>
      </c>
      <c r="QT46">
        <f>IF(VLOOKUP($R46,Afgr,Data!$DA$3)="Havre",$AN46,0)*VLOOKUP($R46,Afgr,Data!$BJ$3)</f>
        <v>0</v>
      </c>
      <c r="QU46">
        <f>IF(VLOOKUP($R46,Afgr,Data!$DA$3)="Hvede",$AN46,0)*VLOOKUP($R46,Afgr,Data!$BJ$3)</f>
        <v>22887.300000000003</v>
      </c>
      <c r="QV46">
        <f>IF(VLOOKUP($R46,Afgr,Data!$DA$3)="Triticale",$AN46,0)*VLOOKUP($R46,Afgr,Data!$BJ$3)</f>
        <v>0</v>
      </c>
      <c r="QW46">
        <f>IF(VLOOKUP($R46,Afgr,Data!$DA$3)="Rug",$AN46,0)*VLOOKUP($R46,Afgr,Data!$BJ$3)</f>
        <v>0</v>
      </c>
      <c r="QX46">
        <f>IF(VLOOKUP($R46,Afgr,Data!$DA$3)="Majs",$AN46,0)*VLOOKUP($R46,Afgr,Data!$BJ$3)</f>
        <v>0</v>
      </c>
      <c r="RA46">
        <f>IF(OV46+PB46&gt;0,1,0)</f>
        <v>0</v>
      </c>
      <c r="RB46">
        <f>RA46*LW46</f>
        <v>0</v>
      </c>
      <c r="RC46">
        <f>RA46*MT46</f>
        <v>0</v>
      </c>
      <c r="RD46">
        <f>ND46</f>
        <v>0</v>
      </c>
      <c r="RE46">
        <f>RA46*OB46</f>
        <v>0</v>
      </c>
      <c r="RH46">
        <f>VLOOKUP(B46,Jordtype,Data!$Y$112+DenitNr-1)</f>
        <v>0</v>
      </c>
      <c r="RI46">
        <f>FF46*VLOOKUP(B46,Jordtype,Data!$AB$112+DenitNr-1)</f>
        <v>0</v>
      </c>
      <c r="RJ46">
        <f>((CJ46+CK46+CL46+Regn2!CO46*0.7)-(RR46+RT46))*VLOOKUP(B46,Jordtype,Data!$AE$112+DenitNr-1)</f>
        <v>0</v>
      </c>
      <c r="RK46">
        <f>0*VLOOKUP(B46,Jordtype,Data!$AE$112+DenitNr-1)</f>
        <v>0</v>
      </c>
      <c r="RL46">
        <f>Regn2!FD46*VLOOKUP(B46,Jordtype,Data!$AH$112+DenitNr-1)</f>
        <v>0</v>
      </c>
      <c r="RM46" s="3">
        <f>RH46+RI46+RJ46+RK46+RL46</f>
        <v>0</v>
      </c>
      <c r="RO46">
        <v>2</v>
      </c>
      <c r="RP46">
        <f>(FF46)*RO46*0.01</f>
        <v>2.16</v>
      </c>
      <c r="RQ46">
        <v>7</v>
      </c>
      <c r="RR46">
        <f>CE46*RQ46*0.01</f>
        <v>0</v>
      </c>
      <c r="RS46">
        <v>7</v>
      </c>
      <c r="RT46">
        <f>(Regn2!CF46+Regn2!CG46)*RS46*0.01</f>
        <v>8.33</v>
      </c>
      <c r="RW46">
        <f>VLOOKUP(R46,Afgr,Data!$EE$3)</f>
        <v>5</v>
      </c>
      <c r="RX46" s="3">
        <f>RP46+RR46+RT46+RV46+RW46</f>
        <v>15.49</v>
      </c>
    </row>
    <row r="48" spans="1:492" x14ac:dyDescent="0.25">
      <c r="A48" s="214" t="str">
        <f>Nbal!B48</f>
        <v>21-0</v>
      </c>
      <c r="B48">
        <v>11</v>
      </c>
      <c r="C48">
        <v>1</v>
      </c>
      <c r="D48">
        <f>IF(C48=1,VLOOKUP(B48,Jordtype,Data!$K$112),VLOOKUP(B48,Jordtype,Data!$L$112))</f>
        <v>7</v>
      </c>
      <c r="E48">
        <f>IF(C48=1,VLOOKUP(B48,Jordtype,Data!$M$112),VLOOKUP(B48,Jordtype,Data!$N$112))</f>
        <v>12</v>
      </c>
      <c r="F48">
        <f>IF(OR(B48=1,B48=3),0,IF(OR(B48=2,B48=4),1,IF(OR(B48=5,B48=6),2,3)))</f>
        <v>3</v>
      </c>
      <c r="G48">
        <f>IF(C48=1,VLOOKUP(B48,Jordtype,Data!$Q$112),VLOOKUP(B48,Jordtype,Data!$R$112))</f>
        <v>23</v>
      </c>
      <c r="H48">
        <f>IF(C48=1,VLOOKUP(B48,Jordtype,Data!$O$112),VLOOKUP(B48,Jordtype,Data!$P$112))</f>
        <v>17</v>
      </c>
      <c r="I48">
        <f>IF(B48&lt;5,0,1)</f>
        <v>1</v>
      </c>
      <c r="J48">
        <f>IF(B48&lt;5,PlojJB,1)</f>
        <v>1</v>
      </c>
      <c r="K48">
        <f>IF(B48&lt;5,SaaJB,1)</f>
        <v>1</v>
      </c>
      <c r="L48">
        <f>IF(C48=1,VLOOKUP(B48,Jordtype,Data!$S$112),VLOOKUP(B48,Jordtype,Data!$T$112))</f>
        <v>6</v>
      </c>
      <c r="M48">
        <f>IF(C48=1,VLOOKUP(B48,Jordtype,Data!$U$112),VLOOKUP(B48,Jordtype,Data!$V$112))</f>
        <v>11</v>
      </c>
      <c r="O48">
        <v>19</v>
      </c>
      <c r="P48">
        <v>1</v>
      </c>
      <c r="Q48" t="b">
        <v>0</v>
      </c>
      <c r="R48">
        <v>19</v>
      </c>
      <c r="S48">
        <v>1</v>
      </c>
      <c r="T48">
        <v>1</v>
      </c>
      <c r="U48">
        <v>1</v>
      </c>
      <c r="V48">
        <v>1</v>
      </c>
      <c r="X48">
        <v>19</v>
      </c>
      <c r="Z48">
        <f>Nbal!AG48</f>
        <v>1.7</v>
      </c>
      <c r="AA48">
        <v>1</v>
      </c>
      <c r="AB48">
        <f>VLOOKUP($R48,Afgr,G48)</f>
        <v>321</v>
      </c>
      <c r="AC48">
        <f>VLOOKUP($O48,Afgr,Data!$AI$3)*VLOOKUP(R48,Afgr,Data!$AJ$3)</f>
        <v>0</v>
      </c>
      <c r="AD48">
        <f>IF($Q48,0,VLOOKUP($P48,Efgr,(Data!$W$53+$V$6-1)))</f>
        <v>0</v>
      </c>
      <c r="AE48">
        <f>AB48-AC48-AD48</f>
        <v>321</v>
      </c>
      <c r="AF48">
        <f>AE48*Z48</f>
        <v>545.69999999999993</v>
      </c>
      <c r="AH48">
        <f>VLOOKUP(R48,Afgr,D48)</f>
        <v>7100</v>
      </c>
      <c r="AI48">
        <f>VLOOKUP(O48,Afgr,Data!$AL$3)*VLOOKUP(R48,Afgr,E48)</f>
        <v>0</v>
      </c>
      <c r="AJ48">
        <f>VLOOKUP(P48,Efgr,(Data!$Y$53+I48))</f>
        <v>0</v>
      </c>
      <c r="AK48">
        <f>AH48+AI48+AJ48</f>
        <v>7100</v>
      </c>
      <c r="AL48">
        <f>AH48+AI48+AJ48</f>
        <v>7100</v>
      </c>
      <c r="AM48" s="3">
        <f>IF(Nbal!CK48&lt;&gt;"",Nbal!CK48,AL48)</f>
        <v>7100</v>
      </c>
      <c r="AN48">
        <f>AM48*Z48</f>
        <v>12070</v>
      </c>
      <c r="AO48" t="str">
        <f>VLOOKUP(R48,Afgr,3)</f>
        <v>FE</v>
      </c>
      <c r="AP48">
        <f>IF(AO48="FE",VLOOKUP($R48,Afgr,Data!$AV$3),0)</f>
        <v>1.24</v>
      </c>
      <c r="AR48">
        <f>VLOOKUP(R48,Afgr,4)</f>
        <v>1.2</v>
      </c>
      <c r="AS48" s="3">
        <f>IF(Nbal!CW48&lt;&gt;"",Nbal!CW48,AR48)</f>
        <v>1.2</v>
      </c>
      <c r="AT48" s="3">
        <f>AM48*AS48</f>
        <v>8520</v>
      </c>
      <c r="AU48" s="3">
        <f>AN48*AS48</f>
        <v>14484</v>
      </c>
      <c r="AW48">
        <f>VLOOKUP(R48,Afgr,Data!$AN$3)</f>
        <v>0</v>
      </c>
      <c r="AX48" s="3">
        <f>IF(Nbal!DC48&lt;&gt;"",Nbal!DC48,AW48)</f>
        <v>0</v>
      </c>
      <c r="AY48" s="3">
        <f>AX48*Z48</f>
        <v>0</v>
      </c>
      <c r="BA48">
        <f>VLOOKUP(R48,Afgr,H48)</f>
        <v>0</v>
      </c>
      <c r="BB48">
        <f>IF(ISERROR(BA48*AM48/AK48),0,(BA48*AM48/AK48))</f>
        <v>0</v>
      </c>
      <c r="BC48" s="3">
        <f>IF(Nbal!DI48&lt;&gt;"",Nbal!DI48,BB48)</f>
        <v>0</v>
      </c>
      <c r="BD48">
        <f>BC48*Z48</f>
        <v>0</v>
      </c>
      <c r="BG48">
        <f>IF($S48=1,BC48,0)</f>
        <v>0</v>
      </c>
      <c r="BH48">
        <f>IF($S48=1,BD48,0)</f>
        <v>0</v>
      </c>
      <c r="BI48">
        <f>VLOOKUP(R48,Afgr,Data!$AM$3)</f>
        <v>0</v>
      </c>
      <c r="BJ48">
        <f>IF(Nbal!DR48&lt;&gt;"",Nbal!DR48,BI48)</f>
        <v>0</v>
      </c>
      <c r="BK48">
        <f>BG48*BJ48</f>
        <v>0</v>
      </c>
      <c r="BL48">
        <f>BH48*BJ48</f>
        <v>0</v>
      </c>
      <c r="BN48">
        <f>VLOOKUP($T48,Efgr,M48)</f>
        <v>0</v>
      </c>
      <c r="BO48">
        <f>BN48*Z48</f>
        <v>0</v>
      </c>
      <c r="BQ48">
        <f>VLOOKUP(T48,Efgr,NormudbKolonneNrEfgr1)</f>
        <v>0</v>
      </c>
      <c r="BR48" s="3">
        <f>IF(Nbal!FE48&lt;&gt;"",Nbal!FE48,BQ48)</f>
        <v>0</v>
      </c>
      <c r="BS48">
        <f>BR48*Z48</f>
        <v>0</v>
      </c>
      <c r="BT48" t="s">
        <v>37</v>
      </c>
      <c r="BU48">
        <f>BR48*Efterslaetpris</f>
        <v>0</v>
      </c>
      <c r="BV48">
        <f>BS48*Efterslaetpris</f>
        <v>0</v>
      </c>
      <c r="BW48">
        <f>VLOOKUP(T48,Efgr,Data!$AG$53)</f>
        <v>0</v>
      </c>
      <c r="BX48">
        <f>BR48*BW48</f>
        <v>0</v>
      </c>
      <c r="BZ48">
        <f>Nbal!AQ48</f>
        <v>0</v>
      </c>
      <c r="CA48" s="211">
        <f>Nbal!AT48</f>
        <v>0</v>
      </c>
      <c r="CB48" s="2">
        <f>Nbal!DZ48</f>
        <v>0</v>
      </c>
      <c r="CC48" s="211">
        <f>Nbal!AT48+Nbal!DZ48</f>
        <v>0</v>
      </c>
      <c r="CD48" s="211">
        <f>Nbal!AX48</f>
        <v>0</v>
      </c>
      <c r="CE48">
        <f>Nbal!BH48</f>
        <v>0</v>
      </c>
      <c r="CF48" s="211">
        <f>Nbal!BM48</f>
        <v>0</v>
      </c>
      <c r="CG48" s="2">
        <f>Nbal!EI48</f>
        <v>0</v>
      </c>
      <c r="CH48" s="211">
        <f>Nbal!BM48+Nbal!EI48</f>
        <v>0</v>
      </c>
      <c r="CI48" s="211">
        <f>Nbal!BW48</f>
        <v>0</v>
      </c>
      <c r="CJ48" s="211">
        <f>Nbal!BH48*Nbal!BJ48*0.01</f>
        <v>0</v>
      </c>
      <c r="CK48" s="211">
        <f>(Nbal!BM48*Nbal!BP48*0.01)</f>
        <v>0</v>
      </c>
      <c r="CL48" s="211">
        <f>(Nbal!EI48*Nbal!EL48*0.01)</f>
        <v>0</v>
      </c>
      <c r="CM48" s="211">
        <f>(Nbal!BM48*Nbal!BP48*0.01)+(Nbal!EI48*Nbal!EL48*0.01)</f>
        <v>0</v>
      </c>
      <c r="CN48" s="211">
        <f>Nbal!BW48*Nbal!BY48*0.01</f>
        <v>0</v>
      </c>
      <c r="CO48">
        <f>Nbal!BT48+Nbal!ER48</f>
        <v>0</v>
      </c>
      <c r="CQ48">
        <f>Nbal!BA48</f>
        <v>0</v>
      </c>
      <c r="CR48">
        <f>Nbal!EC48</f>
        <v>0</v>
      </c>
      <c r="CS48">
        <f>(CQ48+CR48)*Z48</f>
        <v>0</v>
      </c>
      <c r="CT48">
        <f>Nbal!CB48</f>
        <v>0</v>
      </c>
      <c r="CU48">
        <f>Nbal!EV48</f>
        <v>0</v>
      </c>
      <c r="CV48">
        <f>(CT48+CU48)*Z48</f>
        <v>0</v>
      </c>
      <c r="CW48">
        <f>Nbal!BA48+Nbal!CB48+Nbal!EC48+Nbal!EV48</f>
        <v>0</v>
      </c>
      <c r="CY48">
        <f>Nbal!BD48</f>
        <v>0</v>
      </c>
      <c r="CZ48">
        <f>Nbal!EF48</f>
        <v>0</v>
      </c>
      <c r="DA48">
        <f>(CY48+CZ48)*Z48</f>
        <v>0</v>
      </c>
      <c r="DB48">
        <f>Nbal!CE48</f>
        <v>0</v>
      </c>
      <c r="DC48">
        <f>Nbal!EY48</f>
        <v>0</v>
      </c>
      <c r="DD48">
        <f>(DB48+DC48)*Z48</f>
        <v>0</v>
      </c>
      <c r="DE48">
        <f>Nbal!BD48+Nbal!CE48+Nbal!EF48+Nbal!EY48</f>
        <v>0</v>
      </c>
      <c r="DG48">
        <f>VLOOKUP($R48,Afgr,Data!$AW$3)</f>
        <v>16.3125</v>
      </c>
      <c r="DH48">
        <f>IF($AO48="FE",$AM48*$AP48*$DG48*0.01,$AM48*100*$DM48*0.01*$DG48*0.01)</f>
        <v>1436.1524999999999</v>
      </c>
      <c r="DI48">
        <f>IF(VLOOKUP(R48,Afgr,Data!$BO$3)=1,DH48,0)*Z48</f>
        <v>0</v>
      </c>
      <c r="DJ48" s="12">
        <f>(BZ48+CC48+CJ48-AE48)*VLOOKUP($R48,Afgr,Data!$AX$3)</f>
        <v>0</v>
      </c>
      <c r="DK48">
        <f>DG48+DJ48</f>
        <v>16.3125</v>
      </c>
      <c r="DL48">
        <f>IF(Nbal!CQ48&lt;&gt;"",Nbal!CQ48,DK48)</f>
        <v>16.3125</v>
      </c>
      <c r="DM48">
        <f>VLOOKUP(R48,Afgr,Data!$AT$3)</f>
        <v>0</v>
      </c>
      <c r="DN48">
        <f>IF($AO48="FE",$AM48*$AP48*$DL48*0.01,$AM48*100*$DM48*0.01*DL48*0.01)</f>
        <v>1436.1524999999999</v>
      </c>
      <c r="DO48">
        <f>IF(VLOOKUP(R48,Afgr,Data!$BO$3)=1,DN48,0)*Z48</f>
        <v>0</v>
      </c>
      <c r="DP48">
        <f>IF(ISERROR(DN48/VLOOKUP(R48,Afgr,Data!$AY$3)),0,DN48/VLOOKUP(R48,Afgr,Data!$AY$3))</f>
        <v>229.78439999999998</v>
      </c>
      <c r="DQ48">
        <f>DP48*Z48</f>
        <v>390.63347999999996</v>
      </c>
      <c r="DS48">
        <f>IF($AO48="FE",$AM48*$AP48*VLOOKUP($R48,Afgr,Data!$BC$3)*0.001,$AM48*100*$DM48*0.01*VLOOKUP($R48,Afgr,Data!$BC$3)*0.001)</f>
        <v>32.574800000000003</v>
      </c>
      <c r="DT48">
        <f>DS48*Z48</f>
        <v>55.377160000000003</v>
      </c>
      <c r="DV48">
        <f>IF($AO48="FE",$AM48*$AP48*VLOOKUP($R48,Afgr,Data!$BF$3)*0.001,$AM48*100*$DM48*0.01*VLOOKUP($R48,Afgr,Data!$BF$3)*0.001)</f>
        <v>255.316</v>
      </c>
      <c r="DW48">
        <f>DV48*Z48</f>
        <v>434.03719999999998</v>
      </c>
      <c r="DY48">
        <f>IF(ISERROR(VLOOKUP(R48,Afgr,Data!$AZ$3)*DL48/DG48),0,VLOOKUP(R48,Afgr,Data!$AZ$3)*DL48/DG48)</f>
        <v>0</v>
      </c>
      <c r="DZ48">
        <f>VLOOKUP(R48,Afgr,Data!$AU$3)</f>
        <v>0</v>
      </c>
      <c r="EA48">
        <f>IF($S48=1,$BC48*$DZ48*0.01*DY48*0.01,0)</f>
        <v>0</v>
      </c>
      <c r="EB48">
        <f>EA48/6.25</f>
        <v>0</v>
      </c>
      <c r="EC48">
        <f>EB48*Z48</f>
        <v>0</v>
      </c>
      <c r="EE48">
        <f>IF($S48=1,$BC48*$DZ48*0.01*VLOOKUP($R48,Afgr,Data!$BD$3)*0.001,0)</f>
        <v>0</v>
      </c>
      <c r="EF48">
        <f>EE48*Z48</f>
        <v>0</v>
      </c>
      <c r="EH48">
        <f>IF($S48=1,$BC48*$DZ48*0.01*VLOOKUP($R48,Afgr,Data!$BG$3)*0.001,0)</f>
        <v>0</v>
      </c>
      <c r="EI48">
        <f>EH48*Z48</f>
        <v>0</v>
      </c>
      <c r="EK48">
        <f>VLOOKUP(T48,Efgr,Data!$AI$53)</f>
        <v>0</v>
      </c>
      <c r="EL48">
        <f>BX48*EK48*0.01/6.25</f>
        <v>0</v>
      </c>
      <c r="EM48">
        <f>EL48*Z48</f>
        <v>0</v>
      </c>
      <c r="EO48">
        <f>$BX48*VLOOKUP($T48,Efgr,Data!$AJ$53)*0.001</f>
        <v>0</v>
      </c>
      <c r="EP48">
        <f>EO48*Z48</f>
        <v>0</v>
      </c>
      <c r="ER48">
        <f>$BX48*VLOOKUP($T48,Efgr,Data!$AK$53)*0.001</f>
        <v>0</v>
      </c>
      <c r="ES48">
        <f>ER48*Z48</f>
        <v>0</v>
      </c>
      <c r="EU48">
        <f>IF(VLOOKUP(R48,Afgr,Data!$DS$3)=1,DP48*VLOOKUP(R48,Afgr,(Data!$DT$3+EftervirkningUdb1))*VLOOKUP(R48,Afgr,Data!$DV$3),0)</f>
        <v>0</v>
      </c>
      <c r="EV48">
        <f>IF(VLOOKUP(R48,Afgr,Data!$DS$3)=2,VLOOKUP(R48,Afgr,Data!$DX$3),0)</f>
        <v>0</v>
      </c>
      <c r="EW48">
        <f>IF(VLOOKUP(R48,Afgr,Data!$DS$3)=3,$DP48*VLOOKUP($R48,Afgr,IF(Jordtype1&lt;5,Data!$DT$3,Data!$DU$3))*VLOOKUP($R48,Afgr,Data!$DV$3),0)</f>
        <v>0</v>
      </c>
      <c r="EX48">
        <f>IF(VLOOKUP(R48,Afgr,Data!$DS$3)=4,(1.232+0.00469*AM48*100+(0.000256*AM48*100+0.089)*60),0)</f>
        <v>0</v>
      </c>
      <c r="EY48" s="211">
        <f>BZ48+CA48+CJ48+CK48</f>
        <v>0</v>
      </c>
      <c r="EZ48">
        <f>IF(VLOOKUP($R48,Afgr,Data!$DS$3)=5,($AM48*0.02742-$AM48*0.0001*$EY48+$AM48*0.0000001111*$EY48*$EY48),0)</f>
        <v>194.68199999999999</v>
      </c>
      <c r="FA48" s="2">
        <f>CB48+CL48</f>
        <v>0</v>
      </c>
      <c r="FB48">
        <f>IF(VLOOKUP($T48,Efgr,Data!$BH$53)=5,($BR48*0.02742-$BR48*0.0001*$FA48+$BR48*0.0000001111*$FA48*$FA48),0)</f>
        <v>0</v>
      </c>
      <c r="FC48" s="3">
        <f>EU48+EV48+EW48+EX48+EZ48+FB48</f>
        <v>194.68199999999999</v>
      </c>
      <c r="FD48" s="3">
        <f>FC48*Z48</f>
        <v>330.95939999999996</v>
      </c>
      <c r="FF48" s="211">
        <f>BZ48+CC48</f>
        <v>0</v>
      </c>
      <c r="FG48" s="211">
        <f>FF48*Z48</f>
        <v>0</v>
      </c>
      <c r="FH48" s="211">
        <f>CE48+CH48+CO48</f>
        <v>0</v>
      </c>
      <c r="FI48" s="211">
        <f>FH48*Z48</f>
        <v>0</v>
      </c>
      <c r="FJ48">
        <f>VLOOKUP($R48,Afgr,Data!$DK$3)*VLOOKUP($R48,Afgr,Data!$AT$3)*0.01*VLOOKUP($R48,Afgr,Data!$AW$3)*0.01/6.25</f>
        <v>0</v>
      </c>
      <c r="FK48">
        <f>FJ48*Z48</f>
        <v>0</v>
      </c>
      <c r="FL48" s="4">
        <f>IF(R48&gt;1,Deposition,0)</f>
        <v>15</v>
      </c>
      <c r="FM48" s="4">
        <f>FL48*Z48</f>
        <v>25.5</v>
      </c>
      <c r="FN48">
        <f>FC48</f>
        <v>194.68199999999999</v>
      </c>
      <c r="FO48">
        <f>FN48*Z48</f>
        <v>330.95939999999996</v>
      </c>
      <c r="FP48" s="211">
        <f>SUM(FF48,FH48,FJ48,FL48,FN48)</f>
        <v>209.68199999999999</v>
      </c>
      <c r="FQ48">
        <f>DP48+EB48+EL48</f>
        <v>229.78439999999998</v>
      </c>
      <c r="FR48" s="3">
        <f>FP48-FQ48</f>
        <v>-20.102399999999989</v>
      </c>
      <c r="FS48" s="19">
        <f>FP48*Z48</f>
        <v>356.45939999999996</v>
      </c>
      <c r="FT48" s="19">
        <f>FQ48*Z48</f>
        <v>390.63347999999996</v>
      </c>
      <c r="FU48" s="3">
        <f>FR48*Z48</f>
        <v>-34.174079999999982</v>
      </c>
      <c r="FW48">
        <f>CW48</f>
        <v>0</v>
      </c>
      <c r="FX48">
        <f>FW48*Z48</f>
        <v>0</v>
      </c>
      <c r="FY48">
        <f>IX48+MB48</f>
        <v>32.574800000000003</v>
      </c>
      <c r="FZ48">
        <f>FY48*Z48</f>
        <v>55.377160000000003</v>
      </c>
      <c r="GA48">
        <f>FW48-FY48</f>
        <v>-32.574800000000003</v>
      </c>
      <c r="GB48">
        <f>GA48*Z48</f>
        <v>-55.377160000000003</v>
      </c>
      <c r="GD48">
        <f>DE48</f>
        <v>0</v>
      </c>
      <c r="GE48">
        <f>GD48*Z48</f>
        <v>0</v>
      </c>
      <c r="GF48">
        <f>JE48+MH48</f>
        <v>255.316</v>
      </c>
      <c r="GG48">
        <f>GF48*Z48</f>
        <v>434.03719999999998</v>
      </c>
      <c r="GH48">
        <f>GD48-GF48</f>
        <v>-255.316</v>
      </c>
      <c r="GI48">
        <f>GH48*Z48</f>
        <v>-434.03719999999998</v>
      </c>
      <c r="GK48">
        <f>AA48</f>
        <v>1</v>
      </c>
      <c r="GL48" s="211">
        <f>FF48+FH48+FN48</f>
        <v>194.68199999999999</v>
      </c>
      <c r="GM48" s="211">
        <f>IF(R48=1,"",IF(GK48=1,GL48,""))</f>
        <v>194.68199999999999</v>
      </c>
      <c r="GN48" s="211" t="str">
        <f>IF(R48=1,"",IF(GK48=2,GL48,""))</f>
        <v/>
      </c>
      <c r="GO48" s="211" t="str">
        <f>IF(R48=1,"",IF(GK48=3,GL48,""))</f>
        <v/>
      </c>
      <c r="GP48" s="211" t="str">
        <f>IF(R48=1,"",IF(GK48=4,GL48,""))</f>
        <v/>
      </c>
      <c r="GQ48" s="149">
        <f>IF(OR(R48=1,VLOOKUP(R48,Afgr,Data!$BV$3)=1,VLOOKUP(R48,Afgr,Data!$BW$3)=1),0,IF(GK48=1,Nniveau1,IF(GK48=2,Nniveau2,IF(GK48=3,Nniveau3,IF(GK48=4,Nniveau4,GL48)))))</f>
        <v>173.16922222222217</v>
      </c>
      <c r="GR48" s="241">
        <v>0.32550000000000001</v>
      </c>
      <c r="GS48" s="6">
        <v>0</v>
      </c>
      <c r="GT48" s="149">
        <f>CC48+CM48</f>
        <v>0</v>
      </c>
      <c r="GU48" s="6">
        <f>$FN48</f>
        <v>194.68199999999999</v>
      </c>
      <c r="GV48" s="241">
        <v>0.25280000000000002</v>
      </c>
      <c r="GW48">
        <f>CO48</f>
        <v>0</v>
      </c>
      <c r="GX48" s="241">
        <v>0.376</v>
      </c>
      <c r="GY48" s="149">
        <f>CD48+CN48</f>
        <v>0</v>
      </c>
      <c r="GZ48" s="241">
        <f>IF(B48&gt;3,0.3539,1.0749)</f>
        <v>0.35389999999999999</v>
      </c>
      <c r="HA48" s="11">
        <f>$FQ48</f>
        <v>229.78439999999998</v>
      </c>
      <c r="HB48" s="241">
        <v>0.19359999999999999</v>
      </c>
      <c r="HC48" s="241">
        <f>VLOOKUP($R48,Afgr,Data!$DM$3)</f>
        <v>7</v>
      </c>
      <c r="HD48" s="24">
        <f>IF($HC48&gt;1,0,(VLOOKUP($X48,Afgr,Data!$DP$3)+IF(VLOOKUP($X48,Afgr,Data!$DP$3)=0,VLOOKUP($T48,Efgr,Data!$BI$53,0))))+IF(AND($HC48=7,VLOOKUP($X48,Afgr,Data!$DQ$3)=-2),-2,0)+IF(AND($HC48=6,VLOOKUP($T48,Efgr,Data!$BI$53)=2),8,0)</f>
        <v>0</v>
      </c>
      <c r="HE48" s="6">
        <f>VLOOKUP(SUM(HC48:HD48),Nlesafgr,3)</f>
        <v>-165.7</v>
      </c>
      <c r="HF48" s="7">
        <f>VLOOKUP($O48,Afgr,Data!$DN$3)</f>
        <v>4</v>
      </c>
      <c r="HG48" s="24">
        <f>IF(HF48&gt;1,0,VLOOKUP($R48,Afgr,Data!$DO$3)+IF(VLOOKUP($R48,Afgr,Data!$DO$3)=1,0,VLOOKUP($P48,Efgr,Data!$BJ$53)))</f>
        <v>0</v>
      </c>
      <c r="HH48" s="6">
        <f>VLOOKUP(SUM(HF48:HG48),Nlesforfrugt,3)</f>
        <v>34.700000000000003</v>
      </c>
      <c r="HI48" s="241">
        <f>GR48*GQ48+GV48*(GT48+GU48)+GX48*GW48+GZ48*GY48-HB48*HA48+HE48+HH48</f>
        <v>-69.904068406666667</v>
      </c>
      <c r="HJ48" s="241">
        <f>Nlesafskaering</f>
        <v>59.6</v>
      </c>
      <c r="HK48" s="241">
        <f>Teknologi1</f>
        <v>2455</v>
      </c>
      <c r="HL48" s="6">
        <v>2001</v>
      </c>
      <c r="HM48" s="241">
        <f>Teknologi2</f>
        <v>1962.2</v>
      </c>
      <c r="HN48" s="241">
        <f>Tandel</f>
        <v>0.54659999999999997</v>
      </c>
      <c r="HO48" s="241">
        <f>IF(OR(HI48&gt;0,HI48=0),HJ48+HK48/(HL48-HM48),HJ48+HK48/(HL48-HM48)+HN48*HI48)</f>
        <v>84.663632085204739</v>
      </c>
      <c r="HP48" s="241">
        <f>IF(HI48&gt;0,HI48,0.001)</f>
        <v>1E-3</v>
      </c>
      <c r="HQ48" s="241">
        <v>1.5020000000000001E-3</v>
      </c>
      <c r="HR48" s="24">
        <f>IF(R48=1,0,VLOOKUP(PostnrNbal,AfstromData,VLOOKUP($R48,Afgr,Data!$DL$3)+IF(Jordtype1&lt;7,Jordtype1,6),FALSE)-VLOOKUP(T48,Efgr,Data!$AA$53))</f>
        <v>272.32333333333298</v>
      </c>
      <c r="HS48" s="24">
        <f>IF(Nbal!GA48&lt;&gt;"",Nbal!GA48,Regn2!HR48)</f>
        <v>272.32333333333298</v>
      </c>
      <c r="HT48" s="241">
        <v>5.5400000000000002E-4</v>
      </c>
      <c r="HU48" s="24">
        <f>IF(R48=1,0,VLOOKUP(PostnrNbal,AfstromData,VLOOKUP($O48,Afgr,Data!$DL$3)+IF(B48&lt;7,B48,6),FALSE)-VLOOKUP(P48,Efgr,Data!$AA$53))</f>
        <v>272.32333333333298</v>
      </c>
      <c r="HV48" s="24">
        <f>IF(Nbal!FU48&lt;&gt;"",Nbal!FU48,Regn2!HU48)</f>
        <v>272.32333333333298</v>
      </c>
      <c r="HW48" s="241">
        <v>0.10639999999999999</v>
      </c>
      <c r="HX48" s="6">
        <f>VLOOKUP(B48,Jordtype,Data!$W$112)</f>
        <v>26</v>
      </c>
      <c r="HY48" s="241">
        <v>3.2500000000000001E-2</v>
      </c>
      <c r="HZ48" s="6">
        <f>VLOOKUP(B48,Jordtype,Data!$X$112)</f>
        <v>5</v>
      </c>
      <c r="IA48" s="241">
        <v>1.2453000000000001</v>
      </c>
      <c r="IB48" s="241">
        <f>IF(VLOOKUP(T48,Efgr,Data!$AO$53)=1,MlafgrNUdvask,0)</f>
        <v>0</v>
      </c>
      <c r="IC48" s="20">
        <f>IF(ISERROR((HO48+POWER(HP48,1.2))*(1-EXP(-HQ48*HS48))*EXP(-HT48*HV48)*EXP(-HW48*HX48)*EXP(-HY48*HZ48)*IA48),0,(HO48+POWER(HP48,1.2))*(1-EXP(-HQ48*HS48))*EXP(-HT48*HV48)*EXP(-HW48*HX48)*EXP(-HY48*HZ48)*IA48+IB48)</f>
        <v>1.6270642816768945</v>
      </c>
      <c r="ID48">
        <f>IC48*Z48</f>
        <v>2.7660092788507207</v>
      </c>
      <c r="IE48">
        <f>IF(Nbal!GF48&lt;&gt;"",Nbal!GF48,RetentionNbal)</f>
        <v>65</v>
      </c>
      <c r="IF48">
        <f>IC48*(100-IE48)*0.01</f>
        <v>0.56947249858691307</v>
      </c>
      <c r="IG48">
        <f>IF48*Z48</f>
        <v>0.96810324759775224</v>
      </c>
      <c r="IH48" s="2">
        <f>HS48*10000</f>
        <v>2723233.3333333298</v>
      </c>
      <c r="II48" s="2">
        <f>IH48*Z48</f>
        <v>4629496.6666666605</v>
      </c>
      <c r="IJ48">
        <f>IF(ISERROR(IC48*1000*1000/IH48),0,IC48*1000*1000/IH48)</f>
        <v>0.59747516371845844</v>
      </c>
      <c r="IL48">
        <f>AT48+AX48+BK48+BU48</f>
        <v>8520</v>
      </c>
      <c r="IO48">
        <f>VLOOKUP(R48,Afgr,Data!$AP$3)*UdsaedJust</f>
        <v>420</v>
      </c>
      <c r="IP48" s="3">
        <f>IF(Nbal!GN48&lt;&gt;"",Nbal!GN48,IO48)</f>
        <v>420</v>
      </c>
      <c r="IQ48" s="3">
        <f>IP48*Z48</f>
        <v>714</v>
      </c>
      <c r="IS48" s="3">
        <f>IF(HdgVaerdiNbal=1,(BZ48+CA48)*Npris,(BZ48+CA48+CJ48+CK48)*Npris)</f>
        <v>0</v>
      </c>
      <c r="IT48" s="3">
        <f>IS48*Z48</f>
        <v>0</v>
      </c>
      <c r="IV48">
        <f>VLOOKUP($R48,Afgr,Data!$BA$3)</f>
        <v>0</v>
      </c>
      <c r="IW48">
        <f>VLOOKUP($R48,Afgr,Data!$BB$3)</f>
        <v>0</v>
      </c>
      <c r="IX48">
        <f>$DS48+$EE48</f>
        <v>32.574800000000003</v>
      </c>
      <c r="IY48">
        <f>CT48</f>
        <v>0</v>
      </c>
      <c r="IZ48">
        <f>CQ48</f>
        <v>0</v>
      </c>
      <c r="JA48" s="3">
        <f>IF(HdgVaerdiNbal=1,(IZ48)*Ppris,(IY48+IZ48)*Ppris)</f>
        <v>0</v>
      </c>
      <c r="JB48" s="3">
        <f>JA48*Z48</f>
        <v>0</v>
      </c>
      <c r="JD48">
        <f>IF(AND(R48&gt;1,OR(Jordtype1=1,Jordtype1=3,Markvand1=2)),Kudvask,0)</f>
        <v>0</v>
      </c>
      <c r="JE48">
        <f>$DV48+$EH48</f>
        <v>255.316</v>
      </c>
      <c r="JF48">
        <f>DB48</f>
        <v>0</v>
      </c>
      <c r="JG48">
        <f>CY48</f>
        <v>0</v>
      </c>
      <c r="JH48" s="3">
        <f>IF(HdgVaerdiNbal=1,JG48*Kpris,(JF48+JG48)*Kpris)</f>
        <v>0</v>
      </c>
      <c r="JI48" s="3">
        <f>JH48*Z48</f>
        <v>0</v>
      </c>
      <c r="JK48">
        <f>IS48+JA48+JH48</f>
        <v>0</v>
      </c>
      <c r="JL48" s="3">
        <f>IF(Nbal!GT48&lt;&gt;"",Nbal!GT48,$JK48)</f>
        <v>0</v>
      </c>
      <c r="JM48" s="3">
        <f>JL48*Z48</f>
        <v>0</v>
      </c>
      <c r="JO48">
        <f>VLOOKUP(R48,Afgr,Data!$AQ$3)*PlantevJust</f>
        <v>0</v>
      </c>
      <c r="JP48" s="3">
        <f>IF(Nbal!GZ48&lt;&gt;"",Nbal!GZ48,JO48)</f>
        <v>0</v>
      </c>
      <c r="JQ48" s="3">
        <f>JP48*Z48</f>
        <v>0</v>
      </c>
      <c r="JS48">
        <f>VLOOKUP(R48,Afgr,Data!$AR$3)+AM48*VLOOKUP(R48,Afgr,Data!$BH$3)</f>
        <v>369.2</v>
      </c>
      <c r="JT48" s="3">
        <f>IF(Nbal!HF48&lt;&gt;"",Nbal!HF48,JS48)</f>
        <v>369.2</v>
      </c>
      <c r="JU48">
        <f>JT48*Z48</f>
        <v>627.64</v>
      </c>
      <c r="JW48">
        <f>IP48+JL48+JP48+JT48</f>
        <v>789.2</v>
      </c>
      <c r="JY48">
        <f>IF(VLOOKUP(R48,Afgr,Data!$BY$3)&gt;0,Data!$K$259*J48,0)</f>
        <v>0</v>
      </c>
      <c r="JZ48">
        <f>IF(VLOOKUP(R48,Afgr,Data!$BZ$3)&gt;0,Data!$K$260*J48,0)</f>
        <v>0</v>
      </c>
      <c r="KA48">
        <f>(JY48+JZ48)*MaskJust</f>
        <v>0</v>
      </c>
      <c r="KB48" s="3">
        <f>IF(Nbal!HL48&lt;&gt;"",Nbal!HL48,KA48)</f>
        <v>0</v>
      </c>
      <c r="KC48" s="3">
        <f>KB48*Z48</f>
        <v>0</v>
      </c>
      <c r="KE48">
        <f>IF(VLOOKUP(R48,Afgr,Data!$CA$3)&gt;0,VLOOKUP(R48,Afgr,Data!$CA$3)*Data!$K$261*K48,0)</f>
        <v>0</v>
      </c>
      <c r="KF48">
        <f>IF(VLOOKUP(R48,Afgr,Data!$CC$3)&gt;0,Data!$K$262*K48,0)</f>
        <v>0</v>
      </c>
      <c r="KG48">
        <f>IF(VLOOKUP(R48,Afgr,Data!$CD$3)&gt;0,VLOOKUP(R48,Afgr,Data!$CD$3)*Data!$K$263*K48,0)</f>
        <v>125</v>
      </c>
      <c r="KH48">
        <f>IF(VLOOKUP(R48,Afgr,Data!$CE$3)&gt;0,Data!$K$264*K48,0)</f>
        <v>0</v>
      </c>
      <c r="KI48">
        <f>IF(VLOOKUP(R48,Afgr,Data!$CF$3)&gt;0,Data!$K$265*K48,0)</f>
        <v>0</v>
      </c>
      <c r="KJ48">
        <f>IF(VLOOKUP(R48,Afgr,Data!$CV$3)&gt;0,Data!$K$266,0)</f>
        <v>0</v>
      </c>
      <c r="KK48">
        <f>IF(VLOOKUP(R48,Afgr,Data!$CG$3)&gt;0,Data!$K$267*K48,0)</f>
        <v>0</v>
      </c>
      <c r="KL48">
        <f>(KE48+KF48+KG48+KH48+KI48+KJ48+KK48)*MaskJust</f>
        <v>125</v>
      </c>
      <c r="KM48" s="3">
        <f>IF(Nbal!HR48&lt;&gt;"",Nbal!HR48,KL48)</f>
        <v>125</v>
      </c>
      <c r="KN48" s="3">
        <f>KM48*Z48</f>
        <v>212.5</v>
      </c>
      <c r="KP48">
        <f>IF(VLOOKUP(R48,Afgr,Data!$CJ$3)&gt;0,VLOOKUP(R48,Afgr,Data!$CJ$3)*Data!$K$268*K48,0)*MaskJust</f>
        <v>420</v>
      </c>
      <c r="KQ48" s="3">
        <f>IF(Nbal!HX48&lt;&gt;"",Nbal!HX48,KP48)</f>
        <v>420</v>
      </c>
      <c r="KR48" s="3">
        <f>KQ48*Z48</f>
        <v>714</v>
      </c>
      <c r="KT48">
        <f>IF(VLOOKUP(R48,Afgr,Data!$CI$3)&gt;0,VLOOKUP(R48,Afgr,Data!$CI$3)*Data!$K$269,0)*MaskJust</f>
        <v>0</v>
      </c>
      <c r="KU48" s="3">
        <f>IF(Nbal!ID48&lt;&gt;"",Nbal!ID48,KT48)</f>
        <v>0</v>
      </c>
      <c r="KV48" s="3">
        <f>KU48*Z48</f>
        <v>0</v>
      </c>
      <c r="KX48">
        <f>IF(C48=2,VLOOKUP($R48,Afgr,Data!$CY$3),0)</f>
        <v>0</v>
      </c>
      <c r="KY48">
        <f>IF(Nbal!IJ48&lt;&gt;"",Nbal!IJ48,$KX48)</f>
        <v>0</v>
      </c>
      <c r="KZ48">
        <f>IF(AND(R48&gt;1,C48=2),Vandmaskin+$KY48*Flytning/mmprgang+$KY48*Prisprmm,0)</f>
        <v>0</v>
      </c>
      <c r="LA48" s="3">
        <f>IF(Nbal!IP48&lt;&gt;"",Nbal!IP48,$KZ48)</f>
        <v>0</v>
      </c>
      <c r="LB48" s="3">
        <f>LA48*Z48</f>
        <v>0</v>
      </c>
      <c r="LD48">
        <f>IF(VLOOKUP($R48,Afgr,Data!$CK$3)&gt;0,((1+AM48/VLOOKUP($R48,Afgr,Data!$CK$3))/2)*VLOOKUP($R48,Afgr,Data!$CL$3)*VLOOKUP($R48,Afgr,Data!$CN$3)+VLOOKUP($R48,Afgr,Data!$CM$3),0)</f>
        <v>1472.25</v>
      </c>
      <c r="LE48">
        <f>IF(VLOOKUP($R48,Afgr,Data!$CK$3)&gt;0,IF(AND($S48=2,$BA48&gt;0),Data!$K$271,0),0)</f>
        <v>0</v>
      </c>
      <c r="LF48">
        <f>IF(VLOOKUP($R48,Afgr,Data!$CK$3)&gt;0,(AM48/VLOOKUP($R48,Afgr,Data!$CK$3))*VLOOKUP($R48,Afgr,Data!$CO$3)*VLOOKUP($R48,Afgr,Data!$CN$3),0)</f>
        <v>2041.25</v>
      </c>
      <c r="LG48">
        <f>(LD48+LE48+LF48)*MaskJust</f>
        <v>3513.5</v>
      </c>
      <c r="LH48" s="3">
        <f>IF(Nbal!IV48&lt;&gt;"",Nbal!IV48,LG48)</f>
        <v>3513.5</v>
      </c>
      <c r="LI48" s="3">
        <f>LH48*Z48</f>
        <v>5972.95</v>
      </c>
      <c r="LJ48" s="3"/>
      <c r="LK48">
        <f>IF(AND($S48=1,VLOOKUP($R48,Afgr,Data!$CP$3)&gt;0),((1+$BC48/VLOOKUP($R48,Afgr,Data!$CP$3))/2)*VLOOKUP($R48,Afgr,Data!$CQ$3),0)</f>
        <v>0</v>
      </c>
      <c r="LL48">
        <f>IF(AND($S48=1,VLOOKUP($R48,Afgr,Data!$CP$3)&gt;0),($BC48/VLOOKUP($R48,Afgr,Data!$CP$3))*VLOOKUP($R48,Afgr,Data!$CR$3),0)</f>
        <v>0</v>
      </c>
      <c r="LM48">
        <f>(LK48+LL48)*MaskJust</f>
        <v>0</v>
      </c>
      <c r="LN48" s="3">
        <f>IF(Nbal!JB48&lt;&gt;"",Nbal!JB48,LM48)</f>
        <v>0</v>
      </c>
      <c r="LO48" s="3">
        <f>LN48*Z48</f>
        <v>0</v>
      </c>
      <c r="LQ48">
        <f>$AM48*VLOOKUP($R48,Afgr,Data!$CS$3)*IF($V48=1,VLOOKUP($R48,Afgr,Data!$CT$3),IF($V48=2,VLOOKUP($R48,Afgr,Data!$CU$3),0))</f>
        <v>0</v>
      </c>
      <c r="LR48" s="3">
        <f>IF(Nbal!JK48&lt;&gt;"",Nbal!JK48,LQ48)</f>
        <v>0</v>
      </c>
      <c r="LS48" s="3">
        <f>LR48*Z48</f>
        <v>0</v>
      </c>
      <c r="LU48">
        <f>VLOOKUP($T48,Efgr,Data!$AC$53)*UdsaedJust</f>
        <v>0</v>
      </c>
      <c r="LV48" s="3">
        <f>IF(Nbal!$JS48&lt;&gt;"",Nbal!$JS48,LU48)</f>
        <v>0</v>
      </c>
      <c r="LW48" s="3">
        <f>LV48*Z48</f>
        <v>0</v>
      </c>
      <c r="LY48" s="3">
        <f>IF(HdgVaerdiNbal=1,(CB48)*Npris,(CB48+CL48)*Npris)</f>
        <v>0</v>
      </c>
      <c r="LZ48" s="3">
        <f>LY48*Z48</f>
        <v>0</v>
      </c>
      <c r="MB48">
        <f>$EO48</f>
        <v>0</v>
      </c>
      <c r="MC48">
        <f>CU48</f>
        <v>0</v>
      </c>
      <c r="MD48">
        <f>CR48</f>
        <v>0</v>
      </c>
      <c r="ME48" s="3">
        <f>IF(HdgVaerdiNbal=1,MD48*Ppris,(MC48+MD48)*Ppris)</f>
        <v>0</v>
      </c>
      <c r="MF48" s="3">
        <f>ME48*Z48</f>
        <v>0</v>
      </c>
      <c r="MH48">
        <f>$ER48</f>
        <v>0</v>
      </c>
      <c r="MI48">
        <f>DC48</f>
        <v>0</v>
      </c>
      <c r="MJ48">
        <f>CZ48</f>
        <v>0</v>
      </c>
      <c r="MK48" s="3">
        <f>IF(HdgVaerdiNbal=1,MJ48*Ppris,(MI48+MJ48)*Ppris)</f>
        <v>0</v>
      </c>
      <c r="ML48" s="3">
        <f>MK48*Z48</f>
        <v>0</v>
      </c>
      <c r="MN48">
        <f>LY48+ME48+MK48</f>
        <v>0</v>
      </c>
      <c r="MO48" s="3">
        <f>IF(Nbal!JY48&lt;&gt;"",Nbal!JY48,$MN48)</f>
        <v>0</v>
      </c>
      <c r="MP48" s="3">
        <f>MO48*Z48</f>
        <v>0</v>
      </c>
      <c r="MR48">
        <f>VLOOKUP($T48,Efgr,Data!$AE$53)*PlantevJust</f>
        <v>0</v>
      </c>
      <c r="MS48" s="3">
        <f>IF(Nbal!KE48&lt;&gt;"",Nbal!KE48,MR48)</f>
        <v>0</v>
      </c>
      <c r="MT48" s="3">
        <f>MS48*Z48</f>
        <v>0</v>
      </c>
      <c r="MV48">
        <f>VLOOKUP($T48,Efgr,Data!$AF$53)+$BR48*VLOOKUP($T48,Efgr,Data!$AL$53)</f>
        <v>0</v>
      </c>
      <c r="MW48" s="3">
        <f>IF(Nbal!KK48&lt;&gt;"",Nbal!KK48,MV48)</f>
        <v>0</v>
      </c>
      <c r="MX48" s="3">
        <f>MW48*Z48</f>
        <v>0</v>
      </c>
      <c r="MZ48">
        <f>LV48+MO48+MS48+MW48</f>
        <v>0</v>
      </c>
      <c r="NB48">
        <f>VLOOKUP($T48,Efgr,Data!$AU$53)*K48*MaskJust</f>
        <v>0</v>
      </c>
      <c r="NC48" s="3">
        <f>IF(Nbal!KQ48&lt;&gt;"",Nbal!KQ48,NB48)</f>
        <v>0</v>
      </c>
      <c r="ND48" s="3">
        <f>NC48*Z48</f>
        <v>0</v>
      </c>
      <c r="NF48">
        <f>VLOOKUP($T48,Efgr,Data!$AW$53)*Data!$K$268*K48*MaskJust</f>
        <v>0</v>
      </c>
      <c r="NG48" s="3">
        <f>IF(Nbal!KW48&lt;&gt;"",Nbal!KW48,NF48)</f>
        <v>0</v>
      </c>
      <c r="NH48" s="3">
        <f>NG48*Z48</f>
        <v>0</v>
      </c>
      <c r="NJ48">
        <f>VLOOKUP($T48,Efgr,Data!$AV$53)*Data!$K$269*MaskJust</f>
        <v>0</v>
      </c>
      <c r="NK48" s="3">
        <f>IF(Nbal!LC48&lt;&gt;"",Nbal!LC48,NJ48)</f>
        <v>0</v>
      </c>
      <c r="NL48" s="3">
        <f>NK48*Z48</f>
        <v>0</v>
      </c>
      <c r="NN48">
        <f>IF(C48=2,VLOOKUP($T48,Efgr,Data!$BC$53),0)</f>
        <v>0</v>
      </c>
      <c r="NO48">
        <f>IF(Nbal!LI48&lt;&gt;"",Nbal!LI48,$NN48)</f>
        <v>0</v>
      </c>
      <c r="NP48">
        <f>IF(C48=2,$NO48*Flytning/mmprgang+$NO48*Prisprmm,0)</f>
        <v>0</v>
      </c>
      <c r="NQ48" s="3">
        <f>IF(Nbal!LO48&lt;&gt;"",Nbal!LO48,$NP48)</f>
        <v>0</v>
      </c>
      <c r="NR48" s="3">
        <f>NQ48*Z48</f>
        <v>0</v>
      </c>
      <c r="NT48">
        <f>IF(VLOOKUP($T48,Efgr,Data!$AX$53)&gt;0,((1+BR48/VLOOKUP($T48,Efgr,Data!$AX$53))/2)*VLOOKUP($T48,Efgr,Data!$AY$53)*VLOOKUP($T48,Efgr,Data!$BA$53)+VLOOKUP($T48,Efgr,Data!$AZ$53),0)</f>
        <v>0</v>
      </c>
      <c r="NU48">
        <f>IF(VLOOKUP($T48,Efgr,Data!$AX$53)&gt;0,($BR48/VLOOKUP($T48,Efgr,Data!$AX$53))*VLOOKUP($T48,Efgr,Data!$BB$53)*VLOOKUP($T48,Efgr,Data!$BA$53),0)</f>
        <v>0</v>
      </c>
      <c r="NV48">
        <f>(NT48+NU48)*MaskJust</f>
        <v>0</v>
      </c>
      <c r="NW48" s="3">
        <f>IF(Nbal!LU48&lt;&gt;"",Nbal!LU48,NV48)</f>
        <v>0</v>
      </c>
      <c r="NX48" s="3">
        <f>NW48*Z48</f>
        <v>0</v>
      </c>
      <c r="NZ48">
        <f>IF($U48=2,Data!$K$304,IF($U48=3,Data!$K$305,0))*MaskJust</f>
        <v>0</v>
      </c>
      <c r="OA48" s="3">
        <f>IF(Nbal!MA48&lt;&gt;"",Nbal!MA48,NZ48)</f>
        <v>0</v>
      </c>
      <c r="OB48" s="3">
        <f>OA48*Z48</f>
        <v>0</v>
      </c>
      <c r="OD48">
        <f>IL48</f>
        <v>8520</v>
      </c>
      <c r="OE48">
        <f>JW48+MZ48</f>
        <v>789.2</v>
      </c>
      <c r="OF48">
        <f>OD48-OE48</f>
        <v>7730.8</v>
      </c>
      <c r="OG48">
        <f>OF48*Z48</f>
        <v>13142.36</v>
      </c>
      <c r="OJ48">
        <f>VLOOKUP($O48,Afgr,Data!$BP$3)+VLOOKUP($P48,Efgr,Data!$AM$53)</f>
        <v>0</v>
      </c>
      <c r="OK48" s="3">
        <f>OJ48*Z48</f>
        <v>0</v>
      </c>
      <c r="OL48">
        <f>VLOOKUP($R48,Afgr,Data!$BP$3)+VLOOKUP($T48,Efgr,Data!$AM$53)</f>
        <v>0</v>
      </c>
      <c r="OM48" s="3">
        <f>OL48*Z48</f>
        <v>0</v>
      </c>
      <c r="OO48">
        <f>VLOOKUP($P48,Efgr,Data!$AN$53)</f>
        <v>0</v>
      </c>
      <c r="OP48">
        <f>VLOOKUP($O48,Afgr,Data!$BQ$3)</f>
        <v>0</v>
      </c>
      <c r="OQ48">
        <f>VLOOKUP($R48,Afgr,Data!$BR$3)</f>
        <v>1</v>
      </c>
      <c r="OR48">
        <f>OO48*OP48*OQ48</f>
        <v>0</v>
      </c>
      <c r="OS48" s="3">
        <f>OR48*Z48</f>
        <v>0</v>
      </c>
      <c r="OT48" s="3">
        <f>IF(Q48,1,0)*OS48</f>
        <v>0</v>
      </c>
      <c r="OV48">
        <f>VLOOKUP($T48,Efgr,Data!$AN$53)</f>
        <v>0</v>
      </c>
      <c r="OW48">
        <f>VLOOKUP($R48,Afgr,Data!$BQ$3)</f>
        <v>0</v>
      </c>
      <c r="OX48">
        <f>VLOOKUP($X48,Afgr,Data!$BR$3)</f>
        <v>1</v>
      </c>
      <c r="OY48">
        <f>OV48*OW48*OX48</f>
        <v>0</v>
      </c>
      <c r="OZ48" s="3">
        <f>OY48*Z48</f>
        <v>0</v>
      </c>
      <c r="PB48">
        <f>VLOOKUP($T48,Efgr,Data!$AO$53)</f>
        <v>0</v>
      </c>
      <c r="PC48">
        <f>VLOOKUP($O48,Afgr,Data!$BQ$3)</f>
        <v>0</v>
      </c>
      <c r="PD48">
        <f>VLOOKUP($R48,Afgr,Data!$BS$3)</f>
        <v>0</v>
      </c>
      <c r="PE48" s="3">
        <f>PB48*PC48*PD48*$Z48</f>
        <v>0</v>
      </c>
      <c r="PG48">
        <f>VLOOKUP($T48,Efgr,Data!$AO$53)</f>
        <v>0</v>
      </c>
      <c r="PH48">
        <f>VLOOKUP($R48,Afgr,Data!$BQ$3)</f>
        <v>0</v>
      </c>
      <c r="PI48">
        <f>VLOOKUP($X48,Afgr,Data!$BS$3)</f>
        <v>0</v>
      </c>
      <c r="PJ48" s="3">
        <f>PG48*PH48*PI48*$Z48</f>
        <v>0</v>
      </c>
      <c r="PK48" s="3"/>
      <c r="PL48" s="3">
        <f>VLOOKUP($O48,Afgr,Data!$BU$3)</f>
        <v>0</v>
      </c>
      <c r="PM48" s="3">
        <f>PL48*Z48</f>
        <v>0</v>
      </c>
      <c r="PN48" s="3">
        <f>VLOOKUP($R48,Afgr,Data!$BU$3)</f>
        <v>0</v>
      </c>
      <c r="PO48" s="3">
        <f>PN48*Z48</f>
        <v>0</v>
      </c>
      <c r="PQ48">
        <f>VLOOKUP(R48,Afgr,Data!$BX$3)+VLOOKUP(T48,Efgr,Data!$AQ$53)</f>
        <v>1</v>
      </c>
      <c r="PR48">
        <f>IF(PQ48&gt;0,Z48,0)</f>
        <v>1.7</v>
      </c>
      <c r="PT48">
        <f>VLOOKUP($O48,Afgr,Data!$BT$3)</f>
        <v>1</v>
      </c>
      <c r="PU48" s="3">
        <f>PT48*Z48</f>
        <v>1.7</v>
      </c>
      <c r="PV48">
        <f>VLOOKUP($R48,Afgr,Data!$BT$3)</f>
        <v>1</v>
      </c>
      <c r="PW48" s="3">
        <f>PV48*Z48</f>
        <v>1.7</v>
      </c>
      <c r="PY48">
        <f>VLOOKUP($R48,Afgr,Data!$BV$3)</f>
        <v>0</v>
      </c>
      <c r="PZ48">
        <f>PY48*Z48</f>
        <v>0</v>
      </c>
      <c r="QB48">
        <f>VLOOKUP($R48,Afgr,Data!$BW$3)</f>
        <v>0</v>
      </c>
      <c r="QC48">
        <f>QB48*Z48</f>
        <v>0</v>
      </c>
      <c r="QE48">
        <f>AM48*IF(VLOOKUP($R48,Afgr,Data!$BJ$3)&gt;0,1,0)</f>
        <v>0</v>
      </c>
      <c r="QF48">
        <f>QE48*Z48</f>
        <v>0</v>
      </c>
      <c r="QH48">
        <f>AM48*VLOOKUP(R48,Afgr,Data!$BK$3)</f>
        <v>0</v>
      </c>
      <c r="QI48">
        <f>Z48*QH48</f>
        <v>0</v>
      </c>
      <c r="QJ48">
        <f>$AM48*VLOOKUP($R48,Afgr,Data!$BL$3)+$BR48*VLOOKUP($T48,Efgr,Data!$AP$53)</f>
        <v>7100</v>
      </c>
      <c r="QK48">
        <f>QJ48*Z48</f>
        <v>12070</v>
      </c>
      <c r="QL48">
        <f>$AM48*VLOOKUP($R48,Afgr,Data!$BM$3)</f>
        <v>0</v>
      </c>
      <c r="QM48">
        <f>QL48*Z48</f>
        <v>0</v>
      </c>
      <c r="QN48">
        <f>$AM48*VLOOKUP($R48,Afgr,Data!$BN$3)</f>
        <v>0</v>
      </c>
      <c r="QO48">
        <f>QN48*Z48</f>
        <v>0</v>
      </c>
      <c r="QR48">
        <f>IF(VLOOKUP($R48,Afgr,Data!$DA$3)="Vårbyg",$AN48,0)*VLOOKUP($R48,Afgr,Data!$BJ$3)</f>
        <v>0</v>
      </c>
      <c r="QS48">
        <f>IF(VLOOKUP($R48,Afgr,Data!$DA$3)="Vinterbyg",$AN48,0)*VLOOKUP($R48,Afgr,Data!$BJ$3)</f>
        <v>0</v>
      </c>
      <c r="QT48">
        <f>IF(VLOOKUP($R48,Afgr,Data!$DA$3)="Havre",$AN48,0)*VLOOKUP($R48,Afgr,Data!$BJ$3)</f>
        <v>0</v>
      </c>
      <c r="QU48">
        <f>IF(VLOOKUP($R48,Afgr,Data!$DA$3)="Hvede",$AN48,0)*VLOOKUP($R48,Afgr,Data!$BJ$3)</f>
        <v>0</v>
      </c>
      <c r="QV48">
        <f>IF(VLOOKUP($R48,Afgr,Data!$DA$3)="Triticale",$AN48,0)*VLOOKUP($R48,Afgr,Data!$BJ$3)</f>
        <v>0</v>
      </c>
      <c r="QW48">
        <f>IF(VLOOKUP($R48,Afgr,Data!$DA$3)="Rug",$AN48,0)*VLOOKUP($R48,Afgr,Data!$BJ$3)</f>
        <v>0</v>
      </c>
      <c r="QX48">
        <f>IF(VLOOKUP($R48,Afgr,Data!$DA$3)="Majs",$AN48,0)*VLOOKUP($R48,Afgr,Data!$BJ$3)</f>
        <v>0</v>
      </c>
      <c r="RA48">
        <f>IF(OV48+PB48&gt;0,1,0)</f>
        <v>0</v>
      </c>
      <c r="RB48">
        <f>RA48*LW48</f>
        <v>0</v>
      </c>
      <c r="RC48">
        <f>RA48*MT48</f>
        <v>0</v>
      </c>
      <c r="RD48">
        <f>ND48</f>
        <v>0</v>
      </c>
      <c r="RE48">
        <f>RA48*OB48</f>
        <v>0</v>
      </c>
      <c r="RH48">
        <f>VLOOKUP(B48,Jordtype,Data!$Y$112+DenitNr-1)</f>
        <v>0</v>
      </c>
      <c r="RI48">
        <f>FF48*VLOOKUP(B48,Jordtype,Data!$AB$112+DenitNr-1)</f>
        <v>0</v>
      </c>
      <c r="RJ48">
        <f>((CJ48+CK48+CL48+Regn2!CO48*0.7)-(RR48+RT48))*VLOOKUP(B48,Jordtype,Data!$AE$112+DenitNr-1)</f>
        <v>0</v>
      </c>
      <c r="RK48">
        <f>0*VLOOKUP(B48,Jordtype,Data!$AE$112+DenitNr-1)</f>
        <v>0</v>
      </c>
      <c r="RL48">
        <f>Regn2!FD48*VLOOKUP(B48,Jordtype,Data!$AH$112+DenitNr-1)</f>
        <v>0</v>
      </c>
      <c r="RM48" s="3">
        <f>RH48+RI48+RJ48+RK48+RL48</f>
        <v>0</v>
      </c>
      <c r="RO48">
        <v>2</v>
      </c>
      <c r="RP48">
        <f>(FF48)*RO48*0.01</f>
        <v>0</v>
      </c>
      <c r="RQ48">
        <v>7</v>
      </c>
      <c r="RR48">
        <f>CE48*RQ48*0.01</f>
        <v>0</v>
      </c>
      <c r="RS48">
        <v>7</v>
      </c>
      <c r="RT48">
        <f>(Regn2!CF48+Regn2!CG48)*RS48*0.01</f>
        <v>0</v>
      </c>
      <c r="RW48">
        <f>VLOOKUP(R48,Afgr,Data!$EE$3)</f>
        <v>0</v>
      </c>
      <c r="RX48" s="3">
        <f>RP48+RR48+RT48+RV48+RW48</f>
        <v>0</v>
      </c>
    </row>
    <row r="50" spans="1:492" x14ac:dyDescent="0.25">
      <c r="A50" s="214" t="str">
        <f>Nbal!B50</f>
        <v>21-1</v>
      </c>
      <c r="B50">
        <v>11</v>
      </c>
      <c r="C50">
        <v>1</v>
      </c>
      <c r="D50">
        <f>IF(C50=1,VLOOKUP(B50,Jordtype,Data!$K$112),VLOOKUP(B50,Jordtype,Data!$L$112))</f>
        <v>7</v>
      </c>
      <c r="E50">
        <f>IF(C50=1,VLOOKUP(B50,Jordtype,Data!$M$112),VLOOKUP(B50,Jordtype,Data!$N$112))</f>
        <v>12</v>
      </c>
      <c r="F50">
        <f>IF(OR(B50=1,B50=3),0,IF(OR(B50=2,B50=4),1,IF(OR(B50=5,B50=6),2,3)))</f>
        <v>3</v>
      </c>
      <c r="G50">
        <f>IF(C50=1,VLOOKUP(B50,Jordtype,Data!$Q$112),VLOOKUP(B50,Jordtype,Data!$R$112))</f>
        <v>23</v>
      </c>
      <c r="H50">
        <f>IF(C50=1,VLOOKUP(B50,Jordtype,Data!$O$112),VLOOKUP(B50,Jordtype,Data!$P$112))</f>
        <v>17</v>
      </c>
      <c r="I50">
        <f>IF(B50&lt;5,0,1)</f>
        <v>1</v>
      </c>
      <c r="J50">
        <f>IF(B50&lt;5,PlojJB,1)</f>
        <v>1</v>
      </c>
      <c r="K50">
        <f>IF(B50&lt;5,SaaJB,1)</f>
        <v>1</v>
      </c>
      <c r="L50">
        <f>IF(C50=1,VLOOKUP(B50,Jordtype,Data!$S$112),VLOOKUP(B50,Jordtype,Data!$T$112))</f>
        <v>6</v>
      </c>
      <c r="M50">
        <f>IF(C50=1,VLOOKUP(B50,Jordtype,Data!$U$112),VLOOKUP(B50,Jordtype,Data!$V$112))</f>
        <v>11</v>
      </c>
      <c r="O50">
        <v>26</v>
      </c>
      <c r="P50">
        <v>1</v>
      </c>
      <c r="Q50" t="b">
        <v>0</v>
      </c>
      <c r="R50">
        <v>28</v>
      </c>
      <c r="S50">
        <v>1</v>
      </c>
      <c r="T50">
        <v>1</v>
      </c>
      <c r="U50">
        <v>1</v>
      </c>
      <c r="V50">
        <v>1</v>
      </c>
      <c r="X50">
        <v>28</v>
      </c>
      <c r="Z50">
        <f>Nbal!AG50</f>
        <v>0.4</v>
      </c>
      <c r="AA50">
        <v>4</v>
      </c>
      <c r="AB50">
        <f>VLOOKUP($R50,Afgr,G50)</f>
        <v>0</v>
      </c>
      <c r="AC50">
        <f>VLOOKUP($O50,Afgr,Data!$AI$3)*VLOOKUP(R50,Afgr,Data!$AJ$3)</f>
        <v>0</v>
      </c>
      <c r="AD50">
        <f>IF($Q50,0,VLOOKUP($P50,Efgr,(Data!$W$53+$V$6-1)))</f>
        <v>0</v>
      </c>
      <c r="AE50">
        <f>AB50-AC50-AD50</f>
        <v>0</v>
      </c>
      <c r="AF50">
        <f>AE50*Z50</f>
        <v>0</v>
      </c>
      <c r="AH50">
        <f>VLOOKUP(R50,Afgr,D50)</f>
        <v>0</v>
      </c>
      <c r="AI50">
        <f>VLOOKUP(O50,Afgr,Data!$AL$3)*VLOOKUP(R50,Afgr,E50)</f>
        <v>0</v>
      </c>
      <c r="AJ50">
        <f>VLOOKUP(P50,Efgr,(Data!$Y$53+I50))</f>
        <v>0</v>
      </c>
      <c r="AK50">
        <f>AH50+AI50+AJ50</f>
        <v>0</v>
      </c>
      <c r="AL50">
        <f>AH50+AI50+AJ50</f>
        <v>0</v>
      </c>
      <c r="AM50" s="3">
        <f>IF(Nbal!CK50&lt;&gt;"",Nbal!CK50,AL50)</f>
        <v>0</v>
      </c>
      <c r="AN50">
        <f>AM50*Z50</f>
        <v>0</v>
      </c>
      <c r="AO50" t="str">
        <f>VLOOKUP(R50,Afgr,3)</f>
        <v>FE</v>
      </c>
      <c r="AP50">
        <f>IF(AO50="FE",VLOOKUP($R50,Afgr,Data!$AV$3),0)</f>
        <v>1.1599999999999999</v>
      </c>
      <c r="AR50">
        <f>VLOOKUP(R50,Afgr,4)</f>
        <v>1.2</v>
      </c>
      <c r="AS50" s="3">
        <f>IF(Nbal!CW50&lt;&gt;"",Nbal!CW50,AR50)</f>
        <v>1.2</v>
      </c>
      <c r="AT50" s="3">
        <f>AM50*AS50</f>
        <v>0</v>
      </c>
      <c r="AU50" s="3">
        <f>AN50*AS50</f>
        <v>0</v>
      </c>
      <c r="AW50">
        <f>VLOOKUP(R50,Afgr,Data!$AN$3)</f>
        <v>0</v>
      </c>
      <c r="AX50" s="3">
        <f>IF(Nbal!DC50&lt;&gt;"",Nbal!DC50,AW50)</f>
        <v>0</v>
      </c>
      <c r="AY50" s="3">
        <f>AX50*Z50</f>
        <v>0</v>
      </c>
      <c r="BA50">
        <f>VLOOKUP(R50,Afgr,H50)</f>
        <v>0</v>
      </c>
      <c r="BB50">
        <f>IF(ISERROR(BA50*AM50/AK50),0,(BA50*AM50/AK50))</f>
        <v>0</v>
      </c>
      <c r="BC50" s="3">
        <f>IF(Nbal!DI50&lt;&gt;"",Nbal!DI50,BB50)</f>
        <v>0</v>
      </c>
      <c r="BD50">
        <f>BC50*Z50</f>
        <v>0</v>
      </c>
      <c r="BG50">
        <f>IF($S50=1,BC50,0)</f>
        <v>0</v>
      </c>
      <c r="BH50">
        <f>IF($S50=1,BD50,0)</f>
        <v>0</v>
      </c>
      <c r="BI50">
        <f>VLOOKUP(R50,Afgr,Data!$AM$3)</f>
        <v>0</v>
      </c>
      <c r="BJ50">
        <f>IF(Nbal!DR50&lt;&gt;"",Nbal!DR50,BI50)</f>
        <v>0</v>
      </c>
      <c r="BK50">
        <f>BG50*BJ50</f>
        <v>0</v>
      </c>
      <c r="BL50">
        <f>BH50*BJ50</f>
        <v>0</v>
      </c>
      <c r="BN50">
        <f>VLOOKUP($T50,Efgr,M50)</f>
        <v>0</v>
      </c>
      <c r="BO50">
        <f>BN50*Z50</f>
        <v>0</v>
      </c>
      <c r="BQ50">
        <f>VLOOKUP(T50,Efgr,NormudbKolonneNrEfgr1)</f>
        <v>0</v>
      </c>
      <c r="BR50" s="3">
        <f>IF(Nbal!FE50&lt;&gt;"",Nbal!FE50,BQ50)</f>
        <v>0</v>
      </c>
      <c r="BS50">
        <f>BR50*Z50</f>
        <v>0</v>
      </c>
      <c r="BT50" t="s">
        <v>37</v>
      </c>
      <c r="BU50">
        <f>BR50*Efterslaetpris</f>
        <v>0</v>
      </c>
      <c r="BV50">
        <f>BS50*Efterslaetpris</f>
        <v>0</v>
      </c>
      <c r="BW50">
        <f>VLOOKUP(T50,Efgr,Data!$AG$53)</f>
        <v>0</v>
      </c>
      <c r="BX50">
        <f>BR50*BW50</f>
        <v>0</v>
      </c>
      <c r="BZ50">
        <f>Nbal!AQ50</f>
        <v>0</v>
      </c>
      <c r="CA50" s="211">
        <f>Nbal!AT50</f>
        <v>0</v>
      </c>
      <c r="CB50" s="2">
        <f>Nbal!DZ50</f>
        <v>0</v>
      </c>
      <c r="CC50" s="211">
        <f>Nbal!AT50+Nbal!DZ50</f>
        <v>0</v>
      </c>
      <c r="CD50" s="211">
        <f>Nbal!AX50</f>
        <v>0</v>
      </c>
      <c r="CE50">
        <f>Nbal!BH50</f>
        <v>0</v>
      </c>
      <c r="CF50" s="211">
        <f>Nbal!BM50</f>
        <v>0</v>
      </c>
      <c r="CG50" s="2">
        <f>Nbal!EI50</f>
        <v>0</v>
      </c>
      <c r="CH50" s="211">
        <f>Nbal!BM50+Nbal!EI50</f>
        <v>0</v>
      </c>
      <c r="CI50" s="211">
        <f>Nbal!BW50</f>
        <v>0</v>
      </c>
      <c r="CJ50" s="211">
        <f>Nbal!BH50*Nbal!BJ50*0.01</f>
        <v>0</v>
      </c>
      <c r="CK50" s="211">
        <f>(Nbal!BM50*Nbal!BP50*0.01)</f>
        <v>0</v>
      </c>
      <c r="CL50" s="211">
        <f>(Nbal!EI50*Nbal!EL50*0.01)</f>
        <v>0</v>
      </c>
      <c r="CM50" s="211">
        <f>(Nbal!BM50*Nbal!BP50*0.01)+(Nbal!EI50*Nbal!EL50*0.01)</f>
        <v>0</v>
      </c>
      <c r="CN50" s="211">
        <f>Nbal!BW50*Nbal!BY50*0.01</f>
        <v>0</v>
      </c>
      <c r="CO50">
        <f>Nbal!BT50+Nbal!ER50</f>
        <v>0</v>
      </c>
      <c r="CQ50">
        <f>Nbal!BA50</f>
        <v>0</v>
      </c>
      <c r="CR50">
        <f>Nbal!EC50</f>
        <v>0</v>
      </c>
      <c r="CS50">
        <f>(CQ50+CR50)*Z50</f>
        <v>0</v>
      </c>
      <c r="CT50">
        <f>Nbal!CB50</f>
        <v>0</v>
      </c>
      <c r="CU50">
        <f>Nbal!EV50</f>
        <v>0</v>
      </c>
      <c r="CV50">
        <f>(CT50+CU50)*Z50</f>
        <v>0</v>
      </c>
      <c r="CW50">
        <f>Nbal!BA50+Nbal!CB50+Nbal!EC50+Nbal!EV50</f>
        <v>0</v>
      </c>
      <c r="CY50">
        <f>Nbal!BD50</f>
        <v>0</v>
      </c>
      <c r="CZ50">
        <f>Nbal!EF50</f>
        <v>0</v>
      </c>
      <c r="DA50">
        <f>(CY50+CZ50)*Z50</f>
        <v>0</v>
      </c>
      <c r="DB50">
        <f>Nbal!CE50</f>
        <v>0</v>
      </c>
      <c r="DC50">
        <f>Nbal!EY50</f>
        <v>0</v>
      </c>
      <c r="DD50">
        <f>(DB50+DC50)*Z50</f>
        <v>0</v>
      </c>
      <c r="DE50">
        <f>Nbal!BD50+Nbal!CE50+Nbal!EF50+Nbal!EY50</f>
        <v>0</v>
      </c>
      <c r="DG50">
        <f>VLOOKUP($R50,Afgr,Data!$AW$3)</f>
        <v>14</v>
      </c>
      <c r="DH50">
        <f>IF($AO50="FE",$AM50*$AP50*$DG50*0.01,$AM50*100*$DM50*0.01*$DG50*0.01)</f>
        <v>0</v>
      </c>
      <c r="DI50">
        <f>IF(VLOOKUP(R50,Afgr,Data!$BO$3)=1,DH50,0)*Z50</f>
        <v>0</v>
      </c>
      <c r="DJ50" s="12">
        <f>(BZ50+CC50+CJ50-AE50)*VLOOKUP($R50,Afgr,Data!$AX$3)</f>
        <v>0</v>
      </c>
      <c r="DK50">
        <f>DG50+DJ50</f>
        <v>14</v>
      </c>
      <c r="DL50">
        <f>IF(Nbal!CQ50&lt;&gt;"",Nbal!CQ50,DK50)</f>
        <v>14</v>
      </c>
      <c r="DM50">
        <f>VLOOKUP(R50,Afgr,Data!$AT$3)</f>
        <v>0</v>
      </c>
      <c r="DN50">
        <f>IF($AO50="FE",$AM50*$AP50*$DL50*0.01,$AM50*100*$DM50*0.01*DL50*0.01)</f>
        <v>0</v>
      </c>
      <c r="DO50">
        <f>IF(VLOOKUP(R50,Afgr,Data!$BO$3)=1,DN50,0)*Z50</f>
        <v>0</v>
      </c>
      <c r="DP50">
        <f>IF(ISERROR(DN50/VLOOKUP(R50,Afgr,Data!$AY$3)),0,DN50/VLOOKUP(R50,Afgr,Data!$AY$3))</f>
        <v>0</v>
      </c>
      <c r="DQ50">
        <f>DP50*Z50</f>
        <v>0</v>
      </c>
      <c r="DS50">
        <f>IF($AO50="FE",$AM50*$AP50*VLOOKUP($R50,Afgr,Data!$BC$3)*0.001,$AM50*100*$DM50*0.01*VLOOKUP($R50,Afgr,Data!$BC$3)*0.001)</f>
        <v>0</v>
      </c>
      <c r="DT50">
        <f>DS50*Z50</f>
        <v>0</v>
      </c>
      <c r="DV50">
        <f>IF($AO50="FE",$AM50*$AP50*VLOOKUP($R50,Afgr,Data!$BF$3)*0.001,$AM50*100*$DM50*0.01*VLOOKUP($R50,Afgr,Data!$BF$3)*0.001)</f>
        <v>0</v>
      </c>
      <c r="DW50">
        <f>DV50*Z50</f>
        <v>0</v>
      </c>
      <c r="DY50">
        <f>IF(ISERROR(VLOOKUP(R50,Afgr,Data!$AZ$3)*DL50/DG50),0,VLOOKUP(R50,Afgr,Data!$AZ$3)*DL50/DG50)</f>
        <v>0</v>
      </c>
      <c r="DZ50">
        <f>VLOOKUP(R50,Afgr,Data!$AU$3)</f>
        <v>0</v>
      </c>
      <c r="EA50">
        <f>IF($S50=1,$BC50*$DZ50*0.01*DY50*0.01,0)</f>
        <v>0</v>
      </c>
      <c r="EB50">
        <f>EA50/6.25</f>
        <v>0</v>
      </c>
      <c r="EC50">
        <f>EB50*Z50</f>
        <v>0</v>
      </c>
      <c r="EE50">
        <f>IF($S50=1,$BC50*$DZ50*0.01*VLOOKUP($R50,Afgr,Data!$BD$3)*0.001,0)</f>
        <v>0</v>
      </c>
      <c r="EF50">
        <f>EE50*Z50</f>
        <v>0</v>
      </c>
      <c r="EH50">
        <f>IF($S50=1,$BC50*$DZ50*0.01*VLOOKUP($R50,Afgr,Data!$BG$3)*0.001,0)</f>
        <v>0</v>
      </c>
      <c r="EI50">
        <f>EH50*Z50</f>
        <v>0</v>
      </c>
      <c r="EK50">
        <f>VLOOKUP(T50,Efgr,Data!$AI$53)</f>
        <v>0</v>
      </c>
      <c r="EL50">
        <f>BX50*EK50*0.01/6.25</f>
        <v>0</v>
      </c>
      <c r="EM50">
        <f>EL50*Z50</f>
        <v>0</v>
      </c>
      <c r="EO50">
        <f>$BX50*VLOOKUP($T50,Efgr,Data!$AJ$53)*0.001</f>
        <v>0</v>
      </c>
      <c r="EP50">
        <f>EO50*Z50</f>
        <v>0</v>
      </c>
      <c r="ER50">
        <f>$BX50*VLOOKUP($T50,Efgr,Data!$AK$53)*0.001</f>
        <v>0</v>
      </c>
      <c r="ES50">
        <f>ER50*Z50</f>
        <v>0</v>
      </c>
      <c r="EU50">
        <f>IF(VLOOKUP(R50,Afgr,Data!$DS$3)=1,DP50*VLOOKUP(R50,Afgr,(Data!$DT$3+EftervirkningUdb1))*VLOOKUP(R50,Afgr,Data!$DV$3),0)</f>
        <v>0</v>
      </c>
      <c r="EV50">
        <f>IF(VLOOKUP(R50,Afgr,Data!$DS$3)=2,VLOOKUP(R50,Afgr,Data!$DX$3),0)</f>
        <v>0</v>
      </c>
      <c r="EW50">
        <f>IF(VLOOKUP(R50,Afgr,Data!$DS$3)=3,$DP50*VLOOKUP($R50,Afgr,IF(Jordtype1&lt;5,Data!$DT$3,Data!$DU$3))*VLOOKUP($R50,Afgr,Data!$DV$3),0)</f>
        <v>0</v>
      </c>
      <c r="EX50">
        <f>IF(VLOOKUP(R50,Afgr,Data!$DS$3)=4,(1.232+0.00469*AM50*100+(0.000256*AM50*100+0.089)*60),0)</f>
        <v>0</v>
      </c>
      <c r="EY50" s="211">
        <f>BZ50+CA50+CJ50+CK50</f>
        <v>0</v>
      </c>
      <c r="EZ50">
        <f>IF(VLOOKUP($R50,Afgr,Data!$DS$3)=5,($AM50*0.02742-$AM50*0.0001*$EY50+$AM50*0.0000001111*$EY50*$EY50),0)</f>
        <v>0</v>
      </c>
      <c r="FA50" s="2">
        <f>CB50+CL50</f>
        <v>0</v>
      </c>
      <c r="FB50">
        <f>IF(VLOOKUP($T50,Efgr,Data!$BH$53)=5,($BR50*0.02742-$BR50*0.0001*$FA50+$BR50*0.0000001111*$FA50*$FA50),0)</f>
        <v>0</v>
      </c>
      <c r="FC50" s="3">
        <f>EU50+EV50+EW50+EX50+EZ50+FB50</f>
        <v>0</v>
      </c>
      <c r="FD50" s="3">
        <f>FC50*Z50</f>
        <v>0</v>
      </c>
      <c r="FF50" s="211">
        <f>BZ50+CC50</f>
        <v>0</v>
      </c>
      <c r="FG50" s="211">
        <f>FF50*Z50</f>
        <v>0</v>
      </c>
      <c r="FH50" s="211">
        <f>CE50+CH50+CO50</f>
        <v>0</v>
      </c>
      <c r="FI50" s="211">
        <f>FH50*Z50</f>
        <v>0</v>
      </c>
      <c r="FJ50">
        <f>VLOOKUP($R50,Afgr,Data!$DK$3)*VLOOKUP($R50,Afgr,Data!$AT$3)*0.01*VLOOKUP($R50,Afgr,Data!$AW$3)*0.01/6.25</f>
        <v>0</v>
      </c>
      <c r="FK50">
        <f>FJ50*Z50</f>
        <v>0</v>
      </c>
      <c r="FL50" s="4">
        <f>IF(R50&gt;1,Deposition,0)</f>
        <v>15</v>
      </c>
      <c r="FM50" s="4">
        <f>FL50*Z50</f>
        <v>6</v>
      </c>
      <c r="FN50">
        <f>FC50</f>
        <v>0</v>
      </c>
      <c r="FO50">
        <f>FN50*Z50</f>
        <v>0</v>
      </c>
      <c r="FP50" s="211">
        <f>SUM(FF50,FH50,FJ50,FL50,FN50)</f>
        <v>15</v>
      </c>
      <c r="FQ50">
        <f>DP50+EB50+EL50</f>
        <v>0</v>
      </c>
      <c r="FR50" s="3">
        <f>FP50-FQ50</f>
        <v>15</v>
      </c>
      <c r="FS50" s="19">
        <f>FP50*Z50</f>
        <v>6</v>
      </c>
      <c r="FT50" s="19">
        <f>FQ50*Z50</f>
        <v>0</v>
      </c>
      <c r="FU50" s="3">
        <f>FR50*Z50</f>
        <v>6</v>
      </c>
      <c r="FW50">
        <f>CW50</f>
        <v>0</v>
      </c>
      <c r="FX50">
        <f>FW50*Z50</f>
        <v>0</v>
      </c>
      <c r="FY50">
        <f>IX50+MB50</f>
        <v>0</v>
      </c>
      <c r="FZ50">
        <f>FY50*Z50</f>
        <v>0</v>
      </c>
      <c r="GA50">
        <f>FW50-FY50</f>
        <v>0</v>
      </c>
      <c r="GB50">
        <f>GA50*Z50</f>
        <v>0</v>
      </c>
      <c r="GD50">
        <f>DE50</f>
        <v>0</v>
      </c>
      <c r="GE50">
        <f>GD50*Z50</f>
        <v>0</v>
      </c>
      <c r="GF50">
        <f>JE50+MH50</f>
        <v>0</v>
      </c>
      <c r="GG50">
        <f>GF50*Z50</f>
        <v>0</v>
      </c>
      <c r="GH50">
        <f>GD50-GF50</f>
        <v>0</v>
      </c>
      <c r="GI50">
        <f>GH50*Z50</f>
        <v>0</v>
      </c>
      <c r="GK50">
        <f>AA50</f>
        <v>4</v>
      </c>
      <c r="GL50" s="211">
        <f>FF50+FH50+FN50</f>
        <v>0</v>
      </c>
      <c r="GM50" s="211" t="str">
        <f>IF(R50=1,"",IF(GK50=1,GL50,""))</f>
        <v/>
      </c>
      <c r="GN50" s="211" t="str">
        <f>IF(R50=1,"",IF(GK50=2,GL50,""))</f>
        <v/>
      </c>
      <c r="GO50" s="211" t="str">
        <f>IF(R50=1,"",IF(GK50=3,GL50,""))</f>
        <v/>
      </c>
      <c r="GP50" s="211">
        <f>IF(R50=1,"",IF(GK50=4,GL50,""))</f>
        <v>0</v>
      </c>
      <c r="GQ50" s="149">
        <f>IF(OR(R50=1,VLOOKUP(R50,Afgr,Data!$BV$3)=1,VLOOKUP(R50,Afgr,Data!$BW$3)=1),0,IF(GK50=1,Nniveau1,IF(GK50=2,Nniveau2,IF(GK50=3,Nniveau3,IF(GK50=4,Nniveau4,GL50)))))</f>
        <v>0</v>
      </c>
      <c r="GR50" s="241">
        <v>0.32550000000000001</v>
      </c>
      <c r="GS50" s="6">
        <v>0</v>
      </c>
      <c r="GT50" s="149">
        <f>CC50+CM50</f>
        <v>0</v>
      </c>
      <c r="GU50" s="6">
        <f>$FN50</f>
        <v>0</v>
      </c>
      <c r="GV50" s="241">
        <v>0.25280000000000002</v>
      </c>
      <c r="GW50">
        <f>CO50</f>
        <v>0</v>
      </c>
      <c r="GX50" s="241">
        <v>0.376</v>
      </c>
      <c r="GY50" s="149">
        <f>CD50+CN50</f>
        <v>0</v>
      </c>
      <c r="GZ50" s="241">
        <f>IF(B50&gt;3,0.3539,1.0749)</f>
        <v>0.35389999999999999</v>
      </c>
      <c r="HA50" s="11">
        <f>$FQ50</f>
        <v>0</v>
      </c>
      <c r="HB50" s="241">
        <v>0.19359999999999999</v>
      </c>
      <c r="HC50" s="241">
        <f>VLOOKUP($R50,Afgr,Data!$DM$3)</f>
        <v>7</v>
      </c>
      <c r="HD50" s="24">
        <f>IF($HC50&gt;1,0,(VLOOKUP($X50,Afgr,Data!$DP$3)+IF(VLOOKUP($X50,Afgr,Data!$DP$3)=0,VLOOKUP($T50,Efgr,Data!$BI$53,0))))+IF(AND($HC50=7,VLOOKUP($X50,Afgr,Data!$DQ$3)=-2),-2,0)+IF(AND($HC50=6,VLOOKUP($T50,Efgr,Data!$BI$53)=2),8,0)</f>
        <v>0</v>
      </c>
      <c r="HE50" s="6">
        <f>VLOOKUP(SUM(HC50:HD50),Nlesafgr,3)</f>
        <v>-165.7</v>
      </c>
      <c r="HF50" s="7">
        <f>VLOOKUP($O50,Afgr,Data!$DN$3)</f>
        <v>4</v>
      </c>
      <c r="HG50" s="24">
        <f>IF(HF50&gt;1,0,VLOOKUP($R50,Afgr,Data!$DO$3)+IF(VLOOKUP($R50,Afgr,Data!$DO$3)=1,0,VLOOKUP($P50,Efgr,Data!$BJ$53)))</f>
        <v>0</v>
      </c>
      <c r="HH50" s="6">
        <f>VLOOKUP(SUM(HF50:HG50),Nlesforfrugt,3)</f>
        <v>34.700000000000003</v>
      </c>
      <c r="HI50" s="241">
        <f>GR50*GQ50+GV50*(GT50+GU50)+GX50*GW50+GZ50*GY50-HB50*HA50+HE50+HH50</f>
        <v>-131</v>
      </c>
      <c r="HJ50" s="241">
        <f>Nlesafskaering</f>
        <v>59.6</v>
      </c>
      <c r="HK50" s="241">
        <f>Teknologi1</f>
        <v>2455</v>
      </c>
      <c r="HL50" s="6">
        <v>2001</v>
      </c>
      <c r="HM50" s="241">
        <f>Teknologi2</f>
        <v>1962.2</v>
      </c>
      <c r="HN50" s="241">
        <f>Tandel</f>
        <v>0.54659999999999997</v>
      </c>
      <c r="HO50" s="241">
        <f>IF(OR(HI50&gt;0,HI50=0),HJ50+HK50/(HL50-HM50),HJ50+HK50/(HL50-HM50)+HN50*HI50)</f>
        <v>51.268595876288742</v>
      </c>
      <c r="HP50" s="241">
        <f>IF(HI50&gt;0,HI50,0.001)</f>
        <v>1E-3</v>
      </c>
      <c r="HQ50" s="241">
        <v>1.5020000000000001E-3</v>
      </c>
      <c r="HR50" s="24">
        <f>IF(R50=1,0,VLOOKUP(PostnrNbal,AfstromData,VLOOKUP($R50,Afgr,Data!$DL$3)+IF(Jordtype1&lt;7,Jordtype1,6),FALSE)-VLOOKUP(T50,Efgr,Data!$AA$53))</f>
        <v>272.32333333333298</v>
      </c>
      <c r="HS50" s="24">
        <f>IF(Nbal!GA50&lt;&gt;"",Nbal!GA50,Regn2!HR50)</f>
        <v>272.32333333333298</v>
      </c>
      <c r="HT50" s="241">
        <v>5.5400000000000002E-4</v>
      </c>
      <c r="HU50" s="24">
        <f>IF(R50=1,0,VLOOKUP(PostnrNbal,AfstromData,VLOOKUP($O50,Afgr,Data!$DL$3)+IF(B50&lt;7,B50,6),FALSE)-VLOOKUP(P50,Efgr,Data!$AA$53))</f>
        <v>272.32333333333298</v>
      </c>
      <c r="HV50" s="24">
        <f>IF(Nbal!FU50&lt;&gt;"",Nbal!FU50,Regn2!HU50)</f>
        <v>272.32333333333298</v>
      </c>
      <c r="HW50" s="241">
        <v>0.10639999999999999</v>
      </c>
      <c r="HX50" s="6">
        <f>VLOOKUP(B50,Jordtype,Data!$W$112)</f>
        <v>26</v>
      </c>
      <c r="HY50" s="241">
        <v>3.2500000000000001E-2</v>
      </c>
      <c r="HZ50" s="6">
        <f>VLOOKUP(B50,Jordtype,Data!$X$112)</f>
        <v>5</v>
      </c>
      <c r="IA50" s="241">
        <v>1.2453000000000001</v>
      </c>
      <c r="IB50" s="241">
        <f>IF(VLOOKUP(T50,Efgr,Data!$AO$53)=1,MlafgrNUdvask,0)</f>
        <v>0</v>
      </c>
      <c r="IC50" s="20">
        <f>IF(ISERROR((HO50+POWER(HP50,1.2))*(1-EXP(-HQ50*HS50))*EXP(-HT50*HV50)*EXP(-HW50*HX50)*EXP(-HY50*HZ50)*IA50),0,(HO50+POWER(HP50,1.2))*(1-EXP(-HQ50*HS50))*EXP(-HT50*HV50)*EXP(-HW50*HX50)*EXP(-HY50*HZ50)*IA50+IB50)</f>
        <v>0.98528093203909473</v>
      </c>
      <c r="ID50">
        <f>IC50*Z50</f>
        <v>0.39411237281563793</v>
      </c>
      <c r="IE50">
        <f>IF(Nbal!GF50&lt;&gt;"",Nbal!GF50,RetentionNbal)</f>
        <v>65</v>
      </c>
      <c r="IF50">
        <f>IC50*(100-IE50)*0.01</f>
        <v>0.34484832621368311</v>
      </c>
      <c r="IG50">
        <f>IF50*Z50</f>
        <v>0.13793933048547324</v>
      </c>
      <c r="IH50" s="2">
        <f>HS50*10000</f>
        <v>2723233.3333333298</v>
      </c>
      <c r="II50" s="2">
        <f>IH50*Z50</f>
        <v>1089293.3333333319</v>
      </c>
      <c r="IJ50">
        <f>IF(ISERROR(IC50*1000*1000/IH50),0,IC50*1000*1000/IH50)</f>
        <v>0.36180554930013198</v>
      </c>
      <c r="IL50">
        <f>AT50+AX50+BK50+BU50</f>
        <v>0</v>
      </c>
      <c r="IO50">
        <f>VLOOKUP(R50,Afgr,Data!$AP$3)*UdsaedJust</f>
        <v>0</v>
      </c>
      <c r="IP50" s="3">
        <f>IF(Nbal!GN50&lt;&gt;"",Nbal!GN50,IO50)</f>
        <v>0</v>
      </c>
      <c r="IQ50" s="3">
        <f>IP50*Z50</f>
        <v>0</v>
      </c>
      <c r="IS50" s="3">
        <f>IF(HdgVaerdiNbal=1,(BZ50+CA50)*Npris,(BZ50+CA50+CJ50+CK50)*Npris)</f>
        <v>0</v>
      </c>
      <c r="IT50" s="3">
        <f>IS50*Z50</f>
        <v>0</v>
      </c>
      <c r="IV50">
        <f>VLOOKUP($R50,Afgr,Data!$BA$3)</f>
        <v>0</v>
      </c>
      <c r="IW50">
        <f>VLOOKUP($R50,Afgr,Data!$BB$3)</f>
        <v>0</v>
      </c>
      <c r="IX50">
        <f>$DS50+$EE50</f>
        <v>0</v>
      </c>
      <c r="IY50">
        <f>CT50</f>
        <v>0</v>
      </c>
      <c r="IZ50">
        <f>CQ50</f>
        <v>0</v>
      </c>
      <c r="JA50" s="3">
        <f>IF(HdgVaerdiNbal=1,(IZ50)*Ppris,(IY50+IZ50)*Ppris)</f>
        <v>0</v>
      </c>
      <c r="JB50" s="3">
        <f>JA50*Z50</f>
        <v>0</v>
      </c>
      <c r="JD50">
        <f>IF(AND(R50&gt;1,OR(Jordtype1=1,Jordtype1=3,Markvand1=2)),Kudvask,0)</f>
        <v>0</v>
      </c>
      <c r="JE50">
        <f>$DV50+$EH50</f>
        <v>0</v>
      </c>
      <c r="JF50">
        <f>DB50</f>
        <v>0</v>
      </c>
      <c r="JG50">
        <f>CY50</f>
        <v>0</v>
      </c>
      <c r="JH50" s="3">
        <f>IF(HdgVaerdiNbal=1,JG50*Kpris,(JF50+JG50)*Kpris)</f>
        <v>0</v>
      </c>
      <c r="JI50" s="3">
        <f>JH50*Z50</f>
        <v>0</v>
      </c>
      <c r="JK50">
        <f>IS50+JA50+JH50</f>
        <v>0</v>
      </c>
      <c r="JL50" s="3">
        <f>IF(Nbal!GT50&lt;&gt;"",Nbal!GT50,$JK50)</f>
        <v>0</v>
      </c>
      <c r="JM50" s="3">
        <f>JL50*Z50</f>
        <v>0</v>
      </c>
      <c r="JO50">
        <f>VLOOKUP(R50,Afgr,Data!$AQ$3)*PlantevJust</f>
        <v>0</v>
      </c>
      <c r="JP50" s="3">
        <f>IF(Nbal!GZ50&lt;&gt;"",Nbal!GZ50,JO50)</f>
        <v>0</v>
      </c>
      <c r="JQ50" s="3">
        <f>JP50*Z50</f>
        <v>0</v>
      </c>
      <c r="JS50">
        <f>VLOOKUP(R50,Afgr,Data!$AR$3)+AM50*VLOOKUP(R50,Afgr,Data!$BH$3)</f>
        <v>0</v>
      </c>
      <c r="JT50" s="3">
        <f>IF(Nbal!HF50&lt;&gt;"",Nbal!HF50,JS50)</f>
        <v>0</v>
      </c>
      <c r="JU50">
        <f>JT50*Z50</f>
        <v>0</v>
      </c>
      <c r="JW50">
        <f>IP50+JL50+JP50+JT50</f>
        <v>0</v>
      </c>
      <c r="JY50">
        <f>IF(VLOOKUP(R50,Afgr,Data!$BY$3)&gt;0,Data!$K$259*J50,0)</f>
        <v>0</v>
      </c>
      <c r="JZ50">
        <f>IF(VLOOKUP(R50,Afgr,Data!$BZ$3)&gt;0,Data!$K$260*J50,0)</f>
        <v>0</v>
      </c>
      <c r="KA50">
        <f>(JY50+JZ50)*MaskJust</f>
        <v>0</v>
      </c>
      <c r="KB50" s="3">
        <f>IF(Nbal!HL50&lt;&gt;"",Nbal!HL50,KA50)</f>
        <v>0</v>
      </c>
      <c r="KC50" s="3">
        <f>KB50*Z50</f>
        <v>0</v>
      </c>
      <c r="KE50">
        <f>IF(VLOOKUP(R50,Afgr,Data!$CA$3)&gt;0,VLOOKUP(R50,Afgr,Data!$CA$3)*Data!$K$261*K50,0)</f>
        <v>0</v>
      </c>
      <c r="KF50">
        <f>IF(VLOOKUP(R50,Afgr,Data!$CC$3)&gt;0,Data!$K$262*K50,0)</f>
        <v>0</v>
      </c>
      <c r="KG50">
        <f>IF(VLOOKUP(R50,Afgr,Data!$CD$3)&gt;0,VLOOKUP(R50,Afgr,Data!$CD$3)*Data!$K$263*K50,0)</f>
        <v>0</v>
      </c>
      <c r="KH50">
        <f>IF(VLOOKUP(R50,Afgr,Data!$CE$3)&gt;0,Data!$K$264*K50,0)</f>
        <v>0</v>
      </c>
      <c r="KI50">
        <f>IF(VLOOKUP(R50,Afgr,Data!$CF$3)&gt;0,Data!$K$265*K50,0)</f>
        <v>0</v>
      </c>
      <c r="KJ50">
        <f>IF(VLOOKUP(R50,Afgr,Data!$CV$3)&gt;0,Data!$K$266,0)</f>
        <v>0</v>
      </c>
      <c r="KK50">
        <f>IF(VLOOKUP(R50,Afgr,Data!$CG$3)&gt;0,Data!$K$267*K50,0)</f>
        <v>0</v>
      </c>
      <c r="KL50">
        <f>(KE50+KF50+KG50+KH50+KI50+KJ50+KK50)*MaskJust</f>
        <v>0</v>
      </c>
      <c r="KM50" s="3">
        <f>IF(Nbal!HR50&lt;&gt;"",Nbal!HR50,KL50)</f>
        <v>0</v>
      </c>
      <c r="KN50" s="3">
        <f>KM50*Z50</f>
        <v>0</v>
      </c>
      <c r="KP50">
        <f>IF(VLOOKUP(R50,Afgr,Data!$CJ$3)&gt;0,VLOOKUP(R50,Afgr,Data!$CJ$3)*Data!$K$268*K50,0)*MaskJust</f>
        <v>0</v>
      </c>
      <c r="KQ50" s="3">
        <f>IF(Nbal!HX50&lt;&gt;"",Nbal!HX50,KP50)</f>
        <v>0</v>
      </c>
      <c r="KR50" s="3">
        <f>KQ50*Z50</f>
        <v>0</v>
      </c>
      <c r="KT50">
        <f>IF(VLOOKUP(R50,Afgr,Data!$CI$3)&gt;0,VLOOKUP(R50,Afgr,Data!$CI$3)*Data!$K$269,0)*MaskJust</f>
        <v>0</v>
      </c>
      <c r="KU50" s="3">
        <f>IF(Nbal!ID50&lt;&gt;"",Nbal!ID50,KT50)</f>
        <v>0</v>
      </c>
      <c r="KV50" s="3">
        <f>KU50*Z50</f>
        <v>0</v>
      </c>
      <c r="KX50">
        <f>IF(C50=2,VLOOKUP($R50,Afgr,Data!$CY$3),0)</f>
        <v>0</v>
      </c>
      <c r="KY50">
        <f>IF(Nbal!IJ50&lt;&gt;"",Nbal!IJ50,$KX50)</f>
        <v>0</v>
      </c>
      <c r="KZ50">
        <f>IF(AND(R50&gt;1,C50=2),Vandmaskin+$KY50*Flytning/mmprgang+$KY50*Prisprmm,0)</f>
        <v>0</v>
      </c>
      <c r="LA50" s="3">
        <f>IF(Nbal!IP50&lt;&gt;"",Nbal!IP50,$KZ50)</f>
        <v>0</v>
      </c>
      <c r="LB50" s="3">
        <f>LA50*Z50</f>
        <v>0</v>
      </c>
      <c r="LD50">
        <f>IF(VLOOKUP($R50,Afgr,Data!$CK$3)&gt;0,((1+AM50/VLOOKUP($R50,Afgr,Data!$CK$3))/2)*VLOOKUP($R50,Afgr,Data!$CL$3)*VLOOKUP($R50,Afgr,Data!$CN$3)+VLOOKUP($R50,Afgr,Data!$CM$3),0)</f>
        <v>0</v>
      </c>
      <c r="LE50">
        <f>IF(VLOOKUP($R50,Afgr,Data!$CK$3)&gt;0,IF(AND($S50=2,$BA50&gt;0),Data!$K$271,0),0)</f>
        <v>0</v>
      </c>
      <c r="LF50">
        <f>IF(VLOOKUP($R50,Afgr,Data!$CK$3)&gt;0,(AM50/VLOOKUP($R50,Afgr,Data!$CK$3))*VLOOKUP($R50,Afgr,Data!$CO$3)*VLOOKUP($R50,Afgr,Data!$CN$3),0)</f>
        <v>0</v>
      </c>
      <c r="LG50">
        <f>(LD50+LE50+LF50)*MaskJust</f>
        <v>0</v>
      </c>
      <c r="LH50" s="3">
        <f>IF(Nbal!IV50&lt;&gt;"",Nbal!IV50,LG50)</f>
        <v>0</v>
      </c>
      <c r="LI50" s="3">
        <f>LH50*Z50</f>
        <v>0</v>
      </c>
      <c r="LJ50" s="3"/>
      <c r="LK50">
        <f>IF(AND($S50=1,VLOOKUP($R50,Afgr,Data!$CP$3)&gt;0),((1+$BC50/VLOOKUP($R50,Afgr,Data!$CP$3))/2)*VLOOKUP($R50,Afgr,Data!$CQ$3),0)</f>
        <v>0</v>
      </c>
      <c r="LL50">
        <f>IF(AND($S50=1,VLOOKUP($R50,Afgr,Data!$CP$3)&gt;0),($BC50/VLOOKUP($R50,Afgr,Data!$CP$3))*VLOOKUP($R50,Afgr,Data!$CR$3),0)</f>
        <v>0</v>
      </c>
      <c r="LM50">
        <f>(LK50+LL50)*MaskJust</f>
        <v>0</v>
      </c>
      <c r="LN50" s="3">
        <f>IF(Nbal!JB50&lt;&gt;"",Nbal!JB50,LM50)</f>
        <v>0</v>
      </c>
      <c r="LO50" s="3">
        <f>LN50*Z50</f>
        <v>0</v>
      </c>
      <c r="LQ50">
        <f>$AM50*VLOOKUP($R50,Afgr,Data!$CS$3)*IF($V50=1,VLOOKUP($R50,Afgr,Data!$CT$3),IF($V50=2,VLOOKUP($R50,Afgr,Data!$CU$3),0))</f>
        <v>0</v>
      </c>
      <c r="LR50" s="3">
        <f>IF(Nbal!JK50&lt;&gt;"",Nbal!JK50,LQ50)</f>
        <v>0</v>
      </c>
      <c r="LS50" s="3">
        <f>LR50*Z50</f>
        <v>0</v>
      </c>
      <c r="LU50">
        <f>VLOOKUP($T50,Efgr,Data!$AC$53)*UdsaedJust</f>
        <v>0</v>
      </c>
      <c r="LV50" s="3">
        <f>IF(Nbal!$JS50&lt;&gt;"",Nbal!$JS50,LU50)</f>
        <v>0</v>
      </c>
      <c r="LW50" s="3">
        <f>LV50*Z50</f>
        <v>0</v>
      </c>
      <c r="LY50" s="3">
        <f>IF(HdgVaerdiNbal=1,(CB50)*Npris,(CB50+CL50)*Npris)</f>
        <v>0</v>
      </c>
      <c r="LZ50" s="3">
        <f>LY50*Z50</f>
        <v>0</v>
      </c>
      <c r="MB50">
        <f>$EO50</f>
        <v>0</v>
      </c>
      <c r="MC50">
        <f>CU50</f>
        <v>0</v>
      </c>
      <c r="MD50">
        <f>CR50</f>
        <v>0</v>
      </c>
      <c r="ME50" s="3">
        <f>IF(HdgVaerdiNbal=1,MD50*Ppris,(MC50+MD50)*Ppris)</f>
        <v>0</v>
      </c>
      <c r="MF50" s="3">
        <f>ME50*Z50</f>
        <v>0</v>
      </c>
      <c r="MH50">
        <f>$ER50</f>
        <v>0</v>
      </c>
      <c r="MI50">
        <f>DC50</f>
        <v>0</v>
      </c>
      <c r="MJ50">
        <f>CZ50</f>
        <v>0</v>
      </c>
      <c r="MK50" s="3">
        <f>IF(HdgVaerdiNbal=1,MJ50*Ppris,(MI50+MJ50)*Ppris)</f>
        <v>0</v>
      </c>
      <c r="ML50" s="3">
        <f>MK50*Z50</f>
        <v>0</v>
      </c>
      <c r="MN50">
        <f>LY50+ME50+MK50</f>
        <v>0</v>
      </c>
      <c r="MO50" s="3">
        <f>IF(Nbal!JY50&lt;&gt;"",Nbal!JY50,$MN50)</f>
        <v>0</v>
      </c>
      <c r="MP50" s="3">
        <f>MO50*Z50</f>
        <v>0</v>
      </c>
      <c r="MR50">
        <f>VLOOKUP($T50,Efgr,Data!$AE$53)*PlantevJust</f>
        <v>0</v>
      </c>
      <c r="MS50" s="3">
        <f>IF(Nbal!KE50&lt;&gt;"",Nbal!KE50,MR50)</f>
        <v>0</v>
      </c>
      <c r="MT50" s="3">
        <f>MS50*Z50</f>
        <v>0</v>
      </c>
      <c r="MV50">
        <f>VLOOKUP($T50,Efgr,Data!$AF$53)+$BR50*VLOOKUP($T50,Efgr,Data!$AL$53)</f>
        <v>0</v>
      </c>
      <c r="MW50" s="3">
        <f>IF(Nbal!KK50&lt;&gt;"",Nbal!KK50,MV50)</f>
        <v>0</v>
      </c>
      <c r="MX50" s="3">
        <f>MW50*Z50</f>
        <v>0</v>
      </c>
      <c r="MZ50">
        <f>LV50+MO50+MS50+MW50</f>
        <v>0</v>
      </c>
      <c r="NB50">
        <f>VLOOKUP($T50,Efgr,Data!$AU$53)*K50*MaskJust</f>
        <v>0</v>
      </c>
      <c r="NC50" s="3">
        <f>IF(Nbal!KQ50&lt;&gt;"",Nbal!KQ50,NB50)</f>
        <v>0</v>
      </c>
      <c r="ND50" s="3">
        <f>NC50*Z50</f>
        <v>0</v>
      </c>
      <c r="NF50">
        <f>VLOOKUP($T50,Efgr,Data!$AW$53)*Data!$K$268*K50*MaskJust</f>
        <v>0</v>
      </c>
      <c r="NG50" s="3">
        <f>IF(Nbal!KW50&lt;&gt;"",Nbal!KW50,NF50)</f>
        <v>0</v>
      </c>
      <c r="NH50" s="3">
        <f>NG50*Z50</f>
        <v>0</v>
      </c>
      <c r="NJ50">
        <f>VLOOKUP($T50,Efgr,Data!$AV$53)*Data!$K$269*MaskJust</f>
        <v>0</v>
      </c>
      <c r="NK50" s="3">
        <f>IF(Nbal!LC50&lt;&gt;"",Nbal!LC50,NJ50)</f>
        <v>0</v>
      </c>
      <c r="NL50" s="3">
        <f>NK50*Z50</f>
        <v>0</v>
      </c>
      <c r="NN50">
        <f>IF(C50=2,VLOOKUP($T50,Efgr,Data!$BC$53),0)</f>
        <v>0</v>
      </c>
      <c r="NO50">
        <f>IF(Nbal!LI50&lt;&gt;"",Nbal!LI50,$NN50)</f>
        <v>0</v>
      </c>
      <c r="NP50">
        <f>IF(C50=2,$NO50*Flytning/mmprgang+$NO50*Prisprmm,0)</f>
        <v>0</v>
      </c>
      <c r="NQ50" s="3">
        <f>IF(Nbal!LO50&lt;&gt;"",Nbal!LO50,$NP50)</f>
        <v>0</v>
      </c>
      <c r="NR50" s="3">
        <f>NQ50*Z50</f>
        <v>0</v>
      </c>
      <c r="NT50">
        <f>IF(VLOOKUP($T50,Efgr,Data!$AX$53)&gt;0,((1+BR50/VLOOKUP($T50,Efgr,Data!$AX$53))/2)*VLOOKUP($T50,Efgr,Data!$AY$53)*VLOOKUP($T50,Efgr,Data!$BA$53)+VLOOKUP($T50,Efgr,Data!$AZ$53),0)</f>
        <v>0</v>
      </c>
      <c r="NU50">
        <f>IF(VLOOKUP($T50,Efgr,Data!$AX$53)&gt;0,($BR50/VLOOKUP($T50,Efgr,Data!$AX$53))*VLOOKUP($T50,Efgr,Data!$BB$53)*VLOOKUP($T50,Efgr,Data!$BA$53),0)</f>
        <v>0</v>
      </c>
      <c r="NV50">
        <f>(NT50+NU50)*MaskJust</f>
        <v>0</v>
      </c>
      <c r="NW50" s="3">
        <f>IF(Nbal!LU50&lt;&gt;"",Nbal!LU50,NV50)</f>
        <v>0</v>
      </c>
      <c r="NX50" s="3">
        <f>NW50*Z50</f>
        <v>0</v>
      </c>
      <c r="NZ50">
        <f>IF($U50=2,Data!$K$304,IF($U50=3,Data!$K$305,0))*MaskJust</f>
        <v>0</v>
      </c>
      <c r="OA50" s="3">
        <f>IF(Nbal!MA50&lt;&gt;"",Nbal!MA50,NZ50)</f>
        <v>0</v>
      </c>
      <c r="OB50" s="3">
        <f>OA50*Z50</f>
        <v>0</v>
      </c>
      <c r="OD50">
        <f>IL50</f>
        <v>0</v>
      </c>
      <c r="OE50">
        <f>JW50+MZ50</f>
        <v>0</v>
      </c>
      <c r="OF50">
        <f>OD50-OE50</f>
        <v>0</v>
      </c>
      <c r="OG50">
        <f>OF50*Z50</f>
        <v>0</v>
      </c>
      <c r="OJ50">
        <f>VLOOKUP($O50,Afgr,Data!$BP$3)+VLOOKUP($P50,Efgr,Data!$AM$53)</f>
        <v>0</v>
      </c>
      <c r="OK50" s="3">
        <f>OJ50*Z50</f>
        <v>0</v>
      </c>
      <c r="OL50">
        <f>VLOOKUP($R50,Afgr,Data!$BP$3)+VLOOKUP($T50,Efgr,Data!$AM$53)</f>
        <v>0</v>
      </c>
      <c r="OM50" s="3">
        <f>OL50*Z50</f>
        <v>0</v>
      </c>
      <c r="OO50">
        <f>VLOOKUP($P50,Efgr,Data!$AN$53)</f>
        <v>0</v>
      </c>
      <c r="OP50">
        <f>VLOOKUP($O50,Afgr,Data!$BQ$3)</f>
        <v>0</v>
      </c>
      <c r="OQ50">
        <f>VLOOKUP($R50,Afgr,Data!$BR$3)</f>
        <v>0</v>
      </c>
      <c r="OR50">
        <f>OO50*OP50*OQ50</f>
        <v>0</v>
      </c>
      <c r="OS50" s="3">
        <f>OR50*Z50</f>
        <v>0</v>
      </c>
      <c r="OT50" s="3">
        <f>IF(Q50,1,0)*OS50</f>
        <v>0</v>
      </c>
      <c r="OV50">
        <f>VLOOKUP($T50,Efgr,Data!$AN$53)</f>
        <v>0</v>
      </c>
      <c r="OW50">
        <f>VLOOKUP($R50,Afgr,Data!$BQ$3)</f>
        <v>0</v>
      </c>
      <c r="OX50">
        <f>VLOOKUP($X50,Afgr,Data!$BR$3)</f>
        <v>0</v>
      </c>
      <c r="OY50">
        <f>OV50*OW50*OX50</f>
        <v>0</v>
      </c>
      <c r="OZ50" s="3">
        <f>OY50*Z50</f>
        <v>0</v>
      </c>
      <c r="PB50">
        <f>VLOOKUP($T50,Efgr,Data!$AO$53)</f>
        <v>0</v>
      </c>
      <c r="PC50">
        <f>VLOOKUP($O50,Afgr,Data!$BQ$3)</f>
        <v>0</v>
      </c>
      <c r="PD50">
        <f>VLOOKUP($R50,Afgr,Data!$BS$3)</f>
        <v>0</v>
      </c>
      <c r="PE50" s="3">
        <f>PB50*PC50*PD50*$Z50</f>
        <v>0</v>
      </c>
      <c r="PG50">
        <f>VLOOKUP($T50,Efgr,Data!$AO$53)</f>
        <v>0</v>
      </c>
      <c r="PH50">
        <f>VLOOKUP($R50,Afgr,Data!$BQ$3)</f>
        <v>0</v>
      </c>
      <c r="PI50">
        <f>VLOOKUP($X50,Afgr,Data!$BS$3)</f>
        <v>0</v>
      </c>
      <c r="PJ50" s="3">
        <f>PG50*PH50*PI50*$Z50</f>
        <v>0</v>
      </c>
      <c r="PK50" s="3"/>
      <c r="PL50" s="3">
        <f>VLOOKUP($O50,Afgr,Data!$BU$3)</f>
        <v>0</v>
      </c>
      <c r="PM50" s="3">
        <f>PL50*Z50</f>
        <v>0</v>
      </c>
      <c r="PN50" s="3">
        <f>VLOOKUP($R50,Afgr,Data!$BU$3)</f>
        <v>0</v>
      </c>
      <c r="PO50" s="3">
        <f>PN50*Z50</f>
        <v>0</v>
      </c>
      <c r="PQ50">
        <f>VLOOKUP(R50,Afgr,Data!$BX$3)+VLOOKUP(T50,Efgr,Data!$AQ$53)</f>
        <v>1</v>
      </c>
      <c r="PR50">
        <f>IF(PQ50&gt;0,Z50,0)</f>
        <v>0.4</v>
      </c>
      <c r="PT50">
        <f>VLOOKUP($O50,Afgr,Data!$BT$3)</f>
        <v>1</v>
      </c>
      <c r="PU50" s="3">
        <f>PT50*Z50</f>
        <v>0.4</v>
      </c>
      <c r="PV50">
        <f>VLOOKUP($R50,Afgr,Data!$BT$3)</f>
        <v>0</v>
      </c>
      <c r="PW50" s="3">
        <f>PV50*Z50</f>
        <v>0</v>
      </c>
      <c r="PY50">
        <f>VLOOKUP($R50,Afgr,Data!$BV$3)</f>
        <v>0</v>
      </c>
      <c r="PZ50">
        <f>PY50*Z50</f>
        <v>0</v>
      </c>
      <c r="QB50">
        <f>VLOOKUP($R50,Afgr,Data!$BW$3)</f>
        <v>0</v>
      </c>
      <c r="QC50">
        <f>QB50*Z50</f>
        <v>0</v>
      </c>
      <c r="QE50">
        <f>AM50*IF(VLOOKUP($R50,Afgr,Data!$BJ$3)&gt;0,1,0)</f>
        <v>0</v>
      </c>
      <c r="QF50">
        <f>QE50*Z50</f>
        <v>0</v>
      </c>
      <c r="QH50">
        <f>AM50*VLOOKUP(R50,Afgr,Data!$BK$3)</f>
        <v>0</v>
      </c>
      <c r="QI50">
        <f>Z50*QH50</f>
        <v>0</v>
      </c>
      <c r="QJ50">
        <f>$AM50*VLOOKUP($R50,Afgr,Data!$BL$3)+$BR50*VLOOKUP($T50,Efgr,Data!$AP$53)</f>
        <v>0</v>
      </c>
      <c r="QK50">
        <f>QJ50*Z50</f>
        <v>0</v>
      </c>
      <c r="QL50">
        <f>$AM50*VLOOKUP($R50,Afgr,Data!$BM$3)</f>
        <v>0</v>
      </c>
      <c r="QM50">
        <f>QL50*Z50</f>
        <v>0</v>
      </c>
      <c r="QN50">
        <f>$AM50*VLOOKUP($R50,Afgr,Data!$BN$3)</f>
        <v>0</v>
      </c>
      <c r="QO50">
        <f>QN50*Z50</f>
        <v>0</v>
      </c>
      <c r="QR50">
        <f>IF(VLOOKUP($R50,Afgr,Data!$DA$3)="Vårbyg",$AN50,0)*VLOOKUP($R50,Afgr,Data!$BJ$3)</f>
        <v>0</v>
      </c>
      <c r="QS50">
        <f>IF(VLOOKUP($R50,Afgr,Data!$DA$3)="Vinterbyg",$AN50,0)*VLOOKUP($R50,Afgr,Data!$BJ$3)</f>
        <v>0</v>
      </c>
      <c r="QT50">
        <f>IF(VLOOKUP($R50,Afgr,Data!$DA$3)="Havre",$AN50,0)*VLOOKUP($R50,Afgr,Data!$BJ$3)</f>
        <v>0</v>
      </c>
      <c r="QU50">
        <f>IF(VLOOKUP($R50,Afgr,Data!$DA$3)="Hvede",$AN50,0)*VLOOKUP($R50,Afgr,Data!$BJ$3)</f>
        <v>0</v>
      </c>
      <c r="QV50">
        <f>IF(VLOOKUP($R50,Afgr,Data!$DA$3)="Triticale",$AN50,0)*VLOOKUP($R50,Afgr,Data!$BJ$3)</f>
        <v>0</v>
      </c>
      <c r="QW50">
        <f>IF(VLOOKUP($R50,Afgr,Data!$DA$3)="Rug",$AN50,0)*VLOOKUP($R50,Afgr,Data!$BJ$3)</f>
        <v>0</v>
      </c>
      <c r="QX50">
        <f>IF(VLOOKUP($R50,Afgr,Data!$DA$3)="Majs",$AN50,0)*VLOOKUP($R50,Afgr,Data!$BJ$3)</f>
        <v>0</v>
      </c>
      <c r="RA50">
        <f>IF(OV50+PB50&gt;0,1,0)</f>
        <v>0</v>
      </c>
      <c r="RB50">
        <f>RA50*LW50</f>
        <v>0</v>
      </c>
      <c r="RC50">
        <f>RA50*MT50</f>
        <v>0</v>
      </c>
      <c r="RD50">
        <f>ND50</f>
        <v>0</v>
      </c>
      <c r="RE50">
        <f>RA50*OB50</f>
        <v>0</v>
      </c>
      <c r="RH50">
        <f>VLOOKUP(B50,Jordtype,Data!$Y$112+DenitNr-1)</f>
        <v>0</v>
      </c>
      <c r="RI50">
        <f>FF50*VLOOKUP(B50,Jordtype,Data!$AB$112+DenitNr-1)</f>
        <v>0</v>
      </c>
      <c r="RJ50">
        <f>((CJ50+CK50+CL50+Regn2!CO50*0.7)-(RR50+RT50))*VLOOKUP(B50,Jordtype,Data!$AE$112+DenitNr-1)</f>
        <v>0</v>
      </c>
      <c r="RK50">
        <f>0*VLOOKUP(B50,Jordtype,Data!$AE$112+DenitNr-1)</f>
        <v>0</v>
      </c>
      <c r="RL50">
        <f>Regn2!FD50*VLOOKUP(B50,Jordtype,Data!$AH$112+DenitNr-1)</f>
        <v>0</v>
      </c>
      <c r="RM50" s="3">
        <f>RH50+RI50+RJ50+RK50+RL50</f>
        <v>0</v>
      </c>
      <c r="RO50">
        <v>2</v>
      </c>
      <c r="RP50">
        <f>(FF50)*RO50*0.01</f>
        <v>0</v>
      </c>
      <c r="RQ50">
        <v>7</v>
      </c>
      <c r="RR50">
        <f>CE50*RQ50*0.01</f>
        <v>0</v>
      </c>
      <c r="RS50">
        <v>7</v>
      </c>
      <c r="RT50">
        <f>(Regn2!CF50+Regn2!CG50)*RS50*0.01</f>
        <v>0</v>
      </c>
      <c r="RW50">
        <f>VLOOKUP(R50,Afgr,Data!$EE$3)</f>
        <v>0</v>
      </c>
      <c r="RX50" s="3">
        <f>RP50+RR50+RT50+RV50+RW50</f>
        <v>0</v>
      </c>
    </row>
    <row r="52" spans="1:492" x14ac:dyDescent="0.25">
      <c r="A52" s="214" t="str">
        <f>Nbal!B52</f>
        <v>21-2</v>
      </c>
      <c r="B52">
        <v>11</v>
      </c>
      <c r="C52">
        <v>1</v>
      </c>
      <c r="D52">
        <f>IF(C52=1,VLOOKUP(B52,Jordtype,Data!$K$112),VLOOKUP(B52,Jordtype,Data!$L$112))</f>
        <v>7</v>
      </c>
      <c r="E52">
        <f>IF(C52=1,VLOOKUP(B52,Jordtype,Data!$M$112),VLOOKUP(B52,Jordtype,Data!$N$112))</f>
        <v>12</v>
      </c>
      <c r="F52">
        <f>IF(OR(B52=1,B52=3),0,IF(OR(B52=2,B52=4),1,IF(OR(B52=5,B52=6),2,3)))</f>
        <v>3</v>
      </c>
      <c r="G52">
        <f>IF(C52=1,VLOOKUP(B52,Jordtype,Data!$Q$112),VLOOKUP(B52,Jordtype,Data!$R$112))</f>
        <v>23</v>
      </c>
      <c r="H52">
        <f>IF(C52=1,VLOOKUP(B52,Jordtype,Data!$O$112),VLOOKUP(B52,Jordtype,Data!$P$112))</f>
        <v>17</v>
      </c>
      <c r="I52">
        <f>IF(B52&lt;5,0,1)</f>
        <v>1</v>
      </c>
      <c r="J52">
        <f>IF(B52&lt;5,PlojJB,1)</f>
        <v>1</v>
      </c>
      <c r="K52">
        <f>IF(B52&lt;5,SaaJB,1)</f>
        <v>1</v>
      </c>
      <c r="L52">
        <f>IF(C52=1,VLOOKUP(B52,Jordtype,Data!$S$112),VLOOKUP(B52,Jordtype,Data!$T$112))</f>
        <v>6</v>
      </c>
      <c r="M52">
        <f>IF(C52=1,VLOOKUP(B52,Jordtype,Data!$U$112),VLOOKUP(B52,Jordtype,Data!$V$112))</f>
        <v>11</v>
      </c>
      <c r="O52">
        <v>40</v>
      </c>
      <c r="P52">
        <v>1</v>
      </c>
      <c r="Q52" t="b">
        <v>0</v>
      </c>
      <c r="R52">
        <v>35</v>
      </c>
      <c r="S52">
        <v>1</v>
      </c>
      <c r="T52">
        <v>1</v>
      </c>
      <c r="U52">
        <v>1</v>
      </c>
      <c r="V52">
        <v>1</v>
      </c>
      <c r="X52">
        <v>35</v>
      </c>
      <c r="Z52">
        <f>Nbal!AG52</f>
        <v>3.13</v>
      </c>
      <c r="AA52">
        <v>1</v>
      </c>
      <c r="AB52">
        <f>VLOOKUP($R52,Afgr,G52)</f>
        <v>146</v>
      </c>
      <c r="AC52">
        <f>VLOOKUP($O52,Afgr,Data!$AI$3)*VLOOKUP(R52,Afgr,Data!$AJ$3)</f>
        <v>0</v>
      </c>
      <c r="AD52">
        <f>IF($Q52,0,VLOOKUP($P52,Efgr,(Data!$W$53+$V$6-1)))</f>
        <v>0</v>
      </c>
      <c r="AE52">
        <f>AB52-AC52-AD52</f>
        <v>146</v>
      </c>
      <c r="AF52">
        <f>AE52*Z52</f>
        <v>456.97999999999996</v>
      </c>
      <c r="AH52">
        <f>VLOOKUP(R52,Afgr,D52)</f>
        <v>63</v>
      </c>
      <c r="AI52">
        <f>VLOOKUP(O52,Afgr,Data!$AL$3)*VLOOKUP(R52,Afgr,E52)</f>
        <v>0</v>
      </c>
      <c r="AJ52">
        <f>VLOOKUP(P52,Efgr,(Data!$Y$53+I52))</f>
        <v>0</v>
      </c>
      <c r="AK52">
        <f>AH52+AI52+AJ52</f>
        <v>63</v>
      </c>
      <c r="AL52">
        <f>AH52+AI52+AJ52</f>
        <v>63</v>
      </c>
      <c r="AM52" s="3">
        <f>IF(Nbal!CK52&lt;&gt;"",Nbal!CK52,AL52)</f>
        <v>69</v>
      </c>
      <c r="AN52">
        <f>AM52*Z52</f>
        <v>215.97</v>
      </c>
      <c r="AO52" t="str">
        <f>VLOOKUP(R52,Afgr,3)</f>
        <v>hkg</v>
      </c>
      <c r="AP52">
        <f>IF(AO52="FE",VLOOKUP($R52,Afgr,Data!$AV$3),0)</f>
        <v>0</v>
      </c>
      <c r="AR52">
        <f>VLOOKUP(R52,Afgr,4)</f>
        <v>145</v>
      </c>
      <c r="AS52" s="3">
        <f>IF(Nbal!CW52&lt;&gt;"",Nbal!CW52,AR52)</f>
        <v>145</v>
      </c>
      <c r="AT52" s="3">
        <f>AM52*AS52</f>
        <v>10005</v>
      </c>
      <c r="AU52" s="3">
        <f>AN52*AS52</f>
        <v>31315.65</v>
      </c>
      <c r="AW52">
        <f>VLOOKUP(R52,Afgr,Data!$AN$3)</f>
        <v>0</v>
      </c>
      <c r="AX52" s="3">
        <f>IF(Nbal!DC52&lt;&gt;"",Nbal!DC52,AW52)</f>
        <v>0</v>
      </c>
      <c r="AY52" s="3">
        <f>AX52*Z52</f>
        <v>0</v>
      </c>
      <c r="BA52">
        <f>VLOOKUP(R52,Afgr,H52)</f>
        <v>3500</v>
      </c>
      <c r="BB52">
        <f>IF(ISERROR(BA52*AM52/AK52),0,(BA52*AM52/AK52))</f>
        <v>3833.3333333333335</v>
      </c>
      <c r="BC52" s="3">
        <f>IF(Nbal!DI52&lt;&gt;"",Nbal!DI52,BB52)</f>
        <v>3833.3333333333335</v>
      </c>
      <c r="BD52">
        <f>BC52*Z52</f>
        <v>11998.333333333334</v>
      </c>
      <c r="BG52">
        <f>IF($S52=1,BC52,0)</f>
        <v>3833.3333333333335</v>
      </c>
      <c r="BH52">
        <f>IF($S52=1,BD52,0)</f>
        <v>11998.333333333334</v>
      </c>
      <c r="BI52">
        <f>VLOOKUP(R52,Afgr,Data!$AM$3)</f>
        <v>0.5</v>
      </c>
      <c r="BJ52">
        <f>IF(Nbal!DR52&lt;&gt;"",Nbal!DR52,BI52)</f>
        <v>0.5</v>
      </c>
      <c r="BK52">
        <f>BG52*BJ52</f>
        <v>1916.6666666666667</v>
      </c>
      <c r="BL52">
        <f>BH52*BJ52</f>
        <v>5999.166666666667</v>
      </c>
      <c r="BN52">
        <f>VLOOKUP($T52,Efgr,M52)</f>
        <v>0</v>
      </c>
      <c r="BO52">
        <f>BN52*Z52</f>
        <v>0</v>
      </c>
      <c r="BQ52">
        <f>VLOOKUP(T52,Efgr,NormudbKolonneNrEfgr1)</f>
        <v>0</v>
      </c>
      <c r="BR52" s="3">
        <f>IF(Nbal!FE52&lt;&gt;"",Nbal!FE52,BQ52)</f>
        <v>0</v>
      </c>
      <c r="BS52">
        <f>BR52*Z52</f>
        <v>0</v>
      </c>
      <c r="BT52" t="s">
        <v>37</v>
      </c>
      <c r="BU52">
        <f>BR52*Efterslaetpris</f>
        <v>0</v>
      </c>
      <c r="BV52">
        <f>BS52*Efterslaetpris</f>
        <v>0</v>
      </c>
      <c r="BW52">
        <f>VLOOKUP(T52,Efgr,Data!$AG$53)</f>
        <v>0</v>
      </c>
      <c r="BX52">
        <f>BR52*BW52</f>
        <v>0</v>
      </c>
      <c r="BZ52">
        <f>Nbal!AQ52</f>
        <v>0</v>
      </c>
      <c r="CA52" s="211">
        <f>Nbal!AT52</f>
        <v>108</v>
      </c>
      <c r="CB52" s="2">
        <f>Nbal!DZ52</f>
        <v>0</v>
      </c>
      <c r="CC52" s="211">
        <f>Nbal!AT52+Nbal!DZ52</f>
        <v>108</v>
      </c>
      <c r="CD52" s="211">
        <f>Nbal!AX52</f>
        <v>0</v>
      </c>
      <c r="CE52">
        <f>Nbal!BH52</f>
        <v>0</v>
      </c>
      <c r="CF52" s="211">
        <f>Nbal!BM52</f>
        <v>119</v>
      </c>
      <c r="CG52" s="2">
        <f>Nbal!EI52</f>
        <v>0</v>
      </c>
      <c r="CH52" s="211">
        <f>Nbal!BM52+Nbal!EI52</f>
        <v>119</v>
      </c>
      <c r="CI52" s="211">
        <f>Nbal!BW52</f>
        <v>0</v>
      </c>
      <c r="CJ52" s="211">
        <f>Nbal!BH52*Nbal!BJ52*0.01</f>
        <v>0</v>
      </c>
      <c r="CK52" s="211">
        <f>(Nbal!BM52*Nbal!BP52*0.01)</f>
        <v>88.333700000000007</v>
      </c>
      <c r="CL52" s="211">
        <f>(Nbal!EI52*Nbal!EL52*0.01)</f>
        <v>0</v>
      </c>
      <c r="CM52" s="211">
        <f>(Nbal!BM52*Nbal!BP52*0.01)+(Nbal!EI52*Nbal!EL52*0.01)</f>
        <v>88.333700000000007</v>
      </c>
      <c r="CN52" s="211">
        <f>Nbal!BW52*Nbal!BY52*0.01</f>
        <v>0</v>
      </c>
      <c r="CO52">
        <f>Nbal!BT52+Nbal!ER52</f>
        <v>0</v>
      </c>
      <c r="CQ52">
        <f>Nbal!BA52</f>
        <v>0</v>
      </c>
      <c r="CR52">
        <f>Nbal!EC52</f>
        <v>0</v>
      </c>
      <c r="CS52">
        <f>(CQ52+CR52)*Z52</f>
        <v>0</v>
      </c>
      <c r="CT52">
        <f>Nbal!CB52</f>
        <v>26</v>
      </c>
      <c r="CU52">
        <f>Nbal!EV52</f>
        <v>0</v>
      </c>
      <c r="CV52">
        <f>(CT52+CU52)*Z52</f>
        <v>81.38</v>
      </c>
      <c r="CW52">
        <f>Nbal!BA52+Nbal!CB52+Nbal!EC52+Nbal!EV52</f>
        <v>26</v>
      </c>
      <c r="CY52">
        <f>Nbal!BD52</f>
        <v>0</v>
      </c>
      <c r="CZ52">
        <f>Nbal!EF52</f>
        <v>0</v>
      </c>
      <c r="DA52">
        <f>(CY52+CZ52)*Z52</f>
        <v>0</v>
      </c>
      <c r="DB52">
        <f>Nbal!CE52</f>
        <v>61</v>
      </c>
      <c r="DC52">
        <f>Nbal!EY52</f>
        <v>0</v>
      </c>
      <c r="DD52">
        <f>(DB52+DC52)*Z52</f>
        <v>190.93</v>
      </c>
      <c r="DE52">
        <f>Nbal!BD52+Nbal!CE52+Nbal!EF52+Nbal!EY52</f>
        <v>61</v>
      </c>
      <c r="DG52">
        <f>VLOOKUP($R52,Afgr,Data!$AW$3)</f>
        <v>10.7</v>
      </c>
      <c r="DH52">
        <f>IF($AO52="FE",$AM52*$AP52*$DG52*0.01,$AM52*100*$DM52*0.01*$DG52*0.01)</f>
        <v>627.55499999999995</v>
      </c>
      <c r="DI52">
        <f>IF(VLOOKUP(R52,Afgr,Data!$BO$3)=1,DH52,0)*Z52</f>
        <v>1964.2471499999997</v>
      </c>
      <c r="DJ52" s="12">
        <f>(BZ52+CC52+CJ52-AE52)*VLOOKUP($R52,Afgr,Data!$AX$3)</f>
        <v>-0.76</v>
      </c>
      <c r="DK52">
        <f>DG52+DJ52</f>
        <v>9.94</v>
      </c>
      <c r="DL52">
        <f>IF(Nbal!CQ52&lt;&gt;"",Nbal!CQ52,DK52)</f>
        <v>11.8</v>
      </c>
      <c r="DM52">
        <f>VLOOKUP(R52,Afgr,Data!$AT$3)</f>
        <v>85</v>
      </c>
      <c r="DN52">
        <f>IF($AO52="FE",$AM52*$AP52*$DL52*0.01,$AM52*100*$DM52*0.01*DL52*0.01)</f>
        <v>692.07</v>
      </c>
      <c r="DO52">
        <f>IF(VLOOKUP(R52,Afgr,Data!$BO$3)=1,DN52,0)*Z52</f>
        <v>2166.1791000000003</v>
      </c>
      <c r="DP52">
        <f>IF(ISERROR(DN52/VLOOKUP(R52,Afgr,Data!$AY$3)),0,DN52/VLOOKUP(R52,Afgr,Data!$AY$3))</f>
        <v>121.41578947368421</v>
      </c>
      <c r="DQ52">
        <f>DP52*Z52</f>
        <v>380.03142105263157</v>
      </c>
      <c r="DS52">
        <f>IF($AO52="FE",$AM52*$AP52*VLOOKUP($R52,Afgr,Data!$BC$3)*0.001,$AM52*100*$DM52*0.01*VLOOKUP($R52,Afgr,Data!$BC$3)*0.001)</f>
        <v>19.940999999999999</v>
      </c>
      <c r="DT52">
        <f>DS52*Z52</f>
        <v>62.415329999999997</v>
      </c>
      <c r="DV52">
        <f>IF($AO52="FE",$AM52*$AP52*VLOOKUP($R52,Afgr,Data!$BF$3)*0.001,$AM52*100*$DM52*0.01*VLOOKUP($R52,Afgr,Data!$BF$3)*0.001)</f>
        <v>28.152000000000001</v>
      </c>
      <c r="DW52">
        <f>DV52*Z52</f>
        <v>88.115759999999995</v>
      </c>
      <c r="DY52">
        <f>IF(ISERROR(VLOOKUP(R52,Afgr,Data!$AZ$3)*DL52/DG52),0,VLOOKUP(R52,Afgr,Data!$AZ$3)*DL52/DG52)</f>
        <v>3.6530373831775709</v>
      </c>
      <c r="DZ52">
        <f>VLOOKUP(R52,Afgr,Data!$AU$3)</f>
        <v>85</v>
      </c>
      <c r="EA52">
        <f>IF($S52=1,$BC52*$DZ52*0.01*DY52*0.01,0)</f>
        <v>119.02813473520256</v>
      </c>
      <c r="EB52">
        <f>EA52/6.25</f>
        <v>19.044501557632408</v>
      </c>
      <c r="EC52">
        <f>EB52*Z52</f>
        <v>59.609289875389436</v>
      </c>
      <c r="EE52">
        <f>IF($S52=1,$BC52*$DZ52*0.01*VLOOKUP($R52,Afgr,Data!$BD$3)*0.001,0)</f>
        <v>2.9325000000000006</v>
      </c>
      <c r="EF52">
        <f>EE52*Z52</f>
        <v>9.1787250000000018</v>
      </c>
      <c r="EH52">
        <f>IF($S52=1,$BC52*$DZ52*0.01*VLOOKUP($R52,Afgr,Data!$BG$3)*0.001,0)</f>
        <v>48.875000000000007</v>
      </c>
      <c r="EI52">
        <f>EH52*Z52</f>
        <v>152.97875000000002</v>
      </c>
      <c r="EK52">
        <f>VLOOKUP(T52,Efgr,Data!$AI$53)</f>
        <v>0</v>
      </c>
      <c r="EL52">
        <f>BX52*EK52*0.01/6.25</f>
        <v>0</v>
      </c>
      <c r="EM52">
        <f>EL52*Z52</f>
        <v>0</v>
      </c>
      <c r="EO52">
        <f>$BX52*VLOOKUP($T52,Efgr,Data!$AJ$53)*0.001</f>
        <v>0</v>
      </c>
      <c r="EP52">
        <f>EO52*Z52</f>
        <v>0</v>
      </c>
      <c r="ER52">
        <f>$BX52*VLOOKUP($T52,Efgr,Data!$AK$53)*0.001</f>
        <v>0</v>
      </c>
      <c r="ES52">
        <f>ER52*Z52</f>
        <v>0</v>
      </c>
      <c r="EU52">
        <f>IF(VLOOKUP(R52,Afgr,Data!$DS$3)=1,DP52*VLOOKUP(R52,Afgr,(Data!$DT$3+EftervirkningUdb1))*VLOOKUP(R52,Afgr,Data!$DV$3),0)</f>
        <v>0</v>
      </c>
      <c r="EV52">
        <f>IF(VLOOKUP(R52,Afgr,Data!$DS$3)=2,VLOOKUP(R52,Afgr,Data!$DX$3),0)</f>
        <v>0</v>
      </c>
      <c r="EW52">
        <f>IF(VLOOKUP(R52,Afgr,Data!$DS$3)=3,$DP52*VLOOKUP($R52,Afgr,IF(Jordtype1&lt;5,Data!$DT$3,Data!$DU$3))*VLOOKUP($R52,Afgr,Data!$DV$3),0)</f>
        <v>0</v>
      </c>
      <c r="EX52">
        <f>IF(VLOOKUP(R52,Afgr,Data!$DS$3)=4,(1.232+0.00469*AM52*100+(0.000256*AM52*100+0.089)*60),0)</f>
        <v>0</v>
      </c>
      <c r="EY52" s="211">
        <f>BZ52+CA52+CJ52+CK52</f>
        <v>196.33370000000002</v>
      </c>
      <c r="EZ52">
        <f>IF(VLOOKUP($R52,Afgr,Data!$DS$3)=5,($AM52*0.02742-$AM52*0.0001*$EY52+$AM52*0.0000001111*$EY52*$EY52),0)</f>
        <v>0</v>
      </c>
      <c r="FA52" s="2">
        <f>CB52+CL52</f>
        <v>0</v>
      </c>
      <c r="FB52">
        <f>IF(VLOOKUP($T52,Efgr,Data!$BH$53)=5,($BR52*0.02742-$BR52*0.0001*$FA52+$BR52*0.0000001111*$FA52*$FA52),0)</f>
        <v>0</v>
      </c>
      <c r="FC52" s="3">
        <f>EU52+EV52+EW52+EX52+EZ52+FB52</f>
        <v>0</v>
      </c>
      <c r="FD52" s="3">
        <f>FC52*Z52</f>
        <v>0</v>
      </c>
      <c r="FF52" s="211">
        <f>BZ52+CC52</f>
        <v>108</v>
      </c>
      <c r="FG52" s="211">
        <f>FF52*Z52</f>
        <v>338.03999999999996</v>
      </c>
      <c r="FH52" s="211">
        <f>CE52+CH52+CO52</f>
        <v>119</v>
      </c>
      <c r="FI52" s="211">
        <f>FH52*Z52</f>
        <v>372.46999999999997</v>
      </c>
      <c r="FJ52">
        <f>VLOOKUP($R52,Afgr,Data!$DK$3)*VLOOKUP($R52,Afgr,Data!$AT$3)*0.01*VLOOKUP($R52,Afgr,Data!$AW$3)*0.01/6.25</f>
        <v>2.3283199999999997</v>
      </c>
      <c r="FK52">
        <f>FJ52*Z52</f>
        <v>7.2876415999999988</v>
      </c>
      <c r="FL52" s="4">
        <f>IF(R52&gt;1,Deposition,0)</f>
        <v>15</v>
      </c>
      <c r="FM52" s="4">
        <f>FL52*Z52</f>
        <v>46.949999999999996</v>
      </c>
      <c r="FN52">
        <f>FC52</f>
        <v>0</v>
      </c>
      <c r="FO52">
        <f>FN52*Z52</f>
        <v>0</v>
      </c>
      <c r="FP52" s="211">
        <f>SUM(FF52,FH52,FJ52,FL52,FN52)</f>
        <v>244.32831999999999</v>
      </c>
      <c r="FQ52">
        <f>DP52+EB52+EL52</f>
        <v>140.46029103131661</v>
      </c>
      <c r="FR52" s="3">
        <f>FP52-FQ52</f>
        <v>103.86802896868338</v>
      </c>
      <c r="FS52" s="19">
        <f>FP52*Z52</f>
        <v>764.74764159999995</v>
      </c>
      <c r="FT52" s="19">
        <f>FQ52*Z52</f>
        <v>439.64071092802101</v>
      </c>
      <c r="FU52" s="3">
        <f>FR52*Z52</f>
        <v>325.10693067197894</v>
      </c>
      <c r="FW52">
        <f>CW52</f>
        <v>26</v>
      </c>
      <c r="FX52">
        <f>FW52*Z52</f>
        <v>81.38</v>
      </c>
      <c r="FY52">
        <f>IX52+MB52</f>
        <v>22.8735</v>
      </c>
      <c r="FZ52">
        <f>FY52*Z52</f>
        <v>71.594054999999997</v>
      </c>
      <c r="GA52">
        <f>FW52-FY52</f>
        <v>3.1265000000000001</v>
      </c>
      <c r="GB52">
        <f>GA52*Z52</f>
        <v>9.7859449999999999</v>
      </c>
      <c r="GD52">
        <f>DE52</f>
        <v>61</v>
      </c>
      <c r="GE52">
        <f>GD52*Z52</f>
        <v>190.93</v>
      </c>
      <c r="GF52">
        <f>JE52+MH52</f>
        <v>77.027000000000015</v>
      </c>
      <c r="GG52">
        <f>GF52*Z52</f>
        <v>241.09451000000004</v>
      </c>
      <c r="GH52">
        <f>GD52-GF52</f>
        <v>-16.027000000000015</v>
      </c>
      <c r="GI52">
        <f>GH52*Z52</f>
        <v>-50.164510000000043</v>
      </c>
      <c r="GK52">
        <f>AA52</f>
        <v>1</v>
      </c>
      <c r="GL52" s="211">
        <f>FF52+FH52+FN52</f>
        <v>227</v>
      </c>
      <c r="GM52" s="211">
        <f>IF(R52=1,"",IF(GK52=1,GL52,""))</f>
        <v>227</v>
      </c>
      <c r="GN52" s="211" t="str">
        <f>IF(R52=1,"",IF(GK52=2,GL52,""))</f>
        <v/>
      </c>
      <c r="GO52" s="211" t="str">
        <f>IF(R52=1,"",IF(GK52=3,GL52,""))</f>
        <v/>
      </c>
      <c r="GP52" s="211" t="str">
        <f>IF(R52=1,"",IF(GK52=4,GL52,""))</f>
        <v/>
      </c>
      <c r="GQ52" s="149">
        <f>IF(OR(R52=1,VLOOKUP(R52,Afgr,Data!$BV$3)=1,VLOOKUP(R52,Afgr,Data!$BW$3)=1),0,IF(GK52=1,Nniveau1,IF(GK52=2,Nniveau2,IF(GK52=3,Nniveau3,IF(GK52=4,Nniveau4,GL52)))))</f>
        <v>173.16922222222217</v>
      </c>
      <c r="GR52" s="241">
        <v>0.32550000000000001</v>
      </c>
      <c r="GS52" s="6">
        <v>0</v>
      </c>
      <c r="GT52" s="149">
        <f>CC52+CM52</f>
        <v>196.33370000000002</v>
      </c>
      <c r="GU52" s="6">
        <f>$FN52</f>
        <v>0</v>
      </c>
      <c r="GV52" s="241">
        <v>0.25280000000000002</v>
      </c>
      <c r="GW52">
        <f>CO52</f>
        <v>0</v>
      </c>
      <c r="GX52" s="241">
        <v>0.376</v>
      </c>
      <c r="GY52" s="149">
        <f>CD52+CN52</f>
        <v>0</v>
      </c>
      <c r="GZ52" s="241">
        <f>IF(B52&gt;3,0.3539,1.0749)</f>
        <v>0.35389999999999999</v>
      </c>
      <c r="HA52" s="11">
        <f>$FQ52</f>
        <v>140.46029103131661</v>
      </c>
      <c r="HB52" s="241">
        <v>0.19359999999999999</v>
      </c>
      <c r="HC52" s="241">
        <f>VLOOKUP($R52,Afgr,Data!$DM$3)</f>
        <v>1</v>
      </c>
      <c r="HD52" s="24">
        <f>IF($HC52&gt;1,0,(VLOOKUP($X52,Afgr,Data!$DP$3)+IF(VLOOKUP($X52,Afgr,Data!$DP$3)=0,VLOOKUP($T52,Efgr,Data!$BI$53,0))))+IF(AND($HC52=7,VLOOKUP($X52,Afgr,Data!$DQ$3)=-2),-2,0)+IF(AND($HC52=6,VLOOKUP($T52,Efgr,Data!$BI$53)=2),8,0)</f>
        <v>1</v>
      </c>
      <c r="HE52" s="6">
        <f>VLOOKUP(SUM(HC52:HD52),Nlesafgr,3)</f>
        <v>-7.6</v>
      </c>
      <c r="HF52" s="7">
        <f>VLOOKUP($O52,Afgr,Data!$DN$3)</f>
        <v>1</v>
      </c>
      <c r="HG52" s="24">
        <f>IF(HF52&gt;1,0,VLOOKUP($R52,Afgr,Data!$DO$3)+IF(VLOOKUP($R52,Afgr,Data!$DO$3)=1,0,VLOOKUP($P52,Efgr,Data!$BJ$53)))</f>
        <v>0</v>
      </c>
      <c r="HH52" s="6">
        <f>VLOOKUP(SUM(HF52:HG52),Nlesforfrugt,3)</f>
        <v>0</v>
      </c>
      <c r="HI52" s="241">
        <f>GR52*GQ52+GV52*(GT52+GU52)+GX52*GW52+GZ52*GY52-HB52*HA52+HE52+HH52</f>
        <v>71.206628849670437</v>
      </c>
      <c r="HJ52" s="241">
        <f>Nlesafskaering</f>
        <v>59.6</v>
      </c>
      <c r="HK52" s="241">
        <f>Teknologi1</f>
        <v>2455</v>
      </c>
      <c r="HL52" s="6">
        <v>2001</v>
      </c>
      <c r="HM52" s="241">
        <f>Teknologi2</f>
        <v>1962.2</v>
      </c>
      <c r="HN52" s="241">
        <f>Tandel</f>
        <v>0.54659999999999997</v>
      </c>
      <c r="HO52" s="241">
        <f>IF(OR(HI52&gt;0,HI52=0),HJ52+HK52/(HL52-HM52),HJ52+HK52/(HL52-HM52)+HN52*HI52)</f>
        <v>122.87319587628873</v>
      </c>
      <c r="HP52" s="241">
        <f>IF(HI52&gt;0,HI52,0.001)</f>
        <v>71.206628849670437</v>
      </c>
      <c r="HQ52" s="241">
        <v>1.5020000000000001E-3</v>
      </c>
      <c r="HR52" s="24">
        <f>IF(R52=1,0,VLOOKUP(PostnrNbal,AfstromData,VLOOKUP($R52,Afgr,Data!$DL$3)+IF(Jordtype1&lt;7,Jordtype1,6),FALSE)-VLOOKUP(T52,Efgr,Data!$AA$53))</f>
        <v>269.74999999999898</v>
      </c>
      <c r="HS52" s="24">
        <f>IF(Nbal!GA52&lt;&gt;"",Nbal!GA52,Regn2!HR52)</f>
        <v>269.74999999999898</v>
      </c>
      <c r="HT52" s="241">
        <v>5.5400000000000002E-4</v>
      </c>
      <c r="HU52" s="24">
        <f>IF(R52=1,0,VLOOKUP(PostnrNbal,AfstromData,VLOOKUP($O52,Afgr,Data!$DL$3)+IF(B52&lt;7,B52,6),FALSE)-VLOOKUP(P52,Efgr,Data!$AA$53))</f>
        <v>304.76666666666603</v>
      </c>
      <c r="HV52" s="24">
        <f>IF(Nbal!FU52&lt;&gt;"",Nbal!FU52,Regn2!HU52)</f>
        <v>304.76666666666603</v>
      </c>
      <c r="HW52" s="241">
        <v>0.10639999999999999</v>
      </c>
      <c r="HX52" s="6">
        <f>VLOOKUP(B52,Jordtype,Data!$W$112)</f>
        <v>26</v>
      </c>
      <c r="HY52" s="241">
        <v>3.2500000000000001E-2</v>
      </c>
      <c r="HZ52" s="6">
        <f>VLOOKUP(B52,Jordtype,Data!$X$112)</f>
        <v>5</v>
      </c>
      <c r="IA52" s="241">
        <v>1.2453000000000001</v>
      </c>
      <c r="IB52" s="241">
        <f>IF(VLOOKUP(T52,Efgr,Data!$AO$53)=1,MlafgrNUdvask,0)</f>
        <v>0</v>
      </c>
      <c r="IC52" s="20">
        <f>IF(ISERROR((HO52+POWER(HP52,1.2))*(1-EXP(-HQ52*HS52))*EXP(-HT52*HV52)*EXP(-HW52*HX52)*EXP(-HY52*HZ52)*IA52),0,(HO52+POWER(HP52,1.2))*(1-EXP(-HQ52*HS52))*EXP(-HT52*HV52)*EXP(-HW52*HX52)*EXP(-HY52*HZ52)*IA52+IB52)</f>
        <v>5.4318198137054887</v>
      </c>
      <c r="ID52">
        <f>IC52*Z52</f>
        <v>17.00159601689818</v>
      </c>
      <c r="IE52">
        <f>IF(Nbal!GF52&lt;&gt;"",Nbal!GF52,RetentionNbal)</f>
        <v>65</v>
      </c>
      <c r="IF52">
        <f>IC52*(100-IE52)*0.01</f>
        <v>1.9011369347969211</v>
      </c>
      <c r="IG52">
        <f>IF52*Z52</f>
        <v>5.9505586059143631</v>
      </c>
      <c r="IH52" s="2">
        <f>HS52*10000</f>
        <v>2697499.9999999898</v>
      </c>
      <c r="II52" s="2">
        <f>IH52*Z52</f>
        <v>8443174.9999999683</v>
      </c>
      <c r="IJ52">
        <f>IF(ISERROR(IC52*1000*1000/IH52),0,IC52*1000*1000/IH52)</f>
        <v>2.0136496065636735</v>
      </c>
      <c r="IL52">
        <f>AT52+AX52+BK52+BU52</f>
        <v>11921.666666666666</v>
      </c>
      <c r="IO52">
        <f>VLOOKUP(R52,Afgr,Data!$AP$3)*UdsaedJust</f>
        <v>578</v>
      </c>
      <c r="IP52" s="3">
        <f>IF(Nbal!GN52&lt;&gt;"",Nbal!GN52,IO52)</f>
        <v>578</v>
      </c>
      <c r="IQ52" s="3">
        <f>IP52*Z52</f>
        <v>1809.1399999999999</v>
      </c>
      <c r="IS52" s="3">
        <f>IF(HdgVaerdiNbal=1,(BZ52+CA52)*Npris,(BZ52+CA52+CJ52+CK52)*Npris)</f>
        <v>912.59999999999991</v>
      </c>
      <c r="IT52" s="3">
        <f>IS52*Z52</f>
        <v>2856.4379999999996</v>
      </c>
      <c r="IV52">
        <f>VLOOKUP($R52,Afgr,Data!$BA$3)</f>
        <v>0</v>
      </c>
      <c r="IW52">
        <f>VLOOKUP($R52,Afgr,Data!$BB$3)</f>
        <v>0</v>
      </c>
      <c r="IX52">
        <f>$DS52+$EE52</f>
        <v>22.8735</v>
      </c>
      <c r="IY52">
        <f>CT52</f>
        <v>26</v>
      </c>
      <c r="IZ52">
        <f>CQ52</f>
        <v>0</v>
      </c>
      <c r="JA52" s="3">
        <f>IF(HdgVaerdiNbal=1,(IZ52)*Ppris,(IY52+IZ52)*Ppris)</f>
        <v>0</v>
      </c>
      <c r="JB52" s="3">
        <f>JA52*Z52</f>
        <v>0</v>
      </c>
      <c r="JD52">
        <f>IF(AND(R52&gt;1,OR(Jordtype1=1,Jordtype1=3,Markvand1=2)),Kudvask,0)</f>
        <v>0</v>
      </c>
      <c r="JE52">
        <f>$DV52+$EH52</f>
        <v>77.027000000000015</v>
      </c>
      <c r="JF52">
        <f>DB52</f>
        <v>61</v>
      </c>
      <c r="JG52">
        <f>CY52</f>
        <v>0</v>
      </c>
      <c r="JH52" s="3">
        <f>IF(HdgVaerdiNbal=1,JG52*Kpris,(JF52+JG52)*Kpris)</f>
        <v>0</v>
      </c>
      <c r="JI52" s="3">
        <f>JH52*Z52</f>
        <v>0</v>
      </c>
      <c r="JK52">
        <f>IS52+JA52+JH52</f>
        <v>912.59999999999991</v>
      </c>
      <c r="JL52" s="3">
        <f>IF(Nbal!GT52&lt;&gt;"",Nbal!GT52,$JK52)</f>
        <v>912.59999999999991</v>
      </c>
      <c r="JM52" s="3">
        <f>JL52*Z52</f>
        <v>2856.4379999999996</v>
      </c>
      <c r="JO52">
        <f>VLOOKUP(R52,Afgr,Data!$AQ$3)*PlantevJust</f>
        <v>703</v>
      </c>
      <c r="JP52" s="3">
        <f>IF(Nbal!GZ52&lt;&gt;"",Nbal!GZ52,JO52)</f>
        <v>703</v>
      </c>
      <c r="JQ52" s="3">
        <f>JP52*Z52</f>
        <v>2200.39</v>
      </c>
      <c r="JS52">
        <f>VLOOKUP(R52,Afgr,Data!$AR$3)+AM52*VLOOKUP(R52,Afgr,Data!$BH$3)</f>
        <v>0</v>
      </c>
      <c r="JT52" s="3">
        <f>IF(Nbal!HF52&lt;&gt;"",Nbal!HF52,JS52)</f>
        <v>0</v>
      </c>
      <c r="JU52">
        <f>JT52*Z52</f>
        <v>0</v>
      </c>
      <c r="JW52">
        <f>IP52+JL52+JP52+JT52</f>
        <v>2193.6</v>
      </c>
      <c r="JY52">
        <f>IF(VLOOKUP(R52,Afgr,Data!$BY$3)&gt;0,Data!$K$259*J52,0)</f>
        <v>600</v>
      </c>
      <c r="JZ52">
        <f>IF(VLOOKUP(R52,Afgr,Data!$BZ$3)&gt;0,Data!$K$260*J52,0)</f>
        <v>0</v>
      </c>
      <c r="KA52">
        <f>(JY52+JZ52)*MaskJust</f>
        <v>600</v>
      </c>
      <c r="KB52" s="3">
        <f>IF(Nbal!HL52&lt;&gt;"",Nbal!HL52,KA52)</f>
        <v>600</v>
      </c>
      <c r="KC52" s="3">
        <f>KB52*Z52</f>
        <v>1878</v>
      </c>
      <c r="KE52">
        <f>IF(VLOOKUP(R52,Afgr,Data!$CA$3)&gt;0,VLOOKUP(R52,Afgr,Data!$CA$3)*Data!$K$261*K52,0)</f>
        <v>0</v>
      </c>
      <c r="KF52">
        <f>IF(VLOOKUP(R52,Afgr,Data!$CC$3)&gt;0,Data!$K$262*K52,0)</f>
        <v>350</v>
      </c>
      <c r="KG52">
        <f>IF(VLOOKUP(R52,Afgr,Data!$CD$3)&gt;0,VLOOKUP(R52,Afgr,Data!$CD$3)*Data!$K$263*K52,0)</f>
        <v>0</v>
      </c>
      <c r="KH52">
        <f>IF(VLOOKUP(R52,Afgr,Data!$CE$3)&gt;0,Data!$K$264*K52,0)</f>
        <v>0</v>
      </c>
      <c r="KI52">
        <f>IF(VLOOKUP(R52,Afgr,Data!$CF$3)&gt;0,Data!$K$265*K52,0)</f>
        <v>0</v>
      </c>
      <c r="KJ52">
        <f>IF(VLOOKUP(R52,Afgr,Data!$CV$3)&gt;0,Data!$K$266,0)</f>
        <v>0</v>
      </c>
      <c r="KK52">
        <f>IF(VLOOKUP(R52,Afgr,Data!$CG$3)&gt;0,Data!$K$267*K52,0)</f>
        <v>0</v>
      </c>
      <c r="KL52">
        <f>(KE52+KF52+KG52+KH52+KI52+KJ52+KK52)*MaskJust</f>
        <v>350</v>
      </c>
      <c r="KM52" s="3">
        <f>IF(Nbal!HR52&lt;&gt;"",Nbal!HR52,KL52)</f>
        <v>350</v>
      </c>
      <c r="KN52" s="3">
        <f>KM52*Z52</f>
        <v>1095.5</v>
      </c>
      <c r="KP52">
        <f>IF(VLOOKUP(R52,Afgr,Data!$CJ$3)&gt;0,VLOOKUP(R52,Afgr,Data!$CJ$3)*Data!$K$268*K52,0)*MaskJust</f>
        <v>280</v>
      </c>
      <c r="KQ52" s="3">
        <f>IF(Nbal!HX52&lt;&gt;"",Nbal!HX52,KP52)</f>
        <v>280</v>
      </c>
      <c r="KR52" s="3">
        <f>KQ52*Z52</f>
        <v>876.4</v>
      </c>
      <c r="KT52">
        <f>IF(VLOOKUP(R52,Afgr,Data!$CI$3)&gt;0,VLOOKUP(R52,Afgr,Data!$CI$3)*Data!$K$269,0)*MaskJust</f>
        <v>450</v>
      </c>
      <c r="KU52" s="3">
        <f>IF(Nbal!ID52&lt;&gt;"",Nbal!ID52,KT52)</f>
        <v>450</v>
      </c>
      <c r="KV52" s="3">
        <f>KU52*Z52</f>
        <v>1408.5</v>
      </c>
      <c r="KX52">
        <f>IF(C52=2,VLOOKUP($R52,Afgr,Data!$CY$3),0)</f>
        <v>0</v>
      </c>
      <c r="KY52">
        <f>IF(Nbal!IJ52&lt;&gt;"",Nbal!IJ52,$KX52)</f>
        <v>0</v>
      </c>
      <c r="KZ52">
        <f>IF(AND(R52&gt;1,C52=2),Vandmaskin+$KY52*Flytning/mmprgang+$KY52*Prisprmm,0)</f>
        <v>0</v>
      </c>
      <c r="LA52" s="3">
        <f>IF(Nbal!IP52&lt;&gt;"",Nbal!IP52,$KZ52)</f>
        <v>0</v>
      </c>
      <c r="LB52" s="3">
        <f>LA52*Z52</f>
        <v>0</v>
      </c>
      <c r="LD52">
        <f>IF(VLOOKUP($R52,Afgr,Data!$CK$3)&gt;0,((1+AM52/VLOOKUP($R52,Afgr,Data!$CK$3))/2)*VLOOKUP($R52,Afgr,Data!$CL$3)*VLOOKUP($R52,Afgr,Data!$CN$3)+VLOOKUP($R52,Afgr,Data!$CM$3),0)</f>
        <v>815.29411764705878</v>
      </c>
      <c r="LE52">
        <f>IF(VLOOKUP($R52,Afgr,Data!$CK$3)&gt;0,IF(AND($S52=2,$BA52&gt;0),Data!$K$271,0),0)</f>
        <v>0</v>
      </c>
      <c r="LF52">
        <f>IF(VLOOKUP($R52,Afgr,Data!$CK$3)&gt;0,(AM52/VLOOKUP($R52,Afgr,Data!$CK$3))*VLOOKUP($R52,Afgr,Data!$CO$3)*VLOOKUP($R52,Afgr,Data!$CN$3),0)</f>
        <v>263.8235294117647</v>
      </c>
      <c r="LG52">
        <f>(LD52+LE52+LF52)*MaskJust</f>
        <v>1079.1176470588234</v>
      </c>
      <c r="LH52" s="3">
        <f>IF(Nbal!IV52&lt;&gt;"",Nbal!IV52,LG52)</f>
        <v>1079.1176470588234</v>
      </c>
      <c r="LI52" s="3">
        <f>LH52*Z52</f>
        <v>3377.6382352941173</v>
      </c>
      <c r="LJ52" s="3"/>
      <c r="LK52">
        <f>IF(AND($S52=1,VLOOKUP($R52,Afgr,Data!$CP$3)&gt;0),((1+$BC52/VLOOKUP($R52,Afgr,Data!$CP$3))/2)*VLOOKUP($R52,Afgr,Data!$CQ$3),0)</f>
        <v>597.91666666666663</v>
      </c>
      <c r="LL52">
        <f>IF(AND($S52=1,VLOOKUP($R52,Afgr,Data!$CP$3)&gt;0),($BC52/VLOOKUP($R52,Afgr,Data!$CP$3))*VLOOKUP($R52,Afgr,Data!$CR$3),0)</f>
        <v>255.55555555555557</v>
      </c>
      <c r="LM52">
        <f>(LK52+LL52)*MaskJust</f>
        <v>853.47222222222217</v>
      </c>
      <c r="LN52" s="3">
        <f>IF(Nbal!JB52&lt;&gt;"",Nbal!JB52,LM52)</f>
        <v>853.47222222222217</v>
      </c>
      <c r="LO52" s="3">
        <f>LN52*Z52</f>
        <v>2671.3680555555552</v>
      </c>
      <c r="LQ52">
        <f>$AM52*VLOOKUP($R52,Afgr,Data!$CS$3)*IF($V52=1,VLOOKUP($R52,Afgr,Data!$CT$3),IF($V52=2,VLOOKUP($R52,Afgr,Data!$CU$3),0))</f>
        <v>637.56000000000006</v>
      </c>
      <c r="LR52" s="3">
        <f>IF(Nbal!JK52&lt;&gt;"",Nbal!JK52,LQ52)</f>
        <v>637.56000000000006</v>
      </c>
      <c r="LS52" s="3">
        <f>LR52*Z52</f>
        <v>1995.5628000000002</v>
      </c>
      <c r="LU52">
        <f>VLOOKUP($T52,Efgr,Data!$AC$53)*UdsaedJust</f>
        <v>0</v>
      </c>
      <c r="LV52" s="3">
        <f>IF(Nbal!$JS52&lt;&gt;"",Nbal!$JS52,LU52)</f>
        <v>0</v>
      </c>
      <c r="LW52" s="3">
        <f>LV52*Z52</f>
        <v>0</v>
      </c>
      <c r="LY52" s="3">
        <f>IF(HdgVaerdiNbal=1,(CB52)*Npris,(CB52+CL52)*Npris)</f>
        <v>0</v>
      </c>
      <c r="LZ52" s="3">
        <f>LY52*Z52</f>
        <v>0</v>
      </c>
      <c r="MB52">
        <f>$EO52</f>
        <v>0</v>
      </c>
      <c r="MC52">
        <f>CU52</f>
        <v>0</v>
      </c>
      <c r="MD52">
        <f>CR52</f>
        <v>0</v>
      </c>
      <c r="ME52" s="3">
        <f>IF(HdgVaerdiNbal=1,MD52*Ppris,(MC52+MD52)*Ppris)</f>
        <v>0</v>
      </c>
      <c r="MF52" s="3">
        <f>ME52*Z52</f>
        <v>0</v>
      </c>
      <c r="MH52">
        <f>$ER52</f>
        <v>0</v>
      </c>
      <c r="MI52">
        <f>DC52</f>
        <v>0</v>
      </c>
      <c r="MJ52">
        <f>CZ52</f>
        <v>0</v>
      </c>
      <c r="MK52" s="3">
        <f>IF(HdgVaerdiNbal=1,MJ52*Ppris,(MI52+MJ52)*Ppris)</f>
        <v>0</v>
      </c>
      <c r="ML52" s="3">
        <f>MK52*Z52</f>
        <v>0</v>
      </c>
      <c r="MN52">
        <f>LY52+ME52+MK52</f>
        <v>0</v>
      </c>
      <c r="MO52" s="3">
        <f>IF(Nbal!JY52&lt;&gt;"",Nbal!JY52,$MN52)</f>
        <v>0</v>
      </c>
      <c r="MP52" s="3">
        <f>MO52*Z52</f>
        <v>0</v>
      </c>
      <c r="MR52">
        <f>VLOOKUP($T52,Efgr,Data!$AE$53)*PlantevJust</f>
        <v>0</v>
      </c>
      <c r="MS52" s="3">
        <f>IF(Nbal!KE52&lt;&gt;"",Nbal!KE52,MR52)</f>
        <v>0</v>
      </c>
      <c r="MT52" s="3">
        <f>MS52*Z52</f>
        <v>0</v>
      </c>
      <c r="MV52">
        <f>VLOOKUP($T52,Efgr,Data!$AF$53)+$BR52*VLOOKUP($T52,Efgr,Data!$AL$53)</f>
        <v>0</v>
      </c>
      <c r="MW52" s="3">
        <f>IF(Nbal!KK52&lt;&gt;"",Nbal!KK52,MV52)</f>
        <v>0</v>
      </c>
      <c r="MX52" s="3">
        <f>MW52*Z52</f>
        <v>0</v>
      </c>
      <c r="MZ52">
        <f>LV52+MO52+MS52+MW52</f>
        <v>0</v>
      </c>
      <c r="NB52">
        <f>VLOOKUP($T52,Efgr,Data!$AU$53)*K52*MaskJust</f>
        <v>0</v>
      </c>
      <c r="NC52" s="3">
        <f>IF(Nbal!KQ52&lt;&gt;"",Nbal!KQ52,NB52)</f>
        <v>0</v>
      </c>
      <c r="ND52" s="3">
        <f>NC52*Z52</f>
        <v>0</v>
      </c>
      <c r="NF52">
        <f>VLOOKUP($T52,Efgr,Data!$AW$53)*Data!$K$268*K52*MaskJust</f>
        <v>0</v>
      </c>
      <c r="NG52" s="3">
        <f>IF(Nbal!KW52&lt;&gt;"",Nbal!KW52,NF52)</f>
        <v>0</v>
      </c>
      <c r="NH52" s="3">
        <f>NG52*Z52</f>
        <v>0</v>
      </c>
      <c r="NJ52">
        <f>VLOOKUP($T52,Efgr,Data!$AV$53)*Data!$K$269*MaskJust</f>
        <v>0</v>
      </c>
      <c r="NK52" s="3">
        <f>IF(Nbal!LC52&lt;&gt;"",Nbal!LC52,NJ52)</f>
        <v>0</v>
      </c>
      <c r="NL52" s="3">
        <f>NK52*Z52</f>
        <v>0</v>
      </c>
      <c r="NN52">
        <f>IF(C52=2,VLOOKUP($T52,Efgr,Data!$BC$53),0)</f>
        <v>0</v>
      </c>
      <c r="NO52">
        <f>IF(Nbal!LI52&lt;&gt;"",Nbal!LI52,$NN52)</f>
        <v>0</v>
      </c>
      <c r="NP52">
        <f>IF(C52=2,$NO52*Flytning/mmprgang+$NO52*Prisprmm,0)</f>
        <v>0</v>
      </c>
      <c r="NQ52" s="3">
        <f>IF(Nbal!LO52&lt;&gt;"",Nbal!LO52,$NP52)</f>
        <v>0</v>
      </c>
      <c r="NR52" s="3">
        <f>NQ52*Z52</f>
        <v>0</v>
      </c>
      <c r="NT52">
        <f>IF(VLOOKUP($T52,Efgr,Data!$AX$53)&gt;0,((1+BR52/VLOOKUP($T52,Efgr,Data!$AX$53))/2)*VLOOKUP($T52,Efgr,Data!$AY$53)*VLOOKUP($T52,Efgr,Data!$BA$53)+VLOOKUP($T52,Efgr,Data!$AZ$53),0)</f>
        <v>0</v>
      </c>
      <c r="NU52">
        <f>IF(VLOOKUP($T52,Efgr,Data!$AX$53)&gt;0,($BR52/VLOOKUP($T52,Efgr,Data!$AX$53))*VLOOKUP($T52,Efgr,Data!$BB$53)*VLOOKUP($T52,Efgr,Data!$BA$53),0)</f>
        <v>0</v>
      </c>
      <c r="NV52">
        <f>(NT52+NU52)*MaskJust</f>
        <v>0</v>
      </c>
      <c r="NW52" s="3">
        <f>IF(Nbal!LU52&lt;&gt;"",Nbal!LU52,NV52)</f>
        <v>0</v>
      </c>
      <c r="NX52" s="3">
        <f>NW52*Z52</f>
        <v>0</v>
      </c>
      <c r="NZ52">
        <f>IF($U52=2,Data!$K$304,IF($U52=3,Data!$K$305,0))*MaskJust</f>
        <v>0</v>
      </c>
      <c r="OA52" s="3">
        <f>IF(Nbal!MA52&lt;&gt;"",Nbal!MA52,NZ52)</f>
        <v>0</v>
      </c>
      <c r="OB52" s="3">
        <f>OA52*Z52</f>
        <v>0</v>
      </c>
      <c r="OD52">
        <f>IL52</f>
        <v>11921.666666666666</v>
      </c>
      <c r="OE52">
        <f>JW52+MZ52</f>
        <v>2193.6</v>
      </c>
      <c r="OF52">
        <f>OD52-OE52</f>
        <v>9728.0666666666657</v>
      </c>
      <c r="OG52">
        <f>OF52*Z52</f>
        <v>30448.848666666661</v>
      </c>
      <c r="OJ52">
        <f>VLOOKUP($O52,Afgr,Data!$BP$3)+VLOOKUP($P52,Efgr,Data!$AM$53)</f>
        <v>1</v>
      </c>
      <c r="OK52" s="3">
        <f>OJ52*Z52</f>
        <v>3.13</v>
      </c>
      <c r="OL52">
        <f>VLOOKUP($R52,Afgr,Data!$BP$3)+VLOOKUP($T52,Efgr,Data!$AM$53)</f>
        <v>1</v>
      </c>
      <c r="OM52" s="3">
        <f>OL52*Z52</f>
        <v>3.13</v>
      </c>
      <c r="OO52">
        <f>VLOOKUP($P52,Efgr,Data!$AN$53)</f>
        <v>0</v>
      </c>
      <c r="OP52">
        <f>VLOOKUP($O52,Afgr,Data!$BQ$3)</f>
        <v>1</v>
      </c>
      <c r="OQ52">
        <f>VLOOKUP($R52,Afgr,Data!$BR$3)</f>
        <v>0</v>
      </c>
      <c r="OR52">
        <f>OO52*OP52*OQ52</f>
        <v>0</v>
      </c>
      <c r="OS52" s="3">
        <f>OR52*Z52</f>
        <v>0</v>
      </c>
      <c r="OT52" s="3">
        <f>IF(Q52,1,0)*OS52</f>
        <v>0</v>
      </c>
      <c r="OV52">
        <f>VLOOKUP($T52,Efgr,Data!$AN$53)</f>
        <v>0</v>
      </c>
      <c r="OW52">
        <f>VLOOKUP($R52,Afgr,Data!$BQ$3)</f>
        <v>1</v>
      </c>
      <c r="OX52">
        <f>VLOOKUP($X52,Afgr,Data!$BR$3)</f>
        <v>0</v>
      </c>
      <c r="OY52">
        <f>OV52*OW52*OX52</f>
        <v>0</v>
      </c>
      <c r="OZ52" s="3">
        <f>OY52*Z52</f>
        <v>0</v>
      </c>
      <c r="PB52">
        <f>VLOOKUP($T52,Efgr,Data!$AO$53)</f>
        <v>0</v>
      </c>
      <c r="PC52">
        <f>VLOOKUP($O52,Afgr,Data!$BQ$3)</f>
        <v>1</v>
      </c>
      <c r="PD52">
        <f>VLOOKUP($R52,Afgr,Data!$BS$3)</f>
        <v>1</v>
      </c>
      <c r="PE52" s="3">
        <f>PB52*PC52*PD52*$Z52</f>
        <v>0</v>
      </c>
      <c r="PG52">
        <f>VLOOKUP($T52,Efgr,Data!$AO$53)</f>
        <v>0</v>
      </c>
      <c r="PH52">
        <f>VLOOKUP($R52,Afgr,Data!$BQ$3)</f>
        <v>1</v>
      </c>
      <c r="PI52">
        <f>VLOOKUP($X52,Afgr,Data!$BS$3)</f>
        <v>1</v>
      </c>
      <c r="PJ52" s="3">
        <f>PG52*PH52*PI52*$Z52</f>
        <v>0</v>
      </c>
      <c r="PK52" s="3"/>
      <c r="PL52" s="3">
        <f>VLOOKUP($O52,Afgr,Data!$BU$3)</f>
        <v>0</v>
      </c>
      <c r="PM52" s="3">
        <f>PL52*Z52</f>
        <v>0</v>
      </c>
      <c r="PN52" s="3">
        <f>VLOOKUP($R52,Afgr,Data!$BU$3)</f>
        <v>0</v>
      </c>
      <c r="PO52" s="3">
        <f>PN52*Z52</f>
        <v>0</v>
      </c>
      <c r="PQ52">
        <f>VLOOKUP(R52,Afgr,Data!$BX$3)+VLOOKUP(T52,Efgr,Data!$AQ$53)</f>
        <v>1</v>
      </c>
      <c r="PR52">
        <f>IF(PQ52&gt;0,Z52,0)</f>
        <v>3.13</v>
      </c>
      <c r="PT52">
        <f>VLOOKUP($O52,Afgr,Data!$BT$3)</f>
        <v>1</v>
      </c>
      <c r="PU52" s="3">
        <f>PT52*Z52</f>
        <v>3.13</v>
      </c>
      <c r="PV52">
        <f>VLOOKUP($R52,Afgr,Data!$BT$3)</f>
        <v>1</v>
      </c>
      <c r="PW52" s="3">
        <f>PV52*Z52</f>
        <v>3.13</v>
      </c>
      <c r="PY52">
        <f>VLOOKUP($R52,Afgr,Data!$BV$3)</f>
        <v>0</v>
      </c>
      <c r="PZ52">
        <f>PY52*Z52</f>
        <v>0</v>
      </c>
      <c r="QB52">
        <f>VLOOKUP($R52,Afgr,Data!$BW$3)</f>
        <v>0</v>
      </c>
      <c r="QC52">
        <f>QB52*Z52</f>
        <v>0</v>
      </c>
      <c r="QE52">
        <f>AM52*IF(VLOOKUP($R52,Afgr,Data!$BJ$3)&gt;0,1,0)</f>
        <v>69</v>
      </c>
      <c r="QF52">
        <f>QE52*Z52</f>
        <v>215.97</v>
      </c>
      <c r="QH52">
        <f>AM52*VLOOKUP(R52,Afgr,Data!$BK$3)</f>
        <v>7107</v>
      </c>
      <c r="QI52">
        <f>Z52*QH52</f>
        <v>22244.91</v>
      </c>
      <c r="QJ52">
        <f>$AM52*VLOOKUP($R52,Afgr,Data!$BL$3)+$BR52*VLOOKUP($T52,Efgr,Data!$AP$53)</f>
        <v>0</v>
      </c>
      <c r="QK52">
        <f>QJ52*Z52</f>
        <v>0</v>
      </c>
      <c r="QL52">
        <f>$AM52*VLOOKUP($R52,Afgr,Data!$BM$3)</f>
        <v>0</v>
      </c>
      <c r="QM52">
        <f>QL52*Z52</f>
        <v>0</v>
      </c>
      <c r="QN52">
        <f>$AM52*VLOOKUP($R52,Afgr,Data!$BN$3)</f>
        <v>0</v>
      </c>
      <c r="QO52">
        <f>QN52*Z52</f>
        <v>0</v>
      </c>
      <c r="QR52">
        <f>IF(VLOOKUP($R52,Afgr,Data!$DA$3)="Vårbyg",$AN52,0)*VLOOKUP($R52,Afgr,Data!$BJ$3)</f>
        <v>0</v>
      </c>
      <c r="QS52">
        <f>IF(VLOOKUP($R52,Afgr,Data!$DA$3)="Vinterbyg",$AN52,0)*VLOOKUP($R52,Afgr,Data!$BJ$3)</f>
        <v>0</v>
      </c>
      <c r="QT52">
        <f>IF(VLOOKUP($R52,Afgr,Data!$DA$3)="Havre",$AN52,0)*VLOOKUP($R52,Afgr,Data!$BJ$3)</f>
        <v>0</v>
      </c>
      <c r="QU52">
        <f>IF(VLOOKUP($R52,Afgr,Data!$DA$3)="Hvede",$AN52,0)*VLOOKUP($R52,Afgr,Data!$BJ$3)</f>
        <v>24836.55</v>
      </c>
      <c r="QV52">
        <f>IF(VLOOKUP($R52,Afgr,Data!$DA$3)="Triticale",$AN52,0)*VLOOKUP($R52,Afgr,Data!$BJ$3)</f>
        <v>0</v>
      </c>
      <c r="QW52">
        <f>IF(VLOOKUP($R52,Afgr,Data!$DA$3)="Rug",$AN52,0)*VLOOKUP($R52,Afgr,Data!$BJ$3)</f>
        <v>0</v>
      </c>
      <c r="QX52">
        <f>IF(VLOOKUP($R52,Afgr,Data!$DA$3)="Majs",$AN52,0)*VLOOKUP($R52,Afgr,Data!$BJ$3)</f>
        <v>0</v>
      </c>
      <c r="RA52">
        <f>IF(OV52+PB52&gt;0,1,0)</f>
        <v>0</v>
      </c>
      <c r="RB52">
        <f>RA52*LW52</f>
        <v>0</v>
      </c>
      <c r="RC52">
        <f>RA52*MT52</f>
        <v>0</v>
      </c>
      <c r="RD52">
        <f>ND52</f>
        <v>0</v>
      </c>
      <c r="RE52">
        <f>RA52*OB52</f>
        <v>0</v>
      </c>
      <c r="RH52">
        <f>VLOOKUP(B52,Jordtype,Data!$Y$112+DenitNr-1)</f>
        <v>0</v>
      </c>
      <c r="RI52">
        <f>FF52*VLOOKUP(B52,Jordtype,Data!$AB$112+DenitNr-1)</f>
        <v>0</v>
      </c>
      <c r="RJ52">
        <f>((CJ52+CK52+CL52+Regn2!CO52*0.7)-(RR52+RT52))*VLOOKUP(B52,Jordtype,Data!$AE$112+DenitNr-1)</f>
        <v>0</v>
      </c>
      <c r="RK52">
        <f>0*VLOOKUP(B52,Jordtype,Data!$AE$112+DenitNr-1)</f>
        <v>0</v>
      </c>
      <c r="RL52">
        <f>Regn2!FD52*VLOOKUP(B52,Jordtype,Data!$AH$112+DenitNr-1)</f>
        <v>0</v>
      </c>
      <c r="RM52" s="3">
        <f>RH52+RI52+RJ52+RK52+RL52</f>
        <v>0</v>
      </c>
      <c r="RO52">
        <v>2</v>
      </c>
      <c r="RP52">
        <f>(FF52)*RO52*0.01</f>
        <v>2.16</v>
      </c>
      <c r="RQ52">
        <v>7</v>
      </c>
      <c r="RR52">
        <f>CE52*RQ52*0.01</f>
        <v>0</v>
      </c>
      <c r="RS52">
        <v>7</v>
      </c>
      <c r="RT52">
        <f>(Regn2!CF52+Regn2!CG52)*RS52*0.01</f>
        <v>8.33</v>
      </c>
      <c r="RW52">
        <f>VLOOKUP(R52,Afgr,Data!$EE$3)</f>
        <v>5</v>
      </c>
      <c r="RX52" s="3">
        <f>RP52+RR52+RT52+RV52+RW52</f>
        <v>15.49</v>
      </c>
    </row>
    <row r="54" spans="1:492" x14ac:dyDescent="0.25">
      <c r="A54" s="214" t="str">
        <f>Nbal!B54</f>
        <v>22-0</v>
      </c>
      <c r="B54">
        <v>11</v>
      </c>
      <c r="C54">
        <v>1</v>
      </c>
      <c r="D54">
        <f>IF(C54=1,VLOOKUP(B54,Jordtype,Data!$K$112),VLOOKUP(B54,Jordtype,Data!$L$112))</f>
        <v>7</v>
      </c>
      <c r="E54">
        <f>IF(C54=1,VLOOKUP(B54,Jordtype,Data!$M$112),VLOOKUP(B54,Jordtype,Data!$N$112))</f>
        <v>12</v>
      </c>
      <c r="F54">
        <f>IF(OR(B54=1,B54=3),0,IF(OR(B54=2,B54=4),1,IF(OR(B54=5,B54=6),2,3)))</f>
        <v>3</v>
      </c>
      <c r="G54">
        <f>IF(C54=1,VLOOKUP(B54,Jordtype,Data!$Q$112),VLOOKUP(B54,Jordtype,Data!$R$112))</f>
        <v>23</v>
      </c>
      <c r="H54">
        <f>IF(C54=1,VLOOKUP(B54,Jordtype,Data!$O$112),VLOOKUP(B54,Jordtype,Data!$P$112))</f>
        <v>17</v>
      </c>
      <c r="I54">
        <f>IF(B54&lt;5,0,1)</f>
        <v>1</v>
      </c>
      <c r="J54">
        <f>IF(B54&lt;5,PlojJB,1)</f>
        <v>1</v>
      </c>
      <c r="K54">
        <f>IF(B54&lt;5,SaaJB,1)</f>
        <v>1</v>
      </c>
      <c r="L54">
        <f>IF(C54=1,VLOOKUP(B54,Jordtype,Data!$S$112),VLOOKUP(B54,Jordtype,Data!$T$112))</f>
        <v>6</v>
      </c>
      <c r="M54">
        <f>IF(C54=1,VLOOKUP(B54,Jordtype,Data!$U$112),VLOOKUP(B54,Jordtype,Data!$V$112))</f>
        <v>11</v>
      </c>
      <c r="O54">
        <v>26</v>
      </c>
      <c r="P54">
        <v>1</v>
      </c>
      <c r="Q54" t="b">
        <v>0</v>
      </c>
      <c r="R54">
        <v>26</v>
      </c>
      <c r="S54">
        <v>1</v>
      </c>
      <c r="T54">
        <v>1</v>
      </c>
      <c r="U54">
        <v>1</v>
      </c>
      <c r="V54">
        <v>1</v>
      </c>
      <c r="X54">
        <v>26</v>
      </c>
      <c r="Z54">
        <f>Nbal!AG54</f>
        <v>1.48</v>
      </c>
      <c r="AA54">
        <v>4</v>
      </c>
      <c r="AB54">
        <f>VLOOKUP($R54,Afgr,G54)</f>
        <v>134</v>
      </c>
      <c r="AC54">
        <f>VLOOKUP($O54,Afgr,Data!$AI$3)*VLOOKUP(R54,Afgr,Data!$AJ$3)</f>
        <v>0</v>
      </c>
      <c r="AD54">
        <f>IF($Q54,0,VLOOKUP($P54,Efgr,(Data!$W$53+$V$6-1)))</f>
        <v>0</v>
      </c>
      <c r="AE54">
        <f>AB54-AC54-AD54</f>
        <v>134</v>
      </c>
      <c r="AF54">
        <f>AE54*Z54</f>
        <v>198.32</v>
      </c>
      <c r="AH54">
        <f>VLOOKUP(R54,Afgr,D54)</f>
        <v>3000</v>
      </c>
      <c r="AI54">
        <f>VLOOKUP(O54,Afgr,Data!$AL$3)*VLOOKUP(R54,Afgr,E54)</f>
        <v>0</v>
      </c>
      <c r="AJ54">
        <f>VLOOKUP(P54,Efgr,(Data!$Y$53+I54))</f>
        <v>0</v>
      </c>
      <c r="AK54">
        <f>AH54+AI54+AJ54</f>
        <v>3000</v>
      </c>
      <c r="AL54">
        <f>AH54+AI54+AJ54</f>
        <v>3000</v>
      </c>
      <c r="AM54" s="3">
        <f>IF(Nbal!CK54&lt;&gt;"",Nbal!CK54,AL54)</f>
        <v>3000</v>
      </c>
      <c r="AN54">
        <f>AM54*Z54</f>
        <v>4440</v>
      </c>
      <c r="AO54" t="str">
        <f>VLOOKUP(R54,Afgr,3)</f>
        <v>FE</v>
      </c>
      <c r="AP54">
        <f>IF(AO54="FE",VLOOKUP($R54,Afgr,Data!$AV$3),0)</f>
        <v>1.1599999999999999</v>
      </c>
      <c r="AR54">
        <f>VLOOKUP(R54,Afgr,4)</f>
        <v>1.2</v>
      </c>
      <c r="AS54" s="3">
        <f>IF(Nbal!CW54&lt;&gt;"",Nbal!CW54,AR54)</f>
        <v>1.2</v>
      </c>
      <c r="AT54" s="3">
        <f>AM54*AS54</f>
        <v>3600</v>
      </c>
      <c r="AU54" s="3">
        <f>AN54*AS54</f>
        <v>5328</v>
      </c>
      <c r="AW54">
        <f>VLOOKUP(R54,Afgr,Data!$AN$3)</f>
        <v>0</v>
      </c>
      <c r="AX54" s="3">
        <f>IF(Nbal!DC54&lt;&gt;"",Nbal!DC54,AW54)</f>
        <v>0</v>
      </c>
      <c r="AY54" s="3">
        <f>AX54*Z54</f>
        <v>0</v>
      </c>
      <c r="BA54">
        <f>VLOOKUP(R54,Afgr,H54)</f>
        <v>0</v>
      </c>
      <c r="BB54">
        <f>IF(ISERROR(BA54*AM54/AK54),0,(BA54*AM54/AK54))</f>
        <v>0</v>
      </c>
      <c r="BC54" s="3">
        <f>IF(Nbal!DI54&lt;&gt;"",Nbal!DI54,BB54)</f>
        <v>0</v>
      </c>
      <c r="BD54">
        <f>BC54*Z54</f>
        <v>0</v>
      </c>
      <c r="BG54">
        <f>IF($S54=1,BC54,0)</f>
        <v>0</v>
      </c>
      <c r="BH54">
        <f>IF($S54=1,BD54,0)</f>
        <v>0</v>
      </c>
      <c r="BI54">
        <f>VLOOKUP(R54,Afgr,Data!$AM$3)</f>
        <v>0</v>
      </c>
      <c r="BJ54">
        <f>IF(Nbal!DR54&lt;&gt;"",Nbal!DR54,BI54)</f>
        <v>0</v>
      </c>
      <c r="BK54">
        <f>BG54*BJ54</f>
        <v>0</v>
      </c>
      <c r="BL54">
        <f>BH54*BJ54</f>
        <v>0</v>
      </c>
      <c r="BN54">
        <f>VLOOKUP($T54,Efgr,M54)</f>
        <v>0</v>
      </c>
      <c r="BO54">
        <f>BN54*Z54</f>
        <v>0</v>
      </c>
      <c r="BQ54">
        <f>VLOOKUP(T54,Efgr,NormudbKolonneNrEfgr1)</f>
        <v>0</v>
      </c>
      <c r="BR54" s="3">
        <f>IF(Nbal!FE54&lt;&gt;"",Nbal!FE54,BQ54)</f>
        <v>0</v>
      </c>
      <c r="BS54">
        <f>BR54*Z54</f>
        <v>0</v>
      </c>
      <c r="BT54" t="s">
        <v>37</v>
      </c>
      <c r="BU54">
        <f>BR54*Efterslaetpris</f>
        <v>0</v>
      </c>
      <c r="BV54">
        <f>BS54*Efterslaetpris</f>
        <v>0</v>
      </c>
      <c r="BW54">
        <f>VLOOKUP(T54,Efgr,Data!$AG$53)</f>
        <v>0</v>
      </c>
      <c r="BX54">
        <f>BR54*BW54</f>
        <v>0</v>
      </c>
      <c r="BZ54">
        <f>Nbal!AQ54</f>
        <v>0</v>
      </c>
      <c r="CA54" s="211">
        <f>Nbal!AT54</f>
        <v>0</v>
      </c>
      <c r="CB54" s="2">
        <f>Nbal!DZ54</f>
        <v>0</v>
      </c>
      <c r="CC54" s="211">
        <f>Nbal!AT54+Nbal!DZ54</f>
        <v>0</v>
      </c>
      <c r="CD54" s="211">
        <f>Nbal!AX54</f>
        <v>0</v>
      </c>
      <c r="CE54">
        <f>Nbal!BH54</f>
        <v>0</v>
      </c>
      <c r="CF54" s="211">
        <f>Nbal!BM54</f>
        <v>0</v>
      </c>
      <c r="CG54" s="2">
        <f>Nbal!EI54</f>
        <v>0</v>
      </c>
      <c r="CH54" s="211">
        <f>Nbal!BM54+Nbal!EI54</f>
        <v>0</v>
      </c>
      <c r="CI54" s="211">
        <f>Nbal!BW54</f>
        <v>0</v>
      </c>
      <c r="CJ54" s="211">
        <f>Nbal!BH54*Nbal!BJ54*0.01</f>
        <v>0</v>
      </c>
      <c r="CK54" s="211">
        <f>(Nbal!BM54*Nbal!BP54*0.01)</f>
        <v>0</v>
      </c>
      <c r="CL54" s="211">
        <f>(Nbal!EI54*Nbal!EL54*0.01)</f>
        <v>0</v>
      </c>
      <c r="CM54" s="211">
        <f>(Nbal!BM54*Nbal!BP54*0.01)+(Nbal!EI54*Nbal!EL54*0.01)</f>
        <v>0</v>
      </c>
      <c r="CN54" s="211">
        <f>Nbal!BW54*Nbal!BY54*0.01</f>
        <v>0</v>
      </c>
      <c r="CO54">
        <f>Nbal!BT54+Nbal!ER54</f>
        <v>0</v>
      </c>
      <c r="CQ54">
        <f>Nbal!BA54</f>
        <v>0</v>
      </c>
      <c r="CR54">
        <f>Nbal!EC54</f>
        <v>0</v>
      </c>
      <c r="CS54">
        <f>(CQ54+CR54)*Z54</f>
        <v>0</v>
      </c>
      <c r="CT54">
        <f>Nbal!CB54</f>
        <v>0</v>
      </c>
      <c r="CU54">
        <f>Nbal!EV54</f>
        <v>0</v>
      </c>
      <c r="CV54">
        <f>(CT54+CU54)*Z54</f>
        <v>0</v>
      </c>
      <c r="CW54">
        <f>Nbal!BA54+Nbal!CB54+Nbal!EC54+Nbal!EV54</f>
        <v>0</v>
      </c>
      <c r="CY54">
        <f>Nbal!BD54</f>
        <v>0</v>
      </c>
      <c r="CZ54">
        <f>Nbal!EF54</f>
        <v>0</v>
      </c>
      <c r="DA54">
        <f>(CY54+CZ54)*Z54</f>
        <v>0</v>
      </c>
      <c r="DB54">
        <f>Nbal!CE54</f>
        <v>0</v>
      </c>
      <c r="DC54">
        <f>Nbal!EY54</f>
        <v>0</v>
      </c>
      <c r="DD54">
        <f>(DB54+DC54)*Z54</f>
        <v>0</v>
      </c>
      <c r="DE54">
        <f>Nbal!BD54+Nbal!CE54+Nbal!EF54+Nbal!EY54</f>
        <v>0</v>
      </c>
      <c r="DG54">
        <f>VLOOKUP($R54,Afgr,Data!$AW$3)</f>
        <v>14</v>
      </c>
      <c r="DH54">
        <f>IF($AO54="FE",$AM54*$AP54*$DG54*0.01,$AM54*100*$DM54*0.01*$DG54*0.01)</f>
        <v>487.19999999999993</v>
      </c>
      <c r="DI54">
        <f>IF(VLOOKUP(R54,Afgr,Data!$BO$3)=1,DH54,0)*Z54</f>
        <v>0</v>
      </c>
      <c r="DJ54" s="12">
        <f>(BZ54+CC54+CJ54-AE54)*VLOOKUP($R54,Afgr,Data!$AX$3)</f>
        <v>0</v>
      </c>
      <c r="DK54">
        <f>DG54+DJ54</f>
        <v>14</v>
      </c>
      <c r="DL54">
        <f>IF(Nbal!CQ54&lt;&gt;"",Nbal!CQ54,DK54)</f>
        <v>14</v>
      </c>
      <c r="DM54">
        <f>VLOOKUP(R54,Afgr,Data!$AT$3)</f>
        <v>0</v>
      </c>
      <c r="DN54">
        <f>IF($AO54="FE",$AM54*$AP54*$DL54*0.01,$AM54*100*$DM54*0.01*DL54*0.01)</f>
        <v>487.19999999999993</v>
      </c>
      <c r="DO54">
        <f>IF(VLOOKUP(R54,Afgr,Data!$BO$3)=1,DN54,0)*Z54</f>
        <v>0</v>
      </c>
      <c r="DP54">
        <f>IF(ISERROR(DN54/VLOOKUP(R54,Afgr,Data!$AY$3)),0,DN54/VLOOKUP(R54,Afgr,Data!$AY$3))</f>
        <v>77.951999999999984</v>
      </c>
      <c r="DQ54">
        <f>DP54*Z54</f>
        <v>115.36895999999997</v>
      </c>
      <c r="DS54">
        <f>IF($AO54="FE",$AM54*$AP54*VLOOKUP($R54,Afgr,Data!$BC$3)*0.001,$AM54*100*$DM54*0.01*VLOOKUP($R54,Afgr,Data!$BC$3)*0.001)</f>
        <v>9.743999999999998</v>
      </c>
      <c r="DT54">
        <f>DS54*Z54</f>
        <v>14.421119999999997</v>
      </c>
      <c r="DV54">
        <f>IF($AO54="FE",$AM54*$AP54*VLOOKUP($R54,Afgr,Data!$BF$3)*0.001,$AM54*100*$DM54*0.01*VLOOKUP($R54,Afgr,Data!$BF$3)*0.001)</f>
        <v>62.639999999999993</v>
      </c>
      <c r="DW54">
        <f>DV54*Z54</f>
        <v>92.707199999999986</v>
      </c>
      <c r="DY54">
        <f>IF(ISERROR(VLOOKUP(R54,Afgr,Data!$AZ$3)*DL54/DG54),0,VLOOKUP(R54,Afgr,Data!$AZ$3)*DL54/DG54)</f>
        <v>0</v>
      </c>
      <c r="DZ54">
        <f>VLOOKUP(R54,Afgr,Data!$AU$3)</f>
        <v>0</v>
      </c>
      <c r="EA54">
        <f>IF($S54=1,$BC54*$DZ54*0.01*DY54*0.01,0)</f>
        <v>0</v>
      </c>
      <c r="EB54">
        <f>EA54/6.25</f>
        <v>0</v>
      </c>
      <c r="EC54">
        <f>EB54*Z54</f>
        <v>0</v>
      </c>
      <c r="EE54">
        <f>IF($S54=1,$BC54*$DZ54*0.01*VLOOKUP($R54,Afgr,Data!$BD$3)*0.001,0)</f>
        <v>0</v>
      </c>
      <c r="EF54">
        <f>EE54*Z54</f>
        <v>0</v>
      </c>
      <c r="EH54">
        <f>IF($S54=1,$BC54*$DZ54*0.01*VLOOKUP($R54,Afgr,Data!$BG$3)*0.001,0)</f>
        <v>0</v>
      </c>
      <c r="EI54">
        <f>EH54*Z54</f>
        <v>0</v>
      </c>
      <c r="EK54">
        <f>VLOOKUP(T54,Efgr,Data!$AI$53)</f>
        <v>0</v>
      </c>
      <c r="EL54">
        <f>BX54*EK54*0.01/6.25</f>
        <v>0</v>
      </c>
      <c r="EM54">
        <f>EL54*Z54</f>
        <v>0</v>
      </c>
      <c r="EO54">
        <f>$BX54*VLOOKUP($T54,Efgr,Data!$AJ$53)*0.001</f>
        <v>0</v>
      </c>
      <c r="EP54">
        <f>EO54*Z54</f>
        <v>0</v>
      </c>
      <c r="ER54">
        <f>$BX54*VLOOKUP($T54,Efgr,Data!$AK$53)*0.001</f>
        <v>0</v>
      </c>
      <c r="ES54">
        <f>ER54*Z54</f>
        <v>0</v>
      </c>
      <c r="EU54">
        <f>IF(VLOOKUP(R54,Afgr,Data!$DS$3)=1,DP54*VLOOKUP(R54,Afgr,(Data!$DT$3+EftervirkningUdb1))*VLOOKUP(R54,Afgr,Data!$DV$3),0)</f>
        <v>0</v>
      </c>
      <c r="EV54">
        <f>IF(VLOOKUP(R54,Afgr,Data!$DS$3)=2,VLOOKUP(R54,Afgr,Data!$DX$3),0)</f>
        <v>0</v>
      </c>
      <c r="EW54">
        <f>IF(VLOOKUP(R54,Afgr,Data!$DS$3)=3,$DP54*VLOOKUP($R54,Afgr,IF(Jordtype1&lt;5,Data!$DT$3,Data!$DU$3))*VLOOKUP($R54,Afgr,Data!$DV$3),0)</f>
        <v>0</v>
      </c>
      <c r="EX54">
        <f>IF(VLOOKUP(R54,Afgr,Data!$DS$3)=4,(1.232+0.00469*AM54*100+(0.000256*AM54*100+0.089)*60),0)</f>
        <v>0</v>
      </c>
      <c r="EY54" s="211">
        <f>BZ54+CA54+CJ54+CK54</f>
        <v>0</v>
      </c>
      <c r="EZ54">
        <f>IF(VLOOKUP($R54,Afgr,Data!$DS$3)=5,($AM54*0.02742-$AM54*0.0001*$EY54+$AM54*0.0000001111*$EY54*$EY54),0)</f>
        <v>0</v>
      </c>
      <c r="FA54" s="2">
        <f>CB54+CL54</f>
        <v>0</v>
      </c>
      <c r="FB54">
        <f>IF(VLOOKUP($T54,Efgr,Data!$BH$53)=5,($BR54*0.02742-$BR54*0.0001*$FA54+$BR54*0.0000001111*$FA54*$FA54),0)</f>
        <v>0</v>
      </c>
      <c r="FC54" s="3">
        <f>EU54+EV54+EW54+EX54+EZ54+FB54</f>
        <v>0</v>
      </c>
      <c r="FD54" s="3">
        <f>FC54*Z54</f>
        <v>0</v>
      </c>
      <c r="FF54" s="211">
        <f>BZ54+CC54</f>
        <v>0</v>
      </c>
      <c r="FG54" s="211">
        <f>FF54*Z54</f>
        <v>0</v>
      </c>
      <c r="FH54" s="211">
        <f>CE54+CH54+CO54</f>
        <v>0</v>
      </c>
      <c r="FI54" s="211">
        <f>FH54*Z54</f>
        <v>0</v>
      </c>
      <c r="FJ54">
        <f>VLOOKUP($R54,Afgr,Data!$DK$3)*VLOOKUP($R54,Afgr,Data!$AT$3)*0.01*VLOOKUP($R54,Afgr,Data!$AW$3)*0.01/6.25</f>
        <v>0</v>
      </c>
      <c r="FK54">
        <f>FJ54*Z54</f>
        <v>0</v>
      </c>
      <c r="FL54" s="4">
        <f>IF(R54&gt;1,Deposition,0)</f>
        <v>15</v>
      </c>
      <c r="FM54" s="4">
        <f>FL54*Z54</f>
        <v>22.2</v>
      </c>
      <c r="FN54">
        <f>FC54</f>
        <v>0</v>
      </c>
      <c r="FO54">
        <f>FN54*Z54</f>
        <v>0</v>
      </c>
      <c r="FP54" s="211">
        <f>SUM(FF54,FH54,FJ54,FL54,FN54)</f>
        <v>15</v>
      </c>
      <c r="FQ54">
        <f>DP54+EB54+EL54</f>
        <v>77.951999999999984</v>
      </c>
      <c r="FR54" s="3">
        <f>FP54-FQ54</f>
        <v>-62.951999999999984</v>
      </c>
      <c r="FS54" s="19">
        <f>FP54*Z54</f>
        <v>22.2</v>
      </c>
      <c r="FT54" s="19">
        <f>FQ54*Z54</f>
        <v>115.36895999999997</v>
      </c>
      <c r="FU54" s="3">
        <f>FR54*Z54</f>
        <v>-93.16895999999997</v>
      </c>
      <c r="FW54">
        <f>CW54</f>
        <v>0</v>
      </c>
      <c r="FX54">
        <f>FW54*Z54</f>
        <v>0</v>
      </c>
      <c r="FY54">
        <f>IX54+MB54</f>
        <v>9.743999999999998</v>
      </c>
      <c r="FZ54">
        <f>FY54*Z54</f>
        <v>14.421119999999997</v>
      </c>
      <c r="GA54">
        <f>FW54-FY54</f>
        <v>-9.743999999999998</v>
      </c>
      <c r="GB54">
        <f>GA54*Z54</f>
        <v>-14.421119999999997</v>
      </c>
      <c r="GD54">
        <f>DE54</f>
        <v>0</v>
      </c>
      <c r="GE54">
        <f>GD54*Z54</f>
        <v>0</v>
      </c>
      <c r="GF54">
        <f>JE54+MH54</f>
        <v>62.639999999999993</v>
      </c>
      <c r="GG54">
        <f>GF54*Z54</f>
        <v>92.707199999999986</v>
      </c>
      <c r="GH54">
        <f>GD54-GF54</f>
        <v>-62.639999999999993</v>
      </c>
      <c r="GI54">
        <f>GH54*Z54</f>
        <v>-92.707199999999986</v>
      </c>
      <c r="GK54">
        <f>AA54</f>
        <v>4</v>
      </c>
      <c r="GL54" s="211">
        <f>FF54+FH54+FN54</f>
        <v>0</v>
      </c>
      <c r="GM54" s="211" t="str">
        <f>IF(R54=1,"",IF(GK54=1,GL54,""))</f>
        <v/>
      </c>
      <c r="GN54" s="211" t="str">
        <f>IF(R54=1,"",IF(GK54=2,GL54,""))</f>
        <v/>
      </c>
      <c r="GO54" s="211" t="str">
        <f>IF(R54=1,"",IF(GK54=3,GL54,""))</f>
        <v/>
      </c>
      <c r="GP54" s="211">
        <f>IF(R54=1,"",IF(GK54=4,GL54,""))</f>
        <v>0</v>
      </c>
      <c r="GQ54" s="149">
        <f>IF(OR(R54=1,VLOOKUP(R54,Afgr,Data!$BV$3)=1,VLOOKUP(R54,Afgr,Data!$BW$3)=1),0,IF(GK54=1,Nniveau1,IF(GK54=2,Nniveau2,IF(GK54=3,Nniveau3,IF(GK54=4,Nniveau4,GL54)))))</f>
        <v>0</v>
      </c>
      <c r="GR54" s="241">
        <v>0.32550000000000001</v>
      </c>
      <c r="GS54" s="6">
        <v>0</v>
      </c>
      <c r="GT54" s="149">
        <f>CC54+CM54</f>
        <v>0</v>
      </c>
      <c r="GU54" s="6">
        <f>$FN54</f>
        <v>0</v>
      </c>
      <c r="GV54" s="241">
        <v>0.25280000000000002</v>
      </c>
      <c r="GW54">
        <f>CO54</f>
        <v>0</v>
      </c>
      <c r="GX54" s="241">
        <v>0.376</v>
      </c>
      <c r="GY54" s="149">
        <f>CD54+CN54</f>
        <v>0</v>
      </c>
      <c r="GZ54" s="241">
        <f>IF(B54&gt;3,0.3539,1.0749)</f>
        <v>0.35389999999999999</v>
      </c>
      <c r="HA54" s="11">
        <f>$FQ54</f>
        <v>77.951999999999984</v>
      </c>
      <c r="HB54" s="241">
        <v>0.19359999999999999</v>
      </c>
      <c r="HC54" s="241">
        <f>VLOOKUP($R54,Afgr,Data!$DM$3)</f>
        <v>7</v>
      </c>
      <c r="HD54" s="24">
        <f>IF($HC54&gt;1,0,(VLOOKUP($X54,Afgr,Data!$DP$3)+IF(VLOOKUP($X54,Afgr,Data!$DP$3)=0,VLOOKUP($T54,Efgr,Data!$BI$53,0))))+IF(AND($HC54=7,VLOOKUP($X54,Afgr,Data!$DQ$3)=-2),-2,0)+IF(AND($HC54=6,VLOOKUP($T54,Efgr,Data!$BI$53)=2),8,0)</f>
        <v>0</v>
      </c>
      <c r="HE54" s="6">
        <f>VLOOKUP(SUM(HC54:HD54),Nlesafgr,3)</f>
        <v>-165.7</v>
      </c>
      <c r="HF54" s="7">
        <f>VLOOKUP($O54,Afgr,Data!$DN$3)</f>
        <v>4</v>
      </c>
      <c r="HG54" s="24">
        <f>IF(HF54&gt;1,0,VLOOKUP($R54,Afgr,Data!$DO$3)+IF(VLOOKUP($R54,Afgr,Data!$DO$3)=1,0,VLOOKUP($P54,Efgr,Data!$BJ$53)))</f>
        <v>0</v>
      </c>
      <c r="HH54" s="6">
        <f>VLOOKUP(SUM(HF54:HG54),Nlesforfrugt,3)</f>
        <v>34.700000000000003</v>
      </c>
      <c r="HI54" s="241">
        <f>GR54*GQ54+GV54*(GT54+GU54)+GX54*GW54+GZ54*GY54-HB54*HA54+HE54+HH54</f>
        <v>-146.09150719999997</v>
      </c>
      <c r="HJ54" s="241">
        <f>Nlesafskaering</f>
        <v>59.6</v>
      </c>
      <c r="HK54" s="241">
        <f>Teknologi1</f>
        <v>2455</v>
      </c>
      <c r="HL54" s="6">
        <v>2001</v>
      </c>
      <c r="HM54" s="241">
        <f>Teknologi2</f>
        <v>1962.2</v>
      </c>
      <c r="HN54" s="241">
        <f>Tandel</f>
        <v>0.54659999999999997</v>
      </c>
      <c r="HO54" s="241">
        <f>IF(OR(HI54&gt;0,HI54=0),HJ54+HK54/(HL54-HM54),HJ54+HK54/(HL54-HM54)+HN54*HI54)</f>
        <v>43.019578040768749</v>
      </c>
      <c r="HP54" s="241">
        <f>IF(HI54&gt;0,HI54,0.001)</f>
        <v>1E-3</v>
      </c>
      <c r="HQ54" s="241">
        <v>1.5020000000000001E-3</v>
      </c>
      <c r="HR54" s="24">
        <f>IF(R54=1,0,VLOOKUP(PostnrNbal,AfstromData,VLOOKUP($R54,Afgr,Data!$DL$3)+IF(Jordtype1&lt;7,Jordtype1,6),FALSE)-VLOOKUP(T54,Efgr,Data!$AA$53))</f>
        <v>272.32333333333298</v>
      </c>
      <c r="HS54" s="24">
        <f>IF(Nbal!GA54&lt;&gt;"",Nbal!GA54,Regn2!HR54)</f>
        <v>272.32333333333298</v>
      </c>
      <c r="HT54" s="241">
        <v>5.5400000000000002E-4</v>
      </c>
      <c r="HU54" s="24">
        <f>IF(R54=1,0,VLOOKUP(PostnrNbal,AfstromData,VLOOKUP($O54,Afgr,Data!$DL$3)+IF(B54&lt;7,B54,6),FALSE)-VLOOKUP(P54,Efgr,Data!$AA$53))</f>
        <v>272.32333333333298</v>
      </c>
      <c r="HV54" s="24">
        <f>IF(Nbal!FU54&lt;&gt;"",Nbal!FU54,Regn2!HU54)</f>
        <v>272.32333333333298</v>
      </c>
      <c r="HW54" s="241">
        <v>0.10639999999999999</v>
      </c>
      <c r="HX54" s="6">
        <f>VLOOKUP(B54,Jordtype,Data!$W$112)</f>
        <v>26</v>
      </c>
      <c r="HY54" s="241">
        <v>3.2500000000000001E-2</v>
      </c>
      <c r="HZ54" s="6">
        <f>VLOOKUP(B54,Jordtype,Data!$X$112)</f>
        <v>5</v>
      </c>
      <c r="IA54" s="241">
        <v>1.2453000000000001</v>
      </c>
      <c r="IB54" s="241">
        <f>IF(VLOOKUP(T54,Efgr,Data!$AO$53)=1,MlafgrNUdvask,0)</f>
        <v>0</v>
      </c>
      <c r="IC54" s="20">
        <f>IF(ISERROR((HO54+POWER(HP54,1.2))*(1-EXP(-HQ54*HS54))*EXP(-HT54*HV54)*EXP(-HW54*HX54)*EXP(-HY54*HZ54)*IA54),0,(HO54+POWER(HP54,1.2))*(1-EXP(-HQ54*HS54))*EXP(-HT54*HV54)*EXP(-HW54*HX54)*EXP(-HY54*HZ54)*IA54+IB54)</f>
        <v>0.82675191399633163</v>
      </c>
      <c r="ID54">
        <f>IC54*Z54</f>
        <v>1.2235928327145709</v>
      </c>
      <c r="IE54">
        <f>IF(Nbal!GF54&lt;&gt;"",Nbal!GF54,RetentionNbal)</f>
        <v>65</v>
      </c>
      <c r="IF54">
        <f>IC54*(100-IE54)*0.01</f>
        <v>0.28936316989871608</v>
      </c>
      <c r="IG54">
        <f>IF54*Z54</f>
        <v>0.42825749145009978</v>
      </c>
      <c r="IH54" s="2">
        <f>HS54*10000</f>
        <v>2723233.3333333298</v>
      </c>
      <c r="II54" s="2">
        <f>IH54*Z54</f>
        <v>4030385.3333333279</v>
      </c>
      <c r="IJ54">
        <f>IF(ISERROR(IC54*1000*1000/IH54),0,IC54*1000*1000/IH54)</f>
        <v>0.30359202198232471</v>
      </c>
      <c r="IL54">
        <f>AT54+AX54+BK54+BU54</f>
        <v>3600</v>
      </c>
      <c r="IO54">
        <f>VLOOKUP(R54,Afgr,Data!$AP$3)*UdsaedJust</f>
        <v>0</v>
      </c>
      <c r="IP54" s="3">
        <f>IF(Nbal!GN54&lt;&gt;"",Nbal!GN54,IO54)</f>
        <v>0</v>
      </c>
      <c r="IQ54" s="3">
        <f>IP54*Z54</f>
        <v>0</v>
      </c>
      <c r="IS54" s="3">
        <f>IF(HdgVaerdiNbal=1,(BZ54+CA54)*Npris,(BZ54+CA54+CJ54+CK54)*Npris)</f>
        <v>0</v>
      </c>
      <c r="IT54" s="3">
        <f>IS54*Z54</f>
        <v>0</v>
      </c>
      <c r="IV54">
        <f>VLOOKUP($R54,Afgr,Data!$BA$3)</f>
        <v>0</v>
      </c>
      <c r="IW54">
        <f>VLOOKUP($R54,Afgr,Data!$BB$3)</f>
        <v>0</v>
      </c>
      <c r="IX54">
        <f>$DS54+$EE54</f>
        <v>9.743999999999998</v>
      </c>
      <c r="IY54">
        <f>CT54</f>
        <v>0</v>
      </c>
      <c r="IZ54">
        <f>CQ54</f>
        <v>0</v>
      </c>
      <c r="JA54" s="3">
        <f>IF(HdgVaerdiNbal=1,(IZ54)*Ppris,(IY54+IZ54)*Ppris)</f>
        <v>0</v>
      </c>
      <c r="JB54" s="3">
        <f>JA54*Z54</f>
        <v>0</v>
      </c>
      <c r="JD54">
        <f>IF(AND(R54&gt;1,OR(Jordtype1=1,Jordtype1=3,Markvand1=2)),Kudvask,0)</f>
        <v>0</v>
      </c>
      <c r="JE54">
        <f>$DV54+$EH54</f>
        <v>62.639999999999993</v>
      </c>
      <c r="JF54">
        <f>DB54</f>
        <v>0</v>
      </c>
      <c r="JG54">
        <f>CY54</f>
        <v>0</v>
      </c>
      <c r="JH54" s="3">
        <f>IF(HdgVaerdiNbal=1,JG54*Kpris,(JF54+JG54)*Kpris)</f>
        <v>0</v>
      </c>
      <c r="JI54" s="3">
        <f>JH54*Z54</f>
        <v>0</v>
      </c>
      <c r="JK54">
        <f>IS54+JA54+JH54</f>
        <v>0</v>
      </c>
      <c r="JL54" s="3">
        <f>IF(Nbal!GT54&lt;&gt;"",Nbal!GT54,$JK54)</f>
        <v>0</v>
      </c>
      <c r="JM54" s="3">
        <f>JL54*Z54</f>
        <v>0</v>
      </c>
      <c r="JO54">
        <f>VLOOKUP(R54,Afgr,Data!$AQ$3)*PlantevJust</f>
        <v>0</v>
      </c>
      <c r="JP54" s="3">
        <f>IF(Nbal!GZ54&lt;&gt;"",Nbal!GZ54,JO54)</f>
        <v>0</v>
      </c>
      <c r="JQ54" s="3">
        <f>JP54*Z54</f>
        <v>0</v>
      </c>
      <c r="JS54">
        <f>VLOOKUP(R54,Afgr,Data!$AR$3)+AM54*VLOOKUP(R54,Afgr,Data!$BH$3)</f>
        <v>0</v>
      </c>
      <c r="JT54" s="3">
        <f>IF(Nbal!HF54&lt;&gt;"",Nbal!HF54,JS54)</f>
        <v>0</v>
      </c>
      <c r="JU54">
        <f>JT54*Z54</f>
        <v>0</v>
      </c>
      <c r="JW54">
        <f>IP54+JL54+JP54+JT54</f>
        <v>0</v>
      </c>
      <c r="JY54">
        <f>IF(VLOOKUP(R54,Afgr,Data!$BY$3)&gt;0,Data!$K$259*J54,0)</f>
        <v>0</v>
      </c>
      <c r="JZ54">
        <f>IF(VLOOKUP(R54,Afgr,Data!$BZ$3)&gt;0,Data!$K$260*J54,0)</f>
        <v>0</v>
      </c>
      <c r="KA54">
        <f>(JY54+JZ54)*MaskJust</f>
        <v>0</v>
      </c>
      <c r="KB54" s="3">
        <f>IF(Nbal!HL54&lt;&gt;"",Nbal!HL54,KA54)</f>
        <v>0</v>
      </c>
      <c r="KC54" s="3">
        <f>KB54*Z54</f>
        <v>0</v>
      </c>
      <c r="KE54">
        <f>IF(VLOOKUP(R54,Afgr,Data!$CA$3)&gt;0,VLOOKUP(R54,Afgr,Data!$CA$3)*Data!$K$261*K54,0)</f>
        <v>0</v>
      </c>
      <c r="KF54">
        <f>IF(VLOOKUP(R54,Afgr,Data!$CC$3)&gt;0,Data!$K$262*K54,0)</f>
        <v>0</v>
      </c>
      <c r="KG54">
        <f>IF(VLOOKUP(R54,Afgr,Data!$CD$3)&gt;0,VLOOKUP(R54,Afgr,Data!$CD$3)*Data!$K$263*K54,0)</f>
        <v>0</v>
      </c>
      <c r="KH54">
        <f>IF(VLOOKUP(R54,Afgr,Data!$CE$3)&gt;0,Data!$K$264*K54,0)</f>
        <v>0</v>
      </c>
      <c r="KI54">
        <f>IF(VLOOKUP(R54,Afgr,Data!$CF$3)&gt;0,Data!$K$265*K54,0)</f>
        <v>0</v>
      </c>
      <c r="KJ54">
        <f>IF(VLOOKUP(R54,Afgr,Data!$CV$3)&gt;0,Data!$K$266,0)</f>
        <v>0</v>
      </c>
      <c r="KK54">
        <f>IF(VLOOKUP(R54,Afgr,Data!$CG$3)&gt;0,Data!$K$267*K54,0)</f>
        <v>0</v>
      </c>
      <c r="KL54">
        <f>(KE54+KF54+KG54+KH54+KI54+KJ54+KK54)*MaskJust</f>
        <v>0</v>
      </c>
      <c r="KM54" s="3">
        <f>IF(Nbal!HR54&lt;&gt;"",Nbal!HR54,KL54)</f>
        <v>0</v>
      </c>
      <c r="KN54" s="3">
        <f>KM54*Z54</f>
        <v>0</v>
      </c>
      <c r="KP54">
        <f>IF(VLOOKUP(R54,Afgr,Data!$CJ$3)&gt;0,VLOOKUP(R54,Afgr,Data!$CJ$3)*Data!$K$268*K54,0)*MaskJust</f>
        <v>280</v>
      </c>
      <c r="KQ54" s="3">
        <f>IF(Nbal!HX54&lt;&gt;"",Nbal!HX54,KP54)</f>
        <v>280</v>
      </c>
      <c r="KR54" s="3">
        <f>KQ54*Z54</f>
        <v>414.4</v>
      </c>
      <c r="KT54">
        <f>IF(VLOOKUP(R54,Afgr,Data!$CI$3)&gt;0,VLOOKUP(R54,Afgr,Data!$CI$3)*Data!$K$269,0)*MaskJust</f>
        <v>0</v>
      </c>
      <c r="KU54" s="3">
        <f>IF(Nbal!ID54&lt;&gt;"",Nbal!ID54,KT54)</f>
        <v>0</v>
      </c>
      <c r="KV54" s="3">
        <f>KU54*Z54</f>
        <v>0</v>
      </c>
      <c r="KX54">
        <f>IF(C54=2,VLOOKUP($R54,Afgr,Data!$CY$3),0)</f>
        <v>0</v>
      </c>
      <c r="KY54">
        <f>IF(Nbal!IJ54&lt;&gt;"",Nbal!IJ54,$KX54)</f>
        <v>0</v>
      </c>
      <c r="KZ54">
        <f>IF(AND(R54&gt;1,C54=2),Vandmaskin+$KY54*Flytning/mmprgang+$KY54*Prisprmm,0)</f>
        <v>0</v>
      </c>
      <c r="LA54" s="3">
        <f>IF(Nbal!IP54&lt;&gt;"",Nbal!IP54,$KZ54)</f>
        <v>0</v>
      </c>
      <c r="LB54" s="3">
        <f>LA54*Z54</f>
        <v>0</v>
      </c>
      <c r="LD54">
        <f>IF(VLOOKUP($R54,Afgr,Data!$CK$3)&gt;0,((1+AM54/VLOOKUP($R54,Afgr,Data!$CK$3))/2)*VLOOKUP($R54,Afgr,Data!$CL$3)*VLOOKUP($R54,Afgr,Data!$CN$3)+VLOOKUP($R54,Afgr,Data!$CM$3),0)</f>
        <v>0</v>
      </c>
      <c r="LE54">
        <f>IF(VLOOKUP($R54,Afgr,Data!$CK$3)&gt;0,IF(AND($S54=2,$BA54&gt;0),Data!$K$271,0),0)</f>
        <v>0</v>
      </c>
      <c r="LF54">
        <f>IF(VLOOKUP($R54,Afgr,Data!$CK$3)&gt;0,(AM54/VLOOKUP($R54,Afgr,Data!$CK$3))*VLOOKUP($R54,Afgr,Data!$CO$3)*VLOOKUP($R54,Afgr,Data!$CN$3),0)</f>
        <v>0</v>
      </c>
      <c r="LG54">
        <f>(LD54+LE54+LF54)*MaskJust</f>
        <v>0</v>
      </c>
      <c r="LH54" s="3">
        <f>IF(Nbal!IV54&lt;&gt;"",Nbal!IV54,LG54)</f>
        <v>0</v>
      </c>
      <c r="LI54" s="3">
        <f>LH54*Z54</f>
        <v>0</v>
      </c>
      <c r="LJ54" s="3"/>
      <c r="LK54">
        <f>IF(AND($S54=1,VLOOKUP($R54,Afgr,Data!$CP$3)&gt;0),((1+$BC54/VLOOKUP($R54,Afgr,Data!$CP$3))/2)*VLOOKUP($R54,Afgr,Data!$CQ$3),0)</f>
        <v>0</v>
      </c>
      <c r="LL54">
        <f>IF(AND($S54=1,VLOOKUP($R54,Afgr,Data!$CP$3)&gt;0),($BC54/VLOOKUP($R54,Afgr,Data!$CP$3))*VLOOKUP($R54,Afgr,Data!$CR$3),0)</f>
        <v>0</v>
      </c>
      <c r="LM54">
        <f>(LK54+LL54)*MaskJust</f>
        <v>0</v>
      </c>
      <c r="LN54" s="3">
        <f>IF(Nbal!JB54&lt;&gt;"",Nbal!JB54,LM54)</f>
        <v>0</v>
      </c>
      <c r="LO54" s="3">
        <f>LN54*Z54</f>
        <v>0</v>
      </c>
      <c r="LQ54">
        <f>$AM54*VLOOKUP($R54,Afgr,Data!$CS$3)*IF($V54=1,VLOOKUP($R54,Afgr,Data!$CT$3),IF($V54=2,VLOOKUP($R54,Afgr,Data!$CU$3),0))</f>
        <v>0</v>
      </c>
      <c r="LR54" s="3">
        <f>IF(Nbal!JK54&lt;&gt;"",Nbal!JK54,LQ54)</f>
        <v>0</v>
      </c>
      <c r="LS54" s="3">
        <f>LR54*Z54</f>
        <v>0</v>
      </c>
      <c r="LU54">
        <f>VLOOKUP($T54,Efgr,Data!$AC$53)*UdsaedJust</f>
        <v>0</v>
      </c>
      <c r="LV54" s="3">
        <f>IF(Nbal!$JS54&lt;&gt;"",Nbal!$JS54,LU54)</f>
        <v>0</v>
      </c>
      <c r="LW54" s="3">
        <f>LV54*Z54</f>
        <v>0</v>
      </c>
      <c r="LY54" s="3">
        <f>IF(HdgVaerdiNbal=1,(CB54)*Npris,(CB54+CL54)*Npris)</f>
        <v>0</v>
      </c>
      <c r="LZ54" s="3">
        <f>LY54*Z54</f>
        <v>0</v>
      </c>
      <c r="MB54">
        <f>$EO54</f>
        <v>0</v>
      </c>
      <c r="MC54">
        <f>CU54</f>
        <v>0</v>
      </c>
      <c r="MD54">
        <f>CR54</f>
        <v>0</v>
      </c>
      <c r="ME54" s="3">
        <f>IF(HdgVaerdiNbal=1,MD54*Ppris,(MC54+MD54)*Ppris)</f>
        <v>0</v>
      </c>
      <c r="MF54" s="3">
        <f>ME54*Z54</f>
        <v>0</v>
      </c>
      <c r="MH54">
        <f>$ER54</f>
        <v>0</v>
      </c>
      <c r="MI54">
        <f>DC54</f>
        <v>0</v>
      </c>
      <c r="MJ54">
        <f>CZ54</f>
        <v>0</v>
      </c>
      <c r="MK54" s="3">
        <f>IF(HdgVaerdiNbal=1,MJ54*Ppris,(MI54+MJ54)*Ppris)</f>
        <v>0</v>
      </c>
      <c r="ML54" s="3">
        <f>MK54*Z54</f>
        <v>0</v>
      </c>
      <c r="MN54">
        <f>LY54+ME54+MK54</f>
        <v>0</v>
      </c>
      <c r="MO54" s="3">
        <f>IF(Nbal!JY54&lt;&gt;"",Nbal!JY54,$MN54)</f>
        <v>0</v>
      </c>
      <c r="MP54" s="3">
        <f>MO54*Z54</f>
        <v>0</v>
      </c>
      <c r="MR54">
        <f>VLOOKUP($T54,Efgr,Data!$AE$53)*PlantevJust</f>
        <v>0</v>
      </c>
      <c r="MS54" s="3">
        <f>IF(Nbal!KE54&lt;&gt;"",Nbal!KE54,MR54)</f>
        <v>0</v>
      </c>
      <c r="MT54" s="3">
        <f>MS54*Z54</f>
        <v>0</v>
      </c>
      <c r="MV54">
        <f>VLOOKUP($T54,Efgr,Data!$AF$53)+$BR54*VLOOKUP($T54,Efgr,Data!$AL$53)</f>
        <v>0</v>
      </c>
      <c r="MW54" s="3">
        <f>IF(Nbal!KK54&lt;&gt;"",Nbal!KK54,MV54)</f>
        <v>0</v>
      </c>
      <c r="MX54" s="3">
        <f>MW54*Z54</f>
        <v>0</v>
      </c>
      <c r="MZ54">
        <f>LV54+MO54+MS54+MW54</f>
        <v>0</v>
      </c>
      <c r="NB54">
        <f>VLOOKUP($T54,Efgr,Data!$AU$53)*K54*MaskJust</f>
        <v>0</v>
      </c>
      <c r="NC54" s="3">
        <f>IF(Nbal!KQ54&lt;&gt;"",Nbal!KQ54,NB54)</f>
        <v>0</v>
      </c>
      <c r="ND54" s="3">
        <f>NC54*Z54</f>
        <v>0</v>
      </c>
      <c r="NF54">
        <f>VLOOKUP($T54,Efgr,Data!$AW$53)*Data!$K$268*K54*MaskJust</f>
        <v>0</v>
      </c>
      <c r="NG54" s="3">
        <f>IF(Nbal!KW54&lt;&gt;"",Nbal!KW54,NF54)</f>
        <v>0</v>
      </c>
      <c r="NH54" s="3">
        <f>NG54*Z54</f>
        <v>0</v>
      </c>
      <c r="NJ54">
        <f>VLOOKUP($T54,Efgr,Data!$AV$53)*Data!$K$269*MaskJust</f>
        <v>0</v>
      </c>
      <c r="NK54" s="3">
        <f>IF(Nbal!LC54&lt;&gt;"",Nbal!LC54,NJ54)</f>
        <v>0</v>
      </c>
      <c r="NL54" s="3">
        <f>NK54*Z54</f>
        <v>0</v>
      </c>
      <c r="NN54">
        <f>IF(C54=2,VLOOKUP($T54,Efgr,Data!$BC$53),0)</f>
        <v>0</v>
      </c>
      <c r="NO54">
        <f>IF(Nbal!LI54&lt;&gt;"",Nbal!LI54,$NN54)</f>
        <v>0</v>
      </c>
      <c r="NP54">
        <f>IF(C54=2,$NO54*Flytning/mmprgang+$NO54*Prisprmm,0)</f>
        <v>0</v>
      </c>
      <c r="NQ54" s="3">
        <f>IF(Nbal!LO54&lt;&gt;"",Nbal!LO54,$NP54)</f>
        <v>0</v>
      </c>
      <c r="NR54" s="3">
        <f>NQ54*Z54</f>
        <v>0</v>
      </c>
      <c r="NT54">
        <f>IF(VLOOKUP($T54,Efgr,Data!$AX$53)&gt;0,((1+BR54/VLOOKUP($T54,Efgr,Data!$AX$53))/2)*VLOOKUP($T54,Efgr,Data!$AY$53)*VLOOKUP($T54,Efgr,Data!$BA$53)+VLOOKUP($T54,Efgr,Data!$AZ$53),0)</f>
        <v>0</v>
      </c>
      <c r="NU54">
        <f>IF(VLOOKUP($T54,Efgr,Data!$AX$53)&gt;0,($BR54/VLOOKUP($T54,Efgr,Data!$AX$53))*VLOOKUP($T54,Efgr,Data!$BB$53)*VLOOKUP($T54,Efgr,Data!$BA$53),0)</f>
        <v>0</v>
      </c>
      <c r="NV54">
        <f>(NT54+NU54)*MaskJust</f>
        <v>0</v>
      </c>
      <c r="NW54" s="3">
        <f>IF(Nbal!LU54&lt;&gt;"",Nbal!LU54,NV54)</f>
        <v>0</v>
      </c>
      <c r="NX54" s="3">
        <f>NW54*Z54</f>
        <v>0</v>
      </c>
      <c r="NZ54">
        <f>IF($U54=2,Data!$K$304,IF($U54=3,Data!$K$305,0))*MaskJust</f>
        <v>0</v>
      </c>
      <c r="OA54" s="3">
        <f>IF(Nbal!MA54&lt;&gt;"",Nbal!MA54,NZ54)</f>
        <v>0</v>
      </c>
      <c r="OB54" s="3">
        <f>OA54*Z54</f>
        <v>0</v>
      </c>
      <c r="OD54">
        <f>IL54</f>
        <v>3600</v>
      </c>
      <c r="OE54">
        <f>JW54+MZ54</f>
        <v>0</v>
      </c>
      <c r="OF54">
        <f>OD54-OE54</f>
        <v>3600</v>
      </c>
      <c r="OG54">
        <f>OF54*Z54</f>
        <v>5328</v>
      </c>
      <c r="OJ54">
        <f>VLOOKUP($O54,Afgr,Data!$BP$3)+VLOOKUP($P54,Efgr,Data!$AM$53)</f>
        <v>0</v>
      </c>
      <c r="OK54" s="3">
        <f>OJ54*Z54</f>
        <v>0</v>
      </c>
      <c r="OL54">
        <f>VLOOKUP($R54,Afgr,Data!$BP$3)+VLOOKUP($T54,Efgr,Data!$AM$53)</f>
        <v>0</v>
      </c>
      <c r="OM54" s="3">
        <f>OL54*Z54</f>
        <v>0</v>
      </c>
      <c r="OO54">
        <f>VLOOKUP($P54,Efgr,Data!$AN$53)</f>
        <v>0</v>
      </c>
      <c r="OP54">
        <f>VLOOKUP($O54,Afgr,Data!$BQ$3)</f>
        <v>0</v>
      </c>
      <c r="OQ54">
        <f>VLOOKUP($R54,Afgr,Data!$BR$3)</f>
        <v>0</v>
      </c>
      <c r="OR54">
        <f>OO54*OP54*OQ54</f>
        <v>0</v>
      </c>
      <c r="OS54" s="3">
        <f>OR54*Z54</f>
        <v>0</v>
      </c>
      <c r="OT54" s="3">
        <f>IF(Q54,1,0)*OS54</f>
        <v>0</v>
      </c>
      <c r="OV54">
        <f>VLOOKUP($T54,Efgr,Data!$AN$53)</f>
        <v>0</v>
      </c>
      <c r="OW54">
        <f>VLOOKUP($R54,Afgr,Data!$BQ$3)</f>
        <v>0</v>
      </c>
      <c r="OX54">
        <f>VLOOKUP($X54,Afgr,Data!$BR$3)</f>
        <v>0</v>
      </c>
      <c r="OY54">
        <f>OV54*OW54*OX54</f>
        <v>0</v>
      </c>
      <c r="OZ54" s="3">
        <f>OY54*Z54</f>
        <v>0</v>
      </c>
      <c r="PB54">
        <f>VLOOKUP($T54,Efgr,Data!$AO$53)</f>
        <v>0</v>
      </c>
      <c r="PC54">
        <f>VLOOKUP($O54,Afgr,Data!$BQ$3)</f>
        <v>0</v>
      </c>
      <c r="PD54">
        <f>VLOOKUP($R54,Afgr,Data!$BS$3)</f>
        <v>0</v>
      </c>
      <c r="PE54" s="3">
        <f>PB54*PC54*PD54*$Z54</f>
        <v>0</v>
      </c>
      <c r="PG54">
        <f>VLOOKUP($T54,Efgr,Data!$AO$53)</f>
        <v>0</v>
      </c>
      <c r="PH54">
        <f>VLOOKUP($R54,Afgr,Data!$BQ$3)</f>
        <v>0</v>
      </c>
      <c r="PI54">
        <f>VLOOKUP($X54,Afgr,Data!$BS$3)</f>
        <v>0</v>
      </c>
      <c r="PJ54" s="3">
        <f>PG54*PH54*PI54*$Z54</f>
        <v>0</v>
      </c>
      <c r="PK54" s="3"/>
      <c r="PL54" s="3">
        <f>VLOOKUP($O54,Afgr,Data!$BU$3)</f>
        <v>0</v>
      </c>
      <c r="PM54" s="3">
        <f>PL54*Z54</f>
        <v>0</v>
      </c>
      <c r="PN54" s="3">
        <f>VLOOKUP($R54,Afgr,Data!$BU$3)</f>
        <v>0</v>
      </c>
      <c r="PO54" s="3">
        <f>PN54*Z54</f>
        <v>0</v>
      </c>
      <c r="PQ54">
        <f>VLOOKUP(R54,Afgr,Data!$BX$3)+VLOOKUP(T54,Efgr,Data!$AQ$53)</f>
        <v>1</v>
      </c>
      <c r="PR54">
        <f>IF(PQ54&gt;0,Z54,0)</f>
        <v>1.48</v>
      </c>
      <c r="PT54">
        <f>VLOOKUP($O54,Afgr,Data!$BT$3)</f>
        <v>1</v>
      </c>
      <c r="PU54" s="3">
        <f>PT54*Z54</f>
        <v>1.48</v>
      </c>
      <c r="PV54">
        <f>VLOOKUP($R54,Afgr,Data!$BT$3)</f>
        <v>1</v>
      </c>
      <c r="PW54" s="3">
        <f>PV54*Z54</f>
        <v>1.48</v>
      </c>
      <c r="PY54">
        <f>VLOOKUP($R54,Afgr,Data!$BV$3)</f>
        <v>0</v>
      </c>
      <c r="PZ54">
        <f>PY54*Z54</f>
        <v>0</v>
      </c>
      <c r="QB54">
        <f>VLOOKUP($R54,Afgr,Data!$BW$3)</f>
        <v>0</v>
      </c>
      <c r="QC54">
        <f>QB54*Z54</f>
        <v>0</v>
      </c>
      <c r="QE54">
        <f>AM54*IF(VLOOKUP($R54,Afgr,Data!$BJ$3)&gt;0,1,0)</f>
        <v>0</v>
      </c>
      <c r="QF54">
        <f>QE54*Z54</f>
        <v>0</v>
      </c>
      <c r="QH54">
        <f>AM54*VLOOKUP(R54,Afgr,Data!$BK$3)</f>
        <v>0</v>
      </c>
      <c r="QI54">
        <f>Z54*QH54</f>
        <v>0</v>
      </c>
      <c r="QJ54">
        <f>$AM54*VLOOKUP($R54,Afgr,Data!$BL$3)+$BR54*VLOOKUP($T54,Efgr,Data!$AP$53)</f>
        <v>3000</v>
      </c>
      <c r="QK54">
        <f>QJ54*Z54</f>
        <v>4440</v>
      </c>
      <c r="QL54">
        <f>$AM54*VLOOKUP($R54,Afgr,Data!$BM$3)</f>
        <v>0</v>
      </c>
      <c r="QM54">
        <f>QL54*Z54</f>
        <v>0</v>
      </c>
      <c r="QN54">
        <f>$AM54*VLOOKUP($R54,Afgr,Data!$BN$3)</f>
        <v>0</v>
      </c>
      <c r="QO54">
        <f>QN54*Z54</f>
        <v>0</v>
      </c>
      <c r="QR54">
        <f>IF(VLOOKUP($R54,Afgr,Data!$DA$3)="Vårbyg",$AN54,0)*VLOOKUP($R54,Afgr,Data!$BJ$3)</f>
        <v>0</v>
      </c>
      <c r="QS54">
        <f>IF(VLOOKUP($R54,Afgr,Data!$DA$3)="Vinterbyg",$AN54,0)*VLOOKUP($R54,Afgr,Data!$BJ$3)</f>
        <v>0</v>
      </c>
      <c r="QT54">
        <f>IF(VLOOKUP($R54,Afgr,Data!$DA$3)="Havre",$AN54,0)*VLOOKUP($R54,Afgr,Data!$BJ$3)</f>
        <v>0</v>
      </c>
      <c r="QU54">
        <f>IF(VLOOKUP($R54,Afgr,Data!$DA$3)="Hvede",$AN54,0)*VLOOKUP($R54,Afgr,Data!$BJ$3)</f>
        <v>0</v>
      </c>
      <c r="QV54">
        <f>IF(VLOOKUP($R54,Afgr,Data!$DA$3)="Triticale",$AN54,0)*VLOOKUP($R54,Afgr,Data!$BJ$3)</f>
        <v>0</v>
      </c>
      <c r="QW54">
        <f>IF(VLOOKUP($R54,Afgr,Data!$DA$3)="Rug",$AN54,0)*VLOOKUP($R54,Afgr,Data!$BJ$3)</f>
        <v>0</v>
      </c>
      <c r="QX54">
        <f>IF(VLOOKUP($R54,Afgr,Data!$DA$3)="Majs",$AN54,0)*VLOOKUP($R54,Afgr,Data!$BJ$3)</f>
        <v>0</v>
      </c>
      <c r="RA54">
        <f>IF(OV54+PB54&gt;0,1,0)</f>
        <v>0</v>
      </c>
      <c r="RB54">
        <f>RA54*LW54</f>
        <v>0</v>
      </c>
      <c r="RC54">
        <f>RA54*MT54</f>
        <v>0</v>
      </c>
      <c r="RD54">
        <f>ND54</f>
        <v>0</v>
      </c>
      <c r="RE54">
        <f>RA54*OB54</f>
        <v>0</v>
      </c>
      <c r="RH54">
        <f>VLOOKUP(B54,Jordtype,Data!$Y$112+DenitNr-1)</f>
        <v>0</v>
      </c>
      <c r="RI54">
        <f>FF54*VLOOKUP(B54,Jordtype,Data!$AB$112+DenitNr-1)</f>
        <v>0</v>
      </c>
      <c r="RJ54">
        <f>((CJ54+CK54+CL54+Regn2!CO54*0.7)-(RR54+RT54))*VLOOKUP(B54,Jordtype,Data!$AE$112+DenitNr-1)</f>
        <v>0</v>
      </c>
      <c r="RK54">
        <f>0*VLOOKUP(B54,Jordtype,Data!$AE$112+DenitNr-1)</f>
        <v>0</v>
      </c>
      <c r="RL54">
        <f>Regn2!FD54*VLOOKUP(B54,Jordtype,Data!$AH$112+DenitNr-1)</f>
        <v>0</v>
      </c>
      <c r="RM54" s="3">
        <f>RH54+RI54+RJ54+RK54+RL54</f>
        <v>0</v>
      </c>
      <c r="RO54">
        <v>2</v>
      </c>
      <c r="RP54">
        <f>(FF54)*RO54*0.01</f>
        <v>0</v>
      </c>
      <c r="RQ54">
        <v>7</v>
      </c>
      <c r="RR54">
        <f>CE54*RQ54*0.01</f>
        <v>0</v>
      </c>
      <c r="RS54">
        <v>7</v>
      </c>
      <c r="RT54">
        <f>(Regn2!CF54+Regn2!CG54)*RS54*0.01</f>
        <v>0</v>
      </c>
      <c r="RW54">
        <f>VLOOKUP(R54,Afgr,Data!$EE$3)</f>
        <v>0</v>
      </c>
      <c r="RX54" s="3">
        <f>RP54+RR54+RT54+RV54+RW54</f>
        <v>0</v>
      </c>
    </row>
    <row r="56" spans="1:492" x14ac:dyDescent="0.25">
      <c r="A56" s="214" t="str">
        <f>Nbal!B56</f>
        <v>22-1</v>
      </c>
      <c r="B56">
        <v>11</v>
      </c>
      <c r="C56">
        <v>1</v>
      </c>
      <c r="D56">
        <f>IF(C56=1,VLOOKUP(B56,Jordtype,Data!$K$112),VLOOKUP(B56,Jordtype,Data!$L$112))</f>
        <v>7</v>
      </c>
      <c r="E56">
        <f>IF(C56=1,VLOOKUP(B56,Jordtype,Data!$M$112),VLOOKUP(B56,Jordtype,Data!$N$112))</f>
        <v>12</v>
      </c>
      <c r="F56">
        <f>IF(OR(B56=1,B56=3),0,IF(OR(B56=2,B56=4),1,IF(OR(B56=5,B56=6),2,3)))</f>
        <v>3</v>
      </c>
      <c r="G56">
        <f>IF(C56=1,VLOOKUP(B56,Jordtype,Data!$Q$112),VLOOKUP(B56,Jordtype,Data!$R$112))</f>
        <v>23</v>
      </c>
      <c r="H56">
        <f>IF(C56=1,VLOOKUP(B56,Jordtype,Data!$O$112),VLOOKUP(B56,Jordtype,Data!$P$112))</f>
        <v>17</v>
      </c>
      <c r="I56">
        <f>IF(B56&lt;5,0,1)</f>
        <v>1</v>
      </c>
      <c r="J56">
        <f>IF(B56&lt;5,PlojJB,1)</f>
        <v>1</v>
      </c>
      <c r="K56">
        <f>IF(B56&lt;5,SaaJB,1)</f>
        <v>1</v>
      </c>
      <c r="L56">
        <f>IF(C56=1,VLOOKUP(B56,Jordtype,Data!$S$112),VLOOKUP(B56,Jordtype,Data!$T$112))</f>
        <v>6</v>
      </c>
      <c r="M56">
        <f>IF(C56=1,VLOOKUP(B56,Jordtype,Data!$U$112),VLOOKUP(B56,Jordtype,Data!$V$112))</f>
        <v>11</v>
      </c>
      <c r="O56">
        <v>26</v>
      </c>
      <c r="P56">
        <v>1</v>
      </c>
      <c r="Q56" t="b">
        <v>0</v>
      </c>
      <c r="R56">
        <v>26</v>
      </c>
      <c r="S56">
        <v>1</v>
      </c>
      <c r="T56">
        <v>1</v>
      </c>
      <c r="U56">
        <v>1</v>
      </c>
      <c r="V56">
        <v>1</v>
      </c>
      <c r="X56">
        <v>26</v>
      </c>
      <c r="Z56">
        <f>Nbal!AG56</f>
        <v>1.97</v>
      </c>
      <c r="AA56">
        <v>4</v>
      </c>
      <c r="AB56">
        <f>VLOOKUP($R56,Afgr,G56)</f>
        <v>134</v>
      </c>
      <c r="AC56">
        <f>VLOOKUP($O56,Afgr,Data!$AI$3)*VLOOKUP(R56,Afgr,Data!$AJ$3)</f>
        <v>0</v>
      </c>
      <c r="AD56">
        <f>IF($Q56,0,VLOOKUP($P56,Efgr,(Data!$W$53+$V$6-1)))</f>
        <v>0</v>
      </c>
      <c r="AE56">
        <f>AB56-AC56-AD56</f>
        <v>134</v>
      </c>
      <c r="AF56">
        <f>AE56*Z56</f>
        <v>263.98</v>
      </c>
      <c r="AH56">
        <f>VLOOKUP(R56,Afgr,D56)</f>
        <v>3000</v>
      </c>
      <c r="AI56">
        <f>VLOOKUP(O56,Afgr,Data!$AL$3)*VLOOKUP(R56,Afgr,E56)</f>
        <v>0</v>
      </c>
      <c r="AJ56">
        <f>VLOOKUP(P56,Efgr,(Data!$Y$53+I56))</f>
        <v>0</v>
      </c>
      <c r="AK56">
        <f>AH56+AI56+AJ56</f>
        <v>3000</v>
      </c>
      <c r="AL56">
        <f>AH56+AI56+AJ56</f>
        <v>3000</v>
      </c>
      <c r="AM56" s="3">
        <f>IF(Nbal!CK56&lt;&gt;"",Nbal!CK56,AL56)</f>
        <v>3000</v>
      </c>
      <c r="AN56">
        <f>AM56*Z56</f>
        <v>5910</v>
      </c>
      <c r="AO56" t="str">
        <f>VLOOKUP(R56,Afgr,3)</f>
        <v>FE</v>
      </c>
      <c r="AP56">
        <f>IF(AO56="FE",VLOOKUP($R56,Afgr,Data!$AV$3),0)</f>
        <v>1.1599999999999999</v>
      </c>
      <c r="AR56">
        <f>VLOOKUP(R56,Afgr,4)</f>
        <v>1.2</v>
      </c>
      <c r="AS56" s="3">
        <f>IF(Nbal!CW56&lt;&gt;"",Nbal!CW56,AR56)</f>
        <v>1.2</v>
      </c>
      <c r="AT56" s="3">
        <f>AM56*AS56</f>
        <v>3600</v>
      </c>
      <c r="AU56" s="3">
        <f>AN56*AS56</f>
        <v>7092</v>
      </c>
      <c r="AW56">
        <f>VLOOKUP(R56,Afgr,Data!$AN$3)</f>
        <v>0</v>
      </c>
      <c r="AX56" s="3">
        <f>IF(Nbal!DC56&lt;&gt;"",Nbal!DC56,AW56)</f>
        <v>0</v>
      </c>
      <c r="AY56" s="3">
        <f>AX56*Z56</f>
        <v>0</v>
      </c>
      <c r="BA56">
        <f>VLOOKUP(R56,Afgr,H56)</f>
        <v>0</v>
      </c>
      <c r="BB56">
        <f>IF(ISERROR(BA56*AM56/AK56),0,(BA56*AM56/AK56))</f>
        <v>0</v>
      </c>
      <c r="BC56" s="3">
        <f>IF(Nbal!DI56&lt;&gt;"",Nbal!DI56,BB56)</f>
        <v>0</v>
      </c>
      <c r="BD56">
        <f>BC56*Z56</f>
        <v>0</v>
      </c>
      <c r="BG56">
        <f>IF($S56=1,BC56,0)</f>
        <v>0</v>
      </c>
      <c r="BH56">
        <f>IF($S56=1,BD56,0)</f>
        <v>0</v>
      </c>
      <c r="BI56">
        <f>VLOOKUP(R56,Afgr,Data!$AM$3)</f>
        <v>0</v>
      </c>
      <c r="BJ56">
        <f>IF(Nbal!DR56&lt;&gt;"",Nbal!DR56,BI56)</f>
        <v>0</v>
      </c>
      <c r="BK56">
        <f>BG56*BJ56</f>
        <v>0</v>
      </c>
      <c r="BL56">
        <f>BH56*BJ56</f>
        <v>0</v>
      </c>
      <c r="BN56">
        <f>VLOOKUP($T56,Efgr,M56)</f>
        <v>0</v>
      </c>
      <c r="BO56">
        <f>BN56*Z56</f>
        <v>0</v>
      </c>
      <c r="BQ56">
        <f>VLOOKUP(T56,Efgr,NormudbKolonneNrEfgr1)</f>
        <v>0</v>
      </c>
      <c r="BR56" s="3">
        <f>IF(Nbal!FE56&lt;&gt;"",Nbal!FE56,BQ56)</f>
        <v>0</v>
      </c>
      <c r="BS56">
        <f>BR56*Z56</f>
        <v>0</v>
      </c>
      <c r="BT56" t="s">
        <v>37</v>
      </c>
      <c r="BU56">
        <f>BR56*Efterslaetpris</f>
        <v>0</v>
      </c>
      <c r="BV56">
        <f>BS56*Efterslaetpris</f>
        <v>0</v>
      </c>
      <c r="BW56">
        <f>VLOOKUP(T56,Efgr,Data!$AG$53)</f>
        <v>0</v>
      </c>
      <c r="BX56">
        <f>BR56*BW56</f>
        <v>0</v>
      </c>
      <c r="BZ56">
        <f>Nbal!AQ56</f>
        <v>0</v>
      </c>
      <c r="CA56" s="211">
        <f>Nbal!AT56</f>
        <v>0</v>
      </c>
      <c r="CB56" s="2">
        <f>Nbal!DZ56</f>
        <v>0</v>
      </c>
      <c r="CC56" s="211">
        <f>Nbal!AT56+Nbal!DZ56</f>
        <v>0</v>
      </c>
      <c r="CD56" s="211">
        <f>Nbal!AX56</f>
        <v>0</v>
      </c>
      <c r="CE56">
        <f>Nbal!BH56</f>
        <v>0</v>
      </c>
      <c r="CF56" s="211">
        <f>Nbal!BM56</f>
        <v>0</v>
      </c>
      <c r="CG56" s="2">
        <f>Nbal!EI56</f>
        <v>0</v>
      </c>
      <c r="CH56" s="211">
        <f>Nbal!BM56+Nbal!EI56</f>
        <v>0</v>
      </c>
      <c r="CI56" s="211">
        <f>Nbal!BW56</f>
        <v>0</v>
      </c>
      <c r="CJ56" s="211">
        <f>Nbal!BH56*Nbal!BJ56*0.01</f>
        <v>0</v>
      </c>
      <c r="CK56" s="211">
        <f>(Nbal!BM56*Nbal!BP56*0.01)</f>
        <v>0</v>
      </c>
      <c r="CL56" s="211">
        <f>(Nbal!EI56*Nbal!EL56*0.01)</f>
        <v>0</v>
      </c>
      <c r="CM56" s="211">
        <f>(Nbal!BM56*Nbal!BP56*0.01)+(Nbal!EI56*Nbal!EL56*0.01)</f>
        <v>0</v>
      </c>
      <c r="CN56" s="211">
        <f>Nbal!BW56*Nbal!BY56*0.01</f>
        <v>0</v>
      </c>
      <c r="CO56">
        <f>Nbal!BT56+Nbal!ER56</f>
        <v>0</v>
      </c>
      <c r="CQ56">
        <f>Nbal!BA56</f>
        <v>0</v>
      </c>
      <c r="CR56">
        <f>Nbal!EC56</f>
        <v>0</v>
      </c>
      <c r="CS56">
        <f>(CQ56+CR56)*Z56</f>
        <v>0</v>
      </c>
      <c r="CT56">
        <f>Nbal!CB56</f>
        <v>0</v>
      </c>
      <c r="CU56">
        <f>Nbal!EV56</f>
        <v>0</v>
      </c>
      <c r="CV56">
        <f>(CT56+CU56)*Z56</f>
        <v>0</v>
      </c>
      <c r="CW56">
        <f>Nbal!BA56+Nbal!CB56+Nbal!EC56+Nbal!EV56</f>
        <v>0</v>
      </c>
      <c r="CY56">
        <f>Nbal!BD56</f>
        <v>0</v>
      </c>
      <c r="CZ56">
        <f>Nbal!EF56</f>
        <v>0</v>
      </c>
      <c r="DA56">
        <f>(CY56+CZ56)*Z56</f>
        <v>0</v>
      </c>
      <c r="DB56">
        <f>Nbal!CE56</f>
        <v>0</v>
      </c>
      <c r="DC56">
        <f>Nbal!EY56</f>
        <v>0</v>
      </c>
      <c r="DD56">
        <f>(DB56+DC56)*Z56</f>
        <v>0</v>
      </c>
      <c r="DE56">
        <f>Nbal!BD56+Nbal!CE56+Nbal!EF56+Nbal!EY56</f>
        <v>0</v>
      </c>
      <c r="DG56">
        <f>VLOOKUP($R56,Afgr,Data!$AW$3)</f>
        <v>14</v>
      </c>
      <c r="DH56">
        <f>IF($AO56="FE",$AM56*$AP56*$DG56*0.01,$AM56*100*$DM56*0.01*$DG56*0.01)</f>
        <v>487.19999999999993</v>
      </c>
      <c r="DI56">
        <f>IF(VLOOKUP(R56,Afgr,Data!$BO$3)=1,DH56,0)*Z56</f>
        <v>0</v>
      </c>
      <c r="DJ56" s="12">
        <f>(BZ56+CC56+CJ56-AE56)*VLOOKUP($R56,Afgr,Data!$AX$3)</f>
        <v>0</v>
      </c>
      <c r="DK56">
        <f>DG56+DJ56</f>
        <v>14</v>
      </c>
      <c r="DL56">
        <f>IF(Nbal!CQ56&lt;&gt;"",Nbal!CQ56,DK56)</f>
        <v>14</v>
      </c>
      <c r="DM56">
        <f>VLOOKUP(R56,Afgr,Data!$AT$3)</f>
        <v>0</v>
      </c>
      <c r="DN56">
        <f>IF($AO56="FE",$AM56*$AP56*$DL56*0.01,$AM56*100*$DM56*0.01*DL56*0.01)</f>
        <v>487.19999999999993</v>
      </c>
      <c r="DO56">
        <f>IF(VLOOKUP(R56,Afgr,Data!$BO$3)=1,DN56,0)*Z56</f>
        <v>0</v>
      </c>
      <c r="DP56">
        <f>IF(ISERROR(DN56/VLOOKUP(R56,Afgr,Data!$AY$3)),0,DN56/VLOOKUP(R56,Afgr,Data!$AY$3))</f>
        <v>77.951999999999984</v>
      </c>
      <c r="DQ56">
        <f>DP56*Z56</f>
        <v>153.56543999999997</v>
      </c>
      <c r="DS56">
        <f>IF($AO56="FE",$AM56*$AP56*VLOOKUP($R56,Afgr,Data!$BC$3)*0.001,$AM56*100*$DM56*0.01*VLOOKUP($R56,Afgr,Data!$BC$3)*0.001)</f>
        <v>9.743999999999998</v>
      </c>
      <c r="DT56">
        <f>DS56*Z56</f>
        <v>19.195679999999996</v>
      </c>
      <c r="DV56">
        <f>IF($AO56="FE",$AM56*$AP56*VLOOKUP($R56,Afgr,Data!$BF$3)*0.001,$AM56*100*$DM56*0.01*VLOOKUP($R56,Afgr,Data!$BF$3)*0.001)</f>
        <v>62.639999999999993</v>
      </c>
      <c r="DW56">
        <f>DV56*Z56</f>
        <v>123.40079999999999</v>
      </c>
      <c r="DY56">
        <f>IF(ISERROR(VLOOKUP(R56,Afgr,Data!$AZ$3)*DL56/DG56),0,VLOOKUP(R56,Afgr,Data!$AZ$3)*DL56/DG56)</f>
        <v>0</v>
      </c>
      <c r="DZ56">
        <f>VLOOKUP(R56,Afgr,Data!$AU$3)</f>
        <v>0</v>
      </c>
      <c r="EA56">
        <f>IF($S56=1,$BC56*$DZ56*0.01*DY56*0.01,0)</f>
        <v>0</v>
      </c>
      <c r="EB56">
        <f>EA56/6.25</f>
        <v>0</v>
      </c>
      <c r="EC56">
        <f>EB56*Z56</f>
        <v>0</v>
      </c>
      <c r="EE56">
        <f>IF($S56=1,$BC56*$DZ56*0.01*VLOOKUP($R56,Afgr,Data!$BD$3)*0.001,0)</f>
        <v>0</v>
      </c>
      <c r="EF56">
        <f>EE56*Z56</f>
        <v>0</v>
      </c>
      <c r="EH56">
        <f>IF($S56=1,$BC56*$DZ56*0.01*VLOOKUP($R56,Afgr,Data!$BG$3)*0.001,0)</f>
        <v>0</v>
      </c>
      <c r="EI56">
        <f>EH56*Z56</f>
        <v>0</v>
      </c>
      <c r="EK56">
        <f>VLOOKUP(T56,Efgr,Data!$AI$53)</f>
        <v>0</v>
      </c>
      <c r="EL56">
        <f>BX56*EK56*0.01/6.25</f>
        <v>0</v>
      </c>
      <c r="EM56">
        <f>EL56*Z56</f>
        <v>0</v>
      </c>
      <c r="EO56">
        <f>$BX56*VLOOKUP($T56,Efgr,Data!$AJ$53)*0.001</f>
        <v>0</v>
      </c>
      <c r="EP56">
        <f>EO56*Z56</f>
        <v>0</v>
      </c>
      <c r="ER56">
        <f>$BX56*VLOOKUP($T56,Efgr,Data!$AK$53)*0.001</f>
        <v>0</v>
      </c>
      <c r="ES56">
        <f>ER56*Z56</f>
        <v>0</v>
      </c>
      <c r="EU56">
        <f>IF(VLOOKUP(R56,Afgr,Data!$DS$3)=1,DP56*VLOOKUP(R56,Afgr,(Data!$DT$3+EftervirkningUdb1))*VLOOKUP(R56,Afgr,Data!$DV$3),0)</f>
        <v>0</v>
      </c>
      <c r="EV56">
        <f>IF(VLOOKUP(R56,Afgr,Data!$DS$3)=2,VLOOKUP(R56,Afgr,Data!$DX$3),0)</f>
        <v>0</v>
      </c>
      <c r="EW56">
        <f>IF(VLOOKUP(R56,Afgr,Data!$DS$3)=3,$DP56*VLOOKUP($R56,Afgr,IF(Jordtype1&lt;5,Data!$DT$3,Data!$DU$3))*VLOOKUP($R56,Afgr,Data!$DV$3),0)</f>
        <v>0</v>
      </c>
      <c r="EX56">
        <f>IF(VLOOKUP(R56,Afgr,Data!$DS$3)=4,(1.232+0.00469*AM56*100+(0.000256*AM56*100+0.089)*60),0)</f>
        <v>0</v>
      </c>
      <c r="EY56" s="211">
        <f>BZ56+CA56+CJ56+CK56</f>
        <v>0</v>
      </c>
      <c r="EZ56">
        <f>IF(VLOOKUP($R56,Afgr,Data!$DS$3)=5,($AM56*0.02742-$AM56*0.0001*$EY56+$AM56*0.0000001111*$EY56*$EY56),0)</f>
        <v>0</v>
      </c>
      <c r="FA56" s="2">
        <f>CB56+CL56</f>
        <v>0</v>
      </c>
      <c r="FB56">
        <f>IF(VLOOKUP($T56,Efgr,Data!$BH$53)=5,($BR56*0.02742-$BR56*0.0001*$FA56+$BR56*0.0000001111*$FA56*$FA56),0)</f>
        <v>0</v>
      </c>
      <c r="FC56" s="3">
        <f>EU56+EV56+EW56+EX56+EZ56+FB56</f>
        <v>0</v>
      </c>
      <c r="FD56" s="3">
        <f>FC56*Z56</f>
        <v>0</v>
      </c>
      <c r="FF56" s="211">
        <f>BZ56+CC56</f>
        <v>0</v>
      </c>
      <c r="FG56" s="211">
        <f>FF56*Z56</f>
        <v>0</v>
      </c>
      <c r="FH56" s="211">
        <f>CE56+CH56+CO56</f>
        <v>0</v>
      </c>
      <c r="FI56" s="211">
        <f>FH56*Z56</f>
        <v>0</v>
      </c>
      <c r="FJ56">
        <f>VLOOKUP($R56,Afgr,Data!$DK$3)*VLOOKUP($R56,Afgr,Data!$AT$3)*0.01*VLOOKUP($R56,Afgr,Data!$AW$3)*0.01/6.25</f>
        <v>0</v>
      </c>
      <c r="FK56">
        <f>FJ56*Z56</f>
        <v>0</v>
      </c>
      <c r="FL56" s="4">
        <f>IF(R56&gt;1,Deposition,0)</f>
        <v>15</v>
      </c>
      <c r="FM56" s="4">
        <f>FL56*Z56</f>
        <v>29.55</v>
      </c>
      <c r="FN56">
        <f>FC56</f>
        <v>0</v>
      </c>
      <c r="FO56">
        <f>FN56*Z56</f>
        <v>0</v>
      </c>
      <c r="FP56" s="211">
        <f>SUM(FF56,FH56,FJ56,FL56,FN56)</f>
        <v>15</v>
      </c>
      <c r="FQ56">
        <f>DP56+EB56+EL56</f>
        <v>77.951999999999984</v>
      </c>
      <c r="FR56" s="3">
        <f>FP56-FQ56</f>
        <v>-62.951999999999984</v>
      </c>
      <c r="FS56" s="19">
        <f>FP56*Z56</f>
        <v>29.55</v>
      </c>
      <c r="FT56" s="19">
        <f>FQ56*Z56</f>
        <v>153.56543999999997</v>
      </c>
      <c r="FU56" s="3">
        <f>FR56*Z56</f>
        <v>-124.01543999999997</v>
      </c>
      <c r="FW56">
        <f>CW56</f>
        <v>0</v>
      </c>
      <c r="FX56">
        <f>FW56*Z56</f>
        <v>0</v>
      </c>
      <c r="FY56">
        <f>IX56+MB56</f>
        <v>9.743999999999998</v>
      </c>
      <c r="FZ56">
        <f>FY56*Z56</f>
        <v>19.195679999999996</v>
      </c>
      <c r="GA56">
        <f>FW56-FY56</f>
        <v>-9.743999999999998</v>
      </c>
      <c r="GB56">
        <f>GA56*Z56</f>
        <v>-19.195679999999996</v>
      </c>
      <c r="GD56">
        <f>DE56</f>
        <v>0</v>
      </c>
      <c r="GE56">
        <f>GD56*Z56</f>
        <v>0</v>
      </c>
      <c r="GF56">
        <f>JE56+MH56</f>
        <v>62.639999999999993</v>
      </c>
      <c r="GG56">
        <f>GF56*Z56</f>
        <v>123.40079999999999</v>
      </c>
      <c r="GH56">
        <f>GD56-GF56</f>
        <v>-62.639999999999993</v>
      </c>
      <c r="GI56">
        <f>GH56*Z56</f>
        <v>-123.40079999999999</v>
      </c>
      <c r="GK56">
        <f>AA56</f>
        <v>4</v>
      </c>
      <c r="GL56" s="211">
        <f>FF56+FH56+FN56</f>
        <v>0</v>
      </c>
      <c r="GM56" s="211" t="str">
        <f>IF(R56=1,"",IF(GK56=1,GL56,""))</f>
        <v/>
      </c>
      <c r="GN56" s="211" t="str">
        <f>IF(R56=1,"",IF(GK56=2,GL56,""))</f>
        <v/>
      </c>
      <c r="GO56" s="211" t="str">
        <f>IF(R56=1,"",IF(GK56=3,GL56,""))</f>
        <v/>
      </c>
      <c r="GP56" s="211">
        <f>IF(R56=1,"",IF(GK56=4,GL56,""))</f>
        <v>0</v>
      </c>
      <c r="GQ56" s="149">
        <f>IF(OR(R56=1,VLOOKUP(R56,Afgr,Data!$BV$3)=1,VLOOKUP(R56,Afgr,Data!$BW$3)=1),0,IF(GK56=1,Nniveau1,IF(GK56=2,Nniveau2,IF(GK56=3,Nniveau3,IF(GK56=4,Nniveau4,GL56)))))</f>
        <v>0</v>
      </c>
      <c r="GR56" s="241">
        <v>0.32550000000000001</v>
      </c>
      <c r="GS56" s="6">
        <v>0</v>
      </c>
      <c r="GT56" s="149">
        <f>CC56+CM56</f>
        <v>0</v>
      </c>
      <c r="GU56" s="6">
        <f>$FN56</f>
        <v>0</v>
      </c>
      <c r="GV56" s="241">
        <v>0.25280000000000002</v>
      </c>
      <c r="GW56">
        <f>CO56</f>
        <v>0</v>
      </c>
      <c r="GX56" s="241">
        <v>0.376</v>
      </c>
      <c r="GY56" s="149">
        <f>CD56+CN56</f>
        <v>0</v>
      </c>
      <c r="GZ56" s="241">
        <f>IF(B56&gt;3,0.3539,1.0749)</f>
        <v>0.35389999999999999</v>
      </c>
      <c r="HA56" s="11">
        <f>$FQ56</f>
        <v>77.951999999999984</v>
      </c>
      <c r="HB56" s="241">
        <v>0.19359999999999999</v>
      </c>
      <c r="HC56" s="241">
        <f>VLOOKUP($R56,Afgr,Data!$DM$3)</f>
        <v>7</v>
      </c>
      <c r="HD56" s="24">
        <f>IF($HC56&gt;1,0,(VLOOKUP($X56,Afgr,Data!$DP$3)+IF(VLOOKUP($X56,Afgr,Data!$DP$3)=0,VLOOKUP($T56,Efgr,Data!$BI$53,0))))+IF(AND($HC56=7,VLOOKUP($X56,Afgr,Data!$DQ$3)=-2),-2,0)+IF(AND($HC56=6,VLOOKUP($T56,Efgr,Data!$BI$53)=2),8,0)</f>
        <v>0</v>
      </c>
      <c r="HE56" s="6">
        <f>VLOOKUP(SUM(HC56:HD56),Nlesafgr,3)</f>
        <v>-165.7</v>
      </c>
      <c r="HF56" s="7">
        <f>VLOOKUP($O56,Afgr,Data!$DN$3)</f>
        <v>4</v>
      </c>
      <c r="HG56" s="24">
        <f>IF(HF56&gt;1,0,VLOOKUP($R56,Afgr,Data!$DO$3)+IF(VLOOKUP($R56,Afgr,Data!$DO$3)=1,0,VLOOKUP($P56,Efgr,Data!$BJ$53)))</f>
        <v>0</v>
      </c>
      <c r="HH56" s="6">
        <f>VLOOKUP(SUM(HF56:HG56),Nlesforfrugt,3)</f>
        <v>34.700000000000003</v>
      </c>
      <c r="HI56" s="241">
        <f>GR56*GQ56+GV56*(GT56+GU56)+GX56*GW56+GZ56*GY56-HB56*HA56+HE56+HH56</f>
        <v>-146.09150719999997</v>
      </c>
      <c r="HJ56" s="241">
        <f>Nlesafskaering</f>
        <v>59.6</v>
      </c>
      <c r="HK56" s="241">
        <f>Teknologi1</f>
        <v>2455</v>
      </c>
      <c r="HL56" s="6">
        <v>2001</v>
      </c>
      <c r="HM56" s="241">
        <f>Teknologi2</f>
        <v>1962.2</v>
      </c>
      <c r="HN56" s="241">
        <f>Tandel</f>
        <v>0.54659999999999997</v>
      </c>
      <c r="HO56" s="241">
        <f>IF(OR(HI56&gt;0,HI56=0),HJ56+HK56/(HL56-HM56),HJ56+HK56/(HL56-HM56)+HN56*HI56)</f>
        <v>43.019578040768749</v>
      </c>
      <c r="HP56" s="241">
        <f>IF(HI56&gt;0,HI56,0.001)</f>
        <v>1E-3</v>
      </c>
      <c r="HQ56" s="241">
        <v>1.5020000000000001E-3</v>
      </c>
      <c r="HR56" s="24">
        <f>IF(R56=1,0,VLOOKUP(PostnrNbal,AfstromData,VLOOKUP($R56,Afgr,Data!$DL$3)+IF(Jordtype1&lt;7,Jordtype1,6),FALSE)-VLOOKUP(T56,Efgr,Data!$AA$53))</f>
        <v>272.32333333333298</v>
      </c>
      <c r="HS56" s="24">
        <f>IF(Nbal!GA56&lt;&gt;"",Nbal!GA56,Regn2!HR56)</f>
        <v>272.32333333333298</v>
      </c>
      <c r="HT56" s="241">
        <v>5.5400000000000002E-4</v>
      </c>
      <c r="HU56" s="24">
        <f>IF(R56=1,0,VLOOKUP(PostnrNbal,AfstromData,VLOOKUP($O56,Afgr,Data!$DL$3)+IF(B56&lt;7,B56,6),FALSE)-VLOOKUP(P56,Efgr,Data!$AA$53))</f>
        <v>272.32333333333298</v>
      </c>
      <c r="HV56" s="24">
        <f>IF(Nbal!FU56&lt;&gt;"",Nbal!FU56,Regn2!HU56)</f>
        <v>272.32333333333298</v>
      </c>
      <c r="HW56" s="241">
        <v>0.10639999999999999</v>
      </c>
      <c r="HX56" s="6">
        <f>VLOOKUP(B56,Jordtype,Data!$W$112)</f>
        <v>26</v>
      </c>
      <c r="HY56" s="241">
        <v>3.2500000000000001E-2</v>
      </c>
      <c r="HZ56" s="6">
        <f>VLOOKUP(B56,Jordtype,Data!$X$112)</f>
        <v>5</v>
      </c>
      <c r="IA56" s="241">
        <v>1.2453000000000001</v>
      </c>
      <c r="IB56" s="241">
        <f>IF(VLOOKUP(T56,Efgr,Data!$AO$53)=1,MlafgrNUdvask,0)</f>
        <v>0</v>
      </c>
      <c r="IC56" s="20">
        <f>IF(ISERROR((HO56+POWER(HP56,1.2))*(1-EXP(-HQ56*HS56))*EXP(-HT56*HV56)*EXP(-HW56*HX56)*EXP(-HY56*HZ56)*IA56),0,(HO56+POWER(HP56,1.2))*(1-EXP(-HQ56*HS56))*EXP(-HT56*HV56)*EXP(-HW56*HX56)*EXP(-HY56*HZ56)*IA56+IB56)</f>
        <v>0.82675191399633163</v>
      </c>
      <c r="ID56">
        <f>IC56*Z56</f>
        <v>1.6287012705727733</v>
      </c>
      <c r="IE56">
        <f>IF(Nbal!GF56&lt;&gt;"",Nbal!GF56,RetentionNbal)</f>
        <v>65</v>
      </c>
      <c r="IF56">
        <f>IC56*(100-IE56)*0.01</f>
        <v>0.28936316989871608</v>
      </c>
      <c r="IG56">
        <f>IF56*Z56</f>
        <v>0.57004544470047069</v>
      </c>
      <c r="IH56" s="2">
        <f>HS56*10000</f>
        <v>2723233.3333333298</v>
      </c>
      <c r="II56" s="2">
        <f>IH56*Z56</f>
        <v>5364769.6666666595</v>
      </c>
      <c r="IJ56">
        <f>IF(ISERROR(IC56*1000*1000/IH56),0,IC56*1000*1000/IH56)</f>
        <v>0.30359202198232471</v>
      </c>
      <c r="IL56">
        <f>AT56+AX56+BK56+BU56</f>
        <v>3600</v>
      </c>
      <c r="IO56">
        <f>VLOOKUP(R56,Afgr,Data!$AP$3)*UdsaedJust</f>
        <v>0</v>
      </c>
      <c r="IP56" s="3">
        <f>IF(Nbal!GN56&lt;&gt;"",Nbal!GN56,IO56)</f>
        <v>0</v>
      </c>
      <c r="IQ56" s="3">
        <f>IP56*Z56</f>
        <v>0</v>
      </c>
      <c r="IS56" s="3">
        <f>IF(HdgVaerdiNbal=1,(BZ56+CA56)*Npris,(BZ56+CA56+CJ56+CK56)*Npris)</f>
        <v>0</v>
      </c>
      <c r="IT56" s="3">
        <f>IS56*Z56</f>
        <v>0</v>
      </c>
      <c r="IV56">
        <f>VLOOKUP($R56,Afgr,Data!$BA$3)</f>
        <v>0</v>
      </c>
      <c r="IW56">
        <f>VLOOKUP($R56,Afgr,Data!$BB$3)</f>
        <v>0</v>
      </c>
      <c r="IX56">
        <f>$DS56+$EE56</f>
        <v>9.743999999999998</v>
      </c>
      <c r="IY56">
        <f>CT56</f>
        <v>0</v>
      </c>
      <c r="IZ56">
        <f>CQ56</f>
        <v>0</v>
      </c>
      <c r="JA56" s="3">
        <f>IF(HdgVaerdiNbal=1,(IZ56)*Ppris,(IY56+IZ56)*Ppris)</f>
        <v>0</v>
      </c>
      <c r="JB56" s="3">
        <f>JA56*Z56</f>
        <v>0</v>
      </c>
      <c r="JD56">
        <f>IF(AND(R56&gt;1,OR(Jordtype1=1,Jordtype1=3,Markvand1=2)),Kudvask,0)</f>
        <v>0</v>
      </c>
      <c r="JE56">
        <f>$DV56+$EH56</f>
        <v>62.639999999999993</v>
      </c>
      <c r="JF56">
        <f>DB56</f>
        <v>0</v>
      </c>
      <c r="JG56">
        <f>CY56</f>
        <v>0</v>
      </c>
      <c r="JH56" s="3">
        <f>IF(HdgVaerdiNbal=1,JG56*Kpris,(JF56+JG56)*Kpris)</f>
        <v>0</v>
      </c>
      <c r="JI56" s="3">
        <f>JH56*Z56</f>
        <v>0</v>
      </c>
      <c r="JK56">
        <f>IS56+JA56+JH56</f>
        <v>0</v>
      </c>
      <c r="JL56" s="3">
        <f>IF(Nbal!GT56&lt;&gt;"",Nbal!GT56,$JK56)</f>
        <v>0</v>
      </c>
      <c r="JM56" s="3">
        <f>JL56*Z56</f>
        <v>0</v>
      </c>
      <c r="JO56">
        <f>VLOOKUP(R56,Afgr,Data!$AQ$3)*PlantevJust</f>
        <v>0</v>
      </c>
      <c r="JP56" s="3">
        <f>IF(Nbal!GZ56&lt;&gt;"",Nbal!GZ56,JO56)</f>
        <v>0</v>
      </c>
      <c r="JQ56" s="3">
        <f>JP56*Z56</f>
        <v>0</v>
      </c>
      <c r="JS56">
        <f>VLOOKUP(R56,Afgr,Data!$AR$3)+AM56*VLOOKUP(R56,Afgr,Data!$BH$3)</f>
        <v>0</v>
      </c>
      <c r="JT56" s="3">
        <f>IF(Nbal!HF56&lt;&gt;"",Nbal!HF56,JS56)</f>
        <v>0</v>
      </c>
      <c r="JU56">
        <f>JT56*Z56</f>
        <v>0</v>
      </c>
      <c r="JW56">
        <f>IP56+JL56+JP56+JT56</f>
        <v>0</v>
      </c>
      <c r="JY56">
        <f>IF(VLOOKUP(R56,Afgr,Data!$BY$3)&gt;0,Data!$K$259*J56,0)</f>
        <v>0</v>
      </c>
      <c r="JZ56">
        <f>IF(VLOOKUP(R56,Afgr,Data!$BZ$3)&gt;0,Data!$K$260*J56,0)</f>
        <v>0</v>
      </c>
      <c r="KA56">
        <f>(JY56+JZ56)*MaskJust</f>
        <v>0</v>
      </c>
      <c r="KB56" s="3">
        <f>IF(Nbal!HL56&lt;&gt;"",Nbal!HL56,KA56)</f>
        <v>0</v>
      </c>
      <c r="KC56" s="3">
        <f>KB56*Z56</f>
        <v>0</v>
      </c>
      <c r="KE56">
        <f>IF(VLOOKUP(R56,Afgr,Data!$CA$3)&gt;0,VLOOKUP(R56,Afgr,Data!$CA$3)*Data!$K$261*K56,0)</f>
        <v>0</v>
      </c>
      <c r="KF56">
        <f>IF(VLOOKUP(R56,Afgr,Data!$CC$3)&gt;0,Data!$K$262*K56,0)</f>
        <v>0</v>
      </c>
      <c r="KG56">
        <f>IF(VLOOKUP(R56,Afgr,Data!$CD$3)&gt;0,VLOOKUP(R56,Afgr,Data!$CD$3)*Data!$K$263*K56,0)</f>
        <v>0</v>
      </c>
      <c r="KH56">
        <f>IF(VLOOKUP(R56,Afgr,Data!$CE$3)&gt;0,Data!$K$264*K56,0)</f>
        <v>0</v>
      </c>
      <c r="KI56">
        <f>IF(VLOOKUP(R56,Afgr,Data!$CF$3)&gt;0,Data!$K$265*K56,0)</f>
        <v>0</v>
      </c>
      <c r="KJ56">
        <f>IF(VLOOKUP(R56,Afgr,Data!$CV$3)&gt;0,Data!$K$266,0)</f>
        <v>0</v>
      </c>
      <c r="KK56">
        <f>IF(VLOOKUP(R56,Afgr,Data!$CG$3)&gt;0,Data!$K$267*K56,0)</f>
        <v>0</v>
      </c>
      <c r="KL56">
        <f>(KE56+KF56+KG56+KH56+KI56+KJ56+KK56)*MaskJust</f>
        <v>0</v>
      </c>
      <c r="KM56" s="3">
        <f>IF(Nbal!HR56&lt;&gt;"",Nbal!HR56,KL56)</f>
        <v>0</v>
      </c>
      <c r="KN56" s="3">
        <f>KM56*Z56</f>
        <v>0</v>
      </c>
      <c r="KP56">
        <f>IF(VLOOKUP(R56,Afgr,Data!$CJ$3)&gt;0,VLOOKUP(R56,Afgr,Data!$CJ$3)*Data!$K$268*K56,0)*MaskJust</f>
        <v>280</v>
      </c>
      <c r="KQ56" s="3">
        <f>IF(Nbal!HX56&lt;&gt;"",Nbal!HX56,KP56)</f>
        <v>280</v>
      </c>
      <c r="KR56" s="3">
        <f>KQ56*Z56</f>
        <v>551.6</v>
      </c>
      <c r="KT56">
        <f>IF(VLOOKUP(R56,Afgr,Data!$CI$3)&gt;0,VLOOKUP(R56,Afgr,Data!$CI$3)*Data!$K$269,0)*MaskJust</f>
        <v>0</v>
      </c>
      <c r="KU56" s="3">
        <f>IF(Nbal!ID56&lt;&gt;"",Nbal!ID56,KT56)</f>
        <v>0</v>
      </c>
      <c r="KV56" s="3">
        <f>KU56*Z56</f>
        <v>0</v>
      </c>
      <c r="KX56">
        <f>IF(C56=2,VLOOKUP($R56,Afgr,Data!$CY$3),0)</f>
        <v>0</v>
      </c>
      <c r="KY56">
        <f>IF(Nbal!IJ56&lt;&gt;"",Nbal!IJ56,$KX56)</f>
        <v>0</v>
      </c>
      <c r="KZ56">
        <f>IF(AND(R56&gt;1,C56=2),Vandmaskin+$KY56*Flytning/mmprgang+$KY56*Prisprmm,0)</f>
        <v>0</v>
      </c>
      <c r="LA56" s="3">
        <f>IF(Nbal!IP56&lt;&gt;"",Nbal!IP56,$KZ56)</f>
        <v>0</v>
      </c>
      <c r="LB56" s="3">
        <f>LA56*Z56</f>
        <v>0</v>
      </c>
      <c r="LD56">
        <f>IF(VLOOKUP($R56,Afgr,Data!$CK$3)&gt;0,((1+AM56/VLOOKUP($R56,Afgr,Data!$CK$3))/2)*VLOOKUP($R56,Afgr,Data!$CL$3)*VLOOKUP($R56,Afgr,Data!$CN$3)+VLOOKUP($R56,Afgr,Data!$CM$3),0)</f>
        <v>0</v>
      </c>
      <c r="LE56">
        <f>IF(VLOOKUP($R56,Afgr,Data!$CK$3)&gt;0,IF(AND($S56=2,$BA56&gt;0),Data!$K$271,0),0)</f>
        <v>0</v>
      </c>
      <c r="LF56">
        <f>IF(VLOOKUP($R56,Afgr,Data!$CK$3)&gt;0,(AM56/VLOOKUP($R56,Afgr,Data!$CK$3))*VLOOKUP($R56,Afgr,Data!$CO$3)*VLOOKUP($R56,Afgr,Data!$CN$3),0)</f>
        <v>0</v>
      </c>
      <c r="LG56">
        <f>(LD56+LE56+LF56)*MaskJust</f>
        <v>0</v>
      </c>
      <c r="LH56" s="3">
        <f>IF(Nbal!IV56&lt;&gt;"",Nbal!IV56,LG56)</f>
        <v>0</v>
      </c>
      <c r="LI56" s="3">
        <f>LH56*Z56</f>
        <v>0</v>
      </c>
      <c r="LJ56" s="3"/>
      <c r="LK56">
        <f>IF(AND($S56=1,VLOOKUP($R56,Afgr,Data!$CP$3)&gt;0),((1+$BC56/VLOOKUP($R56,Afgr,Data!$CP$3))/2)*VLOOKUP($R56,Afgr,Data!$CQ$3),0)</f>
        <v>0</v>
      </c>
      <c r="LL56">
        <f>IF(AND($S56=1,VLOOKUP($R56,Afgr,Data!$CP$3)&gt;0),($BC56/VLOOKUP($R56,Afgr,Data!$CP$3))*VLOOKUP($R56,Afgr,Data!$CR$3),0)</f>
        <v>0</v>
      </c>
      <c r="LM56">
        <f>(LK56+LL56)*MaskJust</f>
        <v>0</v>
      </c>
      <c r="LN56" s="3">
        <f>IF(Nbal!JB56&lt;&gt;"",Nbal!JB56,LM56)</f>
        <v>0</v>
      </c>
      <c r="LO56" s="3">
        <f>LN56*Z56</f>
        <v>0</v>
      </c>
      <c r="LQ56">
        <f>$AM56*VLOOKUP($R56,Afgr,Data!$CS$3)*IF($V56=1,VLOOKUP($R56,Afgr,Data!$CT$3),IF($V56=2,VLOOKUP($R56,Afgr,Data!$CU$3),0))</f>
        <v>0</v>
      </c>
      <c r="LR56" s="3">
        <f>IF(Nbal!JK56&lt;&gt;"",Nbal!JK56,LQ56)</f>
        <v>0</v>
      </c>
      <c r="LS56" s="3">
        <f>LR56*Z56</f>
        <v>0</v>
      </c>
      <c r="LU56">
        <f>VLOOKUP($T56,Efgr,Data!$AC$53)*UdsaedJust</f>
        <v>0</v>
      </c>
      <c r="LV56" s="3">
        <f>IF(Nbal!$JS56&lt;&gt;"",Nbal!$JS56,LU56)</f>
        <v>0</v>
      </c>
      <c r="LW56" s="3">
        <f>LV56*Z56</f>
        <v>0</v>
      </c>
      <c r="LY56" s="3">
        <f>IF(HdgVaerdiNbal=1,(CB56)*Npris,(CB56+CL56)*Npris)</f>
        <v>0</v>
      </c>
      <c r="LZ56" s="3">
        <f>LY56*Z56</f>
        <v>0</v>
      </c>
      <c r="MB56">
        <f>$EO56</f>
        <v>0</v>
      </c>
      <c r="MC56">
        <f>CU56</f>
        <v>0</v>
      </c>
      <c r="MD56">
        <f>CR56</f>
        <v>0</v>
      </c>
      <c r="ME56" s="3">
        <f>IF(HdgVaerdiNbal=1,MD56*Ppris,(MC56+MD56)*Ppris)</f>
        <v>0</v>
      </c>
      <c r="MF56" s="3">
        <f>ME56*Z56</f>
        <v>0</v>
      </c>
      <c r="MH56">
        <f>$ER56</f>
        <v>0</v>
      </c>
      <c r="MI56">
        <f>DC56</f>
        <v>0</v>
      </c>
      <c r="MJ56">
        <f>CZ56</f>
        <v>0</v>
      </c>
      <c r="MK56" s="3">
        <f>IF(HdgVaerdiNbal=1,MJ56*Ppris,(MI56+MJ56)*Ppris)</f>
        <v>0</v>
      </c>
      <c r="ML56" s="3">
        <f>MK56*Z56</f>
        <v>0</v>
      </c>
      <c r="MN56">
        <f>LY56+ME56+MK56</f>
        <v>0</v>
      </c>
      <c r="MO56" s="3">
        <f>IF(Nbal!JY56&lt;&gt;"",Nbal!JY56,$MN56)</f>
        <v>0</v>
      </c>
      <c r="MP56" s="3">
        <f>MO56*Z56</f>
        <v>0</v>
      </c>
      <c r="MR56">
        <f>VLOOKUP($T56,Efgr,Data!$AE$53)*PlantevJust</f>
        <v>0</v>
      </c>
      <c r="MS56" s="3">
        <f>IF(Nbal!KE56&lt;&gt;"",Nbal!KE56,MR56)</f>
        <v>0</v>
      </c>
      <c r="MT56" s="3">
        <f>MS56*Z56</f>
        <v>0</v>
      </c>
      <c r="MV56">
        <f>VLOOKUP($T56,Efgr,Data!$AF$53)+$BR56*VLOOKUP($T56,Efgr,Data!$AL$53)</f>
        <v>0</v>
      </c>
      <c r="MW56" s="3">
        <f>IF(Nbal!KK56&lt;&gt;"",Nbal!KK56,MV56)</f>
        <v>0</v>
      </c>
      <c r="MX56" s="3">
        <f>MW56*Z56</f>
        <v>0</v>
      </c>
      <c r="MZ56">
        <f>LV56+MO56+MS56+MW56</f>
        <v>0</v>
      </c>
      <c r="NB56">
        <f>VLOOKUP($T56,Efgr,Data!$AU$53)*K56*MaskJust</f>
        <v>0</v>
      </c>
      <c r="NC56" s="3">
        <f>IF(Nbal!KQ56&lt;&gt;"",Nbal!KQ56,NB56)</f>
        <v>0</v>
      </c>
      <c r="ND56" s="3">
        <f>NC56*Z56</f>
        <v>0</v>
      </c>
      <c r="NF56">
        <f>VLOOKUP($T56,Efgr,Data!$AW$53)*Data!$K$268*K56*MaskJust</f>
        <v>0</v>
      </c>
      <c r="NG56" s="3">
        <f>IF(Nbal!KW56&lt;&gt;"",Nbal!KW56,NF56)</f>
        <v>0</v>
      </c>
      <c r="NH56" s="3">
        <f>NG56*Z56</f>
        <v>0</v>
      </c>
      <c r="NJ56">
        <f>VLOOKUP($T56,Efgr,Data!$AV$53)*Data!$K$269*MaskJust</f>
        <v>0</v>
      </c>
      <c r="NK56" s="3">
        <f>IF(Nbal!LC56&lt;&gt;"",Nbal!LC56,NJ56)</f>
        <v>0</v>
      </c>
      <c r="NL56" s="3">
        <f>NK56*Z56</f>
        <v>0</v>
      </c>
      <c r="NN56">
        <f>IF(C56=2,VLOOKUP($T56,Efgr,Data!$BC$53),0)</f>
        <v>0</v>
      </c>
      <c r="NO56">
        <f>IF(Nbal!LI56&lt;&gt;"",Nbal!LI56,$NN56)</f>
        <v>0</v>
      </c>
      <c r="NP56">
        <f>IF(C56=2,$NO56*Flytning/mmprgang+$NO56*Prisprmm,0)</f>
        <v>0</v>
      </c>
      <c r="NQ56" s="3">
        <f>IF(Nbal!LO56&lt;&gt;"",Nbal!LO56,$NP56)</f>
        <v>0</v>
      </c>
      <c r="NR56" s="3">
        <f>NQ56*Z56</f>
        <v>0</v>
      </c>
      <c r="NT56">
        <f>IF(VLOOKUP($T56,Efgr,Data!$AX$53)&gt;0,((1+BR56/VLOOKUP($T56,Efgr,Data!$AX$53))/2)*VLOOKUP($T56,Efgr,Data!$AY$53)*VLOOKUP($T56,Efgr,Data!$BA$53)+VLOOKUP($T56,Efgr,Data!$AZ$53),0)</f>
        <v>0</v>
      </c>
      <c r="NU56">
        <f>IF(VLOOKUP($T56,Efgr,Data!$AX$53)&gt;0,($BR56/VLOOKUP($T56,Efgr,Data!$AX$53))*VLOOKUP($T56,Efgr,Data!$BB$53)*VLOOKUP($T56,Efgr,Data!$BA$53),0)</f>
        <v>0</v>
      </c>
      <c r="NV56">
        <f>(NT56+NU56)*MaskJust</f>
        <v>0</v>
      </c>
      <c r="NW56" s="3">
        <f>IF(Nbal!LU56&lt;&gt;"",Nbal!LU56,NV56)</f>
        <v>0</v>
      </c>
      <c r="NX56" s="3">
        <f>NW56*Z56</f>
        <v>0</v>
      </c>
      <c r="NZ56">
        <f>IF($U56=2,Data!$K$304,IF($U56=3,Data!$K$305,0))*MaskJust</f>
        <v>0</v>
      </c>
      <c r="OA56" s="3">
        <f>IF(Nbal!MA56&lt;&gt;"",Nbal!MA56,NZ56)</f>
        <v>0</v>
      </c>
      <c r="OB56" s="3">
        <f>OA56*Z56</f>
        <v>0</v>
      </c>
      <c r="OD56">
        <f>IL56</f>
        <v>3600</v>
      </c>
      <c r="OE56">
        <f>JW56+MZ56</f>
        <v>0</v>
      </c>
      <c r="OF56">
        <f>OD56-OE56</f>
        <v>3600</v>
      </c>
      <c r="OG56">
        <f>OF56*Z56</f>
        <v>7092</v>
      </c>
      <c r="OJ56">
        <f>VLOOKUP($O56,Afgr,Data!$BP$3)+VLOOKUP($P56,Efgr,Data!$AM$53)</f>
        <v>0</v>
      </c>
      <c r="OK56" s="3">
        <f>OJ56*Z56</f>
        <v>0</v>
      </c>
      <c r="OL56">
        <f>VLOOKUP($R56,Afgr,Data!$BP$3)+VLOOKUP($T56,Efgr,Data!$AM$53)</f>
        <v>0</v>
      </c>
      <c r="OM56" s="3">
        <f>OL56*Z56</f>
        <v>0</v>
      </c>
      <c r="OO56">
        <f>VLOOKUP($P56,Efgr,Data!$AN$53)</f>
        <v>0</v>
      </c>
      <c r="OP56">
        <f>VLOOKUP($O56,Afgr,Data!$BQ$3)</f>
        <v>0</v>
      </c>
      <c r="OQ56">
        <f>VLOOKUP($R56,Afgr,Data!$BR$3)</f>
        <v>0</v>
      </c>
      <c r="OR56">
        <f>OO56*OP56*OQ56</f>
        <v>0</v>
      </c>
      <c r="OS56" s="3">
        <f>OR56*Z56</f>
        <v>0</v>
      </c>
      <c r="OT56" s="3">
        <f>IF(Q56,1,0)*OS56</f>
        <v>0</v>
      </c>
      <c r="OV56">
        <f>VLOOKUP($T56,Efgr,Data!$AN$53)</f>
        <v>0</v>
      </c>
      <c r="OW56">
        <f>VLOOKUP($R56,Afgr,Data!$BQ$3)</f>
        <v>0</v>
      </c>
      <c r="OX56">
        <f>VLOOKUP($X56,Afgr,Data!$BR$3)</f>
        <v>0</v>
      </c>
      <c r="OY56">
        <f>OV56*OW56*OX56</f>
        <v>0</v>
      </c>
      <c r="OZ56" s="3">
        <f>OY56*Z56</f>
        <v>0</v>
      </c>
      <c r="PB56">
        <f>VLOOKUP($T56,Efgr,Data!$AO$53)</f>
        <v>0</v>
      </c>
      <c r="PC56">
        <f>VLOOKUP($O56,Afgr,Data!$BQ$3)</f>
        <v>0</v>
      </c>
      <c r="PD56">
        <f>VLOOKUP($R56,Afgr,Data!$BS$3)</f>
        <v>0</v>
      </c>
      <c r="PE56" s="3">
        <f>PB56*PC56*PD56*$Z56</f>
        <v>0</v>
      </c>
      <c r="PG56">
        <f>VLOOKUP($T56,Efgr,Data!$AO$53)</f>
        <v>0</v>
      </c>
      <c r="PH56">
        <f>VLOOKUP($R56,Afgr,Data!$BQ$3)</f>
        <v>0</v>
      </c>
      <c r="PI56">
        <f>VLOOKUP($X56,Afgr,Data!$BS$3)</f>
        <v>0</v>
      </c>
      <c r="PJ56" s="3">
        <f>PG56*PH56*PI56*$Z56</f>
        <v>0</v>
      </c>
      <c r="PK56" s="3"/>
      <c r="PL56" s="3">
        <f>VLOOKUP($O56,Afgr,Data!$BU$3)</f>
        <v>0</v>
      </c>
      <c r="PM56" s="3">
        <f>PL56*Z56</f>
        <v>0</v>
      </c>
      <c r="PN56" s="3">
        <f>VLOOKUP($R56,Afgr,Data!$BU$3)</f>
        <v>0</v>
      </c>
      <c r="PO56" s="3">
        <f>PN56*Z56</f>
        <v>0</v>
      </c>
      <c r="PQ56">
        <f>VLOOKUP(R56,Afgr,Data!$BX$3)+VLOOKUP(T56,Efgr,Data!$AQ$53)</f>
        <v>1</v>
      </c>
      <c r="PR56">
        <f>IF(PQ56&gt;0,Z56,0)</f>
        <v>1.97</v>
      </c>
      <c r="PT56">
        <f>VLOOKUP($O56,Afgr,Data!$BT$3)</f>
        <v>1</v>
      </c>
      <c r="PU56" s="3">
        <f>PT56*Z56</f>
        <v>1.97</v>
      </c>
      <c r="PV56">
        <f>VLOOKUP($R56,Afgr,Data!$BT$3)</f>
        <v>1</v>
      </c>
      <c r="PW56" s="3">
        <f>PV56*Z56</f>
        <v>1.97</v>
      </c>
      <c r="PY56">
        <f>VLOOKUP($R56,Afgr,Data!$BV$3)</f>
        <v>0</v>
      </c>
      <c r="PZ56">
        <f>PY56*Z56</f>
        <v>0</v>
      </c>
      <c r="QB56">
        <f>VLOOKUP($R56,Afgr,Data!$BW$3)</f>
        <v>0</v>
      </c>
      <c r="QC56">
        <f>QB56*Z56</f>
        <v>0</v>
      </c>
      <c r="QE56">
        <f>AM56*IF(VLOOKUP($R56,Afgr,Data!$BJ$3)&gt;0,1,0)</f>
        <v>0</v>
      </c>
      <c r="QF56">
        <f>QE56*Z56</f>
        <v>0</v>
      </c>
      <c r="QH56">
        <f>AM56*VLOOKUP(R56,Afgr,Data!$BK$3)</f>
        <v>0</v>
      </c>
      <c r="QI56">
        <f>Z56*QH56</f>
        <v>0</v>
      </c>
      <c r="QJ56">
        <f>$AM56*VLOOKUP($R56,Afgr,Data!$BL$3)+$BR56*VLOOKUP($T56,Efgr,Data!$AP$53)</f>
        <v>3000</v>
      </c>
      <c r="QK56">
        <f>QJ56*Z56</f>
        <v>5910</v>
      </c>
      <c r="QL56">
        <f>$AM56*VLOOKUP($R56,Afgr,Data!$BM$3)</f>
        <v>0</v>
      </c>
      <c r="QM56">
        <f>QL56*Z56</f>
        <v>0</v>
      </c>
      <c r="QN56">
        <f>$AM56*VLOOKUP($R56,Afgr,Data!$BN$3)</f>
        <v>0</v>
      </c>
      <c r="QO56">
        <f>QN56*Z56</f>
        <v>0</v>
      </c>
      <c r="QR56">
        <f>IF(VLOOKUP($R56,Afgr,Data!$DA$3)="Vårbyg",$AN56,0)*VLOOKUP($R56,Afgr,Data!$BJ$3)</f>
        <v>0</v>
      </c>
      <c r="QS56">
        <f>IF(VLOOKUP($R56,Afgr,Data!$DA$3)="Vinterbyg",$AN56,0)*VLOOKUP($R56,Afgr,Data!$BJ$3)</f>
        <v>0</v>
      </c>
      <c r="QT56">
        <f>IF(VLOOKUP($R56,Afgr,Data!$DA$3)="Havre",$AN56,0)*VLOOKUP($R56,Afgr,Data!$BJ$3)</f>
        <v>0</v>
      </c>
      <c r="QU56">
        <f>IF(VLOOKUP($R56,Afgr,Data!$DA$3)="Hvede",$AN56,0)*VLOOKUP($R56,Afgr,Data!$BJ$3)</f>
        <v>0</v>
      </c>
      <c r="QV56">
        <f>IF(VLOOKUP($R56,Afgr,Data!$DA$3)="Triticale",$AN56,0)*VLOOKUP($R56,Afgr,Data!$BJ$3)</f>
        <v>0</v>
      </c>
      <c r="QW56">
        <f>IF(VLOOKUP($R56,Afgr,Data!$DA$3)="Rug",$AN56,0)*VLOOKUP($R56,Afgr,Data!$BJ$3)</f>
        <v>0</v>
      </c>
      <c r="QX56">
        <f>IF(VLOOKUP($R56,Afgr,Data!$DA$3)="Majs",$AN56,0)*VLOOKUP($R56,Afgr,Data!$BJ$3)</f>
        <v>0</v>
      </c>
      <c r="RA56">
        <f>IF(OV56+PB56&gt;0,1,0)</f>
        <v>0</v>
      </c>
      <c r="RB56">
        <f>RA56*LW56</f>
        <v>0</v>
      </c>
      <c r="RC56">
        <f>RA56*MT56</f>
        <v>0</v>
      </c>
      <c r="RD56">
        <f>ND56</f>
        <v>0</v>
      </c>
      <c r="RE56">
        <f>RA56*OB56</f>
        <v>0</v>
      </c>
      <c r="RH56">
        <f>VLOOKUP(B56,Jordtype,Data!$Y$112+DenitNr-1)</f>
        <v>0</v>
      </c>
      <c r="RI56">
        <f>FF56*VLOOKUP(B56,Jordtype,Data!$AB$112+DenitNr-1)</f>
        <v>0</v>
      </c>
      <c r="RJ56">
        <f>((CJ56+CK56+CL56+Regn2!CO56*0.7)-(RR56+RT56))*VLOOKUP(B56,Jordtype,Data!$AE$112+DenitNr-1)</f>
        <v>0</v>
      </c>
      <c r="RK56">
        <f>0*VLOOKUP(B56,Jordtype,Data!$AE$112+DenitNr-1)</f>
        <v>0</v>
      </c>
      <c r="RL56">
        <f>Regn2!FD56*VLOOKUP(B56,Jordtype,Data!$AH$112+DenitNr-1)</f>
        <v>0</v>
      </c>
      <c r="RM56" s="3">
        <f>RH56+RI56+RJ56+RK56+RL56</f>
        <v>0</v>
      </c>
      <c r="RO56">
        <v>2</v>
      </c>
      <c r="RP56">
        <f>(FF56)*RO56*0.01</f>
        <v>0</v>
      </c>
      <c r="RQ56">
        <v>7</v>
      </c>
      <c r="RR56">
        <f>CE56*RQ56*0.01</f>
        <v>0</v>
      </c>
      <c r="RS56">
        <v>7</v>
      </c>
      <c r="RT56">
        <f>(Regn2!CF56+Regn2!CG56)*RS56*0.01</f>
        <v>0</v>
      </c>
      <c r="RW56">
        <f>VLOOKUP(R56,Afgr,Data!$EE$3)</f>
        <v>0</v>
      </c>
      <c r="RX56" s="3">
        <f>RP56+RR56+RT56+RV56+RW56</f>
        <v>0</v>
      </c>
    </row>
    <row r="58" spans="1:492" x14ac:dyDescent="0.25">
      <c r="A58" s="214" t="str">
        <f>Nbal!B58</f>
        <v>22-2</v>
      </c>
      <c r="B58">
        <v>11</v>
      </c>
      <c r="C58">
        <v>1</v>
      </c>
      <c r="D58">
        <f>IF(C58=1,VLOOKUP(B58,Jordtype,Data!$K$112),VLOOKUP(B58,Jordtype,Data!$L$112))</f>
        <v>7</v>
      </c>
      <c r="E58">
        <f>IF(C58=1,VLOOKUP(B58,Jordtype,Data!$M$112),VLOOKUP(B58,Jordtype,Data!$N$112))</f>
        <v>12</v>
      </c>
      <c r="F58">
        <f>IF(OR(B58=1,B58=3),0,IF(OR(B58=2,B58=4),1,IF(OR(B58=5,B58=6),2,3)))</f>
        <v>3</v>
      </c>
      <c r="G58">
        <f>IF(C58=1,VLOOKUP(B58,Jordtype,Data!$Q$112),VLOOKUP(B58,Jordtype,Data!$R$112))</f>
        <v>23</v>
      </c>
      <c r="H58">
        <f>IF(C58=1,VLOOKUP(B58,Jordtype,Data!$O$112),VLOOKUP(B58,Jordtype,Data!$P$112))</f>
        <v>17</v>
      </c>
      <c r="I58">
        <f>IF(B58&lt;5,0,1)</f>
        <v>1</v>
      </c>
      <c r="J58">
        <f>IF(B58&lt;5,PlojJB,1)</f>
        <v>1</v>
      </c>
      <c r="K58">
        <f>IF(B58&lt;5,SaaJB,1)</f>
        <v>1</v>
      </c>
      <c r="L58">
        <f>IF(C58=1,VLOOKUP(B58,Jordtype,Data!$S$112),VLOOKUP(B58,Jordtype,Data!$T$112))</f>
        <v>6</v>
      </c>
      <c r="M58">
        <f>IF(C58=1,VLOOKUP(B58,Jordtype,Data!$U$112),VLOOKUP(B58,Jordtype,Data!$V$112))</f>
        <v>11</v>
      </c>
      <c r="O58">
        <v>26</v>
      </c>
      <c r="P58">
        <v>1</v>
      </c>
      <c r="Q58" t="b">
        <v>0</v>
      </c>
      <c r="R58">
        <v>26</v>
      </c>
      <c r="S58">
        <v>1</v>
      </c>
      <c r="T58">
        <v>1</v>
      </c>
      <c r="U58">
        <v>1</v>
      </c>
      <c r="V58">
        <v>1</v>
      </c>
      <c r="X58">
        <v>26</v>
      </c>
      <c r="Z58">
        <f>Nbal!AG58</f>
        <v>0.98</v>
      </c>
      <c r="AA58">
        <v>4</v>
      </c>
      <c r="AB58">
        <f>VLOOKUP($R58,Afgr,G58)</f>
        <v>134</v>
      </c>
      <c r="AC58">
        <f>VLOOKUP($O58,Afgr,Data!$AI$3)*VLOOKUP(R58,Afgr,Data!$AJ$3)</f>
        <v>0</v>
      </c>
      <c r="AD58">
        <f>IF($Q58,0,VLOOKUP($P58,Efgr,(Data!$W$53+$V$6-1)))</f>
        <v>0</v>
      </c>
      <c r="AE58">
        <f>AB58-AC58-AD58</f>
        <v>134</v>
      </c>
      <c r="AF58">
        <f>AE58*Z58</f>
        <v>131.32</v>
      </c>
      <c r="AH58">
        <f>VLOOKUP(R58,Afgr,D58)</f>
        <v>3000</v>
      </c>
      <c r="AI58">
        <f>VLOOKUP(O58,Afgr,Data!$AL$3)*VLOOKUP(R58,Afgr,E58)</f>
        <v>0</v>
      </c>
      <c r="AJ58">
        <f>VLOOKUP(P58,Efgr,(Data!$Y$53+I58))</f>
        <v>0</v>
      </c>
      <c r="AK58">
        <f>AH58+AI58+AJ58</f>
        <v>3000</v>
      </c>
      <c r="AL58">
        <f>AH58+AI58+AJ58</f>
        <v>3000</v>
      </c>
      <c r="AM58" s="3">
        <f>IF(Nbal!CK58&lt;&gt;"",Nbal!CK58,AL58)</f>
        <v>3000</v>
      </c>
      <c r="AN58">
        <f>AM58*Z58</f>
        <v>2940</v>
      </c>
      <c r="AO58" t="str">
        <f>VLOOKUP(R58,Afgr,3)</f>
        <v>FE</v>
      </c>
      <c r="AP58">
        <f>IF(AO58="FE",VLOOKUP($R58,Afgr,Data!$AV$3),0)</f>
        <v>1.1599999999999999</v>
      </c>
      <c r="AR58">
        <f>VLOOKUP(R58,Afgr,4)</f>
        <v>1.2</v>
      </c>
      <c r="AS58" s="3">
        <f>IF(Nbal!CW58&lt;&gt;"",Nbal!CW58,AR58)</f>
        <v>1.2</v>
      </c>
      <c r="AT58" s="3">
        <f>AM58*AS58</f>
        <v>3600</v>
      </c>
      <c r="AU58" s="3">
        <f>AN58*AS58</f>
        <v>3528</v>
      </c>
      <c r="AW58">
        <f>VLOOKUP(R58,Afgr,Data!$AN$3)</f>
        <v>0</v>
      </c>
      <c r="AX58" s="3">
        <f>IF(Nbal!DC58&lt;&gt;"",Nbal!DC58,AW58)</f>
        <v>0</v>
      </c>
      <c r="AY58" s="3">
        <f>AX58*Z58</f>
        <v>0</v>
      </c>
      <c r="BA58">
        <f>VLOOKUP(R58,Afgr,H58)</f>
        <v>0</v>
      </c>
      <c r="BB58">
        <f>IF(ISERROR(BA58*AM58/AK58),0,(BA58*AM58/AK58))</f>
        <v>0</v>
      </c>
      <c r="BC58" s="3">
        <f>IF(Nbal!DI58&lt;&gt;"",Nbal!DI58,BB58)</f>
        <v>0</v>
      </c>
      <c r="BD58">
        <f>BC58*Z58</f>
        <v>0</v>
      </c>
      <c r="BG58">
        <f>IF($S58=1,BC58,0)</f>
        <v>0</v>
      </c>
      <c r="BH58">
        <f>IF($S58=1,BD58,0)</f>
        <v>0</v>
      </c>
      <c r="BI58">
        <f>VLOOKUP(R58,Afgr,Data!$AM$3)</f>
        <v>0</v>
      </c>
      <c r="BJ58">
        <f>IF(Nbal!DR58&lt;&gt;"",Nbal!DR58,BI58)</f>
        <v>0</v>
      </c>
      <c r="BK58">
        <f>BG58*BJ58</f>
        <v>0</v>
      </c>
      <c r="BL58">
        <f>BH58*BJ58</f>
        <v>0</v>
      </c>
      <c r="BN58">
        <f>VLOOKUP($T58,Efgr,M58)</f>
        <v>0</v>
      </c>
      <c r="BO58">
        <f>BN58*Z58</f>
        <v>0</v>
      </c>
      <c r="BQ58">
        <f>VLOOKUP(T58,Efgr,NormudbKolonneNrEfgr1)</f>
        <v>0</v>
      </c>
      <c r="BR58" s="3">
        <f>IF(Nbal!FE58&lt;&gt;"",Nbal!FE58,BQ58)</f>
        <v>0</v>
      </c>
      <c r="BS58">
        <f>BR58*Z58</f>
        <v>0</v>
      </c>
      <c r="BT58" t="s">
        <v>37</v>
      </c>
      <c r="BU58">
        <f>BR58*Efterslaetpris</f>
        <v>0</v>
      </c>
      <c r="BV58">
        <f>BS58*Efterslaetpris</f>
        <v>0</v>
      </c>
      <c r="BW58">
        <f>VLOOKUP(T58,Efgr,Data!$AG$53)</f>
        <v>0</v>
      </c>
      <c r="BX58">
        <f>BR58*BW58</f>
        <v>0</v>
      </c>
      <c r="BZ58">
        <f>Nbal!AQ58</f>
        <v>0</v>
      </c>
      <c r="CA58" s="211">
        <f>Nbal!AT58</f>
        <v>0</v>
      </c>
      <c r="CB58" s="2">
        <f>Nbal!DZ58</f>
        <v>0</v>
      </c>
      <c r="CC58" s="211">
        <f>Nbal!AT58+Nbal!DZ58</f>
        <v>0</v>
      </c>
      <c r="CD58" s="211">
        <f>Nbal!AX58</f>
        <v>0</v>
      </c>
      <c r="CE58">
        <f>Nbal!BH58</f>
        <v>0</v>
      </c>
      <c r="CF58" s="211">
        <f>Nbal!BM58</f>
        <v>0</v>
      </c>
      <c r="CG58" s="2">
        <f>Nbal!EI58</f>
        <v>0</v>
      </c>
      <c r="CH58" s="211">
        <f>Nbal!BM58+Nbal!EI58</f>
        <v>0</v>
      </c>
      <c r="CI58" s="211">
        <f>Nbal!BW58</f>
        <v>0</v>
      </c>
      <c r="CJ58" s="211">
        <f>Nbal!BH58*Nbal!BJ58*0.01</f>
        <v>0</v>
      </c>
      <c r="CK58" s="211">
        <f>(Nbal!BM58*Nbal!BP58*0.01)</f>
        <v>0</v>
      </c>
      <c r="CL58" s="211">
        <f>(Nbal!EI58*Nbal!EL58*0.01)</f>
        <v>0</v>
      </c>
      <c r="CM58" s="211">
        <f>(Nbal!BM58*Nbal!BP58*0.01)+(Nbal!EI58*Nbal!EL58*0.01)</f>
        <v>0</v>
      </c>
      <c r="CN58" s="211">
        <f>Nbal!BW58*Nbal!BY58*0.01</f>
        <v>0</v>
      </c>
      <c r="CO58">
        <f>Nbal!BT58+Nbal!ER58</f>
        <v>0</v>
      </c>
      <c r="CQ58">
        <f>Nbal!BA58</f>
        <v>0</v>
      </c>
      <c r="CR58">
        <f>Nbal!EC58</f>
        <v>0</v>
      </c>
      <c r="CS58">
        <f>(CQ58+CR58)*Z58</f>
        <v>0</v>
      </c>
      <c r="CT58">
        <f>Nbal!CB58</f>
        <v>0</v>
      </c>
      <c r="CU58">
        <f>Nbal!EV58</f>
        <v>0</v>
      </c>
      <c r="CV58">
        <f>(CT58+CU58)*Z58</f>
        <v>0</v>
      </c>
      <c r="CW58">
        <f>Nbal!BA58+Nbal!CB58+Nbal!EC58+Nbal!EV58</f>
        <v>0</v>
      </c>
      <c r="CY58">
        <f>Nbal!BD58</f>
        <v>0</v>
      </c>
      <c r="CZ58">
        <f>Nbal!EF58</f>
        <v>0</v>
      </c>
      <c r="DA58">
        <f>(CY58+CZ58)*Z58</f>
        <v>0</v>
      </c>
      <c r="DB58">
        <f>Nbal!CE58</f>
        <v>0</v>
      </c>
      <c r="DC58">
        <f>Nbal!EY58</f>
        <v>0</v>
      </c>
      <c r="DD58">
        <f>(DB58+DC58)*Z58</f>
        <v>0</v>
      </c>
      <c r="DE58">
        <f>Nbal!BD58+Nbal!CE58+Nbal!EF58+Nbal!EY58</f>
        <v>0</v>
      </c>
      <c r="DG58">
        <f>VLOOKUP($R58,Afgr,Data!$AW$3)</f>
        <v>14</v>
      </c>
      <c r="DH58">
        <f>IF($AO58="FE",$AM58*$AP58*$DG58*0.01,$AM58*100*$DM58*0.01*$DG58*0.01)</f>
        <v>487.19999999999993</v>
      </c>
      <c r="DI58">
        <f>IF(VLOOKUP(R58,Afgr,Data!$BO$3)=1,DH58,0)*Z58</f>
        <v>0</v>
      </c>
      <c r="DJ58" s="12">
        <f>(BZ58+CC58+CJ58-AE58)*VLOOKUP($R58,Afgr,Data!$AX$3)</f>
        <v>0</v>
      </c>
      <c r="DK58">
        <f>DG58+DJ58</f>
        <v>14</v>
      </c>
      <c r="DL58">
        <f>IF(Nbal!CQ58&lt;&gt;"",Nbal!CQ58,DK58)</f>
        <v>14</v>
      </c>
      <c r="DM58">
        <f>VLOOKUP(R58,Afgr,Data!$AT$3)</f>
        <v>0</v>
      </c>
      <c r="DN58">
        <f>IF($AO58="FE",$AM58*$AP58*$DL58*0.01,$AM58*100*$DM58*0.01*DL58*0.01)</f>
        <v>487.19999999999993</v>
      </c>
      <c r="DO58">
        <f>IF(VLOOKUP(R58,Afgr,Data!$BO$3)=1,DN58,0)*Z58</f>
        <v>0</v>
      </c>
      <c r="DP58">
        <f>IF(ISERROR(DN58/VLOOKUP(R58,Afgr,Data!$AY$3)),0,DN58/VLOOKUP(R58,Afgr,Data!$AY$3))</f>
        <v>77.951999999999984</v>
      </c>
      <c r="DQ58">
        <f>DP58*Z58</f>
        <v>76.392959999999988</v>
      </c>
      <c r="DS58">
        <f>IF($AO58="FE",$AM58*$AP58*VLOOKUP($R58,Afgr,Data!$BC$3)*0.001,$AM58*100*$DM58*0.01*VLOOKUP($R58,Afgr,Data!$BC$3)*0.001)</f>
        <v>9.743999999999998</v>
      </c>
      <c r="DT58">
        <f>DS58*Z58</f>
        <v>9.5491199999999985</v>
      </c>
      <c r="DV58">
        <f>IF($AO58="FE",$AM58*$AP58*VLOOKUP($R58,Afgr,Data!$BF$3)*0.001,$AM58*100*$DM58*0.01*VLOOKUP($R58,Afgr,Data!$BF$3)*0.001)</f>
        <v>62.639999999999993</v>
      </c>
      <c r="DW58">
        <f>DV58*Z58</f>
        <v>61.387199999999993</v>
      </c>
      <c r="DY58">
        <f>IF(ISERROR(VLOOKUP(R58,Afgr,Data!$AZ$3)*DL58/DG58),0,VLOOKUP(R58,Afgr,Data!$AZ$3)*DL58/DG58)</f>
        <v>0</v>
      </c>
      <c r="DZ58">
        <f>VLOOKUP(R58,Afgr,Data!$AU$3)</f>
        <v>0</v>
      </c>
      <c r="EA58">
        <f>IF($S58=1,$BC58*$DZ58*0.01*DY58*0.01,0)</f>
        <v>0</v>
      </c>
      <c r="EB58">
        <f>EA58/6.25</f>
        <v>0</v>
      </c>
      <c r="EC58">
        <f>EB58*Z58</f>
        <v>0</v>
      </c>
      <c r="EE58">
        <f>IF($S58=1,$BC58*$DZ58*0.01*VLOOKUP($R58,Afgr,Data!$BD$3)*0.001,0)</f>
        <v>0</v>
      </c>
      <c r="EF58">
        <f>EE58*Z58</f>
        <v>0</v>
      </c>
      <c r="EH58">
        <f>IF($S58=1,$BC58*$DZ58*0.01*VLOOKUP($R58,Afgr,Data!$BG$3)*0.001,0)</f>
        <v>0</v>
      </c>
      <c r="EI58">
        <f>EH58*Z58</f>
        <v>0</v>
      </c>
      <c r="EK58">
        <f>VLOOKUP(T58,Efgr,Data!$AI$53)</f>
        <v>0</v>
      </c>
      <c r="EL58">
        <f>BX58*EK58*0.01/6.25</f>
        <v>0</v>
      </c>
      <c r="EM58">
        <f>EL58*Z58</f>
        <v>0</v>
      </c>
      <c r="EO58">
        <f>$BX58*VLOOKUP($T58,Efgr,Data!$AJ$53)*0.001</f>
        <v>0</v>
      </c>
      <c r="EP58">
        <f>EO58*Z58</f>
        <v>0</v>
      </c>
      <c r="ER58">
        <f>$BX58*VLOOKUP($T58,Efgr,Data!$AK$53)*0.001</f>
        <v>0</v>
      </c>
      <c r="ES58">
        <f>ER58*Z58</f>
        <v>0</v>
      </c>
      <c r="EU58">
        <f>IF(VLOOKUP(R58,Afgr,Data!$DS$3)=1,DP58*VLOOKUP(R58,Afgr,(Data!$DT$3+EftervirkningUdb1))*VLOOKUP(R58,Afgr,Data!$DV$3),0)</f>
        <v>0</v>
      </c>
      <c r="EV58">
        <f>IF(VLOOKUP(R58,Afgr,Data!$DS$3)=2,VLOOKUP(R58,Afgr,Data!$DX$3),0)</f>
        <v>0</v>
      </c>
      <c r="EW58">
        <f>IF(VLOOKUP(R58,Afgr,Data!$DS$3)=3,$DP58*VLOOKUP($R58,Afgr,IF(Jordtype1&lt;5,Data!$DT$3,Data!$DU$3))*VLOOKUP($R58,Afgr,Data!$DV$3),0)</f>
        <v>0</v>
      </c>
      <c r="EX58">
        <f>IF(VLOOKUP(R58,Afgr,Data!$DS$3)=4,(1.232+0.00469*AM58*100+(0.000256*AM58*100+0.089)*60),0)</f>
        <v>0</v>
      </c>
      <c r="EY58" s="211">
        <f>BZ58+CA58+CJ58+CK58</f>
        <v>0</v>
      </c>
      <c r="EZ58">
        <f>IF(VLOOKUP($R58,Afgr,Data!$DS$3)=5,($AM58*0.02742-$AM58*0.0001*$EY58+$AM58*0.0000001111*$EY58*$EY58),0)</f>
        <v>0</v>
      </c>
      <c r="FA58" s="2">
        <f>CB58+CL58</f>
        <v>0</v>
      </c>
      <c r="FB58">
        <f>IF(VLOOKUP($T58,Efgr,Data!$BH$53)=5,($BR58*0.02742-$BR58*0.0001*$FA58+$BR58*0.0000001111*$FA58*$FA58),0)</f>
        <v>0</v>
      </c>
      <c r="FC58" s="3">
        <f>EU58+EV58+EW58+EX58+EZ58+FB58</f>
        <v>0</v>
      </c>
      <c r="FD58" s="3">
        <f>FC58*Z58</f>
        <v>0</v>
      </c>
      <c r="FF58" s="211">
        <f>BZ58+CC58</f>
        <v>0</v>
      </c>
      <c r="FG58" s="211">
        <f>FF58*Z58</f>
        <v>0</v>
      </c>
      <c r="FH58" s="211">
        <f>CE58+CH58+CO58</f>
        <v>0</v>
      </c>
      <c r="FI58" s="211">
        <f>FH58*Z58</f>
        <v>0</v>
      </c>
      <c r="FJ58">
        <f>VLOOKUP($R58,Afgr,Data!$DK$3)*VLOOKUP($R58,Afgr,Data!$AT$3)*0.01*VLOOKUP($R58,Afgr,Data!$AW$3)*0.01/6.25</f>
        <v>0</v>
      </c>
      <c r="FK58">
        <f>FJ58*Z58</f>
        <v>0</v>
      </c>
      <c r="FL58" s="4">
        <f>IF(R58&gt;1,Deposition,0)</f>
        <v>15</v>
      </c>
      <c r="FM58" s="4">
        <f>FL58*Z58</f>
        <v>14.7</v>
      </c>
      <c r="FN58">
        <f>FC58</f>
        <v>0</v>
      </c>
      <c r="FO58">
        <f>FN58*Z58</f>
        <v>0</v>
      </c>
      <c r="FP58" s="211">
        <f>SUM(FF58,FH58,FJ58,FL58,FN58)</f>
        <v>15</v>
      </c>
      <c r="FQ58">
        <f>DP58+EB58+EL58</f>
        <v>77.951999999999984</v>
      </c>
      <c r="FR58" s="3">
        <f>FP58-FQ58</f>
        <v>-62.951999999999984</v>
      </c>
      <c r="FS58" s="19">
        <f>FP58*Z58</f>
        <v>14.7</v>
      </c>
      <c r="FT58" s="19">
        <f>FQ58*Z58</f>
        <v>76.392959999999988</v>
      </c>
      <c r="FU58" s="3">
        <f>FR58*Z58</f>
        <v>-61.692959999999985</v>
      </c>
      <c r="FW58">
        <f>CW58</f>
        <v>0</v>
      </c>
      <c r="FX58">
        <f>FW58*Z58</f>
        <v>0</v>
      </c>
      <c r="FY58">
        <f>IX58+MB58</f>
        <v>9.743999999999998</v>
      </c>
      <c r="FZ58">
        <f>FY58*Z58</f>
        <v>9.5491199999999985</v>
      </c>
      <c r="GA58">
        <f>FW58-FY58</f>
        <v>-9.743999999999998</v>
      </c>
      <c r="GB58">
        <f>GA58*Z58</f>
        <v>-9.5491199999999985</v>
      </c>
      <c r="GD58">
        <f>DE58</f>
        <v>0</v>
      </c>
      <c r="GE58">
        <f>GD58*Z58</f>
        <v>0</v>
      </c>
      <c r="GF58">
        <f>JE58+MH58</f>
        <v>62.639999999999993</v>
      </c>
      <c r="GG58">
        <f>GF58*Z58</f>
        <v>61.387199999999993</v>
      </c>
      <c r="GH58">
        <f>GD58-GF58</f>
        <v>-62.639999999999993</v>
      </c>
      <c r="GI58">
        <f>GH58*Z58</f>
        <v>-61.387199999999993</v>
      </c>
      <c r="GK58">
        <f>AA58</f>
        <v>4</v>
      </c>
      <c r="GL58" s="211">
        <f>FF58+FH58+FN58</f>
        <v>0</v>
      </c>
      <c r="GM58" s="211" t="str">
        <f>IF(R58=1,"",IF(GK58=1,GL58,""))</f>
        <v/>
      </c>
      <c r="GN58" s="211" t="str">
        <f>IF(R58=1,"",IF(GK58=2,GL58,""))</f>
        <v/>
      </c>
      <c r="GO58" s="211" t="str">
        <f>IF(R58=1,"",IF(GK58=3,GL58,""))</f>
        <v/>
      </c>
      <c r="GP58" s="211">
        <f>IF(R58=1,"",IF(GK58=4,GL58,""))</f>
        <v>0</v>
      </c>
      <c r="GQ58" s="149">
        <f>IF(OR(R58=1,VLOOKUP(R58,Afgr,Data!$BV$3)=1,VLOOKUP(R58,Afgr,Data!$BW$3)=1),0,IF(GK58=1,Nniveau1,IF(GK58=2,Nniveau2,IF(GK58=3,Nniveau3,IF(GK58=4,Nniveau4,GL58)))))</f>
        <v>0</v>
      </c>
      <c r="GR58" s="241">
        <v>0.32550000000000001</v>
      </c>
      <c r="GS58" s="6">
        <v>0</v>
      </c>
      <c r="GT58" s="149">
        <f>CC58+CM58</f>
        <v>0</v>
      </c>
      <c r="GU58" s="6">
        <f>$FN58</f>
        <v>0</v>
      </c>
      <c r="GV58" s="241">
        <v>0.25280000000000002</v>
      </c>
      <c r="GW58">
        <f>CO58</f>
        <v>0</v>
      </c>
      <c r="GX58" s="241">
        <v>0.376</v>
      </c>
      <c r="GY58" s="149">
        <f>CD58+CN58</f>
        <v>0</v>
      </c>
      <c r="GZ58" s="241">
        <f>IF(B58&gt;3,0.3539,1.0749)</f>
        <v>0.35389999999999999</v>
      </c>
      <c r="HA58" s="11">
        <f>$FQ58</f>
        <v>77.951999999999984</v>
      </c>
      <c r="HB58" s="241">
        <v>0.19359999999999999</v>
      </c>
      <c r="HC58" s="241">
        <f>VLOOKUP($R58,Afgr,Data!$DM$3)</f>
        <v>7</v>
      </c>
      <c r="HD58" s="24">
        <f>IF($HC58&gt;1,0,(VLOOKUP($X58,Afgr,Data!$DP$3)+IF(VLOOKUP($X58,Afgr,Data!$DP$3)=0,VLOOKUP($T58,Efgr,Data!$BI$53,0))))+IF(AND($HC58=7,VLOOKUP($X58,Afgr,Data!$DQ$3)=-2),-2,0)+IF(AND($HC58=6,VLOOKUP($T58,Efgr,Data!$BI$53)=2),8,0)</f>
        <v>0</v>
      </c>
      <c r="HE58" s="6">
        <f>VLOOKUP(SUM(HC58:HD58),Nlesafgr,3)</f>
        <v>-165.7</v>
      </c>
      <c r="HF58" s="7">
        <f>VLOOKUP($O58,Afgr,Data!$DN$3)</f>
        <v>4</v>
      </c>
      <c r="HG58" s="24">
        <f>IF(HF58&gt;1,0,VLOOKUP($R58,Afgr,Data!$DO$3)+IF(VLOOKUP($R58,Afgr,Data!$DO$3)=1,0,VLOOKUP($P58,Efgr,Data!$BJ$53)))</f>
        <v>0</v>
      </c>
      <c r="HH58" s="6">
        <f>VLOOKUP(SUM(HF58:HG58),Nlesforfrugt,3)</f>
        <v>34.700000000000003</v>
      </c>
      <c r="HI58" s="241">
        <f>GR58*GQ58+GV58*(GT58+GU58)+GX58*GW58+GZ58*GY58-HB58*HA58+HE58+HH58</f>
        <v>-146.09150719999997</v>
      </c>
      <c r="HJ58" s="241">
        <f>Nlesafskaering</f>
        <v>59.6</v>
      </c>
      <c r="HK58" s="241">
        <f>Teknologi1</f>
        <v>2455</v>
      </c>
      <c r="HL58" s="6">
        <v>2001</v>
      </c>
      <c r="HM58" s="241">
        <f>Teknologi2</f>
        <v>1962.2</v>
      </c>
      <c r="HN58" s="241">
        <f>Tandel</f>
        <v>0.54659999999999997</v>
      </c>
      <c r="HO58" s="241">
        <f>IF(OR(HI58&gt;0,HI58=0),HJ58+HK58/(HL58-HM58),HJ58+HK58/(HL58-HM58)+HN58*HI58)</f>
        <v>43.019578040768749</v>
      </c>
      <c r="HP58" s="241">
        <f>IF(HI58&gt;0,HI58,0.001)</f>
        <v>1E-3</v>
      </c>
      <c r="HQ58" s="241">
        <v>1.5020000000000001E-3</v>
      </c>
      <c r="HR58" s="24">
        <f>IF(R58=1,0,VLOOKUP(PostnrNbal,AfstromData,VLOOKUP($R58,Afgr,Data!$DL$3)+IF(Jordtype1&lt;7,Jordtype1,6),FALSE)-VLOOKUP(T58,Efgr,Data!$AA$53))</f>
        <v>272.32333333333298</v>
      </c>
      <c r="HS58" s="24">
        <f>IF(Nbal!GA58&lt;&gt;"",Nbal!GA58,Regn2!HR58)</f>
        <v>272.32333333333298</v>
      </c>
      <c r="HT58" s="241">
        <v>5.5400000000000002E-4</v>
      </c>
      <c r="HU58" s="24">
        <f>IF(R58=1,0,VLOOKUP(PostnrNbal,AfstromData,VLOOKUP($O58,Afgr,Data!$DL$3)+IF(B58&lt;7,B58,6),FALSE)-VLOOKUP(P58,Efgr,Data!$AA$53))</f>
        <v>272.32333333333298</v>
      </c>
      <c r="HV58" s="24">
        <f>IF(Nbal!FU58&lt;&gt;"",Nbal!FU58,Regn2!HU58)</f>
        <v>272.32333333333298</v>
      </c>
      <c r="HW58" s="241">
        <v>0.10639999999999999</v>
      </c>
      <c r="HX58" s="6">
        <f>VLOOKUP(B58,Jordtype,Data!$W$112)</f>
        <v>26</v>
      </c>
      <c r="HY58" s="241">
        <v>3.2500000000000001E-2</v>
      </c>
      <c r="HZ58" s="6">
        <f>VLOOKUP(B58,Jordtype,Data!$X$112)</f>
        <v>5</v>
      </c>
      <c r="IA58" s="241">
        <v>1.2453000000000001</v>
      </c>
      <c r="IB58" s="241">
        <f>IF(VLOOKUP(T58,Efgr,Data!$AO$53)=1,MlafgrNUdvask,0)</f>
        <v>0</v>
      </c>
      <c r="IC58" s="20">
        <f>IF(ISERROR((HO58+POWER(HP58,1.2))*(1-EXP(-HQ58*HS58))*EXP(-HT58*HV58)*EXP(-HW58*HX58)*EXP(-HY58*HZ58)*IA58),0,(HO58+POWER(HP58,1.2))*(1-EXP(-HQ58*HS58))*EXP(-HT58*HV58)*EXP(-HW58*HX58)*EXP(-HY58*HZ58)*IA58+IB58)</f>
        <v>0.82675191399633163</v>
      </c>
      <c r="ID58">
        <f>IC58*Z58</f>
        <v>0.81021687571640499</v>
      </c>
      <c r="IE58">
        <f>IF(Nbal!GF58&lt;&gt;"",Nbal!GF58,RetentionNbal)</f>
        <v>65</v>
      </c>
      <c r="IF58">
        <f>IC58*(100-IE58)*0.01</f>
        <v>0.28936316989871608</v>
      </c>
      <c r="IG58">
        <f>IF58*Z58</f>
        <v>0.28357590650074177</v>
      </c>
      <c r="IH58" s="2">
        <f>HS58*10000</f>
        <v>2723233.3333333298</v>
      </c>
      <c r="II58" s="2">
        <f>IH58*Z58</f>
        <v>2668768.6666666633</v>
      </c>
      <c r="IJ58">
        <f>IF(ISERROR(IC58*1000*1000/IH58),0,IC58*1000*1000/IH58)</f>
        <v>0.30359202198232471</v>
      </c>
      <c r="IL58">
        <f>AT58+AX58+BK58+BU58</f>
        <v>3600</v>
      </c>
      <c r="IO58">
        <f>VLOOKUP(R58,Afgr,Data!$AP$3)*UdsaedJust</f>
        <v>0</v>
      </c>
      <c r="IP58" s="3">
        <f>IF(Nbal!GN58&lt;&gt;"",Nbal!GN58,IO58)</f>
        <v>0</v>
      </c>
      <c r="IQ58" s="3">
        <f>IP58*Z58</f>
        <v>0</v>
      </c>
      <c r="IS58" s="3">
        <f>IF(HdgVaerdiNbal=1,(BZ58+CA58)*Npris,(BZ58+CA58+CJ58+CK58)*Npris)</f>
        <v>0</v>
      </c>
      <c r="IT58" s="3">
        <f>IS58*Z58</f>
        <v>0</v>
      </c>
      <c r="IV58">
        <f>VLOOKUP($R58,Afgr,Data!$BA$3)</f>
        <v>0</v>
      </c>
      <c r="IW58">
        <f>VLOOKUP($R58,Afgr,Data!$BB$3)</f>
        <v>0</v>
      </c>
      <c r="IX58">
        <f>$DS58+$EE58</f>
        <v>9.743999999999998</v>
      </c>
      <c r="IY58">
        <f>CT58</f>
        <v>0</v>
      </c>
      <c r="IZ58">
        <f>CQ58</f>
        <v>0</v>
      </c>
      <c r="JA58" s="3">
        <f>IF(HdgVaerdiNbal=1,(IZ58)*Ppris,(IY58+IZ58)*Ppris)</f>
        <v>0</v>
      </c>
      <c r="JB58" s="3">
        <f>JA58*Z58</f>
        <v>0</v>
      </c>
      <c r="JD58">
        <f>IF(AND(R58&gt;1,OR(Jordtype1=1,Jordtype1=3,Markvand1=2)),Kudvask,0)</f>
        <v>0</v>
      </c>
      <c r="JE58">
        <f>$DV58+$EH58</f>
        <v>62.639999999999993</v>
      </c>
      <c r="JF58">
        <f>DB58</f>
        <v>0</v>
      </c>
      <c r="JG58">
        <f>CY58</f>
        <v>0</v>
      </c>
      <c r="JH58" s="3">
        <f>IF(HdgVaerdiNbal=1,JG58*Kpris,(JF58+JG58)*Kpris)</f>
        <v>0</v>
      </c>
      <c r="JI58" s="3">
        <f>JH58*Z58</f>
        <v>0</v>
      </c>
      <c r="JK58">
        <f>IS58+JA58+JH58</f>
        <v>0</v>
      </c>
      <c r="JL58" s="3">
        <f>IF(Nbal!GT58&lt;&gt;"",Nbal!GT58,$JK58)</f>
        <v>0</v>
      </c>
      <c r="JM58" s="3">
        <f>JL58*Z58</f>
        <v>0</v>
      </c>
      <c r="JO58">
        <f>VLOOKUP(R58,Afgr,Data!$AQ$3)*PlantevJust</f>
        <v>0</v>
      </c>
      <c r="JP58" s="3">
        <f>IF(Nbal!GZ58&lt;&gt;"",Nbal!GZ58,JO58)</f>
        <v>0</v>
      </c>
      <c r="JQ58" s="3">
        <f>JP58*Z58</f>
        <v>0</v>
      </c>
      <c r="JS58">
        <f>VLOOKUP(R58,Afgr,Data!$AR$3)+AM58*VLOOKUP(R58,Afgr,Data!$BH$3)</f>
        <v>0</v>
      </c>
      <c r="JT58" s="3">
        <f>IF(Nbal!HF58&lt;&gt;"",Nbal!HF58,JS58)</f>
        <v>0</v>
      </c>
      <c r="JU58">
        <f>JT58*Z58</f>
        <v>0</v>
      </c>
      <c r="JW58">
        <f>IP58+JL58+JP58+JT58</f>
        <v>0</v>
      </c>
      <c r="JY58">
        <f>IF(VLOOKUP(R58,Afgr,Data!$BY$3)&gt;0,Data!$K$259*J58,0)</f>
        <v>0</v>
      </c>
      <c r="JZ58">
        <f>IF(VLOOKUP(R58,Afgr,Data!$BZ$3)&gt;0,Data!$K$260*J58,0)</f>
        <v>0</v>
      </c>
      <c r="KA58">
        <f>(JY58+JZ58)*MaskJust</f>
        <v>0</v>
      </c>
      <c r="KB58" s="3">
        <f>IF(Nbal!HL58&lt;&gt;"",Nbal!HL58,KA58)</f>
        <v>0</v>
      </c>
      <c r="KC58" s="3">
        <f>KB58*Z58</f>
        <v>0</v>
      </c>
      <c r="KE58">
        <f>IF(VLOOKUP(R58,Afgr,Data!$CA$3)&gt;0,VLOOKUP(R58,Afgr,Data!$CA$3)*Data!$K$261*K58,0)</f>
        <v>0</v>
      </c>
      <c r="KF58">
        <f>IF(VLOOKUP(R58,Afgr,Data!$CC$3)&gt;0,Data!$K$262*K58,0)</f>
        <v>0</v>
      </c>
      <c r="KG58">
        <f>IF(VLOOKUP(R58,Afgr,Data!$CD$3)&gt;0,VLOOKUP(R58,Afgr,Data!$CD$3)*Data!$K$263*K58,0)</f>
        <v>0</v>
      </c>
      <c r="KH58">
        <f>IF(VLOOKUP(R58,Afgr,Data!$CE$3)&gt;0,Data!$K$264*K58,0)</f>
        <v>0</v>
      </c>
      <c r="KI58">
        <f>IF(VLOOKUP(R58,Afgr,Data!$CF$3)&gt;0,Data!$K$265*K58,0)</f>
        <v>0</v>
      </c>
      <c r="KJ58">
        <f>IF(VLOOKUP(R58,Afgr,Data!$CV$3)&gt;0,Data!$K$266,0)</f>
        <v>0</v>
      </c>
      <c r="KK58">
        <f>IF(VLOOKUP(R58,Afgr,Data!$CG$3)&gt;0,Data!$K$267*K58,0)</f>
        <v>0</v>
      </c>
      <c r="KL58">
        <f>(KE58+KF58+KG58+KH58+KI58+KJ58+KK58)*MaskJust</f>
        <v>0</v>
      </c>
      <c r="KM58" s="3">
        <f>IF(Nbal!HR58&lt;&gt;"",Nbal!HR58,KL58)</f>
        <v>0</v>
      </c>
      <c r="KN58" s="3">
        <f>KM58*Z58</f>
        <v>0</v>
      </c>
      <c r="KP58">
        <f>IF(VLOOKUP(R58,Afgr,Data!$CJ$3)&gt;0,VLOOKUP(R58,Afgr,Data!$CJ$3)*Data!$K$268*K58,0)*MaskJust</f>
        <v>280</v>
      </c>
      <c r="KQ58" s="3">
        <f>IF(Nbal!HX58&lt;&gt;"",Nbal!HX58,KP58)</f>
        <v>280</v>
      </c>
      <c r="KR58" s="3">
        <f>KQ58*Z58</f>
        <v>274.39999999999998</v>
      </c>
      <c r="KT58">
        <f>IF(VLOOKUP(R58,Afgr,Data!$CI$3)&gt;0,VLOOKUP(R58,Afgr,Data!$CI$3)*Data!$K$269,0)*MaskJust</f>
        <v>0</v>
      </c>
      <c r="KU58" s="3">
        <f>IF(Nbal!ID58&lt;&gt;"",Nbal!ID58,KT58)</f>
        <v>0</v>
      </c>
      <c r="KV58" s="3">
        <f>KU58*Z58</f>
        <v>0</v>
      </c>
      <c r="KX58">
        <f>IF(C58=2,VLOOKUP($R58,Afgr,Data!$CY$3),0)</f>
        <v>0</v>
      </c>
      <c r="KY58">
        <f>IF(Nbal!IJ58&lt;&gt;"",Nbal!IJ58,$KX58)</f>
        <v>0</v>
      </c>
      <c r="KZ58">
        <f>IF(AND(R58&gt;1,C58=2),Vandmaskin+$KY58*Flytning/mmprgang+$KY58*Prisprmm,0)</f>
        <v>0</v>
      </c>
      <c r="LA58" s="3">
        <f>IF(Nbal!IP58&lt;&gt;"",Nbal!IP58,$KZ58)</f>
        <v>0</v>
      </c>
      <c r="LB58" s="3">
        <f>LA58*Z58</f>
        <v>0</v>
      </c>
      <c r="LD58">
        <f>IF(VLOOKUP($R58,Afgr,Data!$CK$3)&gt;0,((1+AM58/VLOOKUP($R58,Afgr,Data!$CK$3))/2)*VLOOKUP($R58,Afgr,Data!$CL$3)*VLOOKUP($R58,Afgr,Data!$CN$3)+VLOOKUP($R58,Afgr,Data!$CM$3),0)</f>
        <v>0</v>
      </c>
      <c r="LE58">
        <f>IF(VLOOKUP($R58,Afgr,Data!$CK$3)&gt;0,IF(AND($S58=2,$BA58&gt;0),Data!$K$271,0),0)</f>
        <v>0</v>
      </c>
      <c r="LF58">
        <f>IF(VLOOKUP($R58,Afgr,Data!$CK$3)&gt;0,(AM58/VLOOKUP($R58,Afgr,Data!$CK$3))*VLOOKUP($R58,Afgr,Data!$CO$3)*VLOOKUP($R58,Afgr,Data!$CN$3),0)</f>
        <v>0</v>
      </c>
      <c r="LG58">
        <f>(LD58+LE58+LF58)*MaskJust</f>
        <v>0</v>
      </c>
      <c r="LH58" s="3">
        <f>IF(Nbal!IV58&lt;&gt;"",Nbal!IV58,LG58)</f>
        <v>0</v>
      </c>
      <c r="LI58" s="3">
        <f>LH58*Z58</f>
        <v>0</v>
      </c>
      <c r="LJ58" s="3"/>
      <c r="LK58">
        <f>IF(AND($S58=1,VLOOKUP($R58,Afgr,Data!$CP$3)&gt;0),((1+$BC58/VLOOKUP($R58,Afgr,Data!$CP$3))/2)*VLOOKUP($R58,Afgr,Data!$CQ$3),0)</f>
        <v>0</v>
      </c>
      <c r="LL58">
        <f>IF(AND($S58=1,VLOOKUP($R58,Afgr,Data!$CP$3)&gt;0),($BC58/VLOOKUP($R58,Afgr,Data!$CP$3))*VLOOKUP($R58,Afgr,Data!$CR$3),0)</f>
        <v>0</v>
      </c>
      <c r="LM58">
        <f>(LK58+LL58)*MaskJust</f>
        <v>0</v>
      </c>
      <c r="LN58" s="3">
        <f>IF(Nbal!JB58&lt;&gt;"",Nbal!JB58,LM58)</f>
        <v>0</v>
      </c>
      <c r="LO58" s="3">
        <f>LN58*Z58</f>
        <v>0</v>
      </c>
      <c r="LQ58">
        <f>$AM58*VLOOKUP($R58,Afgr,Data!$CS$3)*IF($V58=1,VLOOKUP($R58,Afgr,Data!$CT$3),IF($V58=2,VLOOKUP($R58,Afgr,Data!$CU$3),0))</f>
        <v>0</v>
      </c>
      <c r="LR58" s="3">
        <f>IF(Nbal!JK58&lt;&gt;"",Nbal!JK58,LQ58)</f>
        <v>0</v>
      </c>
      <c r="LS58" s="3">
        <f>LR58*Z58</f>
        <v>0</v>
      </c>
      <c r="LU58">
        <f>VLOOKUP($T58,Efgr,Data!$AC$53)*UdsaedJust</f>
        <v>0</v>
      </c>
      <c r="LV58" s="3">
        <f>IF(Nbal!$JS58&lt;&gt;"",Nbal!$JS58,LU58)</f>
        <v>0</v>
      </c>
      <c r="LW58" s="3">
        <f>LV58*Z58</f>
        <v>0</v>
      </c>
      <c r="LY58" s="3">
        <f>IF(HdgVaerdiNbal=1,(CB58)*Npris,(CB58+CL58)*Npris)</f>
        <v>0</v>
      </c>
      <c r="LZ58" s="3">
        <f>LY58*Z58</f>
        <v>0</v>
      </c>
      <c r="MB58">
        <f>$EO58</f>
        <v>0</v>
      </c>
      <c r="MC58">
        <f>CU58</f>
        <v>0</v>
      </c>
      <c r="MD58">
        <f>CR58</f>
        <v>0</v>
      </c>
      <c r="ME58" s="3">
        <f>IF(HdgVaerdiNbal=1,MD58*Ppris,(MC58+MD58)*Ppris)</f>
        <v>0</v>
      </c>
      <c r="MF58" s="3">
        <f>ME58*Z58</f>
        <v>0</v>
      </c>
      <c r="MH58">
        <f>$ER58</f>
        <v>0</v>
      </c>
      <c r="MI58">
        <f>DC58</f>
        <v>0</v>
      </c>
      <c r="MJ58">
        <f>CZ58</f>
        <v>0</v>
      </c>
      <c r="MK58" s="3">
        <f>IF(HdgVaerdiNbal=1,MJ58*Ppris,(MI58+MJ58)*Ppris)</f>
        <v>0</v>
      </c>
      <c r="ML58" s="3">
        <f>MK58*Z58</f>
        <v>0</v>
      </c>
      <c r="MN58">
        <f>LY58+ME58+MK58</f>
        <v>0</v>
      </c>
      <c r="MO58" s="3">
        <f>IF(Nbal!JY58&lt;&gt;"",Nbal!JY58,$MN58)</f>
        <v>0</v>
      </c>
      <c r="MP58" s="3">
        <f>MO58*Z58</f>
        <v>0</v>
      </c>
      <c r="MR58">
        <f>VLOOKUP($T58,Efgr,Data!$AE$53)*PlantevJust</f>
        <v>0</v>
      </c>
      <c r="MS58" s="3">
        <f>IF(Nbal!KE58&lt;&gt;"",Nbal!KE58,MR58)</f>
        <v>0</v>
      </c>
      <c r="MT58" s="3">
        <f>MS58*Z58</f>
        <v>0</v>
      </c>
      <c r="MV58">
        <f>VLOOKUP($T58,Efgr,Data!$AF$53)+$BR58*VLOOKUP($T58,Efgr,Data!$AL$53)</f>
        <v>0</v>
      </c>
      <c r="MW58" s="3">
        <f>IF(Nbal!KK58&lt;&gt;"",Nbal!KK58,MV58)</f>
        <v>0</v>
      </c>
      <c r="MX58" s="3">
        <f>MW58*Z58</f>
        <v>0</v>
      </c>
      <c r="MZ58">
        <f>LV58+MO58+MS58+MW58</f>
        <v>0</v>
      </c>
      <c r="NB58">
        <f>VLOOKUP($T58,Efgr,Data!$AU$53)*K58*MaskJust</f>
        <v>0</v>
      </c>
      <c r="NC58" s="3">
        <f>IF(Nbal!KQ58&lt;&gt;"",Nbal!KQ58,NB58)</f>
        <v>0</v>
      </c>
      <c r="ND58" s="3">
        <f>NC58*Z58</f>
        <v>0</v>
      </c>
      <c r="NF58">
        <f>VLOOKUP($T58,Efgr,Data!$AW$53)*Data!$K$268*K58*MaskJust</f>
        <v>0</v>
      </c>
      <c r="NG58" s="3">
        <f>IF(Nbal!KW58&lt;&gt;"",Nbal!KW58,NF58)</f>
        <v>0</v>
      </c>
      <c r="NH58" s="3">
        <f>NG58*Z58</f>
        <v>0</v>
      </c>
      <c r="NJ58">
        <f>VLOOKUP($T58,Efgr,Data!$AV$53)*Data!$K$269*MaskJust</f>
        <v>0</v>
      </c>
      <c r="NK58" s="3">
        <f>IF(Nbal!LC58&lt;&gt;"",Nbal!LC58,NJ58)</f>
        <v>0</v>
      </c>
      <c r="NL58" s="3">
        <f>NK58*Z58</f>
        <v>0</v>
      </c>
      <c r="NN58">
        <f>IF(C58=2,VLOOKUP($T58,Efgr,Data!$BC$53),0)</f>
        <v>0</v>
      </c>
      <c r="NO58">
        <f>IF(Nbal!LI58&lt;&gt;"",Nbal!LI58,$NN58)</f>
        <v>0</v>
      </c>
      <c r="NP58">
        <f>IF(C58=2,$NO58*Flytning/mmprgang+$NO58*Prisprmm,0)</f>
        <v>0</v>
      </c>
      <c r="NQ58" s="3">
        <f>IF(Nbal!LO58&lt;&gt;"",Nbal!LO58,$NP58)</f>
        <v>0</v>
      </c>
      <c r="NR58" s="3">
        <f>NQ58*Z58</f>
        <v>0</v>
      </c>
      <c r="NT58">
        <f>IF(VLOOKUP($T58,Efgr,Data!$AX$53)&gt;0,((1+BR58/VLOOKUP($T58,Efgr,Data!$AX$53))/2)*VLOOKUP($T58,Efgr,Data!$AY$53)*VLOOKUP($T58,Efgr,Data!$BA$53)+VLOOKUP($T58,Efgr,Data!$AZ$53),0)</f>
        <v>0</v>
      </c>
      <c r="NU58">
        <f>IF(VLOOKUP($T58,Efgr,Data!$AX$53)&gt;0,($BR58/VLOOKUP($T58,Efgr,Data!$AX$53))*VLOOKUP($T58,Efgr,Data!$BB$53)*VLOOKUP($T58,Efgr,Data!$BA$53),0)</f>
        <v>0</v>
      </c>
      <c r="NV58">
        <f>(NT58+NU58)*MaskJust</f>
        <v>0</v>
      </c>
      <c r="NW58" s="3">
        <f>IF(Nbal!LU58&lt;&gt;"",Nbal!LU58,NV58)</f>
        <v>0</v>
      </c>
      <c r="NX58" s="3">
        <f>NW58*Z58</f>
        <v>0</v>
      </c>
      <c r="NZ58">
        <f>IF($U58=2,Data!$K$304,IF($U58=3,Data!$K$305,0))*MaskJust</f>
        <v>0</v>
      </c>
      <c r="OA58" s="3">
        <f>IF(Nbal!MA58&lt;&gt;"",Nbal!MA58,NZ58)</f>
        <v>0</v>
      </c>
      <c r="OB58" s="3">
        <f>OA58*Z58</f>
        <v>0</v>
      </c>
      <c r="OD58">
        <f>IL58</f>
        <v>3600</v>
      </c>
      <c r="OE58">
        <f>JW58+MZ58</f>
        <v>0</v>
      </c>
      <c r="OF58">
        <f>OD58-OE58</f>
        <v>3600</v>
      </c>
      <c r="OG58">
        <f>OF58*Z58</f>
        <v>3528</v>
      </c>
      <c r="OJ58">
        <f>VLOOKUP($O58,Afgr,Data!$BP$3)+VLOOKUP($P58,Efgr,Data!$AM$53)</f>
        <v>0</v>
      </c>
      <c r="OK58" s="3">
        <f>OJ58*Z58</f>
        <v>0</v>
      </c>
      <c r="OL58">
        <f>VLOOKUP($R58,Afgr,Data!$BP$3)+VLOOKUP($T58,Efgr,Data!$AM$53)</f>
        <v>0</v>
      </c>
      <c r="OM58" s="3">
        <f>OL58*Z58</f>
        <v>0</v>
      </c>
      <c r="OO58">
        <f>VLOOKUP($P58,Efgr,Data!$AN$53)</f>
        <v>0</v>
      </c>
      <c r="OP58">
        <f>VLOOKUP($O58,Afgr,Data!$BQ$3)</f>
        <v>0</v>
      </c>
      <c r="OQ58">
        <f>VLOOKUP($R58,Afgr,Data!$BR$3)</f>
        <v>0</v>
      </c>
      <c r="OR58">
        <f>OO58*OP58*OQ58</f>
        <v>0</v>
      </c>
      <c r="OS58" s="3">
        <f>OR58*Z58</f>
        <v>0</v>
      </c>
      <c r="OT58" s="3">
        <f>IF(Q58,1,0)*OS58</f>
        <v>0</v>
      </c>
      <c r="OV58">
        <f>VLOOKUP($T58,Efgr,Data!$AN$53)</f>
        <v>0</v>
      </c>
      <c r="OW58">
        <f>VLOOKUP($R58,Afgr,Data!$BQ$3)</f>
        <v>0</v>
      </c>
      <c r="OX58">
        <f>VLOOKUP($X58,Afgr,Data!$BR$3)</f>
        <v>0</v>
      </c>
      <c r="OY58">
        <f>OV58*OW58*OX58</f>
        <v>0</v>
      </c>
      <c r="OZ58" s="3">
        <f>OY58*Z58</f>
        <v>0</v>
      </c>
      <c r="PB58">
        <f>VLOOKUP($T58,Efgr,Data!$AO$53)</f>
        <v>0</v>
      </c>
      <c r="PC58">
        <f>VLOOKUP($O58,Afgr,Data!$BQ$3)</f>
        <v>0</v>
      </c>
      <c r="PD58">
        <f>VLOOKUP($R58,Afgr,Data!$BS$3)</f>
        <v>0</v>
      </c>
      <c r="PE58" s="3">
        <f>PB58*PC58*PD58*$Z58</f>
        <v>0</v>
      </c>
      <c r="PG58">
        <f>VLOOKUP($T58,Efgr,Data!$AO$53)</f>
        <v>0</v>
      </c>
      <c r="PH58">
        <f>VLOOKUP($R58,Afgr,Data!$BQ$3)</f>
        <v>0</v>
      </c>
      <c r="PI58">
        <f>VLOOKUP($X58,Afgr,Data!$BS$3)</f>
        <v>0</v>
      </c>
      <c r="PJ58" s="3">
        <f>PG58*PH58*PI58*$Z58</f>
        <v>0</v>
      </c>
      <c r="PK58" s="3"/>
      <c r="PL58" s="3">
        <f>VLOOKUP($O58,Afgr,Data!$BU$3)</f>
        <v>0</v>
      </c>
      <c r="PM58" s="3">
        <f>PL58*Z58</f>
        <v>0</v>
      </c>
      <c r="PN58" s="3">
        <f>VLOOKUP($R58,Afgr,Data!$BU$3)</f>
        <v>0</v>
      </c>
      <c r="PO58" s="3">
        <f>PN58*Z58</f>
        <v>0</v>
      </c>
      <c r="PQ58">
        <f>VLOOKUP(R58,Afgr,Data!$BX$3)+VLOOKUP(T58,Efgr,Data!$AQ$53)</f>
        <v>1</v>
      </c>
      <c r="PR58">
        <f>IF(PQ58&gt;0,Z58,0)</f>
        <v>0.98</v>
      </c>
      <c r="PT58">
        <f>VLOOKUP($O58,Afgr,Data!$BT$3)</f>
        <v>1</v>
      </c>
      <c r="PU58" s="3">
        <f>PT58*Z58</f>
        <v>0.98</v>
      </c>
      <c r="PV58">
        <f>VLOOKUP($R58,Afgr,Data!$BT$3)</f>
        <v>1</v>
      </c>
      <c r="PW58" s="3">
        <f>PV58*Z58</f>
        <v>0.98</v>
      </c>
      <c r="PY58">
        <f>VLOOKUP($R58,Afgr,Data!$BV$3)</f>
        <v>0</v>
      </c>
      <c r="PZ58">
        <f>PY58*Z58</f>
        <v>0</v>
      </c>
      <c r="QB58">
        <f>VLOOKUP($R58,Afgr,Data!$BW$3)</f>
        <v>0</v>
      </c>
      <c r="QC58">
        <f>QB58*Z58</f>
        <v>0</v>
      </c>
      <c r="QE58">
        <f>AM58*IF(VLOOKUP($R58,Afgr,Data!$BJ$3)&gt;0,1,0)</f>
        <v>0</v>
      </c>
      <c r="QF58">
        <f>QE58*Z58</f>
        <v>0</v>
      </c>
      <c r="QH58">
        <f>AM58*VLOOKUP(R58,Afgr,Data!$BK$3)</f>
        <v>0</v>
      </c>
      <c r="QI58">
        <f>Z58*QH58</f>
        <v>0</v>
      </c>
      <c r="QJ58">
        <f>$AM58*VLOOKUP($R58,Afgr,Data!$BL$3)+$BR58*VLOOKUP($T58,Efgr,Data!$AP$53)</f>
        <v>3000</v>
      </c>
      <c r="QK58">
        <f>QJ58*Z58</f>
        <v>2940</v>
      </c>
      <c r="QL58">
        <f>$AM58*VLOOKUP($R58,Afgr,Data!$BM$3)</f>
        <v>0</v>
      </c>
      <c r="QM58">
        <f>QL58*Z58</f>
        <v>0</v>
      </c>
      <c r="QN58">
        <f>$AM58*VLOOKUP($R58,Afgr,Data!$BN$3)</f>
        <v>0</v>
      </c>
      <c r="QO58">
        <f>QN58*Z58</f>
        <v>0</v>
      </c>
      <c r="QR58">
        <f>IF(VLOOKUP($R58,Afgr,Data!$DA$3)="Vårbyg",$AN58,0)*VLOOKUP($R58,Afgr,Data!$BJ$3)</f>
        <v>0</v>
      </c>
      <c r="QS58">
        <f>IF(VLOOKUP($R58,Afgr,Data!$DA$3)="Vinterbyg",$AN58,0)*VLOOKUP($R58,Afgr,Data!$BJ$3)</f>
        <v>0</v>
      </c>
      <c r="QT58">
        <f>IF(VLOOKUP($R58,Afgr,Data!$DA$3)="Havre",$AN58,0)*VLOOKUP($R58,Afgr,Data!$BJ$3)</f>
        <v>0</v>
      </c>
      <c r="QU58">
        <f>IF(VLOOKUP($R58,Afgr,Data!$DA$3)="Hvede",$AN58,0)*VLOOKUP($R58,Afgr,Data!$BJ$3)</f>
        <v>0</v>
      </c>
      <c r="QV58">
        <f>IF(VLOOKUP($R58,Afgr,Data!$DA$3)="Triticale",$AN58,0)*VLOOKUP($R58,Afgr,Data!$BJ$3)</f>
        <v>0</v>
      </c>
      <c r="QW58">
        <f>IF(VLOOKUP($R58,Afgr,Data!$DA$3)="Rug",$AN58,0)*VLOOKUP($R58,Afgr,Data!$BJ$3)</f>
        <v>0</v>
      </c>
      <c r="QX58">
        <f>IF(VLOOKUP($R58,Afgr,Data!$DA$3)="Majs",$AN58,0)*VLOOKUP($R58,Afgr,Data!$BJ$3)</f>
        <v>0</v>
      </c>
      <c r="RA58">
        <f>IF(OV58+PB58&gt;0,1,0)</f>
        <v>0</v>
      </c>
      <c r="RB58">
        <f>RA58*LW58</f>
        <v>0</v>
      </c>
      <c r="RC58">
        <f>RA58*MT58</f>
        <v>0</v>
      </c>
      <c r="RD58">
        <f>ND58</f>
        <v>0</v>
      </c>
      <c r="RE58">
        <f>RA58*OB58</f>
        <v>0</v>
      </c>
      <c r="RH58">
        <f>VLOOKUP(B58,Jordtype,Data!$Y$112+DenitNr-1)</f>
        <v>0</v>
      </c>
      <c r="RI58">
        <f>FF58*VLOOKUP(B58,Jordtype,Data!$AB$112+DenitNr-1)</f>
        <v>0</v>
      </c>
      <c r="RJ58">
        <f>((CJ58+CK58+CL58+Regn2!CO58*0.7)-(RR58+RT58))*VLOOKUP(B58,Jordtype,Data!$AE$112+DenitNr-1)</f>
        <v>0</v>
      </c>
      <c r="RK58">
        <f>0*VLOOKUP(B58,Jordtype,Data!$AE$112+DenitNr-1)</f>
        <v>0</v>
      </c>
      <c r="RL58">
        <f>Regn2!FD58*VLOOKUP(B58,Jordtype,Data!$AH$112+DenitNr-1)</f>
        <v>0</v>
      </c>
      <c r="RM58" s="3">
        <f>RH58+RI58+RJ58+RK58+RL58</f>
        <v>0</v>
      </c>
      <c r="RO58">
        <v>2</v>
      </c>
      <c r="RP58">
        <f>(FF58)*RO58*0.01</f>
        <v>0</v>
      </c>
      <c r="RQ58">
        <v>7</v>
      </c>
      <c r="RR58">
        <f>CE58*RQ58*0.01</f>
        <v>0</v>
      </c>
      <c r="RS58">
        <v>7</v>
      </c>
      <c r="RT58">
        <f>(Regn2!CF58+Regn2!CG58)*RS58*0.01</f>
        <v>0</v>
      </c>
      <c r="RW58">
        <f>VLOOKUP(R58,Afgr,Data!$EE$3)</f>
        <v>0</v>
      </c>
      <c r="RX58" s="3">
        <f>RP58+RR58+RT58+RV58+RW58</f>
        <v>0</v>
      </c>
    </row>
    <row r="60" spans="1:492" x14ac:dyDescent="0.25">
      <c r="A60" s="214" t="str">
        <f>Nbal!B60</f>
        <v>23-0</v>
      </c>
      <c r="B60">
        <v>11</v>
      </c>
      <c r="C60">
        <v>1</v>
      </c>
      <c r="D60">
        <f>IF(C60=1,VLOOKUP(B60,Jordtype,Data!$K$112),VLOOKUP(B60,Jordtype,Data!$L$112))</f>
        <v>7</v>
      </c>
      <c r="E60">
        <f>IF(C60=1,VLOOKUP(B60,Jordtype,Data!$M$112),VLOOKUP(B60,Jordtype,Data!$N$112))</f>
        <v>12</v>
      </c>
      <c r="F60">
        <f>IF(OR(B60=1,B60=3),0,IF(OR(B60=2,B60=4),1,IF(OR(B60=5,B60=6),2,3)))</f>
        <v>3</v>
      </c>
      <c r="G60">
        <f>IF(C60=1,VLOOKUP(B60,Jordtype,Data!$Q$112),VLOOKUP(B60,Jordtype,Data!$R$112))</f>
        <v>23</v>
      </c>
      <c r="H60">
        <f>IF(C60=1,VLOOKUP(B60,Jordtype,Data!$O$112),VLOOKUP(B60,Jordtype,Data!$P$112))</f>
        <v>17</v>
      </c>
      <c r="I60">
        <f>IF(B60&lt;5,0,1)</f>
        <v>1</v>
      </c>
      <c r="J60">
        <f>IF(B60&lt;5,PlojJB,1)</f>
        <v>1</v>
      </c>
      <c r="K60">
        <f>IF(B60&lt;5,SaaJB,1)</f>
        <v>1</v>
      </c>
      <c r="L60">
        <f>IF(C60=1,VLOOKUP(B60,Jordtype,Data!$S$112),VLOOKUP(B60,Jordtype,Data!$T$112))</f>
        <v>6</v>
      </c>
      <c r="M60">
        <f>IF(C60=1,VLOOKUP(B60,Jordtype,Data!$U$112),VLOOKUP(B60,Jordtype,Data!$V$112))</f>
        <v>11</v>
      </c>
      <c r="O60">
        <v>19</v>
      </c>
      <c r="P60">
        <v>1</v>
      </c>
      <c r="Q60" t="b">
        <v>0</v>
      </c>
      <c r="R60">
        <v>19</v>
      </c>
      <c r="S60">
        <v>1</v>
      </c>
      <c r="T60">
        <v>1</v>
      </c>
      <c r="U60">
        <v>1</v>
      </c>
      <c r="V60">
        <v>1</v>
      </c>
      <c r="X60">
        <v>19</v>
      </c>
      <c r="Z60">
        <f>Nbal!AG60</f>
        <v>1.34</v>
      </c>
      <c r="AA60">
        <v>1</v>
      </c>
      <c r="AB60">
        <f>VLOOKUP($R60,Afgr,G60)</f>
        <v>321</v>
      </c>
      <c r="AC60">
        <f>VLOOKUP($O60,Afgr,Data!$AI$3)*VLOOKUP(R60,Afgr,Data!$AJ$3)</f>
        <v>0</v>
      </c>
      <c r="AD60">
        <f>IF($Q60,0,VLOOKUP($P60,Efgr,(Data!$W$53+$V$6-1)))</f>
        <v>0</v>
      </c>
      <c r="AE60">
        <f>AB60-AC60-AD60</f>
        <v>321</v>
      </c>
      <c r="AF60">
        <f>AE60*Z60</f>
        <v>430.14000000000004</v>
      </c>
      <c r="AH60">
        <f>VLOOKUP(R60,Afgr,D60)</f>
        <v>7100</v>
      </c>
      <c r="AI60">
        <f>VLOOKUP(O60,Afgr,Data!$AL$3)*VLOOKUP(R60,Afgr,E60)</f>
        <v>0</v>
      </c>
      <c r="AJ60">
        <f>VLOOKUP(P60,Efgr,(Data!$Y$53+I60))</f>
        <v>0</v>
      </c>
      <c r="AK60">
        <f>AH60+AI60+AJ60</f>
        <v>7100</v>
      </c>
      <c r="AL60">
        <f>AH60+AI60+AJ60</f>
        <v>7100</v>
      </c>
      <c r="AM60" s="3">
        <f>IF(Nbal!CK60&lt;&gt;"",Nbal!CK60,AL60)</f>
        <v>7100</v>
      </c>
      <c r="AN60">
        <f>AM60*Z60</f>
        <v>9514</v>
      </c>
      <c r="AO60" t="str">
        <f>VLOOKUP(R60,Afgr,3)</f>
        <v>FE</v>
      </c>
      <c r="AP60">
        <f>IF(AO60="FE",VLOOKUP($R60,Afgr,Data!$AV$3),0)</f>
        <v>1.24</v>
      </c>
      <c r="AR60">
        <f>VLOOKUP(R60,Afgr,4)</f>
        <v>1.2</v>
      </c>
      <c r="AS60" s="3">
        <f>IF(Nbal!CW60&lt;&gt;"",Nbal!CW60,AR60)</f>
        <v>1.2</v>
      </c>
      <c r="AT60" s="3">
        <f>AM60*AS60</f>
        <v>8520</v>
      </c>
      <c r="AU60" s="3">
        <f>AN60*AS60</f>
        <v>11416.8</v>
      </c>
      <c r="AW60">
        <f>VLOOKUP(R60,Afgr,Data!$AN$3)</f>
        <v>0</v>
      </c>
      <c r="AX60" s="3">
        <f>IF(Nbal!DC60&lt;&gt;"",Nbal!DC60,AW60)</f>
        <v>0</v>
      </c>
      <c r="AY60" s="3">
        <f>AX60*Z60</f>
        <v>0</v>
      </c>
      <c r="BA60">
        <f>VLOOKUP(R60,Afgr,H60)</f>
        <v>0</v>
      </c>
      <c r="BB60">
        <f>IF(ISERROR(BA60*AM60/AK60),0,(BA60*AM60/AK60))</f>
        <v>0</v>
      </c>
      <c r="BC60" s="3">
        <f>IF(Nbal!DI60&lt;&gt;"",Nbal!DI60,BB60)</f>
        <v>0</v>
      </c>
      <c r="BD60">
        <f>BC60*Z60</f>
        <v>0</v>
      </c>
      <c r="BG60">
        <f>IF($S60=1,BC60,0)</f>
        <v>0</v>
      </c>
      <c r="BH60">
        <f>IF($S60=1,BD60,0)</f>
        <v>0</v>
      </c>
      <c r="BI60">
        <f>VLOOKUP(R60,Afgr,Data!$AM$3)</f>
        <v>0</v>
      </c>
      <c r="BJ60">
        <f>IF(Nbal!DR60&lt;&gt;"",Nbal!DR60,BI60)</f>
        <v>0</v>
      </c>
      <c r="BK60">
        <f>BG60*BJ60</f>
        <v>0</v>
      </c>
      <c r="BL60">
        <f>BH60*BJ60</f>
        <v>0</v>
      </c>
      <c r="BN60">
        <f>VLOOKUP($T60,Efgr,M60)</f>
        <v>0</v>
      </c>
      <c r="BO60">
        <f>BN60*Z60</f>
        <v>0</v>
      </c>
      <c r="BQ60">
        <f>VLOOKUP(T60,Efgr,NormudbKolonneNrEfgr1)</f>
        <v>0</v>
      </c>
      <c r="BR60" s="3">
        <f>IF(Nbal!FE60&lt;&gt;"",Nbal!FE60,BQ60)</f>
        <v>0</v>
      </c>
      <c r="BS60">
        <f>BR60*Z60</f>
        <v>0</v>
      </c>
      <c r="BT60" t="s">
        <v>37</v>
      </c>
      <c r="BU60">
        <f>BR60*Efterslaetpris</f>
        <v>0</v>
      </c>
      <c r="BV60">
        <f>BS60*Efterslaetpris</f>
        <v>0</v>
      </c>
      <c r="BW60">
        <f>VLOOKUP(T60,Efgr,Data!$AG$53)</f>
        <v>0</v>
      </c>
      <c r="BX60">
        <f>BR60*BW60</f>
        <v>0</v>
      </c>
      <c r="BZ60">
        <f>Nbal!AQ60</f>
        <v>0</v>
      </c>
      <c r="CA60" s="211">
        <f>Nbal!AT60</f>
        <v>0</v>
      </c>
      <c r="CB60" s="2">
        <f>Nbal!DZ60</f>
        <v>0</v>
      </c>
      <c r="CC60" s="211">
        <f>Nbal!AT60+Nbal!DZ60</f>
        <v>0</v>
      </c>
      <c r="CD60" s="211">
        <f>Nbal!AX60</f>
        <v>0</v>
      </c>
      <c r="CE60">
        <f>Nbal!BH60</f>
        <v>0</v>
      </c>
      <c r="CF60" s="211">
        <f>Nbal!BM60</f>
        <v>0</v>
      </c>
      <c r="CG60" s="2">
        <f>Nbal!EI60</f>
        <v>0</v>
      </c>
      <c r="CH60" s="211">
        <f>Nbal!BM60+Nbal!EI60</f>
        <v>0</v>
      </c>
      <c r="CI60" s="211">
        <f>Nbal!BW60</f>
        <v>0</v>
      </c>
      <c r="CJ60" s="211">
        <f>Nbal!BH60*Nbal!BJ60*0.01</f>
        <v>0</v>
      </c>
      <c r="CK60" s="211">
        <f>(Nbal!BM60*Nbal!BP60*0.01)</f>
        <v>0</v>
      </c>
      <c r="CL60" s="211">
        <f>(Nbal!EI60*Nbal!EL60*0.01)</f>
        <v>0</v>
      </c>
      <c r="CM60" s="211">
        <f>(Nbal!BM60*Nbal!BP60*0.01)+(Nbal!EI60*Nbal!EL60*0.01)</f>
        <v>0</v>
      </c>
      <c r="CN60" s="211">
        <f>Nbal!BW60*Nbal!BY60*0.01</f>
        <v>0</v>
      </c>
      <c r="CO60">
        <f>Nbal!BT60+Nbal!ER60</f>
        <v>0</v>
      </c>
      <c r="CQ60">
        <f>Nbal!BA60</f>
        <v>0</v>
      </c>
      <c r="CR60">
        <f>Nbal!EC60</f>
        <v>0</v>
      </c>
      <c r="CS60">
        <f>(CQ60+CR60)*Z60</f>
        <v>0</v>
      </c>
      <c r="CT60">
        <f>Nbal!CB60</f>
        <v>0</v>
      </c>
      <c r="CU60">
        <f>Nbal!EV60</f>
        <v>0</v>
      </c>
      <c r="CV60">
        <f>(CT60+CU60)*Z60</f>
        <v>0</v>
      </c>
      <c r="CW60">
        <f>Nbal!BA60+Nbal!CB60+Nbal!EC60+Nbal!EV60</f>
        <v>0</v>
      </c>
      <c r="CY60">
        <f>Nbal!BD60</f>
        <v>0</v>
      </c>
      <c r="CZ60">
        <f>Nbal!EF60</f>
        <v>0</v>
      </c>
      <c r="DA60">
        <f>(CY60+CZ60)*Z60</f>
        <v>0</v>
      </c>
      <c r="DB60">
        <f>Nbal!CE60</f>
        <v>0</v>
      </c>
      <c r="DC60">
        <f>Nbal!EY60</f>
        <v>0</v>
      </c>
      <c r="DD60">
        <f>(DB60+DC60)*Z60</f>
        <v>0</v>
      </c>
      <c r="DE60">
        <f>Nbal!BD60+Nbal!CE60+Nbal!EF60+Nbal!EY60</f>
        <v>0</v>
      </c>
      <c r="DG60">
        <f>VLOOKUP($R60,Afgr,Data!$AW$3)</f>
        <v>16.3125</v>
      </c>
      <c r="DH60">
        <f>IF($AO60="FE",$AM60*$AP60*$DG60*0.01,$AM60*100*$DM60*0.01*$DG60*0.01)</f>
        <v>1436.1524999999999</v>
      </c>
      <c r="DI60">
        <f>IF(VLOOKUP(R60,Afgr,Data!$BO$3)=1,DH60,0)*Z60</f>
        <v>0</v>
      </c>
      <c r="DJ60" s="12">
        <f>(BZ60+CC60+CJ60-AE60)*VLOOKUP($R60,Afgr,Data!$AX$3)</f>
        <v>0</v>
      </c>
      <c r="DK60">
        <f>DG60+DJ60</f>
        <v>16.3125</v>
      </c>
      <c r="DL60">
        <f>IF(Nbal!CQ60&lt;&gt;"",Nbal!CQ60,DK60)</f>
        <v>16.3125</v>
      </c>
      <c r="DM60">
        <f>VLOOKUP(R60,Afgr,Data!$AT$3)</f>
        <v>0</v>
      </c>
      <c r="DN60">
        <f>IF($AO60="FE",$AM60*$AP60*$DL60*0.01,$AM60*100*$DM60*0.01*DL60*0.01)</f>
        <v>1436.1524999999999</v>
      </c>
      <c r="DO60">
        <f>IF(VLOOKUP(R60,Afgr,Data!$BO$3)=1,DN60,0)*Z60</f>
        <v>0</v>
      </c>
      <c r="DP60">
        <f>IF(ISERROR(DN60/VLOOKUP(R60,Afgr,Data!$AY$3)),0,DN60/VLOOKUP(R60,Afgr,Data!$AY$3))</f>
        <v>229.78439999999998</v>
      </c>
      <c r="DQ60">
        <f>DP60*Z60</f>
        <v>307.91109599999999</v>
      </c>
      <c r="DS60">
        <f>IF($AO60="FE",$AM60*$AP60*VLOOKUP($R60,Afgr,Data!$BC$3)*0.001,$AM60*100*$DM60*0.01*VLOOKUP($R60,Afgr,Data!$BC$3)*0.001)</f>
        <v>32.574800000000003</v>
      </c>
      <c r="DT60">
        <f>DS60*Z60</f>
        <v>43.65023200000001</v>
      </c>
      <c r="DV60">
        <f>IF($AO60="FE",$AM60*$AP60*VLOOKUP($R60,Afgr,Data!$BF$3)*0.001,$AM60*100*$DM60*0.01*VLOOKUP($R60,Afgr,Data!$BF$3)*0.001)</f>
        <v>255.316</v>
      </c>
      <c r="DW60">
        <f>DV60*Z60</f>
        <v>342.12344000000002</v>
      </c>
      <c r="DY60">
        <f>IF(ISERROR(VLOOKUP(R60,Afgr,Data!$AZ$3)*DL60/DG60),0,VLOOKUP(R60,Afgr,Data!$AZ$3)*DL60/DG60)</f>
        <v>0</v>
      </c>
      <c r="DZ60">
        <f>VLOOKUP(R60,Afgr,Data!$AU$3)</f>
        <v>0</v>
      </c>
      <c r="EA60">
        <f>IF($S60=1,$BC60*$DZ60*0.01*DY60*0.01,0)</f>
        <v>0</v>
      </c>
      <c r="EB60">
        <f>EA60/6.25</f>
        <v>0</v>
      </c>
      <c r="EC60">
        <f>EB60*Z60</f>
        <v>0</v>
      </c>
      <c r="EE60">
        <f>IF($S60=1,$BC60*$DZ60*0.01*VLOOKUP($R60,Afgr,Data!$BD$3)*0.001,0)</f>
        <v>0</v>
      </c>
      <c r="EF60">
        <f>EE60*Z60</f>
        <v>0</v>
      </c>
      <c r="EH60">
        <f>IF($S60=1,$BC60*$DZ60*0.01*VLOOKUP($R60,Afgr,Data!$BG$3)*0.001,0)</f>
        <v>0</v>
      </c>
      <c r="EI60">
        <f>EH60*Z60</f>
        <v>0</v>
      </c>
      <c r="EK60">
        <f>VLOOKUP(T60,Efgr,Data!$AI$53)</f>
        <v>0</v>
      </c>
      <c r="EL60">
        <f>BX60*EK60*0.01/6.25</f>
        <v>0</v>
      </c>
      <c r="EM60">
        <f>EL60*Z60</f>
        <v>0</v>
      </c>
      <c r="EO60">
        <f>$BX60*VLOOKUP($T60,Efgr,Data!$AJ$53)*0.001</f>
        <v>0</v>
      </c>
      <c r="EP60">
        <f>EO60*Z60</f>
        <v>0</v>
      </c>
      <c r="ER60">
        <f>$BX60*VLOOKUP($T60,Efgr,Data!$AK$53)*0.001</f>
        <v>0</v>
      </c>
      <c r="ES60">
        <f>ER60*Z60</f>
        <v>0</v>
      </c>
      <c r="EU60">
        <f>IF(VLOOKUP(R60,Afgr,Data!$DS$3)=1,DP60*VLOOKUP(R60,Afgr,(Data!$DT$3+EftervirkningUdb1))*VLOOKUP(R60,Afgr,Data!$DV$3),0)</f>
        <v>0</v>
      </c>
      <c r="EV60">
        <f>IF(VLOOKUP(R60,Afgr,Data!$DS$3)=2,VLOOKUP(R60,Afgr,Data!$DX$3),0)</f>
        <v>0</v>
      </c>
      <c r="EW60">
        <f>IF(VLOOKUP(R60,Afgr,Data!$DS$3)=3,$DP60*VLOOKUP($R60,Afgr,IF(Jordtype1&lt;5,Data!$DT$3,Data!$DU$3))*VLOOKUP($R60,Afgr,Data!$DV$3),0)</f>
        <v>0</v>
      </c>
      <c r="EX60">
        <f>IF(VLOOKUP(R60,Afgr,Data!$DS$3)=4,(1.232+0.00469*AM60*100+(0.000256*AM60*100+0.089)*60),0)</f>
        <v>0</v>
      </c>
      <c r="EY60" s="211">
        <f>BZ60+CA60+CJ60+CK60</f>
        <v>0</v>
      </c>
      <c r="EZ60">
        <f>IF(VLOOKUP($R60,Afgr,Data!$DS$3)=5,($AM60*0.02742-$AM60*0.0001*$EY60+$AM60*0.0000001111*$EY60*$EY60),0)</f>
        <v>194.68199999999999</v>
      </c>
      <c r="FA60" s="2">
        <f>CB60+CL60</f>
        <v>0</v>
      </c>
      <c r="FB60">
        <f>IF(VLOOKUP($T60,Efgr,Data!$BH$53)=5,($BR60*0.02742-$BR60*0.0001*$FA60+$BR60*0.0000001111*$FA60*$FA60),0)</f>
        <v>0</v>
      </c>
      <c r="FC60" s="3">
        <f>EU60+EV60+EW60+EX60+EZ60+FB60</f>
        <v>194.68199999999999</v>
      </c>
      <c r="FD60" s="3">
        <f>FC60*Z60</f>
        <v>260.87387999999999</v>
      </c>
      <c r="FF60" s="211">
        <f>BZ60+CC60</f>
        <v>0</v>
      </c>
      <c r="FG60" s="211">
        <f>FF60*Z60</f>
        <v>0</v>
      </c>
      <c r="FH60" s="211">
        <f>CE60+CH60+CO60</f>
        <v>0</v>
      </c>
      <c r="FI60" s="211">
        <f>FH60*Z60</f>
        <v>0</v>
      </c>
      <c r="FJ60">
        <f>VLOOKUP($R60,Afgr,Data!$DK$3)*VLOOKUP($R60,Afgr,Data!$AT$3)*0.01*VLOOKUP($R60,Afgr,Data!$AW$3)*0.01/6.25</f>
        <v>0</v>
      </c>
      <c r="FK60">
        <f>FJ60*Z60</f>
        <v>0</v>
      </c>
      <c r="FL60" s="4">
        <f>IF(R60&gt;1,Deposition,0)</f>
        <v>15</v>
      </c>
      <c r="FM60" s="4">
        <f>FL60*Z60</f>
        <v>20.100000000000001</v>
      </c>
      <c r="FN60">
        <f>FC60</f>
        <v>194.68199999999999</v>
      </c>
      <c r="FO60">
        <f>FN60*Z60</f>
        <v>260.87387999999999</v>
      </c>
      <c r="FP60" s="211">
        <f>SUM(FF60,FH60,FJ60,FL60,FN60)</f>
        <v>209.68199999999999</v>
      </c>
      <c r="FQ60">
        <f>DP60+EB60+EL60</f>
        <v>229.78439999999998</v>
      </c>
      <c r="FR60" s="3">
        <f>FP60-FQ60</f>
        <v>-20.102399999999989</v>
      </c>
      <c r="FS60" s="19">
        <f>FP60*Z60</f>
        <v>280.97388000000001</v>
      </c>
      <c r="FT60" s="19">
        <f>FQ60*Z60</f>
        <v>307.91109599999999</v>
      </c>
      <c r="FU60" s="3">
        <f>FR60*Z60</f>
        <v>-26.937215999999985</v>
      </c>
      <c r="FW60">
        <f>CW60</f>
        <v>0</v>
      </c>
      <c r="FX60">
        <f>FW60*Z60</f>
        <v>0</v>
      </c>
      <c r="FY60">
        <f>IX60+MB60</f>
        <v>32.574800000000003</v>
      </c>
      <c r="FZ60">
        <f>FY60*Z60</f>
        <v>43.65023200000001</v>
      </c>
      <c r="GA60">
        <f>FW60-FY60</f>
        <v>-32.574800000000003</v>
      </c>
      <c r="GB60">
        <f>GA60*Z60</f>
        <v>-43.65023200000001</v>
      </c>
      <c r="GD60">
        <f>DE60</f>
        <v>0</v>
      </c>
      <c r="GE60">
        <f>GD60*Z60</f>
        <v>0</v>
      </c>
      <c r="GF60">
        <f>JE60+MH60</f>
        <v>255.316</v>
      </c>
      <c r="GG60">
        <f>GF60*Z60</f>
        <v>342.12344000000002</v>
      </c>
      <c r="GH60">
        <f>GD60-GF60</f>
        <v>-255.316</v>
      </c>
      <c r="GI60">
        <f>GH60*Z60</f>
        <v>-342.12344000000002</v>
      </c>
      <c r="GK60">
        <f>AA60</f>
        <v>1</v>
      </c>
      <c r="GL60" s="211">
        <f>FF60+FH60+FN60</f>
        <v>194.68199999999999</v>
      </c>
      <c r="GM60" s="211">
        <f>IF(R60=1,"",IF(GK60=1,GL60,""))</f>
        <v>194.68199999999999</v>
      </c>
      <c r="GN60" s="211" t="str">
        <f>IF(R60=1,"",IF(GK60=2,GL60,""))</f>
        <v/>
      </c>
      <c r="GO60" s="211" t="str">
        <f>IF(R60=1,"",IF(GK60=3,GL60,""))</f>
        <v/>
      </c>
      <c r="GP60" s="211" t="str">
        <f>IF(R60=1,"",IF(GK60=4,GL60,""))</f>
        <v/>
      </c>
      <c r="GQ60" s="149">
        <f>IF(OR(R60=1,VLOOKUP(R60,Afgr,Data!$BV$3)=1,VLOOKUP(R60,Afgr,Data!$BW$3)=1),0,IF(GK60=1,Nniveau1,IF(GK60=2,Nniveau2,IF(GK60=3,Nniveau3,IF(GK60=4,Nniveau4,GL60)))))</f>
        <v>173.16922222222217</v>
      </c>
      <c r="GR60" s="241">
        <v>0.32550000000000001</v>
      </c>
      <c r="GS60" s="6">
        <v>0</v>
      </c>
      <c r="GT60" s="149">
        <f>CC60+CM60</f>
        <v>0</v>
      </c>
      <c r="GU60" s="6">
        <f>$FN60</f>
        <v>194.68199999999999</v>
      </c>
      <c r="GV60" s="241">
        <v>0.25280000000000002</v>
      </c>
      <c r="GW60">
        <f>CO60</f>
        <v>0</v>
      </c>
      <c r="GX60" s="241">
        <v>0.376</v>
      </c>
      <c r="GY60" s="149">
        <f>CD60+CN60</f>
        <v>0</v>
      </c>
      <c r="GZ60" s="241">
        <f>IF(B60&gt;3,0.3539,1.0749)</f>
        <v>0.35389999999999999</v>
      </c>
      <c r="HA60" s="11">
        <f>$FQ60</f>
        <v>229.78439999999998</v>
      </c>
      <c r="HB60" s="241">
        <v>0.19359999999999999</v>
      </c>
      <c r="HC60" s="241">
        <f>VLOOKUP($R60,Afgr,Data!$DM$3)</f>
        <v>7</v>
      </c>
      <c r="HD60" s="24">
        <f>IF($HC60&gt;1,0,(VLOOKUP($X60,Afgr,Data!$DP$3)+IF(VLOOKUP($X60,Afgr,Data!$DP$3)=0,VLOOKUP($T60,Efgr,Data!$BI$53,0))))+IF(AND($HC60=7,VLOOKUP($X60,Afgr,Data!$DQ$3)=-2),-2,0)+IF(AND($HC60=6,VLOOKUP($T60,Efgr,Data!$BI$53)=2),8,0)</f>
        <v>0</v>
      </c>
      <c r="HE60" s="6">
        <f>VLOOKUP(SUM(HC60:HD60),Nlesafgr,3)</f>
        <v>-165.7</v>
      </c>
      <c r="HF60" s="7">
        <f>VLOOKUP($O60,Afgr,Data!$DN$3)</f>
        <v>4</v>
      </c>
      <c r="HG60" s="24">
        <f>IF(HF60&gt;1,0,VLOOKUP($R60,Afgr,Data!$DO$3)+IF(VLOOKUP($R60,Afgr,Data!$DO$3)=1,0,VLOOKUP($P60,Efgr,Data!$BJ$53)))</f>
        <v>0</v>
      </c>
      <c r="HH60" s="6">
        <f>VLOOKUP(SUM(HF60:HG60),Nlesforfrugt,3)</f>
        <v>34.700000000000003</v>
      </c>
      <c r="HI60" s="241">
        <f>GR60*GQ60+GV60*(GT60+GU60)+GX60*GW60+GZ60*GY60-HB60*HA60+HE60+HH60</f>
        <v>-69.904068406666667</v>
      </c>
      <c r="HJ60" s="241">
        <f>Nlesafskaering</f>
        <v>59.6</v>
      </c>
      <c r="HK60" s="241">
        <f>Teknologi1</f>
        <v>2455</v>
      </c>
      <c r="HL60" s="6">
        <v>2001</v>
      </c>
      <c r="HM60" s="241">
        <f>Teknologi2</f>
        <v>1962.2</v>
      </c>
      <c r="HN60" s="241">
        <f>Tandel</f>
        <v>0.54659999999999997</v>
      </c>
      <c r="HO60" s="241">
        <f>IF(OR(HI60&gt;0,HI60=0),HJ60+HK60/(HL60-HM60),HJ60+HK60/(HL60-HM60)+HN60*HI60)</f>
        <v>84.663632085204739</v>
      </c>
      <c r="HP60" s="241">
        <f>IF(HI60&gt;0,HI60,0.001)</f>
        <v>1E-3</v>
      </c>
      <c r="HQ60" s="241">
        <v>1.5020000000000001E-3</v>
      </c>
      <c r="HR60" s="24">
        <f>IF(R60=1,0,VLOOKUP(PostnrNbal,AfstromData,VLOOKUP($R60,Afgr,Data!$DL$3)+IF(Jordtype1&lt;7,Jordtype1,6),FALSE)-VLOOKUP(T60,Efgr,Data!$AA$53))</f>
        <v>272.32333333333298</v>
      </c>
      <c r="HS60" s="24">
        <f>IF(Nbal!GA60&lt;&gt;"",Nbal!GA60,Regn2!HR60)</f>
        <v>272.32333333333298</v>
      </c>
      <c r="HT60" s="241">
        <v>5.5400000000000002E-4</v>
      </c>
      <c r="HU60" s="24">
        <f>IF(R60=1,0,VLOOKUP(PostnrNbal,AfstromData,VLOOKUP($O60,Afgr,Data!$DL$3)+IF(B60&lt;7,B60,6),FALSE)-VLOOKUP(P60,Efgr,Data!$AA$53))</f>
        <v>272.32333333333298</v>
      </c>
      <c r="HV60" s="24">
        <f>IF(Nbal!FU60&lt;&gt;"",Nbal!FU60,Regn2!HU60)</f>
        <v>272.32333333333298</v>
      </c>
      <c r="HW60" s="241">
        <v>0.10639999999999999</v>
      </c>
      <c r="HX60" s="6">
        <f>VLOOKUP(B60,Jordtype,Data!$W$112)</f>
        <v>26</v>
      </c>
      <c r="HY60" s="241">
        <v>3.2500000000000001E-2</v>
      </c>
      <c r="HZ60" s="6">
        <f>VLOOKUP(B60,Jordtype,Data!$X$112)</f>
        <v>5</v>
      </c>
      <c r="IA60" s="241">
        <v>1.2453000000000001</v>
      </c>
      <c r="IB60" s="241">
        <f>IF(VLOOKUP(T60,Efgr,Data!$AO$53)=1,MlafgrNUdvask,0)</f>
        <v>0</v>
      </c>
      <c r="IC60" s="20">
        <f>IF(ISERROR((HO60+POWER(HP60,1.2))*(1-EXP(-HQ60*HS60))*EXP(-HT60*HV60)*EXP(-HW60*HX60)*EXP(-HY60*HZ60)*IA60),0,(HO60+POWER(HP60,1.2))*(1-EXP(-HQ60*HS60))*EXP(-HT60*HV60)*EXP(-HW60*HX60)*EXP(-HY60*HZ60)*IA60+IB60)</f>
        <v>1.6270642816768945</v>
      </c>
      <c r="ID60">
        <f>IC60*Z60</f>
        <v>2.1802661374470387</v>
      </c>
      <c r="IE60">
        <f>IF(Nbal!GF60&lt;&gt;"",Nbal!GF60,RetentionNbal)</f>
        <v>65</v>
      </c>
      <c r="IF60">
        <f>IC60*(100-IE60)*0.01</f>
        <v>0.56947249858691307</v>
      </c>
      <c r="IG60">
        <f>IF60*Z60</f>
        <v>0.76309314810646356</v>
      </c>
      <c r="IH60" s="2">
        <f>HS60*10000</f>
        <v>2723233.3333333298</v>
      </c>
      <c r="II60" s="2">
        <f>IH60*Z60</f>
        <v>3649132.6666666623</v>
      </c>
      <c r="IJ60">
        <f>IF(ISERROR(IC60*1000*1000/IH60),0,IC60*1000*1000/IH60)</f>
        <v>0.59747516371845844</v>
      </c>
      <c r="IL60">
        <f>AT60+AX60+BK60+BU60</f>
        <v>8520</v>
      </c>
      <c r="IO60">
        <f>VLOOKUP(R60,Afgr,Data!$AP$3)*UdsaedJust</f>
        <v>420</v>
      </c>
      <c r="IP60" s="3">
        <f>IF(Nbal!GN60&lt;&gt;"",Nbal!GN60,IO60)</f>
        <v>420</v>
      </c>
      <c r="IQ60" s="3">
        <f>IP60*Z60</f>
        <v>562.80000000000007</v>
      </c>
      <c r="IS60" s="3">
        <f>IF(HdgVaerdiNbal=1,(BZ60+CA60)*Npris,(BZ60+CA60+CJ60+CK60)*Npris)</f>
        <v>0</v>
      </c>
      <c r="IT60" s="3">
        <f>IS60*Z60</f>
        <v>0</v>
      </c>
      <c r="IV60">
        <f>VLOOKUP($R60,Afgr,Data!$BA$3)</f>
        <v>0</v>
      </c>
      <c r="IW60">
        <f>VLOOKUP($R60,Afgr,Data!$BB$3)</f>
        <v>0</v>
      </c>
      <c r="IX60">
        <f>$DS60+$EE60</f>
        <v>32.574800000000003</v>
      </c>
      <c r="IY60">
        <f>CT60</f>
        <v>0</v>
      </c>
      <c r="IZ60">
        <f>CQ60</f>
        <v>0</v>
      </c>
      <c r="JA60" s="3">
        <f>IF(HdgVaerdiNbal=1,(IZ60)*Ppris,(IY60+IZ60)*Ppris)</f>
        <v>0</v>
      </c>
      <c r="JB60" s="3">
        <f>JA60*Z60</f>
        <v>0</v>
      </c>
      <c r="JD60">
        <f>IF(AND(R60&gt;1,OR(Jordtype1=1,Jordtype1=3,Markvand1=2)),Kudvask,0)</f>
        <v>0</v>
      </c>
      <c r="JE60">
        <f>$DV60+$EH60</f>
        <v>255.316</v>
      </c>
      <c r="JF60">
        <f>DB60</f>
        <v>0</v>
      </c>
      <c r="JG60">
        <f>CY60</f>
        <v>0</v>
      </c>
      <c r="JH60" s="3">
        <f>IF(HdgVaerdiNbal=1,JG60*Kpris,(JF60+JG60)*Kpris)</f>
        <v>0</v>
      </c>
      <c r="JI60" s="3">
        <f>JH60*Z60</f>
        <v>0</v>
      </c>
      <c r="JK60">
        <f>IS60+JA60+JH60</f>
        <v>0</v>
      </c>
      <c r="JL60" s="3">
        <f>IF(Nbal!GT60&lt;&gt;"",Nbal!GT60,$JK60)</f>
        <v>0</v>
      </c>
      <c r="JM60" s="3">
        <f>JL60*Z60</f>
        <v>0</v>
      </c>
      <c r="JO60">
        <f>VLOOKUP(R60,Afgr,Data!$AQ$3)*PlantevJust</f>
        <v>0</v>
      </c>
      <c r="JP60" s="3">
        <f>IF(Nbal!GZ60&lt;&gt;"",Nbal!GZ60,JO60)</f>
        <v>0</v>
      </c>
      <c r="JQ60" s="3">
        <f>JP60*Z60</f>
        <v>0</v>
      </c>
      <c r="JS60">
        <f>VLOOKUP(R60,Afgr,Data!$AR$3)+AM60*VLOOKUP(R60,Afgr,Data!$BH$3)</f>
        <v>369.2</v>
      </c>
      <c r="JT60" s="3">
        <f>IF(Nbal!HF60&lt;&gt;"",Nbal!HF60,JS60)</f>
        <v>369.2</v>
      </c>
      <c r="JU60">
        <f>JT60*Z60</f>
        <v>494.72800000000001</v>
      </c>
      <c r="JW60">
        <f>IP60+JL60+JP60+JT60</f>
        <v>789.2</v>
      </c>
      <c r="JY60">
        <f>IF(VLOOKUP(R60,Afgr,Data!$BY$3)&gt;0,Data!$K$259*J60,0)</f>
        <v>0</v>
      </c>
      <c r="JZ60">
        <f>IF(VLOOKUP(R60,Afgr,Data!$BZ$3)&gt;0,Data!$K$260*J60,0)</f>
        <v>0</v>
      </c>
      <c r="KA60">
        <f>(JY60+JZ60)*MaskJust</f>
        <v>0</v>
      </c>
      <c r="KB60" s="3">
        <f>IF(Nbal!HL60&lt;&gt;"",Nbal!HL60,KA60)</f>
        <v>0</v>
      </c>
      <c r="KC60" s="3">
        <f>KB60*Z60</f>
        <v>0</v>
      </c>
      <c r="KE60">
        <f>IF(VLOOKUP(R60,Afgr,Data!$CA$3)&gt;0,VLOOKUP(R60,Afgr,Data!$CA$3)*Data!$K$261*K60,0)</f>
        <v>0</v>
      </c>
      <c r="KF60">
        <f>IF(VLOOKUP(R60,Afgr,Data!$CC$3)&gt;0,Data!$K$262*K60,0)</f>
        <v>0</v>
      </c>
      <c r="KG60">
        <f>IF(VLOOKUP(R60,Afgr,Data!$CD$3)&gt;0,VLOOKUP(R60,Afgr,Data!$CD$3)*Data!$K$263*K60,0)</f>
        <v>125</v>
      </c>
      <c r="KH60">
        <f>IF(VLOOKUP(R60,Afgr,Data!$CE$3)&gt;0,Data!$K$264*K60,0)</f>
        <v>0</v>
      </c>
      <c r="KI60">
        <f>IF(VLOOKUP(R60,Afgr,Data!$CF$3)&gt;0,Data!$K$265*K60,0)</f>
        <v>0</v>
      </c>
      <c r="KJ60">
        <f>IF(VLOOKUP(R60,Afgr,Data!$CV$3)&gt;0,Data!$K$266,0)</f>
        <v>0</v>
      </c>
      <c r="KK60">
        <f>IF(VLOOKUP(R60,Afgr,Data!$CG$3)&gt;0,Data!$K$267*K60,0)</f>
        <v>0</v>
      </c>
      <c r="KL60">
        <f>(KE60+KF60+KG60+KH60+KI60+KJ60+KK60)*MaskJust</f>
        <v>125</v>
      </c>
      <c r="KM60" s="3">
        <f>IF(Nbal!HR60&lt;&gt;"",Nbal!HR60,KL60)</f>
        <v>125</v>
      </c>
      <c r="KN60" s="3">
        <f>KM60*Z60</f>
        <v>167.5</v>
      </c>
      <c r="KP60">
        <f>IF(VLOOKUP(R60,Afgr,Data!$CJ$3)&gt;0,VLOOKUP(R60,Afgr,Data!$CJ$3)*Data!$K$268*K60,0)*MaskJust</f>
        <v>420</v>
      </c>
      <c r="KQ60" s="3">
        <f>IF(Nbal!HX60&lt;&gt;"",Nbal!HX60,KP60)</f>
        <v>420</v>
      </c>
      <c r="KR60" s="3">
        <f>KQ60*Z60</f>
        <v>562.80000000000007</v>
      </c>
      <c r="KT60">
        <f>IF(VLOOKUP(R60,Afgr,Data!$CI$3)&gt;0,VLOOKUP(R60,Afgr,Data!$CI$3)*Data!$K$269,0)*MaskJust</f>
        <v>0</v>
      </c>
      <c r="KU60" s="3">
        <f>IF(Nbal!ID60&lt;&gt;"",Nbal!ID60,KT60)</f>
        <v>0</v>
      </c>
      <c r="KV60" s="3">
        <f>KU60*Z60</f>
        <v>0</v>
      </c>
      <c r="KX60">
        <f>IF(C60=2,VLOOKUP($R60,Afgr,Data!$CY$3),0)</f>
        <v>0</v>
      </c>
      <c r="KY60">
        <f>IF(Nbal!IJ60&lt;&gt;"",Nbal!IJ60,$KX60)</f>
        <v>0</v>
      </c>
      <c r="KZ60">
        <f>IF(AND(R60&gt;1,C60=2),Vandmaskin+$KY60*Flytning/mmprgang+$KY60*Prisprmm,0)</f>
        <v>0</v>
      </c>
      <c r="LA60" s="3">
        <f>IF(Nbal!IP60&lt;&gt;"",Nbal!IP60,$KZ60)</f>
        <v>0</v>
      </c>
      <c r="LB60" s="3">
        <f>LA60*Z60</f>
        <v>0</v>
      </c>
      <c r="LD60">
        <f>IF(VLOOKUP($R60,Afgr,Data!$CK$3)&gt;0,((1+AM60/VLOOKUP($R60,Afgr,Data!$CK$3))/2)*VLOOKUP($R60,Afgr,Data!$CL$3)*VLOOKUP($R60,Afgr,Data!$CN$3)+VLOOKUP($R60,Afgr,Data!$CM$3),0)</f>
        <v>1472.25</v>
      </c>
      <c r="LE60">
        <f>IF(VLOOKUP($R60,Afgr,Data!$CK$3)&gt;0,IF(AND($S60=2,$BA60&gt;0),Data!$K$271,0),0)</f>
        <v>0</v>
      </c>
      <c r="LF60">
        <f>IF(VLOOKUP($R60,Afgr,Data!$CK$3)&gt;0,(AM60/VLOOKUP($R60,Afgr,Data!$CK$3))*VLOOKUP($R60,Afgr,Data!$CO$3)*VLOOKUP($R60,Afgr,Data!$CN$3),0)</f>
        <v>2041.25</v>
      </c>
      <c r="LG60">
        <f>(LD60+LE60+LF60)*MaskJust</f>
        <v>3513.5</v>
      </c>
      <c r="LH60" s="3">
        <f>IF(Nbal!IV60&lt;&gt;"",Nbal!IV60,LG60)</f>
        <v>3513.5</v>
      </c>
      <c r="LI60" s="3">
        <f>LH60*Z60</f>
        <v>4708.09</v>
      </c>
      <c r="LJ60" s="3"/>
      <c r="LK60">
        <f>IF(AND($S60=1,VLOOKUP($R60,Afgr,Data!$CP$3)&gt;0),((1+$BC60/VLOOKUP($R60,Afgr,Data!$CP$3))/2)*VLOOKUP($R60,Afgr,Data!$CQ$3),0)</f>
        <v>0</v>
      </c>
      <c r="LL60">
        <f>IF(AND($S60=1,VLOOKUP($R60,Afgr,Data!$CP$3)&gt;0),($BC60/VLOOKUP($R60,Afgr,Data!$CP$3))*VLOOKUP($R60,Afgr,Data!$CR$3),0)</f>
        <v>0</v>
      </c>
      <c r="LM60">
        <f>(LK60+LL60)*MaskJust</f>
        <v>0</v>
      </c>
      <c r="LN60" s="3">
        <f>IF(Nbal!JB60&lt;&gt;"",Nbal!JB60,LM60)</f>
        <v>0</v>
      </c>
      <c r="LO60" s="3">
        <f>LN60*Z60</f>
        <v>0</v>
      </c>
      <c r="LQ60">
        <f>$AM60*VLOOKUP($R60,Afgr,Data!$CS$3)*IF($V60=1,VLOOKUP($R60,Afgr,Data!$CT$3),IF($V60=2,VLOOKUP($R60,Afgr,Data!$CU$3),0))</f>
        <v>0</v>
      </c>
      <c r="LR60" s="3">
        <f>IF(Nbal!JK60&lt;&gt;"",Nbal!JK60,LQ60)</f>
        <v>0</v>
      </c>
      <c r="LS60" s="3">
        <f>LR60*Z60</f>
        <v>0</v>
      </c>
      <c r="LU60">
        <f>VLOOKUP($T60,Efgr,Data!$AC$53)*UdsaedJust</f>
        <v>0</v>
      </c>
      <c r="LV60" s="3">
        <f>IF(Nbal!$JS60&lt;&gt;"",Nbal!$JS60,LU60)</f>
        <v>0</v>
      </c>
      <c r="LW60" s="3">
        <f>LV60*Z60</f>
        <v>0</v>
      </c>
      <c r="LY60" s="3">
        <f>IF(HdgVaerdiNbal=1,(CB60)*Npris,(CB60+CL60)*Npris)</f>
        <v>0</v>
      </c>
      <c r="LZ60" s="3">
        <f>LY60*Z60</f>
        <v>0</v>
      </c>
      <c r="MB60">
        <f>$EO60</f>
        <v>0</v>
      </c>
      <c r="MC60">
        <f>CU60</f>
        <v>0</v>
      </c>
      <c r="MD60">
        <f>CR60</f>
        <v>0</v>
      </c>
      <c r="ME60" s="3">
        <f>IF(HdgVaerdiNbal=1,MD60*Ppris,(MC60+MD60)*Ppris)</f>
        <v>0</v>
      </c>
      <c r="MF60" s="3">
        <f>ME60*Z60</f>
        <v>0</v>
      </c>
      <c r="MH60">
        <f>$ER60</f>
        <v>0</v>
      </c>
      <c r="MI60">
        <f>DC60</f>
        <v>0</v>
      </c>
      <c r="MJ60">
        <f>CZ60</f>
        <v>0</v>
      </c>
      <c r="MK60" s="3">
        <f>IF(HdgVaerdiNbal=1,MJ60*Ppris,(MI60+MJ60)*Ppris)</f>
        <v>0</v>
      </c>
      <c r="ML60" s="3">
        <f>MK60*Z60</f>
        <v>0</v>
      </c>
      <c r="MN60">
        <f>LY60+ME60+MK60</f>
        <v>0</v>
      </c>
      <c r="MO60" s="3">
        <f>IF(Nbal!JY60&lt;&gt;"",Nbal!JY60,$MN60)</f>
        <v>0</v>
      </c>
      <c r="MP60" s="3">
        <f>MO60*Z60</f>
        <v>0</v>
      </c>
      <c r="MR60">
        <f>VLOOKUP($T60,Efgr,Data!$AE$53)*PlantevJust</f>
        <v>0</v>
      </c>
      <c r="MS60" s="3">
        <f>IF(Nbal!KE60&lt;&gt;"",Nbal!KE60,MR60)</f>
        <v>0</v>
      </c>
      <c r="MT60" s="3">
        <f>MS60*Z60</f>
        <v>0</v>
      </c>
      <c r="MV60">
        <f>VLOOKUP($T60,Efgr,Data!$AF$53)+$BR60*VLOOKUP($T60,Efgr,Data!$AL$53)</f>
        <v>0</v>
      </c>
      <c r="MW60" s="3">
        <f>IF(Nbal!KK60&lt;&gt;"",Nbal!KK60,MV60)</f>
        <v>0</v>
      </c>
      <c r="MX60" s="3">
        <f>MW60*Z60</f>
        <v>0</v>
      </c>
      <c r="MZ60">
        <f>LV60+MO60+MS60+MW60</f>
        <v>0</v>
      </c>
      <c r="NB60">
        <f>VLOOKUP($T60,Efgr,Data!$AU$53)*K60*MaskJust</f>
        <v>0</v>
      </c>
      <c r="NC60" s="3">
        <f>IF(Nbal!KQ60&lt;&gt;"",Nbal!KQ60,NB60)</f>
        <v>0</v>
      </c>
      <c r="ND60" s="3">
        <f>NC60*Z60</f>
        <v>0</v>
      </c>
      <c r="NF60">
        <f>VLOOKUP($T60,Efgr,Data!$AW$53)*Data!$K$268*K60*MaskJust</f>
        <v>0</v>
      </c>
      <c r="NG60" s="3">
        <f>IF(Nbal!KW60&lt;&gt;"",Nbal!KW60,NF60)</f>
        <v>0</v>
      </c>
      <c r="NH60" s="3">
        <f>NG60*Z60</f>
        <v>0</v>
      </c>
      <c r="NJ60">
        <f>VLOOKUP($T60,Efgr,Data!$AV$53)*Data!$K$269*MaskJust</f>
        <v>0</v>
      </c>
      <c r="NK60" s="3">
        <f>IF(Nbal!LC60&lt;&gt;"",Nbal!LC60,NJ60)</f>
        <v>0</v>
      </c>
      <c r="NL60" s="3">
        <f>NK60*Z60</f>
        <v>0</v>
      </c>
      <c r="NN60">
        <f>IF(C60=2,VLOOKUP($T60,Efgr,Data!$BC$53),0)</f>
        <v>0</v>
      </c>
      <c r="NO60">
        <f>IF(Nbal!LI60&lt;&gt;"",Nbal!LI60,$NN60)</f>
        <v>0</v>
      </c>
      <c r="NP60">
        <f>IF(C60=2,$NO60*Flytning/mmprgang+$NO60*Prisprmm,0)</f>
        <v>0</v>
      </c>
      <c r="NQ60" s="3">
        <f>IF(Nbal!LO60&lt;&gt;"",Nbal!LO60,$NP60)</f>
        <v>0</v>
      </c>
      <c r="NR60" s="3">
        <f>NQ60*Z60</f>
        <v>0</v>
      </c>
      <c r="NT60">
        <f>IF(VLOOKUP($T60,Efgr,Data!$AX$53)&gt;0,((1+BR60/VLOOKUP($T60,Efgr,Data!$AX$53))/2)*VLOOKUP($T60,Efgr,Data!$AY$53)*VLOOKUP($T60,Efgr,Data!$BA$53)+VLOOKUP($T60,Efgr,Data!$AZ$53),0)</f>
        <v>0</v>
      </c>
      <c r="NU60">
        <f>IF(VLOOKUP($T60,Efgr,Data!$AX$53)&gt;0,($BR60/VLOOKUP($T60,Efgr,Data!$AX$53))*VLOOKUP($T60,Efgr,Data!$BB$53)*VLOOKUP($T60,Efgr,Data!$BA$53),0)</f>
        <v>0</v>
      </c>
      <c r="NV60">
        <f>(NT60+NU60)*MaskJust</f>
        <v>0</v>
      </c>
      <c r="NW60" s="3">
        <f>IF(Nbal!LU60&lt;&gt;"",Nbal!LU60,NV60)</f>
        <v>0</v>
      </c>
      <c r="NX60" s="3">
        <f>NW60*Z60</f>
        <v>0</v>
      </c>
      <c r="NZ60">
        <f>IF($U60=2,Data!$K$304,IF($U60=3,Data!$K$305,0))*MaskJust</f>
        <v>0</v>
      </c>
      <c r="OA60" s="3">
        <f>IF(Nbal!MA60&lt;&gt;"",Nbal!MA60,NZ60)</f>
        <v>0</v>
      </c>
      <c r="OB60" s="3">
        <f>OA60*Z60</f>
        <v>0</v>
      </c>
      <c r="OD60">
        <f>IL60</f>
        <v>8520</v>
      </c>
      <c r="OE60">
        <f>JW60+MZ60</f>
        <v>789.2</v>
      </c>
      <c r="OF60">
        <f>OD60-OE60</f>
        <v>7730.8</v>
      </c>
      <c r="OG60">
        <f>OF60*Z60</f>
        <v>10359.272000000001</v>
      </c>
      <c r="OJ60">
        <f>VLOOKUP($O60,Afgr,Data!$BP$3)+VLOOKUP($P60,Efgr,Data!$AM$53)</f>
        <v>0</v>
      </c>
      <c r="OK60" s="3">
        <f>OJ60*Z60</f>
        <v>0</v>
      </c>
      <c r="OL60">
        <f>VLOOKUP($R60,Afgr,Data!$BP$3)+VLOOKUP($T60,Efgr,Data!$AM$53)</f>
        <v>0</v>
      </c>
      <c r="OM60" s="3">
        <f>OL60*Z60</f>
        <v>0</v>
      </c>
      <c r="OO60">
        <f>VLOOKUP($P60,Efgr,Data!$AN$53)</f>
        <v>0</v>
      </c>
      <c r="OP60">
        <f>VLOOKUP($O60,Afgr,Data!$BQ$3)</f>
        <v>0</v>
      </c>
      <c r="OQ60">
        <f>VLOOKUP($R60,Afgr,Data!$BR$3)</f>
        <v>1</v>
      </c>
      <c r="OR60">
        <f>OO60*OP60*OQ60</f>
        <v>0</v>
      </c>
      <c r="OS60" s="3">
        <f>OR60*Z60</f>
        <v>0</v>
      </c>
      <c r="OT60" s="3">
        <f>IF(Q60,1,0)*OS60</f>
        <v>0</v>
      </c>
      <c r="OV60">
        <f>VLOOKUP($T60,Efgr,Data!$AN$53)</f>
        <v>0</v>
      </c>
      <c r="OW60">
        <f>VLOOKUP($R60,Afgr,Data!$BQ$3)</f>
        <v>0</v>
      </c>
      <c r="OX60">
        <f>VLOOKUP($X60,Afgr,Data!$BR$3)</f>
        <v>1</v>
      </c>
      <c r="OY60">
        <f>OV60*OW60*OX60</f>
        <v>0</v>
      </c>
      <c r="OZ60" s="3">
        <f>OY60*Z60</f>
        <v>0</v>
      </c>
      <c r="PB60">
        <f>VLOOKUP($T60,Efgr,Data!$AO$53)</f>
        <v>0</v>
      </c>
      <c r="PC60">
        <f>VLOOKUP($O60,Afgr,Data!$BQ$3)</f>
        <v>0</v>
      </c>
      <c r="PD60">
        <f>VLOOKUP($R60,Afgr,Data!$BS$3)</f>
        <v>0</v>
      </c>
      <c r="PE60" s="3">
        <f>PB60*PC60*PD60*$Z60</f>
        <v>0</v>
      </c>
      <c r="PG60">
        <f>VLOOKUP($T60,Efgr,Data!$AO$53)</f>
        <v>0</v>
      </c>
      <c r="PH60">
        <f>VLOOKUP($R60,Afgr,Data!$BQ$3)</f>
        <v>0</v>
      </c>
      <c r="PI60">
        <f>VLOOKUP($X60,Afgr,Data!$BS$3)</f>
        <v>0</v>
      </c>
      <c r="PJ60" s="3">
        <f>PG60*PH60*PI60*$Z60</f>
        <v>0</v>
      </c>
      <c r="PK60" s="3"/>
      <c r="PL60" s="3">
        <f>VLOOKUP($O60,Afgr,Data!$BU$3)</f>
        <v>0</v>
      </c>
      <c r="PM60" s="3">
        <f>PL60*Z60</f>
        <v>0</v>
      </c>
      <c r="PN60" s="3">
        <f>VLOOKUP($R60,Afgr,Data!$BU$3)</f>
        <v>0</v>
      </c>
      <c r="PO60" s="3">
        <f>PN60*Z60</f>
        <v>0</v>
      </c>
      <c r="PQ60">
        <f>VLOOKUP(R60,Afgr,Data!$BX$3)+VLOOKUP(T60,Efgr,Data!$AQ$53)</f>
        <v>1</v>
      </c>
      <c r="PR60">
        <f>IF(PQ60&gt;0,Z60,0)</f>
        <v>1.34</v>
      </c>
      <c r="PT60">
        <f>VLOOKUP($O60,Afgr,Data!$BT$3)</f>
        <v>1</v>
      </c>
      <c r="PU60" s="3">
        <f>PT60*Z60</f>
        <v>1.34</v>
      </c>
      <c r="PV60">
        <f>VLOOKUP($R60,Afgr,Data!$BT$3)</f>
        <v>1</v>
      </c>
      <c r="PW60" s="3">
        <f>PV60*Z60</f>
        <v>1.34</v>
      </c>
      <c r="PY60">
        <f>VLOOKUP($R60,Afgr,Data!$BV$3)</f>
        <v>0</v>
      </c>
      <c r="PZ60">
        <f>PY60*Z60</f>
        <v>0</v>
      </c>
      <c r="QB60">
        <f>VLOOKUP($R60,Afgr,Data!$BW$3)</f>
        <v>0</v>
      </c>
      <c r="QC60">
        <f>QB60*Z60</f>
        <v>0</v>
      </c>
      <c r="QE60">
        <f>AM60*IF(VLOOKUP($R60,Afgr,Data!$BJ$3)&gt;0,1,0)</f>
        <v>0</v>
      </c>
      <c r="QF60">
        <f>QE60*Z60</f>
        <v>0</v>
      </c>
      <c r="QH60">
        <f>AM60*VLOOKUP(R60,Afgr,Data!$BK$3)</f>
        <v>0</v>
      </c>
      <c r="QI60">
        <f>Z60*QH60</f>
        <v>0</v>
      </c>
      <c r="QJ60">
        <f>$AM60*VLOOKUP($R60,Afgr,Data!$BL$3)+$BR60*VLOOKUP($T60,Efgr,Data!$AP$53)</f>
        <v>7100</v>
      </c>
      <c r="QK60">
        <f>QJ60*Z60</f>
        <v>9514</v>
      </c>
      <c r="QL60">
        <f>$AM60*VLOOKUP($R60,Afgr,Data!$BM$3)</f>
        <v>0</v>
      </c>
      <c r="QM60">
        <f>QL60*Z60</f>
        <v>0</v>
      </c>
      <c r="QN60">
        <f>$AM60*VLOOKUP($R60,Afgr,Data!$BN$3)</f>
        <v>0</v>
      </c>
      <c r="QO60">
        <f>QN60*Z60</f>
        <v>0</v>
      </c>
      <c r="QR60">
        <f>IF(VLOOKUP($R60,Afgr,Data!$DA$3)="Vårbyg",$AN60,0)*VLOOKUP($R60,Afgr,Data!$BJ$3)</f>
        <v>0</v>
      </c>
      <c r="QS60">
        <f>IF(VLOOKUP($R60,Afgr,Data!$DA$3)="Vinterbyg",$AN60,0)*VLOOKUP($R60,Afgr,Data!$BJ$3)</f>
        <v>0</v>
      </c>
      <c r="QT60">
        <f>IF(VLOOKUP($R60,Afgr,Data!$DA$3)="Havre",$AN60,0)*VLOOKUP($R60,Afgr,Data!$BJ$3)</f>
        <v>0</v>
      </c>
      <c r="QU60">
        <f>IF(VLOOKUP($R60,Afgr,Data!$DA$3)="Hvede",$AN60,0)*VLOOKUP($R60,Afgr,Data!$BJ$3)</f>
        <v>0</v>
      </c>
      <c r="QV60">
        <f>IF(VLOOKUP($R60,Afgr,Data!$DA$3)="Triticale",$AN60,0)*VLOOKUP($R60,Afgr,Data!$BJ$3)</f>
        <v>0</v>
      </c>
      <c r="QW60">
        <f>IF(VLOOKUP($R60,Afgr,Data!$DA$3)="Rug",$AN60,0)*VLOOKUP($R60,Afgr,Data!$BJ$3)</f>
        <v>0</v>
      </c>
      <c r="QX60">
        <f>IF(VLOOKUP($R60,Afgr,Data!$DA$3)="Majs",$AN60,0)*VLOOKUP($R60,Afgr,Data!$BJ$3)</f>
        <v>0</v>
      </c>
      <c r="RA60">
        <f>IF(OV60+PB60&gt;0,1,0)</f>
        <v>0</v>
      </c>
      <c r="RB60">
        <f>RA60*LW60</f>
        <v>0</v>
      </c>
      <c r="RC60">
        <f>RA60*MT60</f>
        <v>0</v>
      </c>
      <c r="RD60">
        <f>ND60</f>
        <v>0</v>
      </c>
      <c r="RE60">
        <f>RA60*OB60</f>
        <v>0</v>
      </c>
      <c r="RH60">
        <f>VLOOKUP(B60,Jordtype,Data!$Y$112+DenitNr-1)</f>
        <v>0</v>
      </c>
      <c r="RI60">
        <f>FF60*VLOOKUP(B60,Jordtype,Data!$AB$112+DenitNr-1)</f>
        <v>0</v>
      </c>
      <c r="RJ60">
        <f>((CJ60+CK60+CL60+Regn2!CO60*0.7)-(RR60+RT60))*VLOOKUP(B60,Jordtype,Data!$AE$112+DenitNr-1)</f>
        <v>0</v>
      </c>
      <c r="RK60">
        <f>0*VLOOKUP(B60,Jordtype,Data!$AE$112+DenitNr-1)</f>
        <v>0</v>
      </c>
      <c r="RL60">
        <f>Regn2!FD60*VLOOKUP(B60,Jordtype,Data!$AH$112+DenitNr-1)</f>
        <v>0</v>
      </c>
      <c r="RM60" s="3">
        <f>RH60+RI60+RJ60+RK60+RL60</f>
        <v>0</v>
      </c>
      <c r="RO60">
        <v>2</v>
      </c>
      <c r="RP60">
        <f>(FF60)*RO60*0.01</f>
        <v>0</v>
      </c>
      <c r="RQ60">
        <v>7</v>
      </c>
      <c r="RR60">
        <f>CE60*RQ60*0.01</f>
        <v>0</v>
      </c>
      <c r="RS60">
        <v>7</v>
      </c>
      <c r="RT60">
        <f>(Regn2!CF60+Regn2!CG60)*RS60*0.01</f>
        <v>0</v>
      </c>
      <c r="RW60">
        <f>VLOOKUP(R60,Afgr,Data!$EE$3)</f>
        <v>0</v>
      </c>
      <c r="RX60" s="3">
        <f>RP60+RR60+RT60+RV60+RW60</f>
        <v>0</v>
      </c>
    </row>
    <row r="62" spans="1:492" x14ac:dyDescent="0.25">
      <c r="A62" s="214" t="str">
        <f>Nbal!B62</f>
        <v>31-0</v>
      </c>
      <c r="B62">
        <v>6</v>
      </c>
      <c r="C62">
        <v>1</v>
      </c>
      <c r="D62">
        <f>IF(C62=1,VLOOKUP(B62,Jordtype,Data!$K$112),VLOOKUP(B62,Jordtype,Data!$L$112))</f>
        <v>9</v>
      </c>
      <c r="E62">
        <f>IF(C62=1,VLOOKUP(B62,Jordtype,Data!$M$112),VLOOKUP(B62,Jordtype,Data!$N$112))</f>
        <v>14</v>
      </c>
      <c r="F62">
        <f>IF(OR(B62=1,B62=3),0,IF(OR(B62=2,B62=4),1,IF(OR(B62=5,B62=6),2,3)))</f>
        <v>2</v>
      </c>
      <c r="G62">
        <f>IF(C62=1,VLOOKUP(B62,Jordtype,Data!$Q$112),VLOOKUP(B62,Jordtype,Data!$R$112))</f>
        <v>25</v>
      </c>
      <c r="H62">
        <f>IF(C62=1,VLOOKUP(B62,Jordtype,Data!$O$112),VLOOKUP(B62,Jordtype,Data!$P$112))</f>
        <v>19</v>
      </c>
      <c r="I62">
        <f>IF(B62&lt;5,0,1)</f>
        <v>1</v>
      </c>
      <c r="J62">
        <f>IF(B62&lt;5,PlojJB,1)</f>
        <v>1</v>
      </c>
      <c r="K62">
        <f>IF(B62&lt;5,SaaJB,1)</f>
        <v>1</v>
      </c>
      <c r="L62">
        <f>IF(C62=1,VLOOKUP(B62,Jordtype,Data!$S$112),VLOOKUP(B62,Jordtype,Data!$T$112))</f>
        <v>8</v>
      </c>
      <c r="M62">
        <f>IF(C62=1,VLOOKUP(B62,Jordtype,Data!$U$112),VLOOKUP(B62,Jordtype,Data!$V$112))</f>
        <v>13</v>
      </c>
      <c r="O62">
        <v>35</v>
      </c>
      <c r="P62">
        <v>1</v>
      </c>
      <c r="Q62" t="b">
        <v>0</v>
      </c>
      <c r="R62">
        <v>40</v>
      </c>
      <c r="S62">
        <v>2</v>
      </c>
      <c r="T62">
        <v>1</v>
      </c>
      <c r="U62">
        <v>1</v>
      </c>
      <c r="V62">
        <v>1</v>
      </c>
      <c r="X62">
        <v>35</v>
      </c>
      <c r="Z62">
        <f>Nbal!AG62</f>
        <v>12.52</v>
      </c>
      <c r="AA62">
        <v>1</v>
      </c>
      <c r="AB62">
        <f>VLOOKUP($R62,Afgr,G62)</f>
        <v>110</v>
      </c>
      <c r="AC62">
        <f>VLOOKUP($O62,Afgr,Data!$AI$3)*VLOOKUP(R62,Afgr,Data!$AJ$3)</f>
        <v>0</v>
      </c>
      <c r="AD62">
        <f>IF($Q62,0,VLOOKUP($P62,Efgr,(Data!$W$53+$V$6-1)))</f>
        <v>0</v>
      </c>
      <c r="AE62">
        <f>AB62-AC62-AD62</f>
        <v>110</v>
      </c>
      <c r="AF62">
        <f>AE62*Z62</f>
        <v>1377.2</v>
      </c>
      <c r="AH62">
        <f>VLOOKUP(R62,Afgr,D62)</f>
        <v>56</v>
      </c>
      <c r="AI62">
        <f>VLOOKUP(O62,Afgr,Data!$AL$3)*VLOOKUP(R62,Afgr,E62)</f>
        <v>0</v>
      </c>
      <c r="AJ62">
        <f>VLOOKUP(P62,Efgr,(Data!$Y$53+I62))</f>
        <v>0</v>
      </c>
      <c r="AK62">
        <f>AH62+AI62+AJ62</f>
        <v>56</v>
      </c>
      <c r="AL62">
        <f>AH62+AI62+AJ62</f>
        <v>56</v>
      </c>
      <c r="AM62" s="3">
        <f>IF(Nbal!CK62&lt;&gt;"",Nbal!CK62,AL62)</f>
        <v>52</v>
      </c>
      <c r="AN62">
        <f>AM62*Z62</f>
        <v>651.04</v>
      </c>
      <c r="AO62" t="str">
        <f>VLOOKUP(R62,Afgr,3)</f>
        <v>hkg</v>
      </c>
      <c r="AP62">
        <f>IF(AO62="FE",VLOOKUP($R62,Afgr,Data!$AV$3),0)</f>
        <v>0</v>
      </c>
      <c r="AR62">
        <f>VLOOKUP(R62,Afgr,4)</f>
        <v>145</v>
      </c>
      <c r="AS62" s="3">
        <f>IF(Nbal!CW62&lt;&gt;"",Nbal!CW62,AR62)</f>
        <v>145</v>
      </c>
      <c r="AT62" s="3">
        <f>AM62*AS62</f>
        <v>7540</v>
      </c>
      <c r="AU62" s="3">
        <f>AN62*AS62</f>
        <v>94400.799999999988</v>
      </c>
      <c r="AW62">
        <f>VLOOKUP(R62,Afgr,Data!$AN$3)</f>
        <v>0</v>
      </c>
      <c r="AX62" s="3">
        <f>IF(Nbal!DC62&lt;&gt;"",Nbal!DC62,AW62)</f>
        <v>0</v>
      </c>
      <c r="AY62" s="3">
        <f>AX62*Z62</f>
        <v>0</v>
      </c>
      <c r="BA62">
        <f>VLOOKUP(R62,Afgr,H62)</f>
        <v>3000</v>
      </c>
      <c r="BB62">
        <f>IF(ISERROR(BA62*AM62/AK62),0,(BA62*AM62/AK62))</f>
        <v>2785.7142857142858</v>
      </c>
      <c r="BC62" s="3">
        <f>IF(Nbal!DI62&lt;&gt;"",Nbal!DI62,BB62)</f>
        <v>2785.7142857142858</v>
      </c>
      <c r="BD62">
        <f>BC62*Z62</f>
        <v>34877.142857142855</v>
      </c>
      <c r="BG62">
        <f>IF($S62=1,BC62,0)</f>
        <v>0</v>
      </c>
      <c r="BH62">
        <f>IF($S62=1,BD62,0)</f>
        <v>0</v>
      </c>
      <c r="BI62">
        <f>VLOOKUP(R62,Afgr,Data!$AM$3)</f>
        <v>0.5</v>
      </c>
      <c r="BJ62">
        <f>IF(Nbal!DR62&lt;&gt;"",Nbal!DR62,BI62)</f>
        <v>0.5</v>
      </c>
      <c r="BK62">
        <f>BG62*BJ62</f>
        <v>0</v>
      </c>
      <c r="BL62">
        <f>BH62*BJ62</f>
        <v>0</v>
      </c>
      <c r="BN62">
        <f>VLOOKUP($T62,Efgr,M62)</f>
        <v>0</v>
      </c>
      <c r="BO62">
        <f>BN62*Z62</f>
        <v>0</v>
      </c>
      <c r="BQ62">
        <f>VLOOKUP(T62,Efgr,NormudbKolonneNrEfgr1)</f>
        <v>0</v>
      </c>
      <c r="BR62" s="3">
        <f>IF(Nbal!FE62&lt;&gt;"",Nbal!FE62,BQ62)</f>
        <v>0</v>
      </c>
      <c r="BS62">
        <f>BR62*Z62</f>
        <v>0</v>
      </c>
      <c r="BT62" t="s">
        <v>37</v>
      </c>
      <c r="BU62">
        <f>BR62*Efterslaetpris</f>
        <v>0</v>
      </c>
      <c r="BV62">
        <f>BS62*Efterslaetpris</f>
        <v>0</v>
      </c>
      <c r="BW62">
        <f>VLOOKUP(T62,Efgr,Data!$AG$53)</f>
        <v>0</v>
      </c>
      <c r="BX62">
        <f>BR62*BW62</f>
        <v>0</v>
      </c>
      <c r="BZ62">
        <f>Nbal!AQ62</f>
        <v>0</v>
      </c>
      <c r="CA62" s="211">
        <f>Nbal!AT62</f>
        <v>41</v>
      </c>
      <c r="CB62" s="2">
        <f>Nbal!DZ62</f>
        <v>0</v>
      </c>
      <c r="CC62" s="211">
        <f>Nbal!AT62+Nbal!DZ62</f>
        <v>41</v>
      </c>
      <c r="CD62" s="211">
        <f>Nbal!AX62</f>
        <v>0</v>
      </c>
      <c r="CE62">
        <f>Nbal!BH62</f>
        <v>0</v>
      </c>
      <c r="CF62" s="211">
        <f>Nbal!BM62</f>
        <v>85</v>
      </c>
      <c r="CG62" s="2">
        <f>Nbal!EI62</f>
        <v>0</v>
      </c>
      <c r="CH62" s="211">
        <f>Nbal!BM62+Nbal!EI62</f>
        <v>85</v>
      </c>
      <c r="CI62" s="211">
        <f>Nbal!BW62</f>
        <v>0</v>
      </c>
      <c r="CJ62" s="211">
        <f>Nbal!BH62*Nbal!BJ62*0.01</f>
        <v>0</v>
      </c>
      <c r="CK62" s="211">
        <f>(Nbal!BM62*Nbal!BP62*0.01)</f>
        <v>63.095500000000001</v>
      </c>
      <c r="CL62" s="211">
        <f>(Nbal!EI62*Nbal!EL62*0.01)</f>
        <v>0</v>
      </c>
      <c r="CM62" s="211">
        <f>(Nbal!BM62*Nbal!BP62*0.01)+(Nbal!EI62*Nbal!EL62*0.01)</f>
        <v>63.095500000000001</v>
      </c>
      <c r="CN62" s="211">
        <f>Nbal!BW62*Nbal!BY62*0.01</f>
        <v>0</v>
      </c>
      <c r="CO62">
        <f>Nbal!BT62+Nbal!ER62</f>
        <v>0</v>
      </c>
      <c r="CQ62">
        <f>Nbal!BA62</f>
        <v>0</v>
      </c>
      <c r="CR62">
        <f>Nbal!EC62</f>
        <v>0</v>
      </c>
      <c r="CS62">
        <f>(CQ62+CR62)*Z62</f>
        <v>0</v>
      </c>
      <c r="CT62">
        <f>Nbal!CB62</f>
        <v>18</v>
      </c>
      <c r="CU62">
        <f>Nbal!EV62</f>
        <v>0</v>
      </c>
      <c r="CV62">
        <f>(CT62+CU62)*Z62</f>
        <v>225.35999999999999</v>
      </c>
      <c r="CW62">
        <f>Nbal!BA62+Nbal!CB62+Nbal!EC62+Nbal!EV62</f>
        <v>18</v>
      </c>
      <c r="CY62">
        <f>Nbal!BD62</f>
        <v>0</v>
      </c>
      <c r="CZ62">
        <f>Nbal!EF62</f>
        <v>0</v>
      </c>
      <c r="DA62">
        <f>(CY62+CZ62)*Z62</f>
        <v>0</v>
      </c>
      <c r="DB62">
        <f>Nbal!CE62</f>
        <v>44</v>
      </c>
      <c r="DC62">
        <f>Nbal!EY62</f>
        <v>0</v>
      </c>
      <c r="DD62">
        <f>(DB62+DC62)*Z62</f>
        <v>550.88</v>
      </c>
      <c r="DE62">
        <f>Nbal!BD62+Nbal!CE62+Nbal!EF62+Nbal!EY62</f>
        <v>44</v>
      </c>
      <c r="DG62">
        <f>VLOOKUP($R62,Afgr,Data!$AW$3)</f>
        <v>11.1875</v>
      </c>
      <c r="DH62">
        <f>IF($AO62="FE",$AM62*$AP62*$DG62*0.01,$AM62*100*$DM62*0.01*$DG62*0.01)</f>
        <v>494.48750000000001</v>
      </c>
      <c r="DI62">
        <f>IF(VLOOKUP(R62,Afgr,Data!$BO$3)=1,DH62,0)*Z62</f>
        <v>6190.9835000000003</v>
      </c>
      <c r="DJ62" s="12">
        <f>(BZ62+CC62+CJ62-AE62)*VLOOKUP($R62,Afgr,Data!$AX$3)</f>
        <v>-1.3800000000000001</v>
      </c>
      <c r="DK62">
        <f>DG62+DJ62</f>
        <v>9.8074999999999992</v>
      </c>
      <c r="DL62">
        <f>IF(Nbal!CQ62&lt;&gt;"",Nbal!CQ62,DK62)</f>
        <v>11.7</v>
      </c>
      <c r="DM62">
        <f>VLOOKUP(R62,Afgr,Data!$AT$3)</f>
        <v>85</v>
      </c>
      <c r="DN62">
        <f>IF($AO62="FE",$AM62*$AP62*$DL62*0.01,$AM62*100*$DM62*0.01*DL62*0.01)</f>
        <v>517.14</v>
      </c>
      <c r="DO62">
        <f>IF(VLOOKUP(R62,Afgr,Data!$BO$3)=1,DN62,0)*Z62</f>
        <v>6474.5927999999994</v>
      </c>
      <c r="DP62">
        <f>IF(ISERROR(DN62/VLOOKUP(R62,Afgr,Data!$AY$3)),0,DN62/VLOOKUP(R62,Afgr,Data!$AY$3))</f>
        <v>82.742400000000004</v>
      </c>
      <c r="DQ62">
        <f>DP62*Z62</f>
        <v>1035.9348480000001</v>
      </c>
      <c r="DS62">
        <f>IF($AO62="FE",$AM62*$AP62*VLOOKUP($R62,Afgr,Data!$BC$3)*0.001,$AM62*100*$DM62*0.01*VLOOKUP($R62,Afgr,Data!$BC$3)*0.001)</f>
        <v>16.795999999999999</v>
      </c>
      <c r="DT62">
        <f>DS62*Z62</f>
        <v>210.28591999999998</v>
      </c>
      <c r="DV62">
        <f>IF($AO62="FE",$AM62*$AP62*VLOOKUP($R62,Afgr,Data!$BF$3)*0.001,$AM62*100*$DM62*0.01*VLOOKUP($R62,Afgr,Data!$BF$3)*0.001)</f>
        <v>20.774000000000001</v>
      </c>
      <c r="DW62">
        <f>DV62*Z62</f>
        <v>260.09048000000001</v>
      </c>
      <c r="DY62">
        <f>IF(ISERROR(VLOOKUP(R62,Afgr,Data!$AZ$3)*DL62/DG62),0,VLOOKUP(R62,Afgr,Data!$AZ$3)*DL62/DG62)</f>
        <v>4.1832402234636872</v>
      </c>
      <c r="DZ62">
        <f>VLOOKUP(R62,Afgr,Data!$AU$3)</f>
        <v>85</v>
      </c>
      <c r="EA62">
        <f>IF($S62=1,$BC62*$DZ62*0.01*DY62*0.01,0)</f>
        <v>0</v>
      </c>
      <c r="EB62">
        <f>EA62/6.25</f>
        <v>0</v>
      </c>
      <c r="EC62">
        <f>EB62*Z62</f>
        <v>0</v>
      </c>
      <c r="EE62">
        <f>IF($S62=1,$BC62*$DZ62*0.01*VLOOKUP($R62,Afgr,Data!$BD$3)*0.001,0)</f>
        <v>0</v>
      </c>
      <c r="EF62">
        <f>EE62*Z62</f>
        <v>0</v>
      </c>
      <c r="EH62">
        <f>IF($S62=1,$BC62*$DZ62*0.01*VLOOKUP($R62,Afgr,Data!$BG$3)*0.001,0)</f>
        <v>0</v>
      </c>
      <c r="EI62">
        <f>EH62*Z62</f>
        <v>0</v>
      </c>
      <c r="EK62">
        <f>VLOOKUP(T62,Efgr,Data!$AI$53)</f>
        <v>0</v>
      </c>
      <c r="EL62">
        <f>BX62*EK62*0.01/6.25</f>
        <v>0</v>
      </c>
      <c r="EM62">
        <f>EL62*Z62</f>
        <v>0</v>
      </c>
      <c r="EO62">
        <f>$BX62*VLOOKUP($T62,Efgr,Data!$AJ$53)*0.001</f>
        <v>0</v>
      </c>
      <c r="EP62">
        <f>EO62*Z62</f>
        <v>0</v>
      </c>
      <c r="ER62">
        <f>$BX62*VLOOKUP($T62,Efgr,Data!$AK$53)*0.001</f>
        <v>0</v>
      </c>
      <c r="ES62">
        <f>ER62*Z62</f>
        <v>0</v>
      </c>
      <c r="EU62">
        <f>IF(VLOOKUP(R62,Afgr,Data!$DS$3)=1,DP62*VLOOKUP(R62,Afgr,(Data!$DT$3+EftervirkningUdb1))*VLOOKUP(R62,Afgr,Data!$DV$3),0)</f>
        <v>0</v>
      </c>
      <c r="EV62">
        <f>IF(VLOOKUP(R62,Afgr,Data!$DS$3)=2,VLOOKUP(R62,Afgr,Data!$DX$3),0)</f>
        <v>0</v>
      </c>
      <c r="EW62">
        <f>IF(VLOOKUP(R62,Afgr,Data!$DS$3)=3,$DP62*VLOOKUP($R62,Afgr,IF(Jordtype1&lt;5,Data!$DT$3,Data!$DU$3))*VLOOKUP($R62,Afgr,Data!$DV$3),0)</f>
        <v>0</v>
      </c>
      <c r="EX62">
        <f>IF(VLOOKUP(R62,Afgr,Data!$DS$3)=4,(1.232+0.00469*AM62*100+(0.000256*AM62*100+0.089)*60),0)</f>
        <v>0</v>
      </c>
      <c r="EY62" s="211">
        <f>BZ62+CA62+CJ62+CK62</f>
        <v>104.0955</v>
      </c>
      <c r="EZ62">
        <f>IF(VLOOKUP($R62,Afgr,Data!$DS$3)=5,($AM62*0.02742-$AM62*0.0001*$EY62+$AM62*0.0000001111*$EY62*$EY62),0)</f>
        <v>0</v>
      </c>
      <c r="FA62" s="2">
        <f>CB62+CL62</f>
        <v>0</v>
      </c>
      <c r="FB62">
        <f>IF(VLOOKUP($T62,Efgr,Data!$BH$53)=5,($BR62*0.02742-$BR62*0.0001*$FA62+$BR62*0.0000001111*$FA62*$FA62),0)</f>
        <v>0</v>
      </c>
      <c r="FC62" s="3">
        <f>EU62+EV62+EW62+EX62+EZ62+FB62</f>
        <v>0</v>
      </c>
      <c r="FD62" s="3">
        <f>FC62*Z62</f>
        <v>0</v>
      </c>
      <c r="FF62" s="211">
        <f>BZ62+CC62</f>
        <v>41</v>
      </c>
      <c r="FG62" s="211">
        <f>FF62*Z62</f>
        <v>513.31999999999994</v>
      </c>
      <c r="FH62" s="211">
        <f>CE62+CH62+CO62</f>
        <v>85</v>
      </c>
      <c r="FI62" s="211">
        <f>FH62*Z62</f>
        <v>1064.2</v>
      </c>
      <c r="FJ62">
        <f>VLOOKUP($R62,Afgr,Data!$DK$3)*VLOOKUP($R62,Afgr,Data!$AT$3)*0.01*VLOOKUP($R62,Afgr,Data!$AW$3)*0.01/6.25</f>
        <v>2.4344000000000001</v>
      </c>
      <c r="FK62">
        <f>FJ62*Z62</f>
        <v>30.478688000000002</v>
      </c>
      <c r="FL62" s="4">
        <f>IF(R62&gt;1,Deposition,0)</f>
        <v>15</v>
      </c>
      <c r="FM62" s="4">
        <f>FL62*Z62</f>
        <v>187.79999999999998</v>
      </c>
      <c r="FN62">
        <f>FC62</f>
        <v>0</v>
      </c>
      <c r="FO62">
        <f>FN62*Z62</f>
        <v>0</v>
      </c>
      <c r="FP62" s="211">
        <f>SUM(FF62,FH62,FJ62,FL62,FN62)</f>
        <v>143.43440000000001</v>
      </c>
      <c r="FQ62">
        <f>DP62+EB62+EL62</f>
        <v>82.742400000000004</v>
      </c>
      <c r="FR62" s="3">
        <f>FP62-FQ62</f>
        <v>60.692000000000007</v>
      </c>
      <c r="FS62" s="19">
        <f>FP62*Z62</f>
        <v>1795.7986880000001</v>
      </c>
      <c r="FT62" s="19">
        <f>FQ62*Z62</f>
        <v>1035.9348480000001</v>
      </c>
      <c r="FU62" s="3">
        <f>FR62*Z62</f>
        <v>759.8638400000001</v>
      </c>
      <c r="FW62">
        <f>CW62</f>
        <v>18</v>
      </c>
      <c r="FX62">
        <f>FW62*Z62</f>
        <v>225.35999999999999</v>
      </c>
      <c r="FY62">
        <f>IX62+MB62</f>
        <v>16.795999999999999</v>
      </c>
      <c r="FZ62">
        <f>FY62*Z62</f>
        <v>210.28591999999998</v>
      </c>
      <c r="GA62">
        <f>FW62-FY62</f>
        <v>1.2040000000000006</v>
      </c>
      <c r="GB62">
        <f>GA62*Z62</f>
        <v>15.074080000000007</v>
      </c>
      <c r="GD62">
        <f>DE62</f>
        <v>44</v>
      </c>
      <c r="GE62">
        <f>GD62*Z62</f>
        <v>550.88</v>
      </c>
      <c r="GF62">
        <f>JE62+MH62</f>
        <v>20.774000000000001</v>
      </c>
      <c r="GG62">
        <f>GF62*Z62</f>
        <v>260.09048000000001</v>
      </c>
      <c r="GH62">
        <f>GD62-GF62</f>
        <v>23.225999999999999</v>
      </c>
      <c r="GI62">
        <f>GH62*Z62</f>
        <v>290.78951999999998</v>
      </c>
      <c r="GK62">
        <f>AA62</f>
        <v>1</v>
      </c>
      <c r="GL62" s="211">
        <f>FF62+FH62+FN62</f>
        <v>126</v>
      </c>
      <c r="GM62" s="211">
        <f>IF(R62=1,"",IF(GK62=1,GL62,""))</f>
        <v>126</v>
      </c>
      <c r="GN62" s="211" t="str">
        <f>IF(R62=1,"",IF(GK62=2,GL62,""))</f>
        <v/>
      </c>
      <c r="GO62" s="211" t="str">
        <f>IF(R62=1,"",IF(GK62=3,GL62,""))</f>
        <v/>
      </c>
      <c r="GP62" s="211" t="str">
        <f>IF(R62=1,"",IF(GK62=4,GL62,""))</f>
        <v/>
      </c>
      <c r="GQ62" s="149">
        <f>IF(OR(R62=1,VLOOKUP(R62,Afgr,Data!$BV$3)=1,VLOOKUP(R62,Afgr,Data!$BW$3)=1),0,IF(GK62=1,Nniveau1,IF(GK62=2,Nniveau2,IF(GK62=3,Nniveau3,IF(GK62=4,Nniveau4,GL62)))))</f>
        <v>173.16922222222217</v>
      </c>
      <c r="GR62" s="241">
        <v>0.32550000000000001</v>
      </c>
      <c r="GS62" s="6">
        <v>0</v>
      </c>
      <c r="GT62" s="149">
        <f>CC62+CM62</f>
        <v>104.0955</v>
      </c>
      <c r="GU62" s="6">
        <f>$FN62</f>
        <v>0</v>
      </c>
      <c r="GV62" s="241">
        <v>0.25280000000000002</v>
      </c>
      <c r="GW62">
        <f>CO62</f>
        <v>0</v>
      </c>
      <c r="GX62" s="241">
        <v>0.376</v>
      </c>
      <c r="GY62" s="149">
        <f>CD62+CN62</f>
        <v>0</v>
      </c>
      <c r="GZ62" s="241">
        <f>IF(B62&gt;3,0.3539,1.0749)</f>
        <v>0.35389999999999999</v>
      </c>
      <c r="HA62" s="11">
        <f>$FQ62</f>
        <v>82.742400000000004</v>
      </c>
      <c r="HB62" s="241">
        <v>0.19359999999999999</v>
      </c>
      <c r="HC62" s="241">
        <f>VLOOKUP($R62,Afgr,Data!$DM$3)</f>
        <v>1</v>
      </c>
      <c r="HD62" s="24">
        <f>IF($HC62&gt;1,0,(VLOOKUP($X62,Afgr,Data!$DP$3)+IF(VLOOKUP($X62,Afgr,Data!$DP$3)=0,VLOOKUP($T62,Efgr,Data!$BI$53,0))))+IF(AND($HC62=7,VLOOKUP($X62,Afgr,Data!$DQ$3)=-2),-2,0)+IF(AND($HC62=6,VLOOKUP($T62,Efgr,Data!$BI$53)=2),8,0)</f>
        <v>1</v>
      </c>
      <c r="HE62" s="6">
        <f>VLOOKUP(SUM(HC62:HD62),Nlesafgr,3)</f>
        <v>-7.6</v>
      </c>
      <c r="HF62" s="7">
        <f>VLOOKUP($O62,Afgr,Data!$DN$3)</f>
        <v>1</v>
      </c>
      <c r="HG62" s="24">
        <f>IF(HF62&gt;1,0,VLOOKUP($R62,Afgr,Data!$DO$3)+IF(VLOOKUP($R62,Afgr,Data!$DO$3)=1,0,VLOOKUP($P62,Efgr,Data!$BJ$53)))</f>
        <v>0</v>
      </c>
      <c r="HH62" s="6">
        <f>VLOOKUP(SUM(HF62:HG62),Nlesforfrugt,3)</f>
        <v>0</v>
      </c>
      <c r="HI62" s="241">
        <f>GR62*GQ62+GV62*(GT62+GU62)+GX62*GW62+GZ62*GY62-HB62*HA62+HE62+HH62</f>
        <v>59.062995593333319</v>
      </c>
      <c r="HJ62" s="241">
        <f>Nlesafskaering</f>
        <v>59.6</v>
      </c>
      <c r="HK62" s="241">
        <f>Teknologi1</f>
        <v>2455</v>
      </c>
      <c r="HL62" s="6">
        <v>2001</v>
      </c>
      <c r="HM62" s="241">
        <f>Teknologi2</f>
        <v>1962.2</v>
      </c>
      <c r="HN62" s="241">
        <f>Tandel</f>
        <v>0.54659999999999997</v>
      </c>
      <c r="HO62" s="241">
        <f>IF(OR(HI62&gt;0,HI62=0),HJ62+HK62/(HL62-HM62),HJ62+HK62/(HL62-HM62)+HN62*HI62)</f>
        <v>122.87319587628873</v>
      </c>
      <c r="HP62" s="241">
        <f>IF(HI62&gt;0,HI62,0.001)</f>
        <v>59.062995593333319</v>
      </c>
      <c r="HQ62" s="241">
        <v>1.5020000000000001E-3</v>
      </c>
      <c r="HR62" s="24">
        <f>IF(R62=1,0,VLOOKUP(PostnrNbal,AfstromData,VLOOKUP($R62,Afgr,Data!$DL$3)+IF(Jordtype1&lt;7,Jordtype1,6),FALSE)-VLOOKUP(T62,Efgr,Data!$AA$53))</f>
        <v>304.76666666666603</v>
      </c>
      <c r="HS62" s="24">
        <f>IF(Nbal!GA62&lt;&gt;"",Nbal!GA62,Regn2!HR62)</f>
        <v>304.76666666666603</v>
      </c>
      <c r="HT62" s="241">
        <v>5.5400000000000002E-4</v>
      </c>
      <c r="HU62" s="24">
        <f>IF(R62=1,0,VLOOKUP(PostnrNbal,AfstromData,VLOOKUP($O62,Afgr,Data!$DL$3)+IF(B62&lt;7,B62,6),FALSE)-VLOOKUP(P62,Efgr,Data!$AA$53))</f>
        <v>269.74999999999898</v>
      </c>
      <c r="HV62" s="24">
        <f>IF(Nbal!FU62&lt;&gt;"",Nbal!FU62,Regn2!HU62)</f>
        <v>269.74999999999898</v>
      </c>
      <c r="HW62" s="241">
        <v>0.10639999999999999</v>
      </c>
      <c r="HX62" s="6">
        <f>VLOOKUP(B62,Jordtype,Data!$W$112)</f>
        <v>3</v>
      </c>
      <c r="HY62" s="241">
        <v>3.2500000000000001E-2</v>
      </c>
      <c r="HZ62" s="6">
        <f>VLOOKUP(B62,Jordtype,Data!$X$112)</f>
        <v>12</v>
      </c>
      <c r="IA62" s="241">
        <v>1.2453000000000001</v>
      </c>
      <c r="IB62" s="241">
        <f>IF(VLOOKUP(T62,Efgr,Data!$AO$53)=1,MlafgrNUdvask,0)</f>
        <v>0</v>
      </c>
      <c r="IC62" s="20">
        <f>IF(ISERROR((HO62+POWER(HP62,1.2))*(1-EXP(-HQ62*HS62))*EXP(-HT62*HV62)*EXP(-HW62*HX62)*EXP(-HY62*HZ62)*IA62),0,(HO62+POWER(HP62,1.2))*(1-EXP(-HQ62*HS62))*EXP(-HT62*HV62)*EXP(-HW62*HX62)*EXP(-HY62*HZ62)*IA62+IB62)</f>
        <v>49.695310489602527</v>
      </c>
      <c r="ID62">
        <f>IC62*Z62</f>
        <v>622.18528732982361</v>
      </c>
      <c r="IE62">
        <f>IF(Nbal!GF62&lt;&gt;"",Nbal!GF62,RetentionNbal)</f>
        <v>65</v>
      </c>
      <c r="IF62">
        <f>IC62*(100-IE62)*0.01</f>
        <v>17.393358671360883</v>
      </c>
      <c r="IG62">
        <f>IF62*Z62</f>
        <v>217.76485056543825</v>
      </c>
      <c r="IH62" s="2">
        <f>HS62*10000</f>
        <v>3047666.6666666605</v>
      </c>
      <c r="II62" s="2">
        <f>IH62*Z62</f>
        <v>38156786.66666659</v>
      </c>
      <c r="IJ62">
        <f>IF(ISERROR(IC62*1000*1000/IH62),0,IC62*1000*1000/IH62)</f>
        <v>16.30601897285441</v>
      </c>
      <c r="IL62">
        <f>AT62+AX62+BK62+BU62</f>
        <v>7540</v>
      </c>
      <c r="IO62">
        <f>VLOOKUP(R62,Afgr,Data!$AP$3)*UdsaedJust</f>
        <v>488</v>
      </c>
      <c r="IP62" s="3">
        <f>IF(Nbal!GN62&lt;&gt;"",Nbal!GN62,IO62)</f>
        <v>488</v>
      </c>
      <c r="IQ62" s="3">
        <f>IP62*Z62</f>
        <v>6109.76</v>
      </c>
      <c r="IS62" s="3">
        <f>IF(HdgVaerdiNbal=1,(BZ62+CA62)*Npris,(BZ62+CA62+CJ62+CK62)*Npris)</f>
        <v>346.45</v>
      </c>
      <c r="IT62" s="3">
        <f>IS62*Z62</f>
        <v>4337.5540000000001</v>
      </c>
      <c r="IV62">
        <f>VLOOKUP($R62,Afgr,Data!$BA$3)</f>
        <v>0</v>
      </c>
      <c r="IW62">
        <f>VLOOKUP($R62,Afgr,Data!$BB$3)</f>
        <v>2.5</v>
      </c>
      <c r="IX62">
        <f>$DS62+$EE62</f>
        <v>16.795999999999999</v>
      </c>
      <c r="IY62">
        <f>CT62</f>
        <v>18</v>
      </c>
      <c r="IZ62">
        <f>CQ62</f>
        <v>0</v>
      </c>
      <c r="JA62" s="3">
        <f>IF(HdgVaerdiNbal=1,(IZ62)*Ppris,(IY62+IZ62)*Ppris)</f>
        <v>0</v>
      </c>
      <c r="JB62" s="3">
        <f>JA62*Z62</f>
        <v>0</v>
      </c>
      <c r="JD62">
        <f>IF(AND(R62&gt;1,OR(Jordtype1=1,Jordtype1=3,Markvand1=2)),Kudvask,0)</f>
        <v>0</v>
      </c>
      <c r="JE62">
        <f>$DV62+$EH62</f>
        <v>20.774000000000001</v>
      </c>
      <c r="JF62">
        <f>DB62</f>
        <v>44</v>
      </c>
      <c r="JG62">
        <f>CY62</f>
        <v>0</v>
      </c>
      <c r="JH62" s="3">
        <f>IF(HdgVaerdiNbal=1,JG62*Kpris,(JF62+JG62)*Kpris)</f>
        <v>0</v>
      </c>
      <c r="JI62" s="3">
        <f>JH62*Z62</f>
        <v>0</v>
      </c>
      <c r="JK62">
        <f>IS62+JA62+JH62</f>
        <v>346.45</v>
      </c>
      <c r="JL62" s="3">
        <f>IF(Nbal!GT62&lt;&gt;"",Nbal!GT62,$JK62)</f>
        <v>346.45</v>
      </c>
      <c r="JM62" s="3">
        <f>JL62*Z62</f>
        <v>4337.5540000000001</v>
      </c>
      <c r="JO62">
        <f>VLOOKUP(R62,Afgr,Data!$AQ$3)*PlantevJust</f>
        <v>283</v>
      </c>
      <c r="JP62" s="3">
        <f>IF(Nbal!GZ62&lt;&gt;"",Nbal!GZ62,JO62)</f>
        <v>283</v>
      </c>
      <c r="JQ62" s="3">
        <f>JP62*Z62</f>
        <v>3543.16</v>
      </c>
      <c r="JS62">
        <f>VLOOKUP(R62,Afgr,Data!$AR$3)+AM62*VLOOKUP(R62,Afgr,Data!$BH$3)</f>
        <v>0</v>
      </c>
      <c r="JT62" s="3">
        <f>IF(Nbal!HF62&lt;&gt;"",Nbal!HF62,JS62)</f>
        <v>0</v>
      </c>
      <c r="JU62">
        <f>JT62*Z62</f>
        <v>0</v>
      </c>
      <c r="JW62">
        <f>IP62+JL62+JP62+JT62</f>
        <v>1117.45</v>
      </c>
      <c r="JY62">
        <f>IF(VLOOKUP(R62,Afgr,Data!$BY$3)&gt;0,Data!$K$259*J62,0)</f>
        <v>600</v>
      </c>
      <c r="JZ62">
        <f>IF(VLOOKUP(R62,Afgr,Data!$BZ$3)&gt;0,Data!$K$260*J62,0)</f>
        <v>0</v>
      </c>
      <c r="KA62">
        <f>(JY62+JZ62)*MaskJust</f>
        <v>600</v>
      </c>
      <c r="KB62" s="3">
        <f>IF(Nbal!HL62&lt;&gt;"",Nbal!HL62,KA62)</f>
        <v>600</v>
      </c>
      <c r="KC62" s="3">
        <f>KB62*Z62</f>
        <v>7512</v>
      </c>
      <c r="KE62">
        <f>IF(VLOOKUP(R62,Afgr,Data!$CA$3)&gt;0,VLOOKUP(R62,Afgr,Data!$CA$3)*Data!$K$261*K62,0)</f>
        <v>0</v>
      </c>
      <c r="KF62">
        <f>IF(VLOOKUP(R62,Afgr,Data!$CC$3)&gt;0,Data!$K$262*K62,0)</f>
        <v>350</v>
      </c>
      <c r="KG62">
        <f>IF(VLOOKUP(R62,Afgr,Data!$CD$3)&gt;0,VLOOKUP(R62,Afgr,Data!$CD$3)*Data!$K$263*K62,0)</f>
        <v>0</v>
      </c>
      <c r="KH62">
        <f>IF(VLOOKUP(R62,Afgr,Data!$CE$3)&gt;0,Data!$K$264*K62,0)</f>
        <v>0</v>
      </c>
      <c r="KI62">
        <f>IF(VLOOKUP(R62,Afgr,Data!$CF$3)&gt;0,Data!$K$265*K62,0)</f>
        <v>0</v>
      </c>
      <c r="KJ62">
        <f>IF(VLOOKUP(R62,Afgr,Data!$CV$3)&gt;0,Data!$K$266,0)</f>
        <v>0</v>
      </c>
      <c r="KK62">
        <f>IF(VLOOKUP(R62,Afgr,Data!$CG$3)&gt;0,Data!$K$267*K62,0)</f>
        <v>0</v>
      </c>
      <c r="KL62">
        <f>(KE62+KF62+KG62+KH62+KI62+KJ62+KK62)*MaskJust</f>
        <v>350</v>
      </c>
      <c r="KM62" s="3">
        <f>IF(Nbal!HR62&lt;&gt;"",Nbal!HR62,KL62)</f>
        <v>350</v>
      </c>
      <c r="KN62" s="3">
        <f>KM62*Z62</f>
        <v>4382</v>
      </c>
      <c r="KP62">
        <f>IF(VLOOKUP(R62,Afgr,Data!$CJ$3)&gt;0,VLOOKUP(R62,Afgr,Data!$CJ$3)*Data!$K$268*K62,0)*MaskJust</f>
        <v>140</v>
      </c>
      <c r="KQ62" s="3">
        <f>IF(Nbal!HX62&lt;&gt;"",Nbal!HX62,KP62)</f>
        <v>140</v>
      </c>
      <c r="KR62" s="3">
        <f>KQ62*Z62</f>
        <v>1752.8</v>
      </c>
      <c r="KT62">
        <f>IF(VLOOKUP(R62,Afgr,Data!$CI$3)&gt;0,VLOOKUP(R62,Afgr,Data!$CI$3)*Data!$K$269,0)*MaskJust</f>
        <v>300</v>
      </c>
      <c r="KU62" s="3">
        <f>IF(Nbal!ID62&lt;&gt;"",Nbal!ID62,KT62)</f>
        <v>300</v>
      </c>
      <c r="KV62" s="3">
        <f>KU62*Z62</f>
        <v>3756</v>
      </c>
      <c r="KX62">
        <f>IF(C62=2,VLOOKUP($R62,Afgr,Data!$CY$3),0)</f>
        <v>0</v>
      </c>
      <c r="KY62">
        <f>IF(Nbal!IJ62&lt;&gt;"",Nbal!IJ62,$KX62)</f>
        <v>0</v>
      </c>
      <c r="KZ62">
        <f>IF(AND(R62&gt;1,C62=2),Vandmaskin+$KY62*Flytning/mmprgang+$KY62*Prisprmm,0)</f>
        <v>0</v>
      </c>
      <c r="LA62" s="3">
        <f>IF(Nbal!IP62&lt;&gt;"",Nbal!IP62,$KZ62)</f>
        <v>0</v>
      </c>
      <c r="LB62" s="3">
        <f>LA62*Z62</f>
        <v>0</v>
      </c>
      <c r="LD62">
        <f>IF(VLOOKUP($R62,Afgr,Data!$CK$3)&gt;0,((1+AM62/VLOOKUP($R62,Afgr,Data!$CK$3))/2)*VLOOKUP($R62,Afgr,Data!$CL$3)*VLOOKUP($R62,Afgr,Data!$CN$3)+VLOOKUP($R62,Afgr,Data!$CM$3),0)</f>
        <v>725.2941176470589</v>
      </c>
      <c r="LE62">
        <f>IF(VLOOKUP($R62,Afgr,Data!$CK$3)&gt;0,IF(AND($S62=2,$BA62&gt;0),Data!$K$271,0),0)</f>
        <v>50</v>
      </c>
      <c r="LF62">
        <f>IF(VLOOKUP($R62,Afgr,Data!$CK$3)&gt;0,(AM62/VLOOKUP($R62,Afgr,Data!$CK$3))*VLOOKUP($R62,Afgr,Data!$CO$3)*VLOOKUP($R62,Afgr,Data!$CN$3),0)</f>
        <v>198.82352941176472</v>
      </c>
      <c r="LG62">
        <f>(LD62+LE62+LF62)*MaskJust</f>
        <v>974.11764705882365</v>
      </c>
      <c r="LH62" s="3">
        <f>IF(Nbal!IV62&lt;&gt;"",Nbal!IV62,LG62)</f>
        <v>974.11764705882365</v>
      </c>
      <c r="LI62" s="3">
        <f>LH62*Z62</f>
        <v>12195.952941176472</v>
      </c>
      <c r="LJ62" s="3"/>
      <c r="LK62">
        <f>IF(AND($S62=1,VLOOKUP($R62,Afgr,Data!$CP$3)&gt;0),((1+$BC62/VLOOKUP($R62,Afgr,Data!$CP$3))/2)*VLOOKUP($R62,Afgr,Data!$CQ$3),0)</f>
        <v>0</v>
      </c>
      <c r="LL62">
        <f>IF(AND($S62=1,VLOOKUP($R62,Afgr,Data!$CP$3)&gt;0),($BC62/VLOOKUP($R62,Afgr,Data!$CP$3))*VLOOKUP($R62,Afgr,Data!$CR$3),0)</f>
        <v>0</v>
      </c>
      <c r="LM62">
        <f>(LK62+LL62)*MaskJust</f>
        <v>0</v>
      </c>
      <c r="LN62" s="3">
        <f>IF(Nbal!JB62&lt;&gt;"",Nbal!JB62,LM62)</f>
        <v>0</v>
      </c>
      <c r="LO62" s="3">
        <f>LN62*Z62</f>
        <v>0</v>
      </c>
      <c r="LQ62">
        <f>$AM62*VLOOKUP($R62,Afgr,Data!$CS$3)*IF($V62=1,VLOOKUP($R62,Afgr,Data!$CT$3),IF($V62=2,VLOOKUP($R62,Afgr,Data!$CU$3),0))</f>
        <v>480.48000000000008</v>
      </c>
      <c r="LR62" s="3">
        <f>IF(Nbal!JK62&lt;&gt;"",Nbal!JK62,LQ62)</f>
        <v>480.48000000000008</v>
      </c>
      <c r="LS62" s="3">
        <f>LR62*Z62</f>
        <v>6015.6096000000007</v>
      </c>
      <c r="LU62">
        <f>VLOOKUP($T62,Efgr,Data!$AC$53)*UdsaedJust</f>
        <v>0</v>
      </c>
      <c r="LV62" s="3">
        <f>IF(Nbal!$JS62&lt;&gt;"",Nbal!$JS62,LU62)</f>
        <v>0</v>
      </c>
      <c r="LW62" s="3">
        <f>LV62*Z62</f>
        <v>0</v>
      </c>
      <c r="LY62" s="3">
        <f>IF(HdgVaerdiNbal=1,(CB62)*Npris,(CB62+CL62)*Npris)</f>
        <v>0</v>
      </c>
      <c r="LZ62" s="3">
        <f>LY62*Z62</f>
        <v>0</v>
      </c>
      <c r="MB62">
        <f>$EO62</f>
        <v>0</v>
      </c>
      <c r="MC62">
        <f>CU62</f>
        <v>0</v>
      </c>
      <c r="MD62">
        <f>CR62</f>
        <v>0</v>
      </c>
      <c r="ME62" s="3">
        <f>IF(HdgVaerdiNbal=1,MD62*Ppris,(MC62+MD62)*Ppris)</f>
        <v>0</v>
      </c>
      <c r="MF62" s="3">
        <f>ME62*Z62</f>
        <v>0</v>
      </c>
      <c r="MH62">
        <f>$ER62</f>
        <v>0</v>
      </c>
      <c r="MI62">
        <f>DC62</f>
        <v>0</v>
      </c>
      <c r="MJ62">
        <f>CZ62</f>
        <v>0</v>
      </c>
      <c r="MK62" s="3">
        <f>IF(HdgVaerdiNbal=1,MJ62*Ppris,(MI62+MJ62)*Ppris)</f>
        <v>0</v>
      </c>
      <c r="ML62" s="3">
        <f>MK62*Z62</f>
        <v>0</v>
      </c>
      <c r="MN62">
        <f>LY62+ME62+MK62</f>
        <v>0</v>
      </c>
      <c r="MO62" s="3">
        <f>IF(Nbal!JY62&lt;&gt;"",Nbal!JY62,$MN62)</f>
        <v>0</v>
      </c>
      <c r="MP62" s="3">
        <f>MO62*Z62</f>
        <v>0</v>
      </c>
      <c r="MR62">
        <f>VLOOKUP($T62,Efgr,Data!$AE$53)*PlantevJust</f>
        <v>0</v>
      </c>
      <c r="MS62" s="3">
        <f>IF(Nbal!KE62&lt;&gt;"",Nbal!KE62,MR62)</f>
        <v>0</v>
      </c>
      <c r="MT62" s="3">
        <f>MS62*Z62</f>
        <v>0</v>
      </c>
      <c r="MV62">
        <f>VLOOKUP($T62,Efgr,Data!$AF$53)+$BR62*VLOOKUP($T62,Efgr,Data!$AL$53)</f>
        <v>0</v>
      </c>
      <c r="MW62" s="3">
        <f>IF(Nbal!KK62&lt;&gt;"",Nbal!KK62,MV62)</f>
        <v>0</v>
      </c>
      <c r="MX62" s="3">
        <f>MW62*Z62</f>
        <v>0</v>
      </c>
      <c r="MZ62">
        <f>LV62+MO62+MS62+MW62</f>
        <v>0</v>
      </c>
      <c r="NB62">
        <f>VLOOKUP($T62,Efgr,Data!$AU$53)*K62*MaskJust</f>
        <v>0</v>
      </c>
      <c r="NC62" s="3">
        <f>IF(Nbal!KQ62&lt;&gt;"",Nbal!KQ62,NB62)</f>
        <v>0</v>
      </c>
      <c r="ND62" s="3">
        <f>NC62*Z62</f>
        <v>0</v>
      </c>
      <c r="NF62">
        <f>VLOOKUP($T62,Efgr,Data!$AW$53)*Data!$K$268*K62*MaskJust</f>
        <v>0</v>
      </c>
      <c r="NG62" s="3">
        <f>IF(Nbal!KW62&lt;&gt;"",Nbal!KW62,NF62)</f>
        <v>0</v>
      </c>
      <c r="NH62" s="3">
        <f>NG62*Z62</f>
        <v>0</v>
      </c>
      <c r="NJ62">
        <f>VLOOKUP($T62,Efgr,Data!$AV$53)*Data!$K$269*MaskJust</f>
        <v>0</v>
      </c>
      <c r="NK62" s="3">
        <f>IF(Nbal!LC62&lt;&gt;"",Nbal!LC62,NJ62)</f>
        <v>0</v>
      </c>
      <c r="NL62" s="3">
        <f>NK62*Z62</f>
        <v>0</v>
      </c>
      <c r="NN62">
        <f>IF(C62=2,VLOOKUP($T62,Efgr,Data!$BC$53),0)</f>
        <v>0</v>
      </c>
      <c r="NO62">
        <f>IF(Nbal!LI62&lt;&gt;"",Nbal!LI62,$NN62)</f>
        <v>0</v>
      </c>
      <c r="NP62">
        <f>IF(C62=2,$NO62*Flytning/mmprgang+$NO62*Prisprmm,0)</f>
        <v>0</v>
      </c>
      <c r="NQ62" s="3">
        <f>IF(Nbal!LO62&lt;&gt;"",Nbal!LO62,$NP62)</f>
        <v>0</v>
      </c>
      <c r="NR62" s="3">
        <f>NQ62*Z62</f>
        <v>0</v>
      </c>
      <c r="NT62">
        <f>IF(VLOOKUP($T62,Efgr,Data!$AX$53)&gt;0,((1+BR62/VLOOKUP($T62,Efgr,Data!$AX$53))/2)*VLOOKUP($T62,Efgr,Data!$AY$53)*VLOOKUP($T62,Efgr,Data!$BA$53)+VLOOKUP($T62,Efgr,Data!$AZ$53),0)</f>
        <v>0</v>
      </c>
      <c r="NU62">
        <f>IF(VLOOKUP($T62,Efgr,Data!$AX$53)&gt;0,($BR62/VLOOKUP($T62,Efgr,Data!$AX$53))*VLOOKUP($T62,Efgr,Data!$BB$53)*VLOOKUP($T62,Efgr,Data!$BA$53),0)</f>
        <v>0</v>
      </c>
      <c r="NV62">
        <f>(NT62+NU62)*MaskJust</f>
        <v>0</v>
      </c>
      <c r="NW62" s="3">
        <f>IF(Nbal!LU62&lt;&gt;"",Nbal!LU62,NV62)</f>
        <v>0</v>
      </c>
      <c r="NX62" s="3">
        <f>NW62*Z62</f>
        <v>0</v>
      </c>
      <c r="NZ62">
        <f>IF($U62=2,Data!$K$304,IF($U62=3,Data!$K$305,0))*MaskJust</f>
        <v>0</v>
      </c>
      <c r="OA62" s="3">
        <f>IF(Nbal!MA62&lt;&gt;"",Nbal!MA62,NZ62)</f>
        <v>0</v>
      </c>
      <c r="OB62" s="3">
        <f>OA62*Z62</f>
        <v>0</v>
      </c>
      <c r="OD62">
        <f>IL62</f>
        <v>7540</v>
      </c>
      <c r="OE62">
        <f>JW62+MZ62</f>
        <v>1117.45</v>
      </c>
      <c r="OF62">
        <f>OD62-OE62</f>
        <v>6422.55</v>
      </c>
      <c r="OG62">
        <f>OF62*Z62</f>
        <v>80410.326000000001</v>
      </c>
      <c r="OJ62">
        <f>VLOOKUP($O62,Afgr,Data!$BP$3)+VLOOKUP($P62,Efgr,Data!$AM$53)</f>
        <v>1</v>
      </c>
      <c r="OK62" s="3">
        <f>OJ62*Z62</f>
        <v>12.52</v>
      </c>
      <c r="OL62">
        <f>VLOOKUP($R62,Afgr,Data!$BP$3)+VLOOKUP($T62,Efgr,Data!$AM$53)</f>
        <v>1</v>
      </c>
      <c r="OM62" s="3">
        <f>OL62*Z62</f>
        <v>12.52</v>
      </c>
      <c r="OO62">
        <f>VLOOKUP($P62,Efgr,Data!$AN$53)</f>
        <v>0</v>
      </c>
      <c r="OP62">
        <f>VLOOKUP($O62,Afgr,Data!$BQ$3)</f>
        <v>1</v>
      </c>
      <c r="OQ62">
        <f>VLOOKUP($R62,Afgr,Data!$BR$3)</f>
        <v>1</v>
      </c>
      <c r="OR62">
        <f>OO62*OP62*OQ62</f>
        <v>0</v>
      </c>
      <c r="OS62" s="3">
        <f>OR62*Z62</f>
        <v>0</v>
      </c>
      <c r="OT62" s="3">
        <f>IF(Q62,1,0)*OS62</f>
        <v>0</v>
      </c>
      <c r="OV62">
        <f>VLOOKUP($T62,Efgr,Data!$AN$53)</f>
        <v>0</v>
      </c>
      <c r="OW62">
        <f>VLOOKUP($R62,Afgr,Data!$BQ$3)</f>
        <v>1</v>
      </c>
      <c r="OX62">
        <f>VLOOKUP($X62,Afgr,Data!$BR$3)</f>
        <v>0</v>
      </c>
      <c r="OY62">
        <f>OV62*OW62*OX62</f>
        <v>0</v>
      </c>
      <c r="OZ62" s="3">
        <f>OY62*Z62</f>
        <v>0</v>
      </c>
      <c r="PB62">
        <f>VLOOKUP($T62,Efgr,Data!$AO$53)</f>
        <v>0</v>
      </c>
      <c r="PC62">
        <f>VLOOKUP($O62,Afgr,Data!$BQ$3)</f>
        <v>1</v>
      </c>
      <c r="PD62">
        <f>VLOOKUP($R62,Afgr,Data!$BS$3)</f>
        <v>0</v>
      </c>
      <c r="PE62" s="3">
        <f>PB62*PC62*PD62*$Z62</f>
        <v>0</v>
      </c>
      <c r="PG62">
        <f>VLOOKUP($T62,Efgr,Data!$AO$53)</f>
        <v>0</v>
      </c>
      <c r="PH62">
        <f>VLOOKUP($R62,Afgr,Data!$BQ$3)</f>
        <v>1</v>
      </c>
      <c r="PI62">
        <f>VLOOKUP($X62,Afgr,Data!$BS$3)</f>
        <v>1</v>
      </c>
      <c r="PJ62" s="3">
        <f>PG62*PH62*PI62*$Z62</f>
        <v>0</v>
      </c>
      <c r="PK62" s="3"/>
      <c r="PL62" s="3">
        <f>VLOOKUP($O62,Afgr,Data!$BU$3)</f>
        <v>0</v>
      </c>
      <c r="PM62" s="3">
        <f>PL62*Z62</f>
        <v>0</v>
      </c>
      <c r="PN62" s="3">
        <f>VLOOKUP($R62,Afgr,Data!$BU$3)</f>
        <v>0</v>
      </c>
      <c r="PO62" s="3">
        <f>PN62*Z62</f>
        <v>0</v>
      </c>
      <c r="PQ62">
        <f>VLOOKUP(R62,Afgr,Data!$BX$3)+VLOOKUP(T62,Efgr,Data!$AQ$53)</f>
        <v>0</v>
      </c>
      <c r="PR62">
        <f>IF(PQ62&gt;0,Z62,0)</f>
        <v>0</v>
      </c>
      <c r="PT62">
        <f>VLOOKUP($O62,Afgr,Data!$BT$3)</f>
        <v>1</v>
      </c>
      <c r="PU62" s="3">
        <f>PT62*Z62</f>
        <v>12.52</v>
      </c>
      <c r="PV62">
        <f>VLOOKUP($R62,Afgr,Data!$BT$3)</f>
        <v>1</v>
      </c>
      <c r="PW62" s="3">
        <f>PV62*Z62</f>
        <v>12.52</v>
      </c>
      <c r="PY62">
        <f>VLOOKUP($R62,Afgr,Data!$BV$3)</f>
        <v>0</v>
      </c>
      <c r="PZ62">
        <f>PY62*Z62</f>
        <v>0</v>
      </c>
      <c r="QB62">
        <f>VLOOKUP($R62,Afgr,Data!$BW$3)</f>
        <v>0</v>
      </c>
      <c r="QC62">
        <f>QB62*Z62</f>
        <v>0</v>
      </c>
      <c r="QE62">
        <f>AM62*IF(VLOOKUP($R62,Afgr,Data!$BJ$3)&gt;0,1,0)</f>
        <v>52</v>
      </c>
      <c r="QF62">
        <f>QE62*Z62</f>
        <v>651.04</v>
      </c>
      <c r="QH62">
        <f>AM62*VLOOKUP(R62,Afgr,Data!$BK$3)</f>
        <v>4914</v>
      </c>
      <c r="QI62">
        <f>Z62*QH62</f>
        <v>61523.28</v>
      </c>
      <c r="QJ62">
        <f>$AM62*VLOOKUP($R62,Afgr,Data!$BL$3)+$BR62*VLOOKUP($T62,Efgr,Data!$AP$53)</f>
        <v>0</v>
      </c>
      <c r="QK62">
        <f>QJ62*Z62</f>
        <v>0</v>
      </c>
      <c r="QL62">
        <f>$AM62*VLOOKUP($R62,Afgr,Data!$BM$3)</f>
        <v>0</v>
      </c>
      <c r="QM62">
        <f>QL62*Z62</f>
        <v>0</v>
      </c>
      <c r="QN62">
        <f>$AM62*VLOOKUP($R62,Afgr,Data!$BN$3)</f>
        <v>0</v>
      </c>
      <c r="QO62">
        <f>QN62*Z62</f>
        <v>0</v>
      </c>
      <c r="QR62">
        <f>IF(VLOOKUP($R62,Afgr,Data!$DA$3)="Vårbyg",$AN62,0)*VLOOKUP($R62,Afgr,Data!$BJ$3)</f>
        <v>66406.080000000002</v>
      </c>
      <c r="QS62">
        <f>IF(VLOOKUP($R62,Afgr,Data!$DA$3)="Vinterbyg",$AN62,0)*VLOOKUP($R62,Afgr,Data!$BJ$3)</f>
        <v>0</v>
      </c>
      <c r="QT62">
        <f>IF(VLOOKUP($R62,Afgr,Data!$DA$3)="Havre",$AN62,0)*VLOOKUP($R62,Afgr,Data!$BJ$3)</f>
        <v>0</v>
      </c>
      <c r="QU62">
        <f>IF(VLOOKUP($R62,Afgr,Data!$DA$3)="Hvede",$AN62,0)*VLOOKUP($R62,Afgr,Data!$BJ$3)</f>
        <v>0</v>
      </c>
      <c r="QV62">
        <f>IF(VLOOKUP($R62,Afgr,Data!$DA$3)="Triticale",$AN62,0)*VLOOKUP($R62,Afgr,Data!$BJ$3)</f>
        <v>0</v>
      </c>
      <c r="QW62">
        <f>IF(VLOOKUP($R62,Afgr,Data!$DA$3)="Rug",$AN62,0)*VLOOKUP($R62,Afgr,Data!$BJ$3)</f>
        <v>0</v>
      </c>
      <c r="QX62">
        <f>IF(VLOOKUP($R62,Afgr,Data!$DA$3)="Majs",$AN62,0)*VLOOKUP($R62,Afgr,Data!$BJ$3)</f>
        <v>0</v>
      </c>
      <c r="RA62">
        <f>IF(OV62+PB62&gt;0,1,0)</f>
        <v>0</v>
      </c>
      <c r="RB62">
        <f>RA62*LW62</f>
        <v>0</v>
      </c>
      <c r="RC62">
        <f>RA62*MT62</f>
        <v>0</v>
      </c>
      <c r="RD62">
        <f>ND62</f>
        <v>0</v>
      </c>
      <c r="RE62">
        <f>RA62*OB62</f>
        <v>0</v>
      </c>
      <c r="RH62">
        <f>VLOOKUP(B62,Jordtype,Data!$Y$112+DenitNr-1)</f>
        <v>7.25</v>
      </c>
      <c r="RI62">
        <f>FF62*VLOOKUP(B62,Jordtype,Data!$AB$112+DenitNr-1)</f>
        <v>1.6400000000000001</v>
      </c>
      <c r="RJ62">
        <f>((CJ62+CK62+CL62+Regn2!CO62*0.7)-(RR62+RT62))*VLOOKUP(B62,Jordtype,Data!$AE$112+DenitNr-1)</f>
        <v>7.8575062500000001</v>
      </c>
      <c r="RK62">
        <f>0*VLOOKUP(B62,Jordtype,Data!$AE$112+DenitNr-1)</f>
        <v>0</v>
      </c>
      <c r="RL62">
        <f>Regn2!FD62*VLOOKUP(B62,Jordtype,Data!$AH$112+DenitNr-1)</f>
        <v>0</v>
      </c>
      <c r="RM62" s="3">
        <f>RH62+RI62+RJ62+RK62+RL62</f>
        <v>16.747506250000001</v>
      </c>
      <c r="RO62">
        <v>2</v>
      </c>
      <c r="RP62">
        <f>(FF62)*RO62*0.01</f>
        <v>0.82000000000000006</v>
      </c>
      <c r="RQ62">
        <v>7</v>
      </c>
      <c r="RR62">
        <f>CE62*RQ62*0.01</f>
        <v>0</v>
      </c>
      <c r="RS62">
        <v>7</v>
      </c>
      <c r="RT62">
        <f>(Regn2!CF62+Regn2!CG62)*RS62*0.01</f>
        <v>5.95</v>
      </c>
      <c r="RW62">
        <f>VLOOKUP(R62,Afgr,Data!$EE$3)</f>
        <v>5</v>
      </c>
      <c r="RX62" s="3">
        <f>RP62+RR62+RT62+RV62+RW62</f>
        <v>11.77</v>
      </c>
    </row>
    <row r="64" spans="1:492" x14ac:dyDescent="0.25">
      <c r="A64" s="214" t="str">
        <f>Nbal!B64</f>
        <v>33-0</v>
      </c>
      <c r="B64">
        <v>11</v>
      </c>
      <c r="C64">
        <v>1</v>
      </c>
      <c r="D64">
        <f>IF(C64=1,VLOOKUP(B64,Jordtype,Data!$K$112),VLOOKUP(B64,Jordtype,Data!$L$112))</f>
        <v>7</v>
      </c>
      <c r="E64">
        <f>IF(C64=1,VLOOKUP(B64,Jordtype,Data!$M$112),VLOOKUP(B64,Jordtype,Data!$N$112))</f>
        <v>12</v>
      </c>
      <c r="F64">
        <f>IF(OR(B64=1,B64=3),0,IF(OR(B64=2,B64=4),1,IF(OR(B64=5,B64=6),2,3)))</f>
        <v>3</v>
      </c>
      <c r="G64">
        <f>IF(C64=1,VLOOKUP(B64,Jordtype,Data!$Q$112),VLOOKUP(B64,Jordtype,Data!$R$112))</f>
        <v>23</v>
      </c>
      <c r="H64">
        <f>IF(C64=1,VLOOKUP(B64,Jordtype,Data!$O$112),VLOOKUP(B64,Jordtype,Data!$P$112))</f>
        <v>17</v>
      </c>
      <c r="I64">
        <f>IF(B64&lt;5,0,1)</f>
        <v>1</v>
      </c>
      <c r="J64">
        <f>IF(B64&lt;5,PlojJB,1)</f>
        <v>1</v>
      </c>
      <c r="K64">
        <f>IF(B64&lt;5,SaaJB,1)</f>
        <v>1</v>
      </c>
      <c r="L64">
        <f>IF(C64=1,VLOOKUP(B64,Jordtype,Data!$S$112),VLOOKUP(B64,Jordtype,Data!$T$112))</f>
        <v>6</v>
      </c>
      <c r="M64">
        <f>IF(C64=1,VLOOKUP(B64,Jordtype,Data!$U$112),VLOOKUP(B64,Jordtype,Data!$V$112))</f>
        <v>11</v>
      </c>
      <c r="O64">
        <v>19</v>
      </c>
      <c r="P64">
        <v>1</v>
      </c>
      <c r="Q64" t="b">
        <v>0</v>
      </c>
      <c r="R64">
        <v>19</v>
      </c>
      <c r="S64">
        <v>1</v>
      </c>
      <c r="T64">
        <v>1</v>
      </c>
      <c r="U64">
        <v>1</v>
      </c>
      <c r="V64">
        <v>1</v>
      </c>
      <c r="X64">
        <v>19</v>
      </c>
      <c r="Z64">
        <f>Nbal!AG64</f>
        <v>0.92</v>
      </c>
      <c r="AA64">
        <v>1</v>
      </c>
      <c r="AB64">
        <f>VLOOKUP($R64,Afgr,G64)</f>
        <v>321</v>
      </c>
      <c r="AC64">
        <f>VLOOKUP($O64,Afgr,Data!$AI$3)*VLOOKUP(R64,Afgr,Data!$AJ$3)</f>
        <v>0</v>
      </c>
      <c r="AD64">
        <f>IF($Q64,0,VLOOKUP($P64,Efgr,(Data!$W$53+$V$6-1)))</f>
        <v>0</v>
      </c>
      <c r="AE64">
        <f>AB64-AC64-AD64</f>
        <v>321</v>
      </c>
      <c r="AF64">
        <f>AE64*Z64</f>
        <v>295.32</v>
      </c>
      <c r="AH64">
        <f>VLOOKUP(R64,Afgr,D64)</f>
        <v>7100</v>
      </c>
      <c r="AI64">
        <f>VLOOKUP(O64,Afgr,Data!$AL$3)*VLOOKUP(R64,Afgr,E64)</f>
        <v>0</v>
      </c>
      <c r="AJ64">
        <f>VLOOKUP(P64,Efgr,(Data!$Y$53+I64))</f>
        <v>0</v>
      </c>
      <c r="AK64">
        <f>AH64+AI64+AJ64</f>
        <v>7100</v>
      </c>
      <c r="AL64">
        <f>AH64+AI64+AJ64</f>
        <v>7100</v>
      </c>
      <c r="AM64" s="3">
        <f>IF(Nbal!CK64&lt;&gt;"",Nbal!CK64,AL64)</f>
        <v>7100</v>
      </c>
      <c r="AN64">
        <f>AM64*Z64</f>
        <v>6532</v>
      </c>
      <c r="AO64" t="str">
        <f>VLOOKUP(R64,Afgr,3)</f>
        <v>FE</v>
      </c>
      <c r="AP64">
        <f>IF(AO64="FE",VLOOKUP($R64,Afgr,Data!$AV$3),0)</f>
        <v>1.24</v>
      </c>
      <c r="AR64">
        <f>VLOOKUP(R64,Afgr,4)</f>
        <v>1.2</v>
      </c>
      <c r="AS64" s="3">
        <f>IF(Nbal!CW64&lt;&gt;"",Nbal!CW64,AR64)</f>
        <v>1.2</v>
      </c>
      <c r="AT64" s="3">
        <f>AM64*AS64</f>
        <v>8520</v>
      </c>
      <c r="AU64" s="3">
        <f>AN64*AS64</f>
        <v>7838.4</v>
      </c>
      <c r="AW64">
        <f>VLOOKUP(R64,Afgr,Data!$AN$3)</f>
        <v>0</v>
      </c>
      <c r="AX64" s="3">
        <f>IF(Nbal!DC64&lt;&gt;"",Nbal!DC64,AW64)</f>
        <v>0</v>
      </c>
      <c r="AY64" s="3">
        <f>AX64*Z64</f>
        <v>0</v>
      </c>
      <c r="BA64">
        <f>VLOOKUP(R64,Afgr,H64)</f>
        <v>0</v>
      </c>
      <c r="BB64">
        <f>IF(ISERROR(BA64*AM64/AK64),0,(BA64*AM64/AK64))</f>
        <v>0</v>
      </c>
      <c r="BC64" s="3">
        <f>IF(Nbal!DI64&lt;&gt;"",Nbal!DI64,BB64)</f>
        <v>0</v>
      </c>
      <c r="BD64">
        <f>BC64*Z64</f>
        <v>0</v>
      </c>
      <c r="BG64">
        <f>IF($S64=1,BC64,0)</f>
        <v>0</v>
      </c>
      <c r="BH64">
        <f>IF($S64=1,BD64,0)</f>
        <v>0</v>
      </c>
      <c r="BI64">
        <f>VLOOKUP(R64,Afgr,Data!$AM$3)</f>
        <v>0</v>
      </c>
      <c r="BJ64">
        <f>IF(Nbal!DR64&lt;&gt;"",Nbal!DR64,BI64)</f>
        <v>0</v>
      </c>
      <c r="BK64">
        <f>BG64*BJ64</f>
        <v>0</v>
      </c>
      <c r="BL64">
        <f>BH64*BJ64</f>
        <v>0</v>
      </c>
      <c r="BN64">
        <f>VLOOKUP($T64,Efgr,M64)</f>
        <v>0</v>
      </c>
      <c r="BO64">
        <f>BN64*Z64</f>
        <v>0</v>
      </c>
      <c r="BQ64">
        <f>VLOOKUP(T64,Efgr,NormudbKolonneNrEfgr1)</f>
        <v>0</v>
      </c>
      <c r="BR64" s="3">
        <f>IF(Nbal!FE64&lt;&gt;"",Nbal!FE64,BQ64)</f>
        <v>0</v>
      </c>
      <c r="BS64">
        <f>BR64*Z64</f>
        <v>0</v>
      </c>
      <c r="BT64" t="s">
        <v>37</v>
      </c>
      <c r="BU64">
        <f>BR64*Efterslaetpris</f>
        <v>0</v>
      </c>
      <c r="BV64">
        <f>BS64*Efterslaetpris</f>
        <v>0</v>
      </c>
      <c r="BW64">
        <f>VLOOKUP(T64,Efgr,Data!$AG$53)</f>
        <v>0</v>
      </c>
      <c r="BX64">
        <f>BR64*BW64</f>
        <v>0</v>
      </c>
      <c r="BZ64">
        <f>Nbal!AQ64</f>
        <v>0</v>
      </c>
      <c r="CA64" s="211">
        <f>Nbal!AT64</f>
        <v>0</v>
      </c>
      <c r="CB64" s="2">
        <f>Nbal!DZ64</f>
        <v>0</v>
      </c>
      <c r="CC64" s="211">
        <f>Nbal!AT64+Nbal!DZ64</f>
        <v>0</v>
      </c>
      <c r="CD64" s="211">
        <f>Nbal!AX64</f>
        <v>0</v>
      </c>
      <c r="CE64">
        <f>Nbal!BH64</f>
        <v>0</v>
      </c>
      <c r="CF64" s="211">
        <f>Nbal!BM64</f>
        <v>0</v>
      </c>
      <c r="CG64" s="2">
        <f>Nbal!EI64</f>
        <v>0</v>
      </c>
      <c r="CH64" s="211">
        <f>Nbal!BM64+Nbal!EI64</f>
        <v>0</v>
      </c>
      <c r="CI64" s="211">
        <f>Nbal!BW64</f>
        <v>0</v>
      </c>
      <c r="CJ64" s="211">
        <f>Nbal!BH64*Nbal!BJ64*0.01</f>
        <v>0</v>
      </c>
      <c r="CK64" s="211">
        <f>(Nbal!BM64*Nbal!BP64*0.01)</f>
        <v>0</v>
      </c>
      <c r="CL64" s="211">
        <f>(Nbal!EI64*Nbal!EL64*0.01)</f>
        <v>0</v>
      </c>
      <c r="CM64" s="211">
        <f>(Nbal!BM64*Nbal!BP64*0.01)+(Nbal!EI64*Nbal!EL64*0.01)</f>
        <v>0</v>
      </c>
      <c r="CN64" s="211">
        <f>Nbal!BW64*Nbal!BY64*0.01</f>
        <v>0</v>
      </c>
      <c r="CO64">
        <f>Nbal!BT64+Nbal!ER64</f>
        <v>0</v>
      </c>
      <c r="CQ64">
        <f>Nbal!BA64</f>
        <v>0</v>
      </c>
      <c r="CR64">
        <f>Nbal!EC64</f>
        <v>0</v>
      </c>
      <c r="CS64">
        <f>(CQ64+CR64)*Z64</f>
        <v>0</v>
      </c>
      <c r="CT64">
        <f>Nbal!CB64</f>
        <v>0</v>
      </c>
      <c r="CU64">
        <f>Nbal!EV64</f>
        <v>0</v>
      </c>
      <c r="CV64">
        <f>(CT64+CU64)*Z64</f>
        <v>0</v>
      </c>
      <c r="CW64">
        <f>Nbal!BA64+Nbal!CB64+Nbal!EC64+Nbal!EV64</f>
        <v>0</v>
      </c>
      <c r="CY64">
        <f>Nbal!BD64</f>
        <v>0</v>
      </c>
      <c r="CZ64">
        <f>Nbal!EF64</f>
        <v>0</v>
      </c>
      <c r="DA64">
        <f>(CY64+CZ64)*Z64</f>
        <v>0</v>
      </c>
      <c r="DB64">
        <f>Nbal!CE64</f>
        <v>0</v>
      </c>
      <c r="DC64">
        <f>Nbal!EY64</f>
        <v>0</v>
      </c>
      <c r="DD64">
        <f>(DB64+DC64)*Z64</f>
        <v>0</v>
      </c>
      <c r="DE64">
        <f>Nbal!BD64+Nbal!CE64+Nbal!EF64+Nbal!EY64</f>
        <v>0</v>
      </c>
      <c r="DG64">
        <f>VLOOKUP($R64,Afgr,Data!$AW$3)</f>
        <v>16.3125</v>
      </c>
      <c r="DH64">
        <f>IF($AO64="FE",$AM64*$AP64*$DG64*0.01,$AM64*100*$DM64*0.01*$DG64*0.01)</f>
        <v>1436.1524999999999</v>
      </c>
      <c r="DI64">
        <f>IF(VLOOKUP(R64,Afgr,Data!$BO$3)=1,DH64,0)*Z64</f>
        <v>0</v>
      </c>
      <c r="DJ64" s="12">
        <f>(BZ64+CC64+CJ64-AE64)*VLOOKUP($R64,Afgr,Data!$AX$3)</f>
        <v>0</v>
      </c>
      <c r="DK64">
        <f>DG64+DJ64</f>
        <v>16.3125</v>
      </c>
      <c r="DL64">
        <f>IF(Nbal!CQ64&lt;&gt;"",Nbal!CQ64,DK64)</f>
        <v>16.3125</v>
      </c>
      <c r="DM64">
        <f>VLOOKUP(R64,Afgr,Data!$AT$3)</f>
        <v>0</v>
      </c>
      <c r="DN64">
        <f>IF($AO64="FE",$AM64*$AP64*$DL64*0.01,$AM64*100*$DM64*0.01*DL64*0.01)</f>
        <v>1436.1524999999999</v>
      </c>
      <c r="DO64">
        <f>IF(VLOOKUP(R64,Afgr,Data!$BO$3)=1,DN64,0)*Z64</f>
        <v>0</v>
      </c>
      <c r="DP64">
        <f>IF(ISERROR(DN64/VLOOKUP(R64,Afgr,Data!$AY$3)),0,DN64/VLOOKUP(R64,Afgr,Data!$AY$3))</f>
        <v>229.78439999999998</v>
      </c>
      <c r="DQ64">
        <f>DP64*Z64</f>
        <v>211.40164799999999</v>
      </c>
      <c r="DS64">
        <f>IF($AO64="FE",$AM64*$AP64*VLOOKUP($R64,Afgr,Data!$BC$3)*0.001,$AM64*100*$DM64*0.01*VLOOKUP($R64,Afgr,Data!$BC$3)*0.001)</f>
        <v>32.574800000000003</v>
      </c>
      <c r="DT64">
        <f>DS64*Z64</f>
        <v>29.968816000000004</v>
      </c>
      <c r="DV64">
        <f>IF($AO64="FE",$AM64*$AP64*VLOOKUP($R64,Afgr,Data!$BF$3)*0.001,$AM64*100*$DM64*0.01*VLOOKUP($R64,Afgr,Data!$BF$3)*0.001)</f>
        <v>255.316</v>
      </c>
      <c r="DW64">
        <f>DV64*Z64</f>
        <v>234.89072000000002</v>
      </c>
      <c r="DY64">
        <f>IF(ISERROR(VLOOKUP(R64,Afgr,Data!$AZ$3)*DL64/DG64),0,VLOOKUP(R64,Afgr,Data!$AZ$3)*DL64/DG64)</f>
        <v>0</v>
      </c>
      <c r="DZ64">
        <f>VLOOKUP(R64,Afgr,Data!$AU$3)</f>
        <v>0</v>
      </c>
      <c r="EA64">
        <f>IF($S64=1,$BC64*$DZ64*0.01*DY64*0.01,0)</f>
        <v>0</v>
      </c>
      <c r="EB64">
        <f>EA64/6.25</f>
        <v>0</v>
      </c>
      <c r="EC64">
        <f>EB64*Z64</f>
        <v>0</v>
      </c>
      <c r="EE64">
        <f>IF($S64=1,$BC64*$DZ64*0.01*VLOOKUP($R64,Afgr,Data!$BD$3)*0.001,0)</f>
        <v>0</v>
      </c>
      <c r="EF64">
        <f>EE64*Z64</f>
        <v>0</v>
      </c>
      <c r="EH64">
        <f>IF($S64=1,$BC64*$DZ64*0.01*VLOOKUP($R64,Afgr,Data!$BG$3)*0.001,0)</f>
        <v>0</v>
      </c>
      <c r="EI64">
        <f>EH64*Z64</f>
        <v>0</v>
      </c>
      <c r="EK64">
        <f>VLOOKUP(T64,Efgr,Data!$AI$53)</f>
        <v>0</v>
      </c>
      <c r="EL64">
        <f>BX64*EK64*0.01/6.25</f>
        <v>0</v>
      </c>
      <c r="EM64">
        <f>EL64*Z64</f>
        <v>0</v>
      </c>
      <c r="EO64">
        <f>$BX64*VLOOKUP($T64,Efgr,Data!$AJ$53)*0.001</f>
        <v>0</v>
      </c>
      <c r="EP64">
        <f>EO64*Z64</f>
        <v>0</v>
      </c>
      <c r="ER64">
        <f>$BX64*VLOOKUP($T64,Efgr,Data!$AK$53)*0.001</f>
        <v>0</v>
      </c>
      <c r="ES64">
        <f>ER64*Z64</f>
        <v>0</v>
      </c>
      <c r="EU64">
        <f>IF(VLOOKUP(R64,Afgr,Data!$DS$3)=1,DP64*VLOOKUP(R64,Afgr,(Data!$DT$3+EftervirkningUdb1))*VLOOKUP(R64,Afgr,Data!$DV$3),0)</f>
        <v>0</v>
      </c>
      <c r="EV64">
        <f>IF(VLOOKUP(R64,Afgr,Data!$DS$3)=2,VLOOKUP(R64,Afgr,Data!$DX$3),0)</f>
        <v>0</v>
      </c>
      <c r="EW64">
        <f>IF(VLOOKUP(R64,Afgr,Data!$DS$3)=3,$DP64*VLOOKUP($R64,Afgr,IF(Jordtype1&lt;5,Data!$DT$3,Data!$DU$3))*VLOOKUP($R64,Afgr,Data!$DV$3),0)</f>
        <v>0</v>
      </c>
      <c r="EX64">
        <f>IF(VLOOKUP(R64,Afgr,Data!$DS$3)=4,(1.232+0.00469*AM64*100+(0.000256*AM64*100+0.089)*60),0)</f>
        <v>0</v>
      </c>
      <c r="EY64" s="211">
        <f>BZ64+CA64+CJ64+CK64</f>
        <v>0</v>
      </c>
      <c r="EZ64">
        <f>IF(VLOOKUP($R64,Afgr,Data!$DS$3)=5,($AM64*0.02742-$AM64*0.0001*$EY64+$AM64*0.0000001111*$EY64*$EY64),0)</f>
        <v>194.68199999999999</v>
      </c>
      <c r="FA64" s="2">
        <f>CB64+CL64</f>
        <v>0</v>
      </c>
      <c r="FB64">
        <f>IF(VLOOKUP($T64,Efgr,Data!$BH$53)=5,($BR64*0.02742-$BR64*0.0001*$FA64+$BR64*0.0000001111*$FA64*$FA64),0)</f>
        <v>0</v>
      </c>
      <c r="FC64" s="3">
        <f>EU64+EV64+EW64+EX64+EZ64+FB64</f>
        <v>194.68199999999999</v>
      </c>
      <c r="FD64" s="3">
        <f>FC64*Z64</f>
        <v>179.10744</v>
      </c>
      <c r="FF64" s="211">
        <f>BZ64+CC64</f>
        <v>0</v>
      </c>
      <c r="FG64" s="211">
        <f>FF64*Z64</f>
        <v>0</v>
      </c>
      <c r="FH64" s="211">
        <f>CE64+CH64+CO64</f>
        <v>0</v>
      </c>
      <c r="FI64" s="211">
        <f>FH64*Z64</f>
        <v>0</v>
      </c>
      <c r="FJ64">
        <f>VLOOKUP($R64,Afgr,Data!$DK$3)*VLOOKUP($R64,Afgr,Data!$AT$3)*0.01*VLOOKUP($R64,Afgr,Data!$AW$3)*0.01/6.25</f>
        <v>0</v>
      </c>
      <c r="FK64">
        <f>FJ64*Z64</f>
        <v>0</v>
      </c>
      <c r="FL64" s="4">
        <f>IF(R64&gt;1,Deposition,0)</f>
        <v>15</v>
      </c>
      <c r="FM64" s="4">
        <f>FL64*Z64</f>
        <v>13.8</v>
      </c>
      <c r="FN64">
        <f>FC64</f>
        <v>194.68199999999999</v>
      </c>
      <c r="FO64">
        <f>FN64*Z64</f>
        <v>179.10744</v>
      </c>
      <c r="FP64" s="211">
        <f>SUM(FF64,FH64,FJ64,FL64,FN64)</f>
        <v>209.68199999999999</v>
      </c>
      <c r="FQ64">
        <f>DP64+EB64+EL64</f>
        <v>229.78439999999998</v>
      </c>
      <c r="FR64" s="3">
        <f>FP64-FQ64</f>
        <v>-20.102399999999989</v>
      </c>
      <c r="FS64" s="19">
        <f>FP64*Z64</f>
        <v>192.90744000000001</v>
      </c>
      <c r="FT64" s="19">
        <f>FQ64*Z64</f>
        <v>211.40164799999999</v>
      </c>
      <c r="FU64" s="3">
        <f>FR64*Z64</f>
        <v>-18.49420799999999</v>
      </c>
      <c r="FW64">
        <f>CW64</f>
        <v>0</v>
      </c>
      <c r="FX64">
        <f>FW64*Z64</f>
        <v>0</v>
      </c>
      <c r="FY64">
        <f>IX64+MB64</f>
        <v>32.574800000000003</v>
      </c>
      <c r="FZ64">
        <f>FY64*Z64</f>
        <v>29.968816000000004</v>
      </c>
      <c r="GA64">
        <f>FW64-FY64</f>
        <v>-32.574800000000003</v>
      </c>
      <c r="GB64">
        <f>GA64*Z64</f>
        <v>-29.968816000000004</v>
      </c>
      <c r="GD64">
        <f>DE64</f>
        <v>0</v>
      </c>
      <c r="GE64">
        <f>GD64*Z64</f>
        <v>0</v>
      </c>
      <c r="GF64">
        <f>JE64+MH64</f>
        <v>255.316</v>
      </c>
      <c r="GG64">
        <f>GF64*Z64</f>
        <v>234.89072000000002</v>
      </c>
      <c r="GH64">
        <f>GD64-GF64</f>
        <v>-255.316</v>
      </c>
      <c r="GI64">
        <f>GH64*Z64</f>
        <v>-234.89072000000002</v>
      </c>
      <c r="GK64">
        <f>AA64</f>
        <v>1</v>
      </c>
      <c r="GL64" s="211">
        <f>FF64+FH64+FN64</f>
        <v>194.68199999999999</v>
      </c>
      <c r="GM64" s="211">
        <f>IF(R64=1,"",IF(GK64=1,GL64,""))</f>
        <v>194.68199999999999</v>
      </c>
      <c r="GN64" s="211" t="str">
        <f>IF(R64=1,"",IF(GK64=2,GL64,""))</f>
        <v/>
      </c>
      <c r="GO64" s="211" t="str">
        <f>IF(R64=1,"",IF(GK64=3,GL64,""))</f>
        <v/>
      </c>
      <c r="GP64" s="211" t="str">
        <f>IF(R64=1,"",IF(GK64=4,GL64,""))</f>
        <v/>
      </c>
      <c r="GQ64" s="149">
        <f>IF(OR(R64=1,VLOOKUP(R64,Afgr,Data!$BV$3)=1,VLOOKUP(R64,Afgr,Data!$BW$3)=1),0,IF(GK64=1,Nniveau1,IF(GK64=2,Nniveau2,IF(GK64=3,Nniveau3,IF(GK64=4,Nniveau4,GL64)))))</f>
        <v>173.16922222222217</v>
      </c>
      <c r="GR64" s="241">
        <v>0.32550000000000001</v>
      </c>
      <c r="GS64" s="6">
        <v>0</v>
      </c>
      <c r="GT64" s="149">
        <f>CC64+CM64</f>
        <v>0</v>
      </c>
      <c r="GU64" s="6">
        <f>$FN64</f>
        <v>194.68199999999999</v>
      </c>
      <c r="GV64" s="241">
        <v>0.25280000000000002</v>
      </c>
      <c r="GW64">
        <f>CO64</f>
        <v>0</v>
      </c>
      <c r="GX64" s="241">
        <v>0.376</v>
      </c>
      <c r="GY64" s="149">
        <f>CD64+CN64</f>
        <v>0</v>
      </c>
      <c r="GZ64" s="241">
        <f>IF(B64&gt;3,0.3539,1.0749)</f>
        <v>0.35389999999999999</v>
      </c>
      <c r="HA64" s="11">
        <f>$FQ64</f>
        <v>229.78439999999998</v>
      </c>
      <c r="HB64" s="241">
        <v>0.19359999999999999</v>
      </c>
      <c r="HC64" s="241">
        <f>VLOOKUP($R64,Afgr,Data!$DM$3)</f>
        <v>7</v>
      </c>
      <c r="HD64" s="24">
        <f>IF($HC64&gt;1,0,(VLOOKUP($X64,Afgr,Data!$DP$3)+IF(VLOOKUP($X64,Afgr,Data!$DP$3)=0,VLOOKUP($T64,Efgr,Data!$BI$53,0))))+IF(AND($HC64=7,VLOOKUP($X64,Afgr,Data!$DQ$3)=-2),-2,0)+IF(AND($HC64=6,VLOOKUP($T64,Efgr,Data!$BI$53)=2),8,0)</f>
        <v>0</v>
      </c>
      <c r="HE64" s="6">
        <f>VLOOKUP(SUM(HC64:HD64),Nlesafgr,3)</f>
        <v>-165.7</v>
      </c>
      <c r="HF64" s="7">
        <f>VLOOKUP($O64,Afgr,Data!$DN$3)</f>
        <v>4</v>
      </c>
      <c r="HG64" s="24">
        <f>IF(HF64&gt;1,0,VLOOKUP($R64,Afgr,Data!$DO$3)+IF(VLOOKUP($R64,Afgr,Data!$DO$3)=1,0,VLOOKUP($P64,Efgr,Data!$BJ$53)))</f>
        <v>0</v>
      </c>
      <c r="HH64" s="6">
        <f>VLOOKUP(SUM(HF64:HG64),Nlesforfrugt,3)</f>
        <v>34.700000000000003</v>
      </c>
      <c r="HI64" s="241">
        <f>GR64*GQ64+GV64*(GT64+GU64)+GX64*GW64+GZ64*GY64-HB64*HA64+HE64+HH64</f>
        <v>-69.904068406666667</v>
      </c>
      <c r="HJ64" s="241">
        <f>Nlesafskaering</f>
        <v>59.6</v>
      </c>
      <c r="HK64" s="241">
        <f>Teknologi1</f>
        <v>2455</v>
      </c>
      <c r="HL64" s="6">
        <v>2001</v>
      </c>
      <c r="HM64" s="241">
        <f>Teknologi2</f>
        <v>1962.2</v>
      </c>
      <c r="HN64" s="241">
        <f>Tandel</f>
        <v>0.54659999999999997</v>
      </c>
      <c r="HO64" s="241">
        <f>IF(OR(HI64&gt;0,HI64=0),HJ64+HK64/(HL64-HM64),HJ64+HK64/(HL64-HM64)+HN64*HI64)</f>
        <v>84.663632085204739</v>
      </c>
      <c r="HP64" s="241">
        <f>IF(HI64&gt;0,HI64,0.001)</f>
        <v>1E-3</v>
      </c>
      <c r="HQ64" s="241">
        <v>1.5020000000000001E-3</v>
      </c>
      <c r="HR64" s="24">
        <f>IF(R64=1,0,VLOOKUP(PostnrNbal,AfstromData,VLOOKUP($R64,Afgr,Data!$DL$3)+IF(Jordtype1&lt;7,Jordtype1,6),FALSE)-VLOOKUP(T64,Efgr,Data!$AA$53))</f>
        <v>272.32333333333298</v>
      </c>
      <c r="HS64" s="24">
        <f>IF(Nbal!GA64&lt;&gt;"",Nbal!GA64,Regn2!HR64)</f>
        <v>272.32333333333298</v>
      </c>
      <c r="HT64" s="241">
        <v>5.5400000000000002E-4</v>
      </c>
      <c r="HU64" s="24">
        <f>IF(R64=1,0,VLOOKUP(PostnrNbal,AfstromData,VLOOKUP($O64,Afgr,Data!$DL$3)+IF(B64&lt;7,B64,6),FALSE)-VLOOKUP(P64,Efgr,Data!$AA$53))</f>
        <v>272.32333333333298</v>
      </c>
      <c r="HV64" s="24">
        <f>IF(Nbal!FU64&lt;&gt;"",Nbal!FU64,Regn2!HU64)</f>
        <v>272.32333333333298</v>
      </c>
      <c r="HW64" s="241">
        <v>0.10639999999999999</v>
      </c>
      <c r="HX64" s="6">
        <f>VLOOKUP(B64,Jordtype,Data!$W$112)</f>
        <v>26</v>
      </c>
      <c r="HY64" s="241">
        <v>3.2500000000000001E-2</v>
      </c>
      <c r="HZ64" s="6">
        <f>VLOOKUP(B64,Jordtype,Data!$X$112)</f>
        <v>5</v>
      </c>
      <c r="IA64" s="241">
        <v>1.2453000000000001</v>
      </c>
      <c r="IB64" s="241">
        <f>IF(VLOOKUP(T64,Efgr,Data!$AO$53)=1,MlafgrNUdvask,0)</f>
        <v>0</v>
      </c>
      <c r="IC64" s="20">
        <f>IF(ISERROR((HO64+POWER(HP64,1.2))*(1-EXP(-HQ64*HS64))*EXP(-HT64*HV64)*EXP(-HW64*HX64)*EXP(-HY64*HZ64)*IA64),0,(HO64+POWER(HP64,1.2))*(1-EXP(-HQ64*HS64))*EXP(-HT64*HV64)*EXP(-HW64*HX64)*EXP(-HY64*HZ64)*IA64+IB64)</f>
        <v>1.6270642816768945</v>
      </c>
      <c r="ID64">
        <f>IC64*Z64</f>
        <v>1.4968991391427431</v>
      </c>
      <c r="IE64">
        <f>IF(Nbal!GF64&lt;&gt;"",Nbal!GF64,RetentionNbal)</f>
        <v>65</v>
      </c>
      <c r="IF64">
        <f>IC64*(100-IE64)*0.01</f>
        <v>0.56947249858691307</v>
      </c>
      <c r="IG64">
        <f>IF64*Z64</f>
        <v>0.52391469869995999</v>
      </c>
      <c r="IH64" s="2">
        <f>HS64*10000</f>
        <v>2723233.3333333298</v>
      </c>
      <c r="II64" s="2">
        <f>IH64*Z64</f>
        <v>2505374.6666666637</v>
      </c>
      <c r="IJ64">
        <f>IF(ISERROR(IC64*1000*1000/IH64),0,IC64*1000*1000/IH64)</f>
        <v>0.59747516371845844</v>
      </c>
      <c r="IL64">
        <f>AT64+AX64+BK64+BU64</f>
        <v>8520</v>
      </c>
      <c r="IO64">
        <f>VLOOKUP(R64,Afgr,Data!$AP$3)*UdsaedJust</f>
        <v>420</v>
      </c>
      <c r="IP64" s="3">
        <f>IF(Nbal!GN64&lt;&gt;"",Nbal!GN64,IO64)</f>
        <v>420</v>
      </c>
      <c r="IQ64" s="3">
        <f>IP64*Z64</f>
        <v>386.40000000000003</v>
      </c>
      <c r="IS64" s="3">
        <f>IF(HdgVaerdiNbal=1,(BZ64+CA64)*Npris,(BZ64+CA64+CJ64+CK64)*Npris)</f>
        <v>0</v>
      </c>
      <c r="IT64" s="3">
        <f>IS64*Z64</f>
        <v>0</v>
      </c>
      <c r="IV64">
        <f>VLOOKUP($R64,Afgr,Data!$BA$3)</f>
        <v>0</v>
      </c>
      <c r="IW64">
        <f>VLOOKUP($R64,Afgr,Data!$BB$3)</f>
        <v>0</v>
      </c>
      <c r="IX64">
        <f>$DS64+$EE64</f>
        <v>32.574800000000003</v>
      </c>
      <c r="IY64">
        <f>CT64</f>
        <v>0</v>
      </c>
      <c r="IZ64">
        <f>CQ64</f>
        <v>0</v>
      </c>
      <c r="JA64" s="3">
        <f>IF(HdgVaerdiNbal=1,(IZ64)*Ppris,(IY64+IZ64)*Ppris)</f>
        <v>0</v>
      </c>
      <c r="JB64" s="3">
        <f>JA64*Z64</f>
        <v>0</v>
      </c>
      <c r="JD64">
        <f>IF(AND(R64&gt;1,OR(Jordtype1=1,Jordtype1=3,Markvand1=2)),Kudvask,0)</f>
        <v>0</v>
      </c>
      <c r="JE64">
        <f>$DV64+$EH64</f>
        <v>255.316</v>
      </c>
      <c r="JF64">
        <f>DB64</f>
        <v>0</v>
      </c>
      <c r="JG64">
        <f>CY64</f>
        <v>0</v>
      </c>
      <c r="JH64" s="3">
        <f>IF(HdgVaerdiNbal=1,JG64*Kpris,(JF64+JG64)*Kpris)</f>
        <v>0</v>
      </c>
      <c r="JI64" s="3">
        <f>JH64*Z64</f>
        <v>0</v>
      </c>
      <c r="JK64">
        <f>IS64+JA64+JH64</f>
        <v>0</v>
      </c>
      <c r="JL64" s="3">
        <f>IF(Nbal!GT64&lt;&gt;"",Nbal!GT64,$JK64)</f>
        <v>0</v>
      </c>
      <c r="JM64" s="3">
        <f>JL64*Z64</f>
        <v>0</v>
      </c>
      <c r="JO64">
        <f>VLOOKUP(R64,Afgr,Data!$AQ$3)*PlantevJust</f>
        <v>0</v>
      </c>
      <c r="JP64" s="3">
        <f>IF(Nbal!GZ64&lt;&gt;"",Nbal!GZ64,JO64)</f>
        <v>0</v>
      </c>
      <c r="JQ64" s="3">
        <f>JP64*Z64</f>
        <v>0</v>
      </c>
      <c r="JS64">
        <f>VLOOKUP(R64,Afgr,Data!$AR$3)+AM64*VLOOKUP(R64,Afgr,Data!$BH$3)</f>
        <v>369.2</v>
      </c>
      <c r="JT64" s="3">
        <f>IF(Nbal!HF64&lt;&gt;"",Nbal!HF64,JS64)</f>
        <v>369.2</v>
      </c>
      <c r="JU64">
        <f>JT64*Z64</f>
        <v>339.66399999999999</v>
      </c>
      <c r="JW64">
        <f>IP64+JL64+JP64+JT64</f>
        <v>789.2</v>
      </c>
      <c r="JY64">
        <f>IF(VLOOKUP(R64,Afgr,Data!$BY$3)&gt;0,Data!$K$259*J64,0)</f>
        <v>0</v>
      </c>
      <c r="JZ64">
        <f>IF(VLOOKUP(R64,Afgr,Data!$BZ$3)&gt;0,Data!$K$260*J64,0)</f>
        <v>0</v>
      </c>
      <c r="KA64">
        <f>(JY64+JZ64)*MaskJust</f>
        <v>0</v>
      </c>
      <c r="KB64" s="3">
        <f>IF(Nbal!HL64&lt;&gt;"",Nbal!HL64,KA64)</f>
        <v>0</v>
      </c>
      <c r="KC64" s="3">
        <f>KB64*Z64</f>
        <v>0</v>
      </c>
      <c r="KE64">
        <f>IF(VLOOKUP(R64,Afgr,Data!$CA$3)&gt;0,VLOOKUP(R64,Afgr,Data!$CA$3)*Data!$K$261*K64,0)</f>
        <v>0</v>
      </c>
      <c r="KF64">
        <f>IF(VLOOKUP(R64,Afgr,Data!$CC$3)&gt;0,Data!$K$262*K64,0)</f>
        <v>0</v>
      </c>
      <c r="KG64">
        <f>IF(VLOOKUP(R64,Afgr,Data!$CD$3)&gt;0,VLOOKUP(R64,Afgr,Data!$CD$3)*Data!$K$263*K64,0)</f>
        <v>125</v>
      </c>
      <c r="KH64">
        <f>IF(VLOOKUP(R64,Afgr,Data!$CE$3)&gt;0,Data!$K$264*K64,0)</f>
        <v>0</v>
      </c>
      <c r="KI64">
        <f>IF(VLOOKUP(R64,Afgr,Data!$CF$3)&gt;0,Data!$K$265*K64,0)</f>
        <v>0</v>
      </c>
      <c r="KJ64">
        <f>IF(VLOOKUP(R64,Afgr,Data!$CV$3)&gt;0,Data!$K$266,0)</f>
        <v>0</v>
      </c>
      <c r="KK64">
        <f>IF(VLOOKUP(R64,Afgr,Data!$CG$3)&gt;0,Data!$K$267*K64,0)</f>
        <v>0</v>
      </c>
      <c r="KL64">
        <f>(KE64+KF64+KG64+KH64+KI64+KJ64+KK64)*MaskJust</f>
        <v>125</v>
      </c>
      <c r="KM64" s="3">
        <f>IF(Nbal!HR64&lt;&gt;"",Nbal!HR64,KL64)</f>
        <v>125</v>
      </c>
      <c r="KN64" s="3">
        <f>KM64*Z64</f>
        <v>115</v>
      </c>
      <c r="KP64">
        <f>IF(VLOOKUP(R64,Afgr,Data!$CJ$3)&gt;0,VLOOKUP(R64,Afgr,Data!$CJ$3)*Data!$K$268*K64,0)*MaskJust</f>
        <v>420</v>
      </c>
      <c r="KQ64" s="3">
        <f>IF(Nbal!HX64&lt;&gt;"",Nbal!HX64,KP64)</f>
        <v>420</v>
      </c>
      <c r="KR64" s="3">
        <f>KQ64*Z64</f>
        <v>386.40000000000003</v>
      </c>
      <c r="KT64">
        <f>IF(VLOOKUP(R64,Afgr,Data!$CI$3)&gt;0,VLOOKUP(R64,Afgr,Data!$CI$3)*Data!$K$269,0)*MaskJust</f>
        <v>0</v>
      </c>
      <c r="KU64" s="3">
        <f>IF(Nbal!ID64&lt;&gt;"",Nbal!ID64,KT64)</f>
        <v>0</v>
      </c>
      <c r="KV64" s="3">
        <f>KU64*Z64</f>
        <v>0</v>
      </c>
      <c r="KX64">
        <f>IF(C64=2,VLOOKUP($R64,Afgr,Data!$CY$3),0)</f>
        <v>0</v>
      </c>
      <c r="KY64">
        <f>IF(Nbal!IJ64&lt;&gt;"",Nbal!IJ64,$KX64)</f>
        <v>0</v>
      </c>
      <c r="KZ64">
        <f>IF(AND(R64&gt;1,C64=2),Vandmaskin+$KY64*Flytning/mmprgang+$KY64*Prisprmm,0)</f>
        <v>0</v>
      </c>
      <c r="LA64" s="3">
        <f>IF(Nbal!IP64&lt;&gt;"",Nbal!IP64,$KZ64)</f>
        <v>0</v>
      </c>
      <c r="LB64" s="3">
        <f>LA64*Z64</f>
        <v>0</v>
      </c>
      <c r="LD64">
        <f>IF(VLOOKUP($R64,Afgr,Data!$CK$3)&gt;0,((1+AM64/VLOOKUP($R64,Afgr,Data!$CK$3))/2)*VLOOKUP($R64,Afgr,Data!$CL$3)*VLOOKUP($R64,Afgr,Data!$CN$3)+VLOOKUP($R64,Afgr,Data!$CM$3),0)</f>
        <v>1472.25</v>
      </c>
      <c r="LE64">
        <f>IF(VLOOKUP($R64,Afgr,Data!$CK$3)&gt;0,IF(AND($S64=2,$BA64&gt;0),Data!$K$271,0),0)</f>
        <v>0</v>
      </c>
      <c r="LF64">
        <f>IF(VLOOKUP($R64,Afgr,Data!$CK$3)&gt;0,(AM64/VLOOKUP($R64,Afgr,Data!$CK$3))*VLOOKUP($R64,Afgr,Data!$CO$3)*VLOOKUP($R64,Afgr,Data!$CN$3),0)</f>
        <v>2041.25</v>
      </c>
      <c r="LG64">
        <f>(LD64+LE64+LF64)*MaskJust</f>
        <v>3513.5</v>
      </c>
      <c r="LH64" s="3">
        <f>IF(Nbal!IV64&lt;&gt;"",Nbal!IV64,LG64)</f>
        <v>3513.5</v>
      </c>
      <c r="LI64" s="3">
        <f>LH64*Z64</f>
        <v>3232.42</v>
      </c>
      <c r="LJ64" s="3"/>
      <c r="LK64">
        <f>IF(AND($S64=1,VLOOKUP($R64,Afgr,Data!$CP$3)&gt;0),((1+$BC64/VLOOKUP($R64,Afgr,Data!$CP$3))/2)*VLOOKUP($R64,Afgr,Data!$CQ$3),0)</f>
        <v>0</v>
      </c>
      <c r="LL64">
        <f>IF(AND($S64=1,VLOOKUP($R64,Afgr,Data!$CP$3)&gt;0),($BC64/VLOOKUP($R64,Afgr,Data!$CP$3))*VLOOKUP($R64,Afgr,Data!$CR$3),0)</f>
        <v>0</v>
      </c>
      <c r="LM64">
        <f>(LK64+LL64)*MaskJust</f>
        <v>0</v>
      </c>
      <c r="LN64" s="3">
        <f>IF(Nbal!JB64&lt;&gt;"",Nbal!JB64,LM64)</f>
        <v>0</v>
      </c>
      <c r="LO64" s="3">
        <f>LN64*Z64</f>
        <v>0</v>
      </c>
      <c r="LQ64">
        <f>$AM64*VLOOKUP($R64,Afgr,Data!$CS$3)*IF($V64=1,VLOOKUP($R64,Afgr,Data!$CT$3),IF($V64=2,VLOOKUP($R64,Afgr,Data!$CU$3),0))</f>
        <v>0</v>
      </c>
      <c r="LR64" s="3">
        <f>IF(Nbal!JK64&lt;&gt;"",Nbal!JK64,LQ64)</f>
        <v>0</v>
      </c>
      <c r="LS64" s="3">
        <f>LR64*Z64</f>
        <v>0</v>
      </c>
      <c r="LU64">
        <f>VLOOKUP($T64,Efgr,Data!$AC$53)*UdsaedJust</f>
        <v>0</v>
      </c>
      <c r="LV64" s="3">
        <f>IF(Nbal!$JS64&lt;&gt;"",Nbal!$JS64,LU64)</f>
        <v>0</v>
      </c>
      <c r="LW64" s="3">
        <f>LV64*Z64</f>
        <v>0</v>
      </c>
      <c r="LY64" s="3">
        <f>IF(HdgVaerdiNbal=1,(CB64)*Npris,(CB64+CL64)*Npris)</f>
        <v>0</v>
      </c>
      <c r="LZ64" s="3">
        <f>LY64*Z64</f>
        <v>0</v>
      </c>
      <c r="MB64">
        <f>$EO64</f>
        <v>0</v>
      </c>
      <c r="MC64">
        <f>CU64</f>
        <v>0</v>
      </c>
      <c r="MD64">
        <f>CR64</f>
        <v>0</v>
      </c>
      <c r="ME64" s="3">
        <f>IF(HdgVaerdiNbal=1,MD64*Ppris,(MC64+MD64)*Ppris)</f>
        <v>0</v>
      </c>
      <c r="MF64" s="3">
        <f>ME64*Z64</f>
        <v>0</v>
      </c>
      <c r="MH64">
        <f>$ER64</f>
        <v>0</v>
      </c>
      <c r="MI64">
        <f>DC64</f>
        <v>0</v>
      </c>
      <c r="MJ64">
        <f>CZ64</f>
        <v>0</v>
      </c>
      <c r="MK64" s="3">
        <f>IF(HdgVaerdiNbal=1,MJ64*Ppris,(MI64+MJ64)*Ppris)</f>
        <v>0</v>
      </c>
      <c r="ML64" s="3">
        <f>MK64*Z64</f>
        <v>0</v>
      </c>
      <c r="MN64">
        <f>LY64+ME64+MK64</f>
        <v>0</v>
      </c>
      <c r="MO64" s="3">
        <f>IF(Nbal!JY64&lt;&gt;"",Nbal!JY64,$MN64)</f>
        <v>0</v>
      </c>
      <c r="MP64" s="3">
        <f>MO64*Z64</f>
        <v>0</v>
      </c>
      <c r="MR64">
        <f>VLOOKUP($T64,Efgr,Data!$AE$53)*PlantevJust</f>
        <v>0</v>
      </c>
      <c r="MS64" s="3">
        <f>IF(Nbal!KE64&lt;&gt;"",Nbal!KE64,MR64)</f>
        <v>0</v>
      </c>
      <c r="MT64" s="3">
        <f>MS64*Z64</f>
        <v>0</v>
      </c>
      <c r="MV64">
        <f>VLOOKUP($T64,Efgr,Data!$AF$53)+$BR64*VLOOKUP($T64,Efgr,Data!$AL$53)</f>
        <v>0</v>
      </c>
      <c r="MW64" s="3">
        <f>IF(Nbal!KK64&lt;&gt;"",Nbal!KK64,MV64)</f>
        <v>0</v>
      </c>
      <c r="MX64" s="3">
        <f>MW64*Z64</f>
        <v>0</v>
      </c>
      <c r="MZ64">
        <f>LV64+MO64+MS64+MW64</f>
        <v>0</v>
      </c>
      <c r="NB64">
        <f>VLOOKUP($T64,Efgr,Data!$AU$53)*K64*MaskJust</f>
        <v>0</v>
      </c>
      <c r="NC64" s="3">
        <f>IF(Nbal!KQ64&lt;&gt;"",Nbal!KQ64,NB64)</f>
        <v>0</v>
      </c>
      <c r="ND64" s="3">
        <f>NC64*Z64</f>
        <v>0</v>
      </c>
      <c r="NF64">
        <f>VLOOKUP($T64,Efgr,Data!$AW$53)*Data!$K$268*K64*MaskJust</f>
        <v>0</v>
      </c>
      <c r="NG64" s="3">
        <f>IF(Nbal!KW64&lt;&gt;"",Nbal!KW64,NF64)</f>
        <v>0</v>
      </c>
      <c r="NH64" s="3">
        <f>NG64*Z64</f>
        <v>0</v>
      </c>
      <c r="NJ64">
        <f>VLOOKUP($T64,Efgr,Data!$AV$53)*Data!$K$269*MaskJust</f>
        <v>0</v>
      </c>
      <c r="NK64" s="3">
        <f>IF(Nbal!LC64&lt;&gt;"",Nbal!LC64,NJ64)</f>
        <v>0</v>
      </c>
      <c r="NL64" s="3">
        <f>NK64*Z64</f>
        <v>0</v>
      </c>
      <c r="NN64">
        <f>IF(C64=2,VLOOKUP($T64,Efgr,Data!$BC$53),0)</f>
        <v>0</v>
      </c>
      <c r="NO64">
        <f>IF(Nbal!LI64&lt;&gt;"",Nbal!LI64,$NN64)</f>
        <v>0</v>
      </c>
      <c r="NP64">
        <f>IF(C64=2,$NO64*Flytning/mmprgang+$NO64*Prisprmm,0)</f>
        <v>0</v>
      </c>
      <c r="NQ64" s="3">
        <f>IF(Nbal!LO64&lt;&gt;"",Nbal!LO64,$NP64)</f>
        <v>0</v>
      </c>
      <c r="NR64" s="3">
        <f>NQ64*Z64</f>
        <v>0</v>
      </c>
      <c r="NT64">
        <f>IF(VLOOKUP($T64,Efgr,Data!$AX$53)&gt;0,((1+BR64/VLOOKUP($T64,Efgr,Data!$AX$53))/2)*VLOOKUP($T64,Efgr,Data!$AY$53)*VLOOKUP($T64,Efgr,Data!$BA$53)+VLOOKUP($T64,Efgr,Data!$AZ$53),0)</f>
        <v>0</v>
      </c>
      <c r="NU64">
        <f>IF(VLOOKUP($T64,Efgr,Data!$AX$53)&gt;0,($BR64/VLOOKUP($T64,Efgr,Data!$AX$53))*VLOOKUP($T64,Efgr,Data!$BB$53)*VLOOKUP($T64,Efgr,Data!$BA$53),0)</f>
        <v>0</v>
      </c>
      <c r="NV64">
        <f>(NT64+NU64)*MaskJust</f>
        <v>0</v>
      </c>
      <c r="NW64" s="3">
        <f>IF(Nbal!LU64&lt;&gt;"",Nbal!LU64,NV64)</f>
        <v>0</v>
      </c>
      <c r="NX64" s="3">
        <f>NW64*Z64</f>
        <v>0</v>
      </c>
      <c r="NZ64">
        <f>IF($U64=2,Data!$K$304,IF($U64=3,Data!$K$305,0))*MaskJust</f>
        <v>0</v>
      </c>
      <c r="OA64" s="3">
        <f>IF(Nbal!MA64&lt;&gt;"",Nbal!MA64,NZ64)</f>
        <v>0</v>
      </c>
      <c r="OB64" s="3">
        <f>OA64*Z64</f>
        <v>0</v>
      </c>
      <c r="OD64">
        <f>IL64</f>
        <v>8520</v>
      </c>
      <c r="OE64">
        <f>JW64+MZ64</f>
        <v>789.2</v>
      </c>
      <c r="OF64">
        <f>OD64-OE64</f>
        <v>7730.8</v>
      </c>
      <c r="OG64">
        <f>OF64*Z64</f>
        <v>7112.3360000000002</v>
      </c>
      <c r="OJ64">
        <f>VLOOKUP($O64,Afgr,Data!$BP$3)+VLOOKUP($P64,Efgr,Data!$AM$53)</f>
        <v>0</v>
      </c>
      <c r="OK64" s="3">
        <f>OJ64*Z64</f>
        <v>0</v>
      </c>
      <c r="OL64">
        <f>VLOOKUP($R64,Afgr,Data!$BP$3)+VLOOKUP($T64,Efgr,Data!$AM$53)</f>
        <v>0</v>
      </c>
      <c r="OM64" s="3">
        <f>OL64*Z64</f>
        <v>0</v>
      </c>
      <c r="OO64">
        <f>VLOOKUP($P64,Efgr,Data!$AN$53)</f>
        <v>0</v>
      </c>
      <c r="OP64">
        <f>VLOOKUP($O64,Afgr,Data!$BQ$3)</f>
        <v>0</v>
      </c>
      <c r="OQ64">
        <f>VLOOKUP($R64,Afgr,Data!$BR$3)</f>
        <v>1</v>
      </c>
      <c r="OR64">
        <f>OO64*OP64*OQ64</f>
        <v>0</v>
      </c>
      <c r="OS64" s="3">
        <f>OR64*Z64</f>
        <v>0</v>
      </c>
      <c r="OT64" s="3">
        <f>IF(Q64,1,0)*OS64</f>
        <v>0</v>
      </c>
      <c r="OV64">
        <f>VLOOKUP($T64,Efgr,Data!$AN$53)</f>
        <v>0</v>
      </c>
      <c r="OW64">
        <f>VLOOKUP($R64,Afgr,Data!$BQ$3)</f>
        <v>0</v>
      </c>
      <c r="OX64">
        <f>VLOOKUP($X64,Afgr,Data!$BR$3)</f>
        <v>1</v>
      </c>
      <c r="OY64">
        <f>OV64*OW64*OX64</f>
        <v>0</v>
      </c>
      <c r="OZ64" s="3">
        <f>OY64*Z64</f>
        <v>0</v>
      </c>
      <c r="PB64">
        <f>VLOOKUP($T64,Efgr,Data!$AO$53)</f>
        <v>0</v>
      </c>
      <c r="PC64">
        <f>VLOOKUP($O64,Afgr,Data!$BQ$3)</f>
        <v>0</v>
      </c>
      <c r="PD64">
        <f>VLOOKUP($R64,Afgr,Data!$BS$3)</f>
        <v>0</v>
      </c>
      <c r="PE64" s="3">
        <f>PB64*PC64*PD64*$Z64</f>
        <v>0</v>
      </c>
      <c r="PG64">
        <f>VLOOKUP($T64,Efgr,Data!$AO$53)</f>
        <v>0</v>
      </c>
      <c r="PH64">
        <f>VLOOKUP($R64,Afgr,Data!$BQ$3)</f>
        <v>0</v>
      </c>
      <c r="PI64">
        <f>VLOOKUP($X64,Afgr,Data!$BS$3)</f>
        <v>0</v>
      </c>
      <c r="PJ64" s="3">
        <f>PG64*PH64*PI64*$Z64</f>
        <v>0</v>
      </c>
      <c r="PK64" s="3"/>
      <c r="PL64" s="3">
        <f>VLOOKUP($O64,Afgr,Data!$BU$3)</f>
        <v>0</v>
      </c>
      <c r="PM64" s="3">
        <f>PL64*Z64</f>
        <v>0</v>
      </c>
      <c r="PN64" s="3">
        <f>VLOOKUP($R64,Afgr,Data!$BU$3)</f>
        <v>0</v>
      </c>
      <c r="PO64" s="3">
        <f>PN64*Z64</f>
        <v>0</v>
      </c>
      <c r="PQ64">
        <f>VLOOKUP(R64,Afgr,Data!$BX$3)+VLOOKUP(T64,Efgr,Data!$AQ$53)</f>
        <v>1</v>
      </c>
      <c r="PR64">
        <f>IF(PQ64&gt;0,Z64,0)</f>
        <v>0.92</v>
      </c>
      <c r="PT64">
        <f>VLOOKUP($O64,Afgr,Data!$BT$3)</f>
        <v>1</v>
      </c>
      <c r="PU64" s="3">
        <f>PT64*Z64</f>
        <v>0.92</v>
      </c>
      <c r="PV64">
        <f>VLOOKUP($R64,Afgr,Data!$BT$3)</f>
        <v>1</v>
      </c>
      <c r="PW64" s="3">
        <f>PV64*Z64</f>
        <v>0.92</v>
      </c>
      <c r="PY64">
        <f>VLOOKUP($R64,Afgr,Data!$BV$3)</f>
        <v>0</v>
      </c>
      <c r="PZ64">
        <f>PY64*Z64</f>
        <v>0</v>
      </c>
      <c r="QB64">
        <f>VLOOKUP($R64,Afgr,Data!$BW$3)</f>
        <v>0</v>
      </c>
      <c r="QC64">
        <f>QB64*Z64</f>
        <v>0</v>
      </c>
      <c r="QE64">
        <f>AM64*IF(VLOOKUP($R64,Afgr,Data!$BJ$3)&gt;0,1,0)</f>
        <v>0</v>
      </c>
      <c r="QF64">
        <f>QE64*Z64</f>
        <v>0</v>
      </c>
      <c r="QH64">
        <f>AM64*VLOOKUP(R64,Afgr,Data!$BK$3)</f>
        <v>0</v>
      </c>
      <c r="QI64">
        <f>Z64*QH64</f>
        <v>0</v>
      </c>
      <c r="QJ64">
        <f>$AM64*VLOOKUP($R64,Afgr,Data!$BL$3)+$BR64*VLOOKUP($T64,Efgr,Data!$AP$53)</f>
        <v>7100</v>
      </c>
      <c r="QK64">
        <f>QJ64*Z64</f>
        <v>6532</v>
      </c>
      <c r="QL64">
        <f>$AM64*VLOOKUP($R64,Afgr,Data!$BM$3)</f>
        <v>0</v>
      </c>
      <c r="QM64">
        <f>QL64*Z64</f>
        <v>0</v>
      </c>
      <c r="QN64">
        <f>$AM64*VLOOKUP($R64,Afgr,Data!$BN$3)</f>
        <v>0</v>
      </c>
      <c r="QO64">
        <f>QN64*Z64</f>
        <v>0</v>
      </c>
      <c r="QR64">
        <f>IF(VLOOKUP($R64,Afgr,Data!$DA$3)="Vårbyg",$AN64,0)*VLOOKUP($R64,Afgr,Data!$BJ$3)</f>
        <v>0</v>
      </c>
      <c r="QS64">
        <f>IF(VLOOKUP($R64,Afgr,Data!$DA$3)="Vinterbyg",$AN64,0)*VLOOKUP($R64,Afgr,Data!$BJ$3)</f>
        <v>0</v>
      </c>
      <c r="QT64">
        <f>IF(VLOOKUP($R64,Afgr,Data!$DA$3)="Havre",$AN64,0)*VLOOKUP($R64,Afgr,Data!$BJ$3)</f>
        <v>0</v>
      </c>
      <c r="QU64">
        <f>IF(VLOOKUP($R64,Afgr,Data!$DA$3)="Hvede",$AN64,0)*VLOOKUP($R64,Afgr,Data!$BJ$3)</f>
        <v>0</v>
      </c>
      <c r="QV64">
        <f>IF(VLOOKUP($R64,Afgr,Data!$DA$3)="Triticale",$AN64,0)*VLOOKUP($R64,Afgr,Data!$BJ$3)</f>
        <v>0</v>
      </c>
      <c r="QW64">
        <f>IF(VLOOKUP($R64,Afgr,Data!$DA$3)="Rug",$AN64,0)*VLOOKUP($R64,Afgr,Data!$BJ$3)</f>
        <v>0</v>
      </c>
      <c r="QX64">
        <f>IF(VLOOKUP($R64,Afgr,Data!$DA$3)="Majs",$AN64,0)*VLOOKUP($R64,Afgr,Data!$BJ$3)</f>
        <v>0</v>
      </c>
      <c r="RA64">
        <f>IF(OV64+PB64&gt;0,1,0)</f>
        <v>0</v>
      </c>
      <c r="RB64">
        <f>RA64*LW64</f>
        <v>0</v>
      </c>
      <c r="RC64">
        <f>RA64*MT64</f>
        <v>0</v>
      </c>
      <c r="RD64">
        <f>ND64</f>
        <v>0</v>
      </c>
      <c r="RE64">
        <f>RA64*OB64</f>
        <v>0</v>
      </c>
      <c r="RH64">
        <f>VLOOKUP(B64,Jordtype,Data!$Y$112+DenitNr-1)</f>
        <v>0</v>
      </c>
      <c r="RI64">
        <f>FF64*VLOOKUP(B64,Jordtype,Data!$AB$112+DenitNr-1)</f>
        <v>0</v>
      </c>
      <c r="RJ64">
        <f>((CJ64+CK64+CL64+Regn2!CO64*0.7)-(RR64+RT64))*VLOOKUP(B64,Jordtype,Data!$AE$112+DenitNr-1)</f>
        <v>0</v>
      </c>
      <c r="RK64">
        <f>0*VLOOKUP(B64,Jordtype,Data!$AE$112+DenitNr-1)</f>
        <v>0</v>
      </c>
      <c r="RL64">
        <f>Regn2!FD64*VLOOKUP(B64,Jordtype,Data!$AH$112+DenitNr-1)</f>
        <v>0</v>
      </c>
      <c r="RM64" s="3">
        <f>RH64+RI64+RJ64+RK64+RL64</f>
        <v>0</v>
      </c>
      <c r="RO64">
        <v>2</v>
      </c>
      <c r="RP64">
        <f>(FF64)*RO64*0.01</f>
        <v>0</v>
      </c>
      <c r="RQ64">
        <v>7</v>
      </c>
      <c r="RR64">
        <f>CE64*RQ64*0.01</f>
        <v>0</v>
      </c>
      <c r="RS64">
        <v>7</v>
      </c>
      <c r="RT64">
        <f>(Regn2!CF64+Regn2!CG64)*RS64*0.01</f>
        <v>0</v>
      </c>
      <c r="RW64">
        <f>VLOOKUP(R64,Afgr,Data!$EE$3)</f>
        <v>0</v>
      </c>
      <c r="RX64" s="3">
        <f>RP64+RR64+RT64+RV64+RW64</f>
        <v>0</v>
      </c>
    </row>
    <row r="66" spans="1:492" x14ac:dyDescent="0.25">
      <c r="A66" s="214" t="str">
        <f>Nbal!B66</f>
        <v>47-0</v>
      </c>
      <c r="B66">
        <v>6</v>
      </c>
      <c r="C66">
        <v>1</v>
      </c>
      <c r="D66">
        <f>IF(C66=1,VLOOKUP(B66,Jordtype,Data!$K$112),VLOOKUP(B66,Jordtype,Data!$L$112))</f>
        <v>9</v>
      </c>
      <c r="E66">
        <f>IF(C66=1,VLOOKUP(B66,Jordtype,Data!$M$112),VLOOKUP(B66,Jordtype,Data!$N$112))</f>
        <v>14</v>
      </c>
      <c r="F66">
        <f>IF(OR(B66=1,B66=3),0,IF(OR(B66=2,B66=4),1,IF(OR(B66=5,B66=6),2,3)))</f>
        <v>2</v>
      </c>
      <c r="G66">
        <f>IF(C66=1,VLOOKUP(B66,Jordtype,Data!$Q$112),VLOOKUP(B66,Jordtype,Data!$R$112))</f>
        <v>25</v>
      </c>
      <c r="H66">
        <f>IF(C66=1,VLOOKUP(B66,Jordtype,Data!$O$112),VLOOKUP(B66,Jordtype,Data!$P$112))</f>
        <v>19</v>
      </c>
      <c r="I66">
        <f>IF(B66&lt;5,0,1)</f>
        <v>1</v>
      </c>
      <c r="J66">
        <f>IF(B66&lt;5,PlojJB,1)</f>
        <v>1</v>
      </c>
      <c r="K66">
        <f>IF(B66&lt;5,SaaJB,1)</f>
        <v>1</v>
      </c>
      <c r="L66">
        <f>IF(C66=1,VLOOKUP(B66,Jordtype,Data!$S$112),VLOOKUP(B66,Jordtype,Data!$T$112))</f>
        <v>8</v>
      </c>
      <c r="M66">
        <f>IF(C66=1,VLOOKUP(B66,Jordtype,Data!$U$112),VLOOKUP(B66,Jordtype,Data!$V$112))</f>
        <v>13</v>
      </c>
      <c r="O66">
        <v>19</v>
      </c>
      <c r="P66">
        <v>1</v>
      </c>
      <c r="Q66" t="b">
        <v>0</v>
      </c>
      <c r="R66">
        <v>40</v>
      </c>
      <c r="S66">
        <v>1</v>
      </c>
      <c r="T66">
        <v>4</v>
      </c>
      <c r="U66">
        <v>3</v>
      </c>
      <c r="V66">
        <v>1</v>
      </c>
      <c r="X66">
        <v>40</v>
      </c>
      <c r="Z66">
        <f>Nbal!AG66</f>
        <v>6.29</v>
      </c>
      <c r="AA66">
        <v>1</v>
      </c>
      <c r="AB66">
        <f>VLOOKUP($R66,Afgr,G66)</f>
        <v>110</v>
      </c>
      <c r="AC66">
        <f>VLOOKUP($O66,Afgr,Data!$AI$3)*VLOOKUP(R66,Afgr,Data!$AJ$3)</f>
        <v>85</v>
      </c>
      <c r="AD66">
        <f>IF($Q66,0,VLOOKUP($P66,Efgr,(Data!$W$53+$V$6-1)))</f>
        <v>0</v>
      </c>
      <c r="AE66">
        <f>AB66-AC66-AD66</f>
        <v>25</v>
      </c>
      <c r="AF66">
        <f>AE66*Z66</f>
        <v>157.25</v>
      </c>
      <c r="AH66">
        <f>VLOOKUP(R66,Afgr,D66)</f>
        <v>56</v>
      </c>
      <c r="AI66">
        <f>VLOOKUP(O66,Afgr,Data!$AL$3)*VLOOKUP(R66,Afgr,E66)</f>
        <v>6</v>
      </c>
      <c r="AJ66">
        <f>VLOOKUP(P66,Efgr,(Data!$Y$53+I66))</f>
        <v>0</v>
      </c>
      <c r="AK66">
        <f>AH66+AI66+AJ66</f>
        <v>62</v>
      </c>
      <c r="AL66">
        <f>AH66+AI66+AJ66</f>
        <v>62</v>
      </c>
      <c r="AM66" s="3">
        <f>IF(Nbal!CK66&lt;&gt;"",Nbal!CK66,AL66)</f>
        <v>70</v>
      </c>
      <c r="AN66">
        <f>AM66*Z66</f>
        <v>440.3</v>
      </c>
      <c r="AO66" t="str">
        <f>VLOOKUP(R66,Afgr,3)</f>
        <v>hkg</v>
      </c>
      <c r="AP66">
        <f>IF(AO66="FE",VLOOKUP($R66,Afgr,Data!$AV$3),0)</f>
        <v>0</v>
      </c>
      <c r="AR66">
        <f>VLOOKUP(R66,Afgr,4)</f>
        <v>145</v>
      </c>
      <c r="AS66" s="3">
        <f>IF(Nbal!CW66&lt;&gt;"",Nbal!CW66,AR66)</f>
        <v>145</v>
      </c>
      <c r="AT66" s="3">
        <f>AM66*AS66</f>
        <v>10150</v>
      </c>
      <c r="AU66" s="3">
        <f>AN66*AS66</f>
        <v>63843.5</v>
      </c>
      <c r="AW66">
        <f>VLOOKUP(R66,Afgr,Data!$AN$3)</f>
        <v>0</v>
      </c>
      <c r="AX66" s="3">
        <f>IF(Nbal!DC66&lt;&gt;"",Nbal!DC66,AW66)</f>
        <v>0</v>
      </c>
      <c r="AY66" s="3">
        <f>AX66*Z66</f>
        <v>0</v>
      </c>
      <c r="BA66">
        <f>VLOOKUP(R66,Afgr,H66)</f>
        <v>3000</v>
      </c>
      <c r="BB66">
        <f>IF(ISERROR(BA66*AM66/AK66),0,(BA66*AM66/AK66))</f>
        <v>3387.0967741935483</v>
      </c>
      <c r="BC66" s="3">
        <f>IF(Nbal!DI66&lt;&gt;"",Nbal!DI66,BB66)</f>
        <v>3387.0967741935483</v>
      </c>
      <c r="BD66">
        <f>BC66*Z66</f>
        <v>21304.83870967742</v>
      </c>
      <c r="BG66">
        <f>IF($S66=1,BC66,0)</f>
        <v>3387.0967741935483</v>
      </c>
      <c r="BH66">
        <f>IF($S66=1,BD66,0)</f>
        <v>21304.83870967742</v>
      </c>
      <c r="BI66">
        <f>VLOOKUP(R66,Afgr,Data!$AM$3)</f>
        <v>0.5</v>
      </c>
      <c r="BJ66">
        <f>IF(Nbal!DR66&lt;&gt;"",Nbal!DR66,BI66)</f>
        <v>0.5</v>
      </c>
      <c r="BK66">
        <f>BG66*BJ66</f>
        <v>1693.5483870967741</v>
      </c>
      <c r="BL66">
        <f>BH66*BJ66</f>
        <v>10652.41935483871</v>
      </c>
      <c r="BN66">
        <f>VLOOKUP($T66,Efgr,M66)</f>
        <v>0</v>
      </c>
      <c r="BO66">
        <f>BN66*Z66</f>
        <v>0</v>
      </c>
      <c r="BQ66">
        <f>VLOOKUP(T66,Efgr,NormudbKolonneNrEfgr1)</f>
        <v>0</v>
      </c>
      <c r="BR66" s="3">
        <f>IF(Nbal!FE66&lt;&gt;"",Nbal!FE66,BQ66)</f>
        <v>0</v>
      </c>
      <c r="BS66">
        <f>BR66*Z66</f>
        <v>0</v>
      </c>
      <c r="BT66" t="s">
        <v>37</v>
      </c>
      <c r="BU66">
        <f>BR66*Efterslaetpris</f>
        <v>0</v>
      </c>
      <c r="BV66">
        <f>BS66*Efterslaetpris</f>
        <v>0</v>
      </c>
      <c r="BW66">
        <f>VLOOKUP(T66,Efgr,Data!$AG$53)</f>
        <v>0</v>
      </c>
      <c r="BX66">
        <f>BR66*BW66</f>
        <v>0</v>
      </c>
      <c r="BZ66">
        <f>Nbal!AQ66</f>
        <v>0</v>
      </c>
      <c r="CA66" s="211">
        <f>Nbal!AT66</f>
        <v>41</v>
      </c>
      <c r="CB66" s="2">
        <f>Nbal!DZ66</f>
        <v>0</v>
      </c>
      <c r="CC66" s="211">
        <f>Nbal!AT66+Nbal!DZ66</f>
        <v>41</v>
      </c>
      <c r="CD66" s="211">
        <f>Nbal!AX66</f>
        <v>0</v>
      </c>
      <c r="CE66">
        <f>Nbal!BH66</f>
        <v>0</v>
      </c>
      <c r="CF66" s="211">
        <f>Nbal!BM66</f>
        <v>85</v>
      </c>
      <c r="CG66" s="2">
        <f>Nbal!EI66</f>
        <v>0</v>
      </c>
      <c r="CH66" s="211">
        <f>Nbal!BM66+Nbal!EI66</f>
        <v>85</v>
      </c>
      <c r="CI66" s="211">
        <f>Nbal!BW66</f>
        <v>0</v>
      </c>
      <c r="CJ66" s="211">
        <f>Nbal!BH66*Nbal!BJ66*0.01</f>
        <v>0</v>
      </c>
      <c r="CK66" s="211">
        <f>(Nbal!BM66*Nbal!BP66*0.01)</f>
        <v>63.095500000000001</v>
      </c>
      <c r="CL66" s="211">
        <f>(Nbal!EI66*Nbal!EL66*0.01)</f>
        <v>0</v>
      </c>
      <c r="CM66" s="211">
        <f>(Nbal!BM66*Nbal!BP66*0.01)+(Nbal!EI66*Nbal!EL66*0.01)</f>
        <v>63.095500000000001</v>
      </c>
      <c r="CN66" s="211">
        <f>Nbal!BW66*Nbal!BY66*0.01</f>
        <v>0</v>
      </c>
      <c r="CO66">
        <f>Nbal!BT66+Nbal!ER66</f>
        <v>0</v>
      </c>
      <c r="CQ66">
        <f>Nbal!BA66</f>
        <v>0</v>
      </c>
      <c r="CR66">
        <f>Nbal!EC66</f>
        <v>0</v>
      </c>
      <c r="CS66">
        <f>(CQ66+CR66)*Z66</f>
        <v>0</v>
      </c>
      <c r="CT66">
        <f>Nbal!CB66</f>
        <v>18</v>
      </c>
      <c r="CU66">
        <f>Nbal!EV66</f>
        <v>0</v>
      </c>
      <c r="CV66">
        <f>(CT66+CU66)*Z66</f>
        <v>113.22</v>
      </c>
      <c r="CW66">
        <f>Nbal!BA66+Nbal!CB66+Nbal!EC66+Nbal!EV66</f>
        <v>18</v>
      </c>
      <c r="CY66">
        <f>Nbal!BD66</f>
        <v>0</v>
      </c>
      <c r="CZ66">
        <f>Nbal!EF66</f>
        <v>0</v>
      </c>
      <c r="DA66">
        <f>(CY66+CZ66)*Z66</f>
        <v>0</v>
      </c>
      <c r="DB66">
        <f>Nbal!CE66</f>
        <v>44</v>
      </c>
      <c r="DC66">
        <f>Nbal!EY66</f>
        <v>0</v>
      </c>
      <c r="DD66">
        <f>(DB66+DC66)*Z66</f>
        <v>276.76</v>
      </c>
      <c r="DE66">
        <f>Nbal!BD66+Nbal!CE66+Nbal!EF66+Nbal!EY66</f>
        <v>44</v>
      </c>
      <c r="DG66">
        <f>VLOOKUP($R66,Afgr,Data!$AW$3)</f>
        <v>11.1875</v>
      </c>
      <c r="DH66">
        <f>IF($AO66="FE",$AM66*$AP66*$DG66*0.01,$AM66*100*$DM66*0.01*$DG66*0.01)</f>
        <v>665.65625</v>
      </c>
      <c r="DI66">
        <f>IF(VLOOKUP(R66,Afgr,Data!$BO$3)=1,DH66,0)*Z66</f>
        <v>4186.9778125000003</v>
      </c>
      <c r="DJ66" s="12">
        <f>(BZ66+CC66+CJ66-AE66)*VLOOKUP($R66,Afgr,Data!$AX$3)</f>
        <v>0.32</v>
      </c>
      <c r="DK66">
        <f>DG66+DJ66</f>
        <v>11.5075</v>
      </c>
      <c r="DL66">
        <f>IF(Nbal!CQ66&lt;&gt;"",Nbal!CQ66,DK66)</f>
        <v>11.5</v>
      </c>
      <c r="DM66">
        <f>VLOOKUP(R66,Afgr,Data!$AT$3)</f>
        <v>85</v>
      </c>
      <c r="DN66">
        <f>IF($AO66="FE",$AM66*$AP66*$DL66*0.01,$AM66*100*$DM66*0.01*DL66*0.01)</f>
        <v>684.25</v>
      </c>
      <c r="DO66">
        <f>IF(VLOOKUP(R66,Afgr,Data!$BO$3)=1,DN66,0)*Z66</f>
        <v>4303.9324999999999</v>
      </c>
      <c r="DP66">
        <f>IF(ISERROR(DN66/VLOOKUP(R66,Afgr,Data!$AY$3)),0,DN66/VLOOKUP(R66,Afgr,Data!$AY$3))</f>
        <v>109.48</v>
      </c>
      <c r="DQ66">
        <f>DP66*Z66</f>
        <v>688.62920000000008</v>
      </c>
      <c r="DS66">
        <f>IF($AO66="FE",$AM66*$AP66*VLOOKUP($R66,Afgr,Data!$BC$3)*0.001,$AM66*100*$DM66*0.01*VLOOKUP($R66,Afgr,Data!$BC$3)*0.001)</f>
        <v>22.61</v>
      </c>
      <c r="DT66">
        <f>DS66*Z66</f>
        <v>142.21690000000001</v>
      </c>
      <c r="DV66">
        <f>IF($AO66="FE",$AM66*$AP66*VLOOKUP($R66,Afgr,Data!$BF$3)*0.001,$AM66*100*$DM66*0.01*VLOOKUP($R66,Afgr,Data!$BF$3)*0.001)</f>
        <v>27.965</v>
      </c>
      <c r="DW66">
        <f>DV66*Z66</f>
        <v>175.89984999999999</v>
      </c>
      <c r="DY66">
        <f>IF(ISERROR(VLOOKUP(R66,Afgr,Data!$AZ$3)*DL66/DG66),0,VLOOKUP(R66,Afgr,Data!$AZ$3)*DL66/DG66)</f>
        <v>4.1117318435754191</v>
      </c>
      <c r="DZ66">
        <f>VLOOKUP(R66,Afgr,Data!$AU$3)</f>
        <v>85</v>
      </c>
      <c r="EA66">
        <f>IF($S66=1,$BC66*$DZ66*0.01*DY66*0.01,0)</f>
        <v>118.37808614164713</v>
      </c>
      <c r="EB66">
        <f>EA66/6.25</f>
        <v>18.940493782663541</v>
      </c>
      <c r="EC66">
        <f>EB66*Z66</f>
        <v>119.13570589295368</v>
      </c>
      <c r="EE66">
        <f>IF($S66=1,$BC66*$DZ66*0.01*VLOOKUP($R66,Afgr,Data!$BD$3)*0.001,0)</f>
        <v>2.5911290322580638</v>
      </c>
      <c r="EF66">
        <f>EE66*Z66</f>
        <v>16.29820161290322</v>
      </c>
      <c r="EH66">
        <f>IF($S66=1,$BC66*$DZ66*0.01*VLOOKUP($R66,Afgr,Data!$BG$3)*0.001,0)</f>
        <v>34.548387096774192</v>
      </c>
      <c r="EI66">
        <f>EH66*Z66</f>
        <v>217.30935483870968</v>
      </c>
      <c r="EK66">
        <f>VLOOKUP(T66,Efgr,Data!$AI$53)</f>
        <v>0</v>
      </c>
      <c r="EL66">
        <f>BX66*EK66*0.01/6.25</f>
        <v>0</v>
      </c>
      <c r="EM66">
        <f>EL66*Z66</f>
        <v>0</v>
      </c>
      <c r="EO66">
        <f>$BX66*VLOOKUP($T66,Efgr,Data!$AJ$53)*0.001</f>
        <v>0</v>
      </c>
      <c r="EP66">
        <f>EO66*Z66</f>
        <v>0</v>
      </c>
      <c r="ER66">
        <f>$BX66*VLOOKUP($T66,Efgr,Data!$AK$53)*0.001</f>
        <v>0</v>
      </c>
      <c r="ES66">
        <f>ER66*Z66</f>
        <v>0</v>
      </c>
      <c r="EU66">
        <f>IF(VLOOKUP(R66,Afgr,Data!$DS$3)=1,DP66*VLOOKUP(R66,Afgr,(Data!$DT$3+EftervirkningUdb1))*VLOOKUP(R66,Afgr,Data!$DV$3),0)</f>
        <v>0</v>
      </c>
      <c r="EV66">
        <f>IF(VLOOKUP(R66,Afgr,Data!$DS$3)=2,VLOOKUP(R66,Afgr,Data!$DX$3),0)</f>
        <v>0</v>
      </c>
      <c r="EW66">
        <f>IF(VLOOKUP(R66,Afgr,Data!$DS$3)=3,$DP66*VLOOKUP($R66,Afgr,IF(Jordtype1&lt;5,Data!$DT$3,Data!$DU$3))*VLOOKUP($R66,Afgr,Data!$DV$3),0)</f>
        <v>0</v>
      </c>
      <c r="EX66">
        <f>IF(VLOOKUP(R66,Afgr,Data!$DS$3)=4,(1.232+0.00469*AM66*100+(0.000256*AM66*100+0.089)*60),0)</f>
        <v>0</v>
      </c>
      <c r="EY66" s="211">
        <f>BZ66+CA66+CJ66+CK66</f>
        <v>104.0955</v>
      </c>
      <c r="EZ66">
        <f>IF(VLOOKUP($R66,Afgr,Data!$DS$3)=5,($AM66*0.02742-$AM66*0.0001*$EY66+$AM66*0.0000001111*$EY66*$EY66),0)</f>
        <v>0</v>
      </c>
      <c r="FA66" s="2">
        <f>CB66+CL66</f>
        <v>0</v>
      </c>
      <c r="FB66">
        <f>IF(VLOOKUP($T66,Efgr,Data!$BH$53)=5,($BR66*0.02742-$BR66*0.0001*$FA66+$BR66*0.0000001111*$FA66*$FA66),0)</f>
        <v>0</v>
      </c>
      <c r="FC66" s="3">
        <f>EU66+EV66+EW66+EX66+EZ66+FB66</f>
        <v>0</v>
      </c>
      <c r="FD66" s="3">
        <f>FC66*Z66</f>
        <v>0</v>
      </c>
      <c r="FF66" s="211">
        <f>BZ66+CC66</f>
        <v>41</v>
      </c>
      <c r="FG66" s="211">
        <f>FF66*Z66</f>
        <v>257.89</v>
      </c>
      <c r="FH66" s="211">
        <f>CE66+CH66+CO66</f>
        <v>85</v>
      </c>
      <c r="FI66" s="211">
        <f>FH66*Z66</f>
        <v>534.65</v>
      </c>
      <c r="FJ66">
        <f>VLOOKUP($R66,Afgr,Data!$DK$3)*VLOOKUP($R66,Afgr,Data!$AT$3)*0.01*VLOOKUP($R66,Afgr,Data!$AW$3)*0.01/6.25</f>
        <v>2.4344000000000001</v>
      </c>
      <c r="FK66">
        <f>FJ66*Z66</f>
        <v>15.312376</v>
      </c>
      <c r="FL66" s="4">
        <f>IF(R66&gt;1,Deposition,0)</f>
        <v>15</v>
      </c>
      <c r="FM66" s="4">
        <f>FL66*Z66</f>
        <v>94.35</v>
      </c>
      <c r="FN66">
        <f>FC66</f>
        <v>0</v>
      </c>
      <c r="FO66">
        <f>FN66*Z66</f>
        <v>0</v>
      </c>
      <c r="FP66" s="211">
        <f>SUM(FF66,FH66,FJ66,FL66,FN66)</f>
        <v>143.43440000000001</v>
      </c>
      <c r="FQ66">
        <f>DP66+EB66+EL66</f>
        <v>128.42049378266356</v>
      </c>
      <c r="FR66" s="3">
        <f>FP66-FQ66</f>
        <v>15.013906217336455</v>
      </c>
      <c r="FS66" s="19">
        <f>FP66*Z66</f>
        <v>902.20237600000007</v>
      </c>
      <c r="FT66" s="19">
        <f>FQ66*Z66</f>
        <v>807.76490589295372</v>
      </c>
      <c r="FU66" s="3">
        <f>FR66*Z66</f>
        <v>94.437470107046309</v>
      </c>
      <c r="FW66">
        <f>CW66</f>
        <v>18</v>
      </c>
      <c r="FX66">
        <f>FW66*Z66</f>
        <v>113.22</v>
      </c>
      <c r="FY66">
        <f>IX66+MB66</f>
        <v>25.201129032258063</v>
      </c>
      <c r="FZ66">
        <f>FY66*Z66</f>
        <v>158.51510161290321</v>
      </c>
      <c r="GA66">
        <f>FW66-FY66</f>
        <v>-7.2011290322580628</v>
      </c>
      <c r="GB66">
        <f>GA66*Z66</f>
        <v>-45.295101612903217</v>
      </c>
      <c r="GD66">
        <f>DE66</f>
        <v>44</v>
      </c>
      <c r="GE66">
        <f>GD66*Z66</f>
        <v>276.76</v>
      </c>
      <c r="GF66">
        <f>JE66+MH66</f>
        <v>62.513387096774196</v>
      </c>
      <c r="GG66">
        <f>GF66*Z66</f>
        <v>393.2092048387097</v>
      </c>
      <c r="GH66">
        <f>GD66-GF66</f>
        <v>-18.513387096774196</v>
      </c>
      <c r="GI66">
        <f>GH66*Z66</f>
        <v>-116.44920483870969</v>
      </c>
      <c r="GK66">
        <f>AA66</f>
        <v>1</v>
      </c>
      <c r="GL66" s="211">
        <f>FF66+FH66+FN66</f>
        <v>126</v>
      </c>
      <c r="GM66" s="211">
        <f>IF(R66=1,"",IF(GK66=1,GL66,""))</f>
        <v>126</v>
      </c>
      <c r="GN66" s="211" t="str">
        <f>IF(R66=1,"",IF(GK66=2,GL66,""))</f>
        <v/>
      </c>
      <c r="GO66" s="211" t="str">
        <f>IF(R66=1,"",IF(GK66=3,GL66,""))</f>
        <v/>
      </c>
      <c r="GP66" s="211" t="str">
        <f>IF(R66=1,"",IF(GK66=4,GL66,""))</f>
        <v/>
      </c>
      <c r="GQ66" s="149">
        <f>IF(OR(R66=1,VLOOKUP(R66,Afgr,Data!$BV$3)=1,VLOOKUP(R66,Afgr,Data!$BW$3)=1),0,IF(GK66=1,Nniveau1,IF(GK66=2,Nniveau2,IF(GK66=3,Nniveau3,IF(GK66=4,Nniveau4,GL66)))))</f>
        <v>173.16922222222217</v>
      </c>
      <c r="GR66" s="241">
        <v>0.32550000000000001</v>
      </c>
      <c r="GS66" s="6">
        <v>0</v>
      </c>
      <c r="GT66" s="149">
        <f>CC66+CM66</f>
        <v>104.0955</v>
      </c>
      <c r="GU66" s="6">
        <f>$FN66</f>
        <v>0</v>
      </c>
      <c r="GV66" s="241">
        <v>0.25280000000000002</v>
      </c>
      <c r="GW66">
        <f>CO66</f>
        <v>0</v>
      </c>
      <c r="GX66" s="241">
        <v>0.376</v>
      </c>
      <c r="GY66" s="149">
        <f>CD66+CN66</f>
        <v>0</v>
      </c>
      <c r="GZ66" s="241">
        <f>IF(B66&gt;3,0.3539,1.0749)</f>
        <v>0.35389999999999999</v>
      </c>
      <c r="HA66" s="11">
        <f>$FQ66</f>
        <v>128.42049378266356</v>
      </c>
      <c r="HB66" s="241">
        <v>0.19359999999999999</v>
      </c>
      <c r="HC66" s="241">
        <f>VLOOKUP($R66,Afgr,Data!$DM$3)</f>
        <v>1</v>
      </c>
      <c r="HD66" s="24">
        <f>IF($HC66&gt;1,0,(VLOOKUP($X66,Afgr,Data!$DP$3)+IF(VLOOKUP($X66,Afgr,Data!$DP$3)=0,VLOOKUP($T66,Efgr,Data!$BI$53,0))))+IF(AND($HC66=7,VLOOKUP($X66,Afgr,Data!$DQ$3)=-2),-2,0)+IF(AND($HC66=6,VLOOKUP($T66,Efgr,Data!$BI$53)=2),8,0)</f>
        <v>2</v>
      </c>
      <c r="HE66" s="6">
        <f>VLOOKUP(SUM(HC66:HD66),Nlesafgr,3)</f>
        <v>-98.6</v>
      </c>
      <c r="HF66" s="7">
        <f>VLOOKUP($O66,Afgr,Data!$DN$3)</f>
        <v>4</v>
      </c>
      <c r="HG66" s="24">
        <f>IF(HF66&gt;1,0,VLOOKUP($R66,Afgr,Data!$DO$3)+IF(VLOOKUP($R66,Afgr,Data!$DO$3)=1,0,VLOOKUP($P66,Efgr,Data!$BJ$53)))</f>
        <v>0</v>
      </c>
      <c r="HH66" s="6">
        <f>VLOOKUP(SUM(HF66:HG66),Nlesforfrugt,3)</f>
        <v>34.700000000000003</v>
      </c>
      <c r="HI66" s="241">
        <f>GR66*GQ66+GV66*(GT66+GU66)+GX66*GW66+GZ66*GY66-HB66*HA66+HE66+HH66</f>
        <v>-6.0802833629903361</v>
      </c>
      <c r="HJ66" s="241">
        <f>Nlesafskaering</f>
        <v>59.6</v>
      </c>
      <c r="HK66" s="241">
        <f>Teknologi1</f>
        <v>2455</v>
      </c>
      <c r="HL66" s="6">
        <v>2001</v>
      </c>
      <c r="HM66" s="241">
        <f>Teknologi2</f>
        <v>1962.2</v>
      </c>
      <c r="HN66" s="241">
        <f>Tandel</f>
        <v>0.54659999999999997</v>
      </c>
      <c r="HO66" s="241">
        <f>IF(OR(HI66&gt;0,HI66=0),HJ66+HK66/(HL66-HM66),HJ66+HK66/(HL66-HM66)+HN66*HI66)</f>
        <v>119.54971299007822</v>
      </c>
      <c r="HP66" s="241">
        <f>IF(HI66&gt;0,HI66,0.001)</f>
        <v>1E-3</v>
      </c>
      <c r="HQ66" s="241">
        <v>1.5020000000000001E-3</v>
      </c>
      <c r="HR66" s="24">
        <f>IF(R66=1,0,VLOOKUP(PostnrNbal,AfstromData,VLOOKUP($R66,Afgr,Data!$DL$3)+IF(Jordtype1&lt;7,Jordtype1,6),FALSE)-VLOOKUP(T66,Efgr,Data!$AA$53))</f>
        <v>284.76666666666603</v>
      </c>
      <c r="HS66" s="24">
        <f>IF(Nbal!GA66&lt;&gt;"",Nbal!GA66,Regn2!HR66)</f>
        <v>284.76666666666603</v>
      </c>
      <c r="HT66" s="241">
        <v>5.5400000000000002E-4</v>
      </c>
      <c r="HU66" s="24">
        <f>IF(R66=1,0,VLOOKUP(PostnrNbal,AfstromData,VLOOKUP($O66,Afgr,Data!$DL$3)+IF(B66&lt;7,B66,6),FALSE)-VLOOKUP(P66,Efgr,Data!$AA$53))</f>
        <v>272.32333333333298</v>
      </c>
      <c r="HV66" s="24">
        <f>IF(Nbal!FU66&lt;&gt;"",Nbal!FU66,Regn2!HU66)</f>
        <v>272.32333333333298</v>
      </c>
      <c r="HW66" s="241">
        <v>0.10639999999999999</v>
      </c>
      <c r="HX66" s="6">
        <f>VLOOKUP(B66,Jordtype,Data!$W$112)</f>
        <v>3</v>
      </c>
      <c r="HY66" s="241">
        <v>3.2500000000000001E-2</v>
      </c>
      <c r="HZ66" s="6">
        <f>VLOOKUP(B66,Jordtype,Data!$X$112)</f>
        <v>12</v>
      </c>
      <c r="IA66" s="241">
        <v>1.2453000000000001</v>
      </c>
      <c r="IB66" s="241">
        <f>IF(VLOOKUP(T66,Efgr,Data!$AO$53)=1,MlafgrNUdvask,0)</f>
        <v>0</v>
      </c>
      <c r="IC66" s="20">
        <f>IF(ISERROR((HO66+POWER(HP66,1.2))*(1-EXP(-HQ66*HS66))*EXP(-HT66*HV66)*EXP(-HW66*HX66)*EXP(-HY66*HZ66)*IA66),0,(HO66+POWER(HP66,1.2))*(1-EXP(-HQ66*HS66))*EXP(-HT66*HV66)*EXP(-HW66*HX66)*EXP(-HY66*HZ66)*IA66+IB66)</f>
        <v>21.92236724023979</v>
      </c>
      <c r="ID66">
        <f>IC66*Z66</f>
        <v>137.89168994110827</v>
      </c>
      <c r="IE66">
        <f>IF(Nbal!GF66&lt;&gt;"",Nbal!GF66,RetentionNbal)</f>
        <v>65</v>
      </c>
      <c r="IF66">
        <f>IC66*(100-IE66)*0.01</f>
        <v>7.6728285340839264</v>
      </c>
      <c r="IG66">
        <f>IF66*Z66</f>
        <v>48.262091479387898</v>
      </c>
      <c r="IH66" s="2">
        <f>HS66*10000</f>
        <v>2847666.6666666605</v>
      </c>
      <c r="II66" s="2">
        <f>IH66*Z66</f>
        <v>17911823.333333295</v>
      </c>
      <c r="IJ66">
        <f>IF(ISERROR(IC66*1000*1000/IH66),0,IC66*1000*1000/IH66)</f>
        <v>7.6983614328361822</v>
      </c>
      <c r="IL66">
        <f>AT66+AX66+BK66+BU66</f>
        <v>11843.548387096775</v>
      </c>
      <c r="IO66">
        <f>VLOOKUP(R66,Afgr,Data!$AP$3)*UdsaedJust</f>
        <v>488</v>
      </c>
      <c r="IP66" s="3">
        <f>IF(Nbal!GN66&lt;&gt;"",Nbal!GN66,IO66)</f>
        <v>488</v>
      </c>
      <c r="IQ66" s="3">
        <f>IP66*Z66</f>
        <v>3069.52</v>
      </c>
      <c r="IS66" s="3">
        <f>IF(HdgVaerdiNbal=1,(BZ66+CA66)*Npris,(BZ66+CA66+CJ66+CK66)*Npris)</f>
        <v>346.45</v>
      </c>
      <c r="IT66" s="3">
        <f>IS66*Z66</f>
        <v>2179.1704999999997</v>
      </c>
      <c r="IV66">
        <f>VLOOKUP($R66,Afgr,Data!$BA$3)</f>
        <v>0</v>
      </c>
      <c r="IW66">
        <f>VLOOKUP($R66,Afgr,Data!$BB$3)</f>
        <v>2.5</v>
      </c>
      <c r="IX66">
        <f>$DS66+$EE66</f>
        <v>25.201129032258063</v>
      </c>
      <c r="IY66">
        <f>CT66</f>
        <v>18</v>
      </c>
      <c r="IZ66">
        <f>CQ66</f>
        <v>0</v>
      </c>
      <c r="JA66" s="3">
        <f>IF(HdgVaerdiNbal=1,(IZ66)*Ppris,(IY66+IZ66)*Ppris)</f>
        <v>0</v>
      </c>
      <c r="JB66" s="3">
        <f>JA66*Z66</f>
        <v>0</v>
      </c>
      <c r="JD66">
        <f>IF(AND(R66&gt;1,OR(Jordtype1=1,Jordtype1=3,Markvand1=2)),Kudvask,0)</f>
        <v>0</v>
      </c>
      <c r="JE66">
        <f>$DV66+$EH66</f>
        <v>62.513387096774196</v>
      </c>
      <c r="JF66">
        <f>DB66</f>
        <v>44</v>
      </c>
      <c r="JG66">
        <f>CY66</f>
        <v>0</v>
      </c>
      <c r="JH66" s="3">
        <f>IF(HdgVaerdiNbal=1,JG66*Kpris,(JF66+JG66)*Kpris)</f>
        <v>0</v>
      </c>
      <c r="JI66" s="3">
        <f>JH66*Z66</f>
        <v>0</v>
      </c>
      <c r="JK66">
        <f>IS66+JA66+JH66</f>
        <v>346.45</v>
      </c>
      <c r="JL66" s="3">
        <f>IF(Nbal!GT66&lt;&gt;"",Nbal!GT66,$JK66)</f>
        <v>346.45</v>
      </c>
      <c r="JM66" s="3">
        <f>JL66*Z66</f>
        <v>2179.1704999999997</v>
      </c>
      <c r="JO66">
        <f>VLOOKUP(R66,Afgr,Data!$AQ$3)*PlantevJust</f>
        <v>283</v>
      </c>
      <c r="JP66" s="3">
        <f>IF(Nbal!GZ66&lt;&gt;"",Nbal!GZ66,JO66)</f>
        <v>283</v>
      </c>
      <c r="JQ66" s="3">
        <f>JP66*Z66</f>
        <v>1780.07</v>
      </c>
      <c r="JS66">
        <f>VLOOKUP(R66,Afgr,Data!$AR$3)+AM66*VLOOKUP(R66,Afgr,Data!$BH$3)</f>
        <v>0</v>
      </c>
      <c r="JT66" s="3">
        <f>IF(Nbal!HF66&lt;&gt;"",Nbal!HF66,JS66)</f>
        <v>0</v>
      </c>
      <c r="JU66">
        <f>JT66*Z66</f>
        <v>0</v>
      </c>
      <c r="JW66">
        <f>IP66+JL66+JP66+JT66</f>
        <v>1117.45</v>
      </c>
      <c r="JY66">
        <f>IF(VLOOKUP(R66,Afgr,Data!$BY$3)&gt;0,Data!$K$259*J66,0)</f>
        <v>600</v>
      </c>
      <c r="JZ66">
        <f>IF(VLOOKUP(R66,Afgr,Data!$BZ$3)&gt;0,Data!$K$260*J66,0)</f>
        <v>0</v>
      </c>
      <c r="KA66">
        <f>(JY66+JZ66)*MaskJust</f>
        <v>600</v>
      </c>
      <c r="KB66" s="3">
        <f>IF(Nbal!HL66&lt;&gt;"",Nbal!HL66,KA66)</f>
        <v>600</v>
      </c>
      <c r="KC66" s="3">
        <f>KB66*Z66</f>
        <v>3774</v>
      </c>
      <c r="KE66">
        <f>IF(VLOOKUP(R66,Afgr,Data!$CA$3)&gt;0,VLOOKUP(R66,Afgr,Data!$CA$3)*Data!$K$261*K66,0)</f>
        <v>0</v>
      </c>
      <c r="KF66">
        <f>IF(VLOOKUP(R66,Afgr,Data!$CC$3)&gt;0,Data!$K$262*K66,0)</f>
        <v>350</v>
      </c>
      <c r="KG66">
        <f>IF(VLOOKUP(R66,Afgr,Data!$CD$3)&gt;0,VLOOKUP(R66,Afgr,Data!$CD$3)*Data!$K$263*K66,0)</f>
        <v>0</v>
      </c>
      <c r="KH66">
        <f>IF(VLOOKUP(R66,Afgr,Data!$CE$3)&gt;0,Data!$K$264*K66,0)</f>
        <v>0</v>
      </c>
      <c r="KI66">
        <f>IF(VLOOKUP(R66,Afgr,Data!$CF$3)&gt;0,Data!$K$265*K66,0)</f>
        <v>0</v>
      </c>
      <c r="KJ66">
        <f>IF(VLOOKUP(R66,Afgr,Data!$CV$3)&gt;0,Data!$K$266,0)</f>
        <v>0</v>
      </c>
      <c r="KK66">
        <f>IF(VLOOKUP(R66,Afgr,Data!$CG$3)&gt;0,Data!$K$267*K66,0)</f>
        <v>0</v>
      </c>
      <c r="KL66">
        <f>(KE66+KF66+KG66+KH66+KI66+KJ66+KK66)*MaskJust</f>
        <v>350</v>
      </c>
      <c r="KM66" s="3">
        <f>IF(Nbal!HR66&lt;&gt;"",Nbal!HR66,KL66)</f>
        <v>350</v>
      </c>
      <c r="KN66" s="3">
        <f>KM66*Z66</f>
        <v>2201.5</v>
      </c>
      <c r="KP66">
        <f>IF(VLOOKUP(R66,Afgr,Data!$CJ$3)&gt;0,VLOOKUP(R66,Afgr,Data!$CJ$3)*Data!$K$268*K66,0)*MaskJust</f>
        <v>140</v>
      </c>
      <c r="KQ66" s="3">
        <f>IF(Nbal!HX66&lt;&gt;"",Nbal!HX66,KP66)</f>
        <v>140</v>
      </c>
      <c r="KR66" s="3">
        <f>KQ66*Z66</f>
        <v>880.6</v>
      </c>
      <c r="KT66">
        <f>IF(VLOOKUP(R66,Afgr,Data!$CI$3)&gt;0,VLOOKUP(R66,Afgr,Data!$CI$3)*Data!$K$269,0)*MaskJust</f>
        <v>300</v>
      </c>
      <c r="KU66" s="3">
        <f>IF(Nbal!ID66&lt;&gt;"",Nbal!ID66,KT66)</f>
        <v>300</v>
      </c>
      <c r="KV66" s="3">
        <f>KU66*Z66</f>
        <v>1887</v>
      </c>
      <c r="KX66">
        <f>IF(C66=2,VLOOKUP($R66,Afgr,Data!$CY$3),0)</f>
        <v>0</v>
      </c>
      <c r="KY66">
        <f>IF(Nbal!IJ66&lt;&gt;"",Nbal!IJ66,$KX66)</f>
        <v>0</v>
      </c>
      <c r="KZ66">
        <f>IF(AND(R66&gt;1,C66=2),Vandmaskin+$KY66*Flytning/mmprgang+$KY66*Prisprmm,0)</f>
        <v>0</v>
      </c>
      <c r="LA66" s="3">
        <f>IF(Nbal!IP66&lt;&gt;"",Nbal!IP66,$KZ66)</f>
        <v>0</v>
      </c>
      <c r="LB66" s="3">
        <f>LA66*Z66</f>
        <v>0</v>
      </c>
      <c r="LD66">
        <f>IF(VLOOKUP($R66,Afgr,Data!$CK$3)&gt;0,((1+AM66/VLOOKUP($R66,Afgr,Data!$CK$3))/2)*VLOOKUP($R66,Afgr,Data!$CL$3)*VLOOKUP($R66,Afgr,Data!$CN$3)+VLOOKUP($R66,Afgr,Data!$CM$3),0)</f>
        <v>820.58823529411768</v>
      </c>
      <c r="LE66">
        <f>IF(VLOOKUP($R66,Afgr,Data!$CK$3)&gt;0,IF(AND($S66=2,$BA66&gt;0),Data!$K$271,0),0)</f>
        <v>0</v>
      </c>
      <c r="LF66">
        <f>IF(VLOOKUP($R66,Afgr,Data!$CK$3)&gt;0,(AM66/VLOOKUP($R66,Afgr,Data!$CK$3))*VLOOKUP($R66,Afgr,Data!$CO$3)*VLOOKUP($R66,Afgr,Data!$CN$3),0)</f>
        <v>267.64705882352939</v>
      </c>
      <c r="LG66">
        <f>(LD66+LE66+LF66)*MaskJust</f>
        <v>1088.2352941176471</v>
      </c>
      <c r="LH66" s="3">
        <f>IF(Nbal!IV66&lt;&gt;"",Nbal!IV66,LG66)</f>
        <v>1088.2352941176471</v>
      </c>
      <c r="LI66" s="3">
        <f>LH66*Z66</f>
        <v>6845</v>
      </c>
      <c r="LJ66" s="3"/>
      <c r="LK66">
        <f>IF(AND($S66=1,VLOOKUP($R66,Afgr,Data!$CP$3)&gt;0),((1+$BC66/VLOOKUP($R66,Afgr,Data!$CP$3))/2)*VLOOKUP($R66,Afgr,Data!$CQ$3),0)</f>
        <v>558.87096774193549</v>
      </c>
      <c r="LL66">
        <f>IF(AND($S66=1,VLOOKUP($R66,Afgr,Data!$CP$3)&gt;0),($BC66/VLOOKUP($R66,Afgr,Data!$CP$3))*VLOOKUP($R66,Afgr,Data!$CR$3),0)</f>
        <v>225.8064516129032</v>
      </c>
      <c r="LM66">
        <f>(LK66+LL66)*MaskJust</f>
        <v>784.67741935483866</v>
      </c>
      <c r="LN66" s="3">
        <f>IF(Nbal!JB66&lt;&gt;"",Nbal!JB66,LM66)</f>
        <v>784.67741935483866</v>
      </c>
      <c r="LO66" s="3">
        <f>LN66*Z66</f>
        <v>4935.6209677419356</v>
      </c>
      <c r="LQ66">
        <f>$AM66*VLOOKUP($R66,Afgr,Data!$CS$3)*IF($V66=1,VLOOKUP($R66,Afgr,Data!$CT$3),IF($V66=2,VLOOKUP($R66,Afgr,Data!$CU$3),0))</f>
        <v>646.80000000000007</v>
      </c>
      <c r="LR66" s="3">
        <f>IF(Nbal!JK66&lt;&gt;"",Nbal!JK66,LQ66)</f>
        <v>646.80000000000007</v>
      </c>
      <c r="LS66" s="3">
        <f>LR66*Z66</f>
        <v>4068.3720000000003</v>
      </c>
      <c r="LU66">
        <f>VLOOKUP($T66,Efgr,Data!$AC$53)*UdsaedJust</f>
        <v>300</v>
      </c>
      <c r="LV66" s="3">
        <f>IF(Nbal!$JS66&lt;&gt;"",Nbal!$JS66,LU66)</f>
        <v>300</v>
      </c>
      <c r="LW66" s="3">
        <f>LV66*Z66</f>
        <v>1887</v>
      </c>
      <c r="LY66" s="3">
        <f>IF(HdgVaerdiNbal=1,(CB66)*Npris,(CB66+CL66)*Npris)</f>
        <v>0</v>
      </c>
      <c r="LZ66" s="3">
        <f>LY66*Z66</f>
        <v>0</v>
      </c>
      <c r="MB66">
        <f>$EO66</f>
        <v>0</v>
      </c>
      <c r="MC66">
        <f>CU66</f>
        <v>0</v>
      </c>
      <c r="MD66">
        <f>CR66</f>
        <v>0</v>
      </c>
      <c r="ME66" s="3">
        <f>IF(HdgVaerdiNbal=1,MD66*Ppris,(MC66+MD66)*Ppris)</f>
        <v>0</v>
      </c>
      <c r="MF66" s="3">
        <f>ME66*Z66</f>
        <v>0</v>
      </c>
      <c r="MH66">
        <f>$ER66</f>
        <v>0</v>
      </c>
      <c r="MI66">
        <f>DC66</f>
        <v>0</v>
      </c>
      <c r="MJ66">
        <f>CZ66</f>
        <v>0</v>
      </c>
      <c r="MK66" s="3">
        <f>IF(HdgVaerdiNbal=1,MJ66*Ppris,(MI66+MJ66)*Ppris)</f>
        <v>0</v>
      </c>
      <c r="ML66" s="3">
        <f>MK66*Z66</f>
        <v>0</v>
      </c>
      <c r="MN66">
        <f>LY66+ME66+MK66</f>
        <v>0</v>
      </c>
      <c r="MO66" s="3">
        <f>IF(Nbal!JY66&lt;&gt;"",Nbal!JY66,$MN66)</f>
        <v>0</v>
      </c>
      <c r="MP66" s="3">
        <f>MO66*Z66</f>
        <v>0</v>
      </c>
      <c r="MR66">
        <f>VLOOKUP($T66,Efgr,Data!$AE$53)*PlantevJust</f>
        <v>0</v>
      </c>
      <c r="MS66" s="3">
        <f>IF(Nbal!KE66&lt;&gt;"",Nbal!KE66,MR66)</f>
        <v>0</v>
      </c>
      <c r="MT66" s="3">
        <f>MS66*Z66</f>
        <v>0</v>
      </c>
      <c r="MV66">
        <f>VLOOKUP($T66,Efgr,Data!$AF$53)+$BR66*VLOOKUP($T66,Efgr,Data!$AL$53)</f>
        <v>0</v>
      </c>
      <c r="MW66" s="3">
        <f>IF(Nbal!KK66&lt;&gt;"",Nbal!KK66,MV66)</f>
        <v>0</v>
      </c>
      <c r="MX66" s="3">
        <f>MW66*Z66</f>
        <v>0</v>
      </c>
      <c r="MZ66">
        <f>LV66+MO66+MS66+MW66</f>
        <v>300</v>
      </c>
      <c r="NB66">
        <f>VLOOKUP($T66,Efgr,Data!$AU$53)*K66*MaskJust</f>
        <v>55</v>
      </c>
      <c r="NC66" s="3">
        <f>IF(Nbal!KQ66&lt;&gt;"",Nbal!KQ66,NB66)</f>
        <v>55</v>
      </c>
      <c r="ND66" s="3">
        <f>NC66*Z66</f>
        <v>345.95</v>
      </c>
      <c r="NF66">
        <f>VLOOKUP($T66,Efgr,Data!$AW$53)*Data!$K$268*K66*MaskJust</f>
        <v>0</v>
      </c>
      <c r="NG66" s="3">
        <f>IF(Nbal!KW66&lt;&gt;"",Nbal!KW66,NF66)</f>
        <v>0</v>
      </c>
      <c r="NH66" s="3">
        <f>NG66*Z66</f>
        <v>0</v>
      </c>
      <c r="NJ66">
        <f>VLOOKUP($T66,Efgr,Data!$AV$53)*Data!$K$269*MaskJust</f>
        <v>0</v>
      </c>
      <c r="NK66" s="3">
        <f>IF(Nbal!LC66&lt;&gt;"",Nbal!LC66,NJ66)</f>
        <v>0</v>
      </c>
      <c r="NL66" s="3">
        <f>NK66*Z66</f>
        <v>0</v>
      </c>
      <c r="NN66">
        <f>IF(C66=2,VLOOKUP($T66,Efgr,Data!$BC$53),0)</f>
        <v>0</v>
      </c>
      <c r="NO66">
        <f>IF(Nbal!LI66&lt;&gt;"",Nbal!LI66,$NN66)</f>
        <v>0</v>
      </c>
      <c r="NP66">
        <f>IF(C66=2,$NO66*Flytning/mmprgang+$NO66*Prisprmm,0)</f>
        <v>0</v>
      </c>
      <c r="NQ66" s="3">
        <f>IF(Nbal!LO66&lt;&gt;"",Nbal!LO66,$NP66)</f>
        <v>0</v>
      </c>
      <c r="NR66" s="3">
        <f>NQ66*Z66</f>
        <v>0</v>
      </c>
      <c r="NT66">
        <f>IF(VLOOKUP($T66,Efgr,Data!$AX$53)&gt;0,((1+BR66/VLOOKUP($T66,Efgr,Data!$AX$53))/2)*VLOOKUP($T66,Efgr,Data!$AY$53)*VLOOKUP($T66,Efgr,Data!$BA$53)+VLOOKUP($T66,Efgr,Data!$AZ$53),0)</f>
        <v>0</v>
      </c>
      <c r="NU66">
        <f>IF(VLOOKUP($T66,Efgr,Data!$AX$53)&gt;0,($BR66/VLOOKUP($T66,Efgr,Data!$AX$53))*VLOOKUP($T66,Efgr,Data!$BB$53)*VLOOKUP($T66,Efgr,Data!$BA$53),0)</f>
        <v>0</v>
      </c>
      <c r="NV66">
        <f>(NT66+NU66)*MaskJust</f>
        <v>0</v>
      </c>
      <c r="NW66" s="3">
        <f>IF(Nbal!LU66&lt;&gt;"",Nbal!LU66,NV66)</f>
        <v>0</v>
      </c>
      <c r="NX66" s="3">
        <f>NW66*Z66</f>
        <v>0</v>
      </c>
      <c r="NZ66">
        <f>IF($U66=2,Data!$K$304,IF($U66=3,Data!$K$305,0))*MaskJust</f>
        <v>200</v>
      </c>
      <c r="OA66" s="3">
        <f>IF(Nbal!MA66&lt;&gt;"",Nbal!MA66,NZ66)</f>
        <v>200</v>
      </c>
      <c r="OB66" s="3">
        <f>OA66*Z66</f>
        <v>1258</v>
      </c>
      <c r="OD66">
        <f>IL66</f>
        <v>11843.548387096775</v>
      </c>
      <c r="OE66">
        <f>JW66+MZ66</f>
        <v>1417.45</v>
      </c>
      <c r="OF66">
        <f>OD66-OE66</f>
        <v>10426.098387096774</v>
      </c>
      <c r="OG66">
        <f>OF66*Z66</f>
        <v>65580.158854838708</v>
      </c>
      <c r="OJ66">
        <f>VLOOKUP($O66,Afgr,Data!$BP$3)+VLOOKUP($P66,Efgr,Data!$AM$53)</f>
        <v>0</v>
      </c>
      <c r="OK66" s="3">
        <f>OJ66*Z66</f>
        <v>0</v>
      </c>
      <c r="OL66">
        <f>VLOOKUP($R66,Afgr,Data!$BP$3)+VLOOKUP($T66,Efgr,Data!$AM$53)</f>
        <v>1</v>
      </c>
      <c r="OM66" s="3">
        <f>OL66*Z66</f>
        <v>6.29</v>
      </c>
      <c r="OO66">
        <f>VLOOKUP($P66,Efgr,Data!$AN$53)</f>
        <v>0</v>
      </c>
      <c r="OP66">
        <f>VLOOKUP($O66,Afgr,Data!$BQ$3)</f>
        <v>0</v>
      </c>
      <c r="OQ66">
        <f>VLOOKUP($R66,Afgr,Data!$BR$3)</f>
        <v>1</v>
      </c>
      <c r="OR66">
        <f>OO66*OP66*OQ66</f>
        <v>0</v>
      </c>
      <c r="OS66" s="3">
        <f>OR66*Z66</f>
        <v>0</v>
      </c>
      <c r="OT66" s="3">
        <f>IF(Q66,1,0)*OS66</f>
        <v>0</v>
      </c>
      <c r="OV66">
        <f>VLOOKUP($T66,Efgr,Data!$AN$53)</f>
        <v>1</v>
      </c>
      <c r="OW66">
        <f>VLOOKUP($R66,Afgr,Data!$BQ$3)</f>
        <v>1</v>
      </c>
      <c r="OX66">
        <f>VLOOKUP($X66,Afgr,Data!$BR$3)</f>
        <v>1</v>
      </c>
      <c r="OY66">
        <f>OV66*OW66*OX66</f>
        <v>1</v>
      </c>
      <c r="OZ66" s="3">
        <f>OY66*Z66</f>
        <v>6.29</v>
      </c>
      <c r="PB66">
        <f>VLOOKUP($T66,Efgr,Data!$AO$53)</f>
        <v>0</v>
      </c>
      <c r="PC66">
        <f>VLOOKUP($O66,Afgr,Data!$BQ$3)</f>
        <v>0</v>
      </c>
      <c r="PD66">
        <f>VLOOKUP($R66,Afgr,Data!$BS$3)</f>
        <v>0</v>
      </c>
      <c r="PE66" s="3">
        <f>PB66*PC66*PD66*$Z66</f>
        <v>0</v>
      </c>
      <c r="PG66">
        <f>VLOOKUP($T66,Efgr,Data!$AO$53)</f>
        <v>0</v>
      </c>
      <c r="PH66">
        <f>VLOOKUP($R66,Afgr,Data!$BQ$3)</f>
        <v>1</v>
      </c>
      <c r="PI66">
        <f>VLOOKUP($X66,Afgr,Data!$BS$3)</f>
        <v>0</v>
      </c>
      <c r="PJ66" s="3">
        <f>PG66*PH66*PI66*$Z66</f>
        <v>0</v>
      </c>
      <c r="PK66" s="3"/>
      <c r="PL66" s="3">
        <f>VLOOKUP($O66,Afgr,Data!$BU$3)</f>
        <v>0</v>
      </c>
      <c r="PM66" s="3">
        <f>PL66*Z66</f>
        <v>0</v>
      </c>
      <c r="PN66" s="3">
        <f>VLOOKUP($R66,Afgr,Data!$BU$3)</f>
        <v>0</v>
      </c>
      <c r="PO66" s="3">
        <f>PN66*Z66</f>
        <v>0</v>
      </c>
      <c r="PQ66">
        <f>VLOOKUP(R66,Afgr,Data!$BX$3)+VLOOKUP(T66,Efgr,Data!$AQ$53)</f>
        <v>0</v>
      </c>
      <c r="PR66">
        <f>IF(PQ66&gt;0,Z66,0)</f>
        <v>0</v>
      </c>
      <c r="PT66">
        <f>VLOOKUP($O66,Afgr,Data!$BT$3)</f>
        <v>1</v>
      </c>
      <c r="PU66" s="3">
        <f>PT66*Z66</f>
        <v>6.29</v>
      </c>
      <c r="PV66">
        <f>VLOOKUP($R66,Afgr,Data!$BT$3)</f>
        <v>1</v>
      </c>
      <c r="PW66" s="3">
        <f>PV66*Z66</f>
        <v>6.29</v>
      </c>
      <c r="PY66">
        <f>VLOOKUP($R66,Afgr,Data!$BV$3)</f>
        <v>0</v>
      </c>
      <c r="PZ66">
        <f>PY66*Z66</f>
        <v>0</v>
      </c>
      <c r="QB66">
        <f>VLOOKUP($R66,Afgr,Data!$BW$3)</f>
        <v>0</v>
      </c>
      <c r="QC66">
        <f>QB66*Z66</f>
        <v>0</v>
      </c>
      <c r="QE66">
        <f>AM66*IF(VLOOKUP($R66,Afgr,Data!$BJ$3)&gt;0,1,0)</f>
        <v>70</v>
      </c>
      <c r="QF66">
        <f>QE66*Z66</f>
        <v>440.3</v>
      </c>
      <c r="QH66">
        <f>AM66*VLOOKUP(R66,Afgr,Data!$BK$3)</f>
        <v>6615</v>
      </c>
      <c r="QI66">
        <f>Z66*QH66</f>
        <v>41608.35</v>
      </c>
      <c r="QJ66">
        <f>$AM66*VLOOKUP($R66,Afgr,Data!$BL$3)+$BR66*VLOOKUP($T66,Efgr,Data!$AP$53)</f>
        <v>0</v>
      </c>
      <c r="QK66">
        <f>QJ66*Z66</f>
        <v>0</v>
      </c>
      <c r="QL66">
        <f>$AM66*VLOOKUP($R66,Afgr,Data!$BM$3)</f>
        <v>0</v>
      </c>
      <c r="QM66">
        <f>QL66*Z66</f>
        <v>0</v>
      </c>
      <c r="QN66">
        <f>$AM66*VLOOKUP($R66,Afgr,Data!$BN$3)</f>
        <v>0</v>
      </c>
      <c r="QO66">
        <f>QN66*Z66</f>
        <v>0</v>
      </c>
      <c r="QR66">
        <f>IF(VLOOKUP($R66,Afgr,Data!$DA$3)="Vårbyg",$AN66,0)*VLOOKUP($R66,Afgr,Data!$BJ$3)</f>
        <v>44910.6</v>
      </c>
      <c r="QS66">
        <f>IF(VLOOKUP($R66,Afgr,Data!$DA$3)="Vinterbyg",$AN66,0)*VLOOKUP($R66,Afgr,Data!$BJ$3)</f>
        <v>0</v>
      </c>
      <c r="QT66">
        <f>IF(VLOOKUP($R66,Afgr,Data!$DA$3)="Havre",$AN66,0)*VLOOKUP($R66,Afgr,Data!$BJ$3)</f>
        <v>0</v>
      </c>
      <c r="QU66">
        <f>IF(VLOOKUP($R66,Afgr,Data!$DA$3)="Hvede",$AN66,0)*VLOOKUP($R66,Afgr,Data!$BJ$3)</f>
        <v>0</v>
      </c>
      <c r="QV66">
        <f>IF(VLOOKUP($R66,Afgr,Data!$DA$3)="Triticale",$AN66,0)*VLOOKUP($R66,Afgr,Data!$BJ$3)</f>
        <v>0</v>
      </c>
      <c r="QW66">
        <f>IF(VLOOKUP($R66,Afgr,Data!$DA$3)="Rug",$AN66,0)*VLOOKUP($R66,Afgr,Data!$BJ$3)</f>
        <v>0</v>
      </c>
      <c r="QX66">
        <f>IF(VLOOKUP($R66,Afgr,Data!$DA$3)="Majs",$AN66,0)*VLOOKUP($R66,Afgr,Data!$BJ$3)</f>
        <v>0</v>
      </c>
      <c r="RA66">
        <f>IF(OV66+PB66&gt;0,1,0)</f>
        <v>1</v>
      </c>
      <c r="RB66">
        <f>RA66*LW66</f>
        <v>1887</v>
      </c>
      <c r="RC66">
        <f>RA66*MT66</f>
        <v>0</v>
      </c>
      <c r="RD66">
        <f>ND66</f>
        <v>345.95</v>
      </c>
      <c r="RE66">
        <f>RA66*OB66</f>
        <v>1258</v>
      </c>
      <c r="RH66">
        <f>VLOOKUP(B66,Jordtype,Data!$Y$112+DenitNr-1)</f>
        <v>7.25</v>
      </c>
      <c r="RI66">
        <f>FF66*VLOOKUP(B66,Jordtype,Data!$AB$112+DenitNr-1)</f>
        <v>1.6400000000000001</v>
      </c>
      <c r="RJ66">
        <f>((CJ66+CK66+CL66+Regn2!CO66*0.7)-(RR66+RT66))*VLOOKUP(B66,Jordtype,Data!$AE$112+DenitNr-1)</f>
        <v>7.8575062500000001</v>
      </c>
      <c r="RK66">
        <f>0*VLOOKUP(B66,Jordtype,Data!$AE$112+DenitNr-1)</f>
        <v>0</v>
      </c>
      <c r="RL66">
        <f>Regn2!FD66*VLOOKUP(B66,Jordtype,Data!$AH$112+DenitNr-1)</f>
        <v>0</v>
      </c>
      <c r="RM66" s="3">
        <f>RH66+RI66+RJ66+RK66+RL66</f>
        <v>16.747506250000001</v>
      </c>
      <c r="RO66">
        <v>2</v>
      </c>
      <c r="RP66">
        <f>(FF66)*RO66*0.01</f>
        <v>0.82000000000000006</v>
      </c>
      <c r="RQ66">
        <v>7</v>
      </c>
      <c r="RR66">
        <f>CE66*RQ66*0.01</f>
        <v>0</v>
      </c>
      <c r="RS66">
        <v>7</v>
      </c>
      <c r="RT66">
        <f>(Regn2!CF66+Regn2!CG66)*RS66*0.01</f>
        <v>5.95</v>
      </c>
      <c r="RW66">
        <f>VLOOKUP(R66,Afgr,Data!$EE$3)</f>
        <v>5</v>
      </c>
      <c r="RX66" s="3">
        <f>RP66+RR66+RT66+RV66+RW66</f>
        <v>11.77</v>
      </c>
    </row>
    <row r="68" spans="1:492" x14ac:dyDescent="0.25">
      <c r="A68" s="214" t="str">
        <f>Nbal!B68</f>
        <v>47-1</v>
      </c>
      <c r="B68">
        <v>6</v>
      </c>
      <c r="C68">
        <v>1</v>
      </c>
      <c r="D68">
        <f>IF(C68=1,VLOOKUP(B68,Jordtype,Data!$K$112),VLOOKUP(B68,Jordtype,Data!$L$112))</f>
        <v>9</v>
      </c>
      <c r="E68">
        <f>IF(C68=1,VLOOKUP(B68,Jordtype,Data!$M$112),VLOOKUP(B68,Jordtype,Data!$N$112))</f>
        <v>14</v>
      </c>
      <c r="F68">
        <f>IF(OR(B68=1,B68=3),0,IF(OR(B68=2,B68=4),1,IF(OR(B68=5,B68=6),2,3)))</f>
        <v>2</v>
      </c>
      <c r="G68">
        <f>IF(C68=1,VLOOKUP(B68,Jordtype,Data!$Q$112),VLOOKUP(B68,Jordtype,Data!$R$112))</f>
        <v>25</v>
      </c>
      <c r="H68">
        <f>IF(C68=1,VLOOKUP(B68,Jordtype,Data!$O$112),VLOOKUP(B68,Jordtype,Data!$P$112))</f>
        <v>19</v>
      </c>
      <c r="I68">
        <f>IF(B68&lt;5,0,1)</f>
        <v>1</v>
      </c>
      <c r="J68">
        <f>IF(B68&lt;5,PlojJB,1)</f>
        <v>1</v>
      </c>
      <c r="K68">
        <f>IF(B68&lt;5,SaaJB,1)</f>
        <v>1</v>
      </c>
      <c r="L68">
        <f>IF(C68=1,VLOOKUP(B68,Jordtype,Data!$S$112),VLOOKUP(B68,Jordtype,Data!$T$112))</f>
        <v>8</v>
      </c>
      <c r="M68">
        <f>IF(C68=1,VLOOKUP(B68,Jordtype,Data!$U$112),VLOOKUP(B68,Jordtype,Data!$V$112))</f>
        <v>13</v>
      </c>
      <c r="O68">
        <v>40</v>
      </c>
      <c r="P68">
        <v>2</v>
      </c>
      <c r="Q68" t="b">
        <v>0</v>
      </c>
      <c r="R68">
        <v>40</v>
      </c>
      <c r="S68">
        <v>1</v>
      </c>
      <c r="T68">
        <v>4</v>
      </c>
      <c r="U68">
        <v>3</v>
      </c>
      <c r="V68">
        <v>1</v>
      </c>
      <c r="X68">
        <v>40</v>
      </c>
      <c r="Z68">
        <f>Nbal!AG68</f>
        <v>5.76</v>
      </c>
      <c r="AA68">
        <v>1</v>
      </c>
      <c r="AB68">
        <f>VLOOKUP($R68,Afgr,G68)</f>
        <v>110</v>
      </c>
      <c r="AC68">
        <f>VLOOKUP($O68,Afgr,Data!$AI$3)*VLOOKUP(R68,Afgr,Data!$AJ$3)</f>
        <v>0</v>
      </c>
      <c r="AD68">
        <f>IF($Q68,0,VLOOKUP($P68,Efgr,(Data!$W$53+$V$6-1)))</f>
        <v>17</v>
      </c>
      <c r="AE68">
        <f>AB68-AC68-AD68</f>
        <v>93</v>
      </c>
      <c r="AF68">
        <f>AE68*Z68</f>
        <v>535.67999999999995</v>
      </c>
      <c r="AH68">
        <f>VLOOKUP(R68,Afgr,D68)</f>
        <v>56</v>
      </c>
      <c r="AI68">
        <f>VLOOKUP(O68,Afgr,Data!$AL$3)*VLOOKUP(R68,Afgr,E68)</f>
        <v>0</v>
      </c>
      <c r="AJ68">
        <f>VLOOKUP(P68,Efgr,(Data!$Y$53+I68))</f>
        <v>0</v>
      </c>
      <c r="AK68">
        <f>AH68+AI68+AJ68</f>
        <v>56</v>
      </c>
      <c r="AL68">
        <f>AH68+AI68+AJ68</f>
        <v>56</v>
      </c>
      <c r="AM68" s="3">
        <f>IF(Nbal!CK68&lt;&gt;"",Nbal!CK68,AL68)</f>
        <v>71</v>
      </c>
      <c r="AN68">
        <f>AM68*Z68</f>
        <v>408.96</v>
      </c>
      <c r="AO68" t="str">
        <f>VLOOKUP(R68,Afgr,3)</f>
        <v>hkg</v>
      </c>
      <c r="AP68">
        <f>IF(AO68="FE",VLOOKUP($R68,Afgr,Data!$AV$3),0)</f>
        <v>0</v>
      </c>
      <c r="AR68">
        <f>VLOOKUP(R68,Afgr,4)</f>
        <v>145</v>
      </c>
      <c r="AS68" s="3">
        <f>IF(Nbal!CW68&lt;&gt;"",Nbal!CW68,AR68)</f>
        <v>145</v>
      </c>
      <c r="AT68" s="3">
        <f>AM68*AS68</f>
        <v>10295</v>
      </c>
      <c r="AU68" s="3">
        <f>AN68*AS68</f>
        <v>59299.199999999997</v>
      </c>
      <c r="AW68">
        <f>VLOOKUP(R68,Afgr,Data!$AN$3)</f>
        <v>0</v>
      </c>
      <c r="AX68" s="3">
        <f>IF(Nbal!DC68&lt;&gt;"",Nbal!DC68,AW68)</f>
        <v>0</v>
      </c>
      <c r="AY68" s="3">
        <f>AX68*Z68</f>
        <v>0</v>
      </c>
      <c r="BA68">
        <f>VLOOKUP(R68,Afgr,H68)</f>
        <v>3000</v>
      </c>
      <c r="BB68">
        <f>IF(ISERROR(BA68*AM68/AK68),0,(BA68*AM68/AK68))</f>
        <v>3803.5714285714284</v>
      </c>
      <c r="BC68" s="3">
        <f>IF(Nbal!DI68&lt;&gt;"",Nbal!DI68,BB68)</f>
        <v>3803.5714285714284</v>
      </c>
      <c r="BD68">
        <f>BC68*Z68</f>
        <v>21908.571428571428</v>
      </c>
      <c r="BG68">
        <f>IF($S68=1,BC68,0)</f>
        <v>3803.5714285714284</v>
      </c>
      <c r="BH68">
        <f>IF($S68=1,BD68,0)</f>
        <v>21908.571428571428</v>
      </c>
      <c r="BI68">
        <f>VLOOKUP(R68,Afgr,Data!$AM$3)</f>
        <v>0.5</v>
      </c>
      <c r="BJ68">
        <f>IF(Nbal!DR68&lt;&gt;"",Nbal!DR68,BI68)</f>
        <v>0.5</v>
      </c>
      <c r="BK68">
        <f>BG68*BJ68</f>
        <v>1901.7857142857142</v>
      </c>
      <c r="BL68">
        <f>BH68*BJ68</f>
        <v>10954.285714285714</v>
      </c>
      <c r="BN68">
        <f>VLOOKUP($T68,Efgr,M68)</f>
        <v>0</v>
      </c>
      <c r="BO68">
        <f>BN68*Z68</f>
        <v>0</v>
      </c>
      <c r="BQ68">
        <f>VLOOKUP(T68,Efgr,NormudbKolonneNrEfgr1)</f>
        <v>0</v>
      </c>
      <c r="BR68" s="3">
        <f>IF(Nbal!FE68&lt;&gt;"",Nbal!FE68,BQ68)</f>
        <v>0</v>
      </c>
      <c r="BS68">
        <f>BR68*Z68</f>
        <v>0</v>
      </c>
      <c r="BT68" t="s">
        <v>37</v>
      </c>
      <c r="BU68">
        <f>BR68*Efterslaetpris</f>
        <v>0</v>
      </c>
      <c r="BV68">
        <f>BS68*Efterslaetpris</f>
        <v>0</v>
      </c>
      <c r="BW68">
        <f>VLOOKUP(T68,Efgr,Data!$AG$53)</f>
        <v>0</v>
      </c>
      <c r="BX68">
        <f>BR68*BW68</f>
        <v>0</v>
      </c>
      <c r="BZ68">
        <f>Nbal!AQ68</f>
        <v>0</v>
      </c>
      <c r="CA68" s="211">
        <f>Nbal!AT68</f>
        <v>41</v>
      </c>
      <c r="CB68" s="2">
        <f>Nbal!DZ68</f>
        <v>0</v>
      </c>
      <c r="CC68" s="211">
        <f>Nbal!AT68+Nbal!DZ68</f>
        <v>41</v>
      </c>
      <c r="CD68" s="211">
        <f>Nbal!AX68</f>
        <v>0</v>
      </c>
      <c r="CE68">
        <f>Nbal!BH68</f>
        <v>0</v>
      </c>
      <c r="CF68" s="211">
        <f>Nbal!BM68</f>
        <v>85</v>
      </c>
      <c r="CG68" s="2">
        <f>Nbal!EI68</f>
        <v>0</v>
      </c>
      <c r="CH68" s="211">
        <f>Nbal!BM68+Nbal!EI68</f>
        <v>85</v>
      </c>
      <c r="CI68" s="211">
        <f>Nbal!BW68</f>
        <v>0</v>
      </c>
      <c r="CJ68" s="211">
        <f>Nbal!BH68*Nbal!BJ68*0.01</f>
        <v>0</v>
      </c>
      <c r="CK68" s="211">
        <f>(Nbal!BM68*Nbal!BP68*0.01)</f>
        <v>63.095500000000001</v>
      </c>
      <c r="CL68" s="211">
        <f>(Nbal!EI68*Nbal!EL68*0.01)</f>
        <v>0</v>
      </c>
      <c r="CM68" s="211">
        <f>(Nbal!BM68*Nbal!BP68*0.01)+(Nbal!EI68*Nbal!EL68*0.01)</f>
        <v>63.095500000000001</v>
      </c>
      <c r="CN68" s="211">
        <f>Nbal!BW68*Nbal!BY68*0.01</f>
        <v>0</v>
      </c>
      <c r="CO68">
        <f>Nbal!BT68+Nbal!ER68</f>
        <v>0</v>
      </c>
      <c r="CQ68">
        <f>Nbal!BA68</f>
        <v>0</v>
      </c>
      <c r="CR68">
        <f>Nbal!EC68</f>
        <v>0</v>
      </c>
      <c r="CS68">
        <f>(CQ68+CR68)*Z68</f>
        <v>0</v>
      </c>
      <c r="CT68">
        <f>Nbal!CB68</f>
        <v>18</v>
      </c>
      <c r="CU68">
        <f>Nbal!EV68</f>
        <v>0</v>
      </c>
      <c r="CV68">
        <f>(CT68+CU68)*Z68</f>
        <v>103.67999999999999</v>
      </c>
      <c r="CW68">
        <f>Nbal!BA68+Nbal!CB68+Nbal!EC68+Nbal!EV68</f>
        <v>18</v>
      </c>
      <c r="CY68">
        <f>Nbal!BD68</f>
        <v>0</v>
      </c>
      <c r="CZ68">
        <f>Nbal!EF68</f>
        <v>0</v>
      </c>
      <c r="DA68">
        <f>(CY68+CZ68)*Z68</f>
        <v>0</v>
      </c>
      <c r="DB68">
        <f>Nbal!CE68</f>
        <v>44</v>
      </c>
      <c r="DC68">
        <f>Nbal!EY68</f>
        <v>0</v>
      </c>
      <c r="DD68">
        <f>(DB68+DC68)*Z68</f>
        <v>253.44</v>
      </c>
      <c r="DE68">
        <f>Nbal!BD68+Nbal!CE68+Nbal!EF68+Nbal!EY68</f>
        <v>44</v>
      </c>
      <c r="DG68">
        <f>VLOOKUP($R68,Afgr,Data!$AW$3)</f>
        <v>11.1875</v>
      </c>
      <c r="DH68">
        <f>IF($AO68="FE",$AM68*$AP68*$DG68*0.01,$AM68*100*$DM68*0.01*$DG68*0.01)</f>
        <v>675.16562499999998</v>
      </c>
      <c r="DI68">
        <f>IF(VLOOKUP(R68,Afgr,Data!$BO$3)=1,DH68,0)*Z68</f>
        <v>3888.9539999999997</v>
      </c>
      <c r="DJ68" s="12">
        <f>(BZ68+CC68+CJ68-AE68)*VLOOKUP($R68,Afgr,Data!$AX$3)</f>
        <v>-1.04</v>
      </c>
      <c r="DK68">
        <f>DG68+DJ68</f>
        <v>10.147500000000001</v>
      </c>
      <c r="DL68">
        <f>IF(Nbal!CQ68&lt;&gt;"",Nbal!CQ68,DK68)</f>
        <v>11.2</v>
      </c>
      <c r="DM68">
        <f>VLOOKUP(R68,Afgr,Data!$AT$3)</f>
        <v>85</v>
      </c>
      <c r="DN68">
        <f>IF($AO68="FE",$AM68*$AP68*$DL68*0.01,$AM68*100*$DM68*0.01*DL68*0.01)</f>
        <v>675.92</v>
      </c>
      <c r="DO68">
        <f>IF(VLOOKUP(R68,Afgr,Data!$BO$3)=1,DN68,0)*Z68</f>
        <v>3893.2991999999995</v>
      </c>
      <c r="DP68">
        <f>IF(ISERROR(DN68/VLOOKUP(R68,Afgr,Data!$AY$3)),0,DN68/VLOOKUP(R68,Afgr,Data!$AY$3))</f>
        <v>108.1472</v>
      </c>
      <c r="DQ68">
        <f>DP68*Z68</f>
        <v>622.92787199999998</v>
      </c>
      <c r="DS68">
        <f>IF($AO68="FE",$AM68*$AP68*VLOOKUP($R68,Afgr,Data!$BC$3)*0.001,$AM68*100*$DM68*0.01*VLOOKUP($R68,Afgr,Data!$BC$3)*0.001)</f>
        <v>22.933</v>
      </c>
      <c r="DT68">
        <f>DS68*Z68</f>
        <v>132.09407999999999</v>
      </c>
      <c r="DV68">
        <f>IF($AO68="FE",$AM68*$AP68*VLOOKUP($R68,Afgr,Data!$BF$3)*0.001,$AM68*100*$DM68*0.01*VLOOKUP($R68,Afgr,Data!$BF$3)*0.001)</f>
        <v>28.3645</v>
      </c>
      <c r="DW68">
        <f>DV68*Z68</f>
        <v>163.37951999999999</v>
      </c>
      <c r="DY68">
        <f>IF(ISERROR(VLOOKUP(R68,Afgr,Data!$AZ$3)*DL68/DG68),0,VLOOKUP(R68,Afgr,Data!$AZ$3)*DL68/DG68)</f>
        <v>4.0044692737430161</v>
      </c>
      <c r="DZ68">
        <f>VLOOKUP(R68,Afgr,Data!$AU$3)</f>
        <v>85</v>
      </c>
      <c r="EA68">
        <f>IF($S68=1,$BC68*$DZ68*0.01*DY68*0.01,0)</f>
        <v>129.46592178770948</v>
      </c>
      <c r="EB68">
        <f>EA68/6.25</f>
        <v>20.714547486033517</v>
      </c>
      <c r="EC68">
        <f>EB68*Z68</f>
        <v>119.31579351955305</v>
      </c>
      <c r="EE68">
        <f>IF($S68=1,$BC68*$DZ68*0.01*VLOOKUP($R68,Afgr,Data!$BD$3)*0.001,0)</f>
        <v>2.9097321428571425</v>
      </c>
      <c r="EF68">
        <f>EE68*Z68</f>
        <v>16.760057142857139</v>
      </c>
      <c r="EH68">
        <f>IF($S68=1,$BC68*$DZ68*0.01*VLOOKUP($R68,Afgr,Data!$BG$3)*0.001,0)</f>
        <v>38.796428571428571</v>
      </c>
      <c r="EI68">
        <f>EH68*Z68</f>
        <v>223.46742857142857</v>
      </c>
      <c r="EK68">
        <f>VLOOKUP(T68,Efgr,Data!$AI$53)</f>
        <v>0</v>
      </c>
      <c r="EL68">
        <f>BX68*EK68*0.01/6.25</f>
        <v>0</v>
      </c>
      <c r="EM68">
        <f>EL68*Z68</f>
        <v>0</v>
      </c>
      <c r="EO68">
        <f>$BX68*VLOOKUP($T68,Efgr,Data!$AJ$53)*0.001</f>
        <v>0</v>
      </c>
      <c r="EP68">
        <f>EO68*Z68</f>
        <v>0</v>
      </c>
      <c r="ER68">
        <f>$BX68*VLOOKUP($T68,Efgr,Data!$AK$53)*0.001</f>
        <v>0</v>
      </c>
      <c r="ES68">
        <f>ER68*Z68</f>
        <v>0</v>
      </c>
      <c r="EU68">
        <f>IF(VLOOKUP(R68,Afgr,Data!$DS$3)=1,DP68*VLOOKUP(R68,Afgr,(Data!$DT$3+EftervirkningUdb1))*VLOOKUP(R68,Afgr,Data!$DV$3),0)</f>
        <v>0</v>
      </c>
      <c r="EV68">
        <f>IF(VLOOKUP(R68,Afgr,Data!$DS$3)=2,VLOOKUP(R68,Afgr,Data!$DX$3),0)</f>
        <v>0</v>
      </c>
      <c r="EW68">
        <f>IF(VLOOKUP(R68,Afgr,Data!$DS$3)=3,$DP68*VLOOKUP($R68,Afgr,IF(Jordtype1&lt;5,Data!$DT$3,Data!$DU$3))*VLOOKUP($R68,Afgr,Data!$DV$3),0)</f>
        <v>0</v>
      </c>
      <c r="EX68">
        <f>IF(VLOOKUP(R68,Afgr,Data!$DS$3)=4,(1.232+0.00469*AM68*100+(0.000256*AM68*100+0.089)*60),0)</f>
        <v>0</v>
      </c>
      <c r="EY68" s="211">
        <f>BZ68+CA68+CJ68+CK68</f>
        <v>104.0955</v>
      </c>
      <c r="EZ68">
        <f>IF(VLOOKUP($R68,Afgr,Data!$DS$3)=5,($AM68*0.02742-$AM68*0.0001*$EY68+$AM68*0.0000001111*$EY68*$EY68),0)</f>
        <v>0</v>
      </c>
      <c r="FA68" s="2">
        <f>CB68+CL68</f>
        <v>0</v>
      </c>
      <c r="FB68">
        <f>IF(VLOOKUP($T68,Efgr,Data!$BH$53)=5,($BR68*0.02742-$BR68*0.0001*$FA68+$BR68*0.0000001111*$FA68*$FA68),0)</f>
        <v>0</v>
      </c>
      <c r="FC68" s="3">
        <f>EU68+EV68+EW68+EX68+EZ68+FB68</f>
        <v>0</v>
      </c>
      <c r="FD68" s="3">
        <f>FC68*Z68</f>
        <v>0</v>
      </c>
      <c r="FF68" s="211">
        <f>BZ68+CC68</f>
        <v>41</v>
      </c>
      <c r="FG68" s="211">
        <f>FF68*Z68</f>
        <v>236.16</v>
      </c>
      <c r="FH68" s="211">
        <f>CE68+CH68+CO68</f>
        <v>85</v>
      </c>
      <c r="FI68" s="211">
        <f>FH68*Z68</f>
        <v>489.59999999999997</v>
      </c>
      <c r="FJ68">
        <f>VLOOKUP($R68,Afgr,Data!$DK$3)*VLOOKUP($R68,Afgr,Data!$AT$3)*0.01*VLOOKUP($R68,Afgr,Data!$AW$3)*0.01/6.25</f>
        <v>2.4344000000000001</v>
      </c>
      <c r="FK68">
        <f>FJ68*Z68</f>
        <v>14.022144000000001</v>
      </c>
      <c r="FL68" s="4">
        <f>IF(R68&gt;1,Deposition,0)</f>
        <v>15</v>
      </c>
      <c r="FM68" s="4">
        <f>FL68*Z68</f>
        <v>86.399999999999991</v>
      </c>
      <c r="FN68">
        <f>FC68</f>
        <v>0</v>
      </c>
      <c r="FO68">
        <f>FN68*Z68</f>
        <v>0</v>
      </c>
      <c r="FP68" s="211">
        <f>SUM(FF68,FH68,FJ68,FL68,FN68)</f>
        <v>143.43440000000001</v>
      </c>
      <c r="FQ68">
        <f>DP68+EB68+EL68</f>
        <v>128.86174748603352</v>
      </c>
      <c r="FR68" s="3">
        <f>FP68-FQ68</f>
        <v>14.572652513966489</v>
      </c>
      <c r="FS68" s="19">
        <f>FP68*Z68</f>
        <v>826.18214399999999</v>
      </c>
      <c r="FT68" s="19">
        <f>FQ68*Z68</f>
        <v>742.24366551955302</v>
      </c>
      <c r="FU68" s="3">
        <f>FR68*Z68</f>
        <v>83.938478480446975</v>
      </c>
      <c r="FW68">
        <f>CW68</f>
        <v>18</v>
      </c>
      <c r="FX68">
        <f>FW68*Z68</f>
        <v>103.67999999999999</v>
      </c>
      <c r="FY68">
        <f>IX68+MB68</f>
        <v>25.842732142857141</v>
      </c>
      <c r="FZ68">
        <f>FY68*Z68</f>
        <v>148.85413714285713</v>
      </c>
      <c r="GA68">
        <f>FW68-FY68</f>
        <v>-7.842732142857141</v>
      </c>
      <c r="GB68">
        <f>GA68*Z68</f>
        <v>-45.174137142857134</v>
      </c>
      <c r="GD68">
        <f>DE68</f>
        <v>44</v>
      </c>
      <c r="GE68">
        <f>GD68*Z68</f>
        <v>253.44</v>
      </c>
      <c r="GF68">
        <f>JE68+MH68</f>
        <v>67.16092857142857</v>
      </c>
      <c r="GG68">
        <f>GF68*Z68</f>
        <v>386.84694857142853</v>
      </c>
      <c r="GH68">
        <f>GD68-GF68</f>
        <v>-23.16092857142857</v>
      </c>
      <c r="GI68">
        <f>GH68*Z68</f>
        <v>-133.40694857142856</v>
      </c>
      <c r="GK68">
        <f>AA68</f>
        <v>1</v>
      </c>
      <c r="GL68" s="211">
        <f>FF68+FH68+FN68</f>
        <v>126</v>
      </c>
      <c r="GM68" s="211">
        <f>IF(R68=1,"",IF(GK68=1,GL68,""))</f>
        <v>126</v>
      </c>
      <c r="GN68" s="211" t="str">
        <f>IF(R68=1,"",IF(GK68=2,GL68,""))</f>
        <v/>
      </c>
      <c r="GO68" s="211" t="str">
        <f>IF(R68=1,"",IF(GK68=3,GL68,""))</f>
        <v/>
      </c>
      <c r="GP68" s="211" t="str">
        <f>IF(R68=1,"",IF(GK68=4,GL68,""))</f>
        <v/>
      </c>
      <c r="GQ68" s="149">
        <f>IF(OR(R68=1,VLOOKUP(R68,Afgr,Data!$BV$3)=1,VLOOKUP(R68,Afgr,Data!$BW$3)=1),0,IF(GK68=1,Nniveau1,IF(GK68=2,Nniveau2,IF(GK68=3,Nniveau3,IF(GK68=4,Nniveau4,GL68)))))</f>
        <v>173.16922222222217</v>
      </c>
      <c r="GR68" s="241">
        <v>0.32550000000000001</v>
      </c>
      <c r="GS68" s="6">
        <v>0</v>
      </c>
      <c r="GT68" s="149">
        <f>CC68+CM68</f>
        <v>104.0955</v>
      </c>
      <c r="GU68" s="6">
        <f>$FN68</f>
        <v>0</v>
      </c>
      <c r="GV68" s="241">
        <v>0.25280000000000002</v>
      </c>
      <c r="GW68">
        <f>CO68</f>
        <v>0</v>
      </c>
      <c r="GX68" s="241">
        <v>0.376</v>
      </c>
      <c r="GY68" s="149">
        <f>CD68+CN68</f>
        <v>0</v>
      </c>
      <c r="GZ68" s="241">
        <f>IF(B68&gt;3,0.3539,1.0749)</f>
        <v>0.35389999999999999</v>
      </c>
      <c r="HA68" s="11">
        <f>$FQ68</f>
        <v>128.86174748603352</v>
      </c>
      <c r="HB68" s="241">
        <v>0.19359999999999999</v>
      </c>
      <c r="HC68" s="241">
        <f>VLOOKUP($R68,Afgr,Data!$DM$3)</f>
        <v>1</v>
      </c>
      <c r="HD68" s="24">
        <f>IF($HC68&gt;1,0,(VLOOKUP($X68,Afgr,Data!$DP$3)+IF(VLOOKUP($X68,Afgr,Data!$DP$3)=0,VLOOKUP($T68,Efgr,Data!$BI$53,0))))+IF(AND($HC68=7,VLOOKUP($X68,Afgr,Data!$DQ$3)=-2),-2,0)+IF(AND($HC68=6,VLOOKUP($T68,Efgr,Data!$BI$53)=2),8,0)</f>
        <v>2</v>
      </c>
      <c r="HE68" s="6">
        <f>VLOOKUP(SUM(HC68:HD68),Nlesafgr,3)</f>
        <v>-98.6</v>
      </c>
      <c r="HF68" s="7">
        <f>VLOOKUP($O68,Afgr,Data!$DN$3)</f>
        <v>1</v>
      </c>
      <c r="HG68" s="24">
        <f>IF(HF68&gt;1,0,VLOOKUP($R68,Afgr,Data!$DO$3)+IF(VLOOKUP($R68,Afgr,Data!$DO$3)=1,0,VLOOKUP($P68,Efgr,Data!$BJ$53)))</f>
        <v>1</v>
      </c>
      <c r="HH68" s="6">
        <f>VLOOKUP(SUM(HF68:HG68),Nlesforfrugt,3)</f>
        <v>14.2</v>
      </c>
      <c r="HI68" s="241">
        <f>GR68*GQ68+GV68*(GT68+GU68)+GX68*GW68+GZ68*GY68-HB68*HA68+HE68+HH68</f>
        <v>-26.665710079962768</v>
      </c>
      <c r="HJ68" s="241">
        <f>Nlesafskaering</f>
        <v>59.6</v>
      </c>
      <c r="HK68" s="241">
        <f>Teknologi1</f>
        <v>2455</v>
      </c>
      <c r="HL68" s="6">
        <v>2001</v>
      </c>
      <c r="HM68" s="241">
        <f>Teknologi2</f>
        <v>1962.2</v>
      </c>
      <c r="HN68" s="241">
        <f>Tandel</f>
        <v>0.54659999999999997</v>
      </c>
      <c r="HO68" s="241">
        <f>IF(OR(HI68&gt;0,HI68=0),HJ68+HK68/(HL68-HM68),HJ68+HK68/(HL68-HM68)+HN68*HI68)</f>
        <v>108.29771874658108</v>
      </c>
      <c r="HP68" s="241">
        <f>IF(HI68&gt;0,HI68,0.001)</f>
        <v>1E-3</v>
      </c>
      <c r="HQ68" s="241">
        <v>1.5020000000000001E-3</v>
      </c>
      <c r="HR68" s="24">
        <f>IF(R68=1,0,VLOOKUP(PostnrNbal,AfstromData,VLOOKUP($R68,Afgr,Data!$DL$3)+IF(Jordtype1&lt;7,Jordtype1,6),FALSE)-VLOOKUP(T68,Efgr,Data!$AA$53))</f>
        <v>284.76666666666603</v>
      </c>
      <c r="HS68" s="24">
        <f>IF(Nbal!GA68&lt;&gt;"",Nbal!GA68,Regn2!HR68)</f>
        <v>284.76666666666603</v>
      </c>
      <c r="HT68" s="241">
        <v>5.5400000000000002E-4</v>
      </c>
      <c r="HU68" s="24">
        <f>IF(R68=1,0,VLOOKUP(PostnrNbal,AfstromData,VLOOKUP($O68,Afgr,Data!$DL$3)+IF(B68&lt;7,B68,6),FALSE)-VLOOKUP(P68,Efgr,Data!$AA$53))</f>
        <v>284.76666666666603</v>
      </c>
      <c r="HV68" s="24">
        <f>IF(Nbal!FU68&lt;&gt;"",Nbal!FU68,Regn2!HU68)</f>
        <v>284.76666666666603</v>
      </c>
      <c r="HW68" s="241">
        <v>0.10639999999999999</v>
      </c>
      <c r="HX68" s="6">
        <f>VLOOKUP(B68,Jordtype,Data!$W$112)</f>
        <v>3</v>
      </c>
      <c r="HY68" s="241">
        <v>3.2500000000000001E-2</v>
      </c>
      <c r="HZ68" s="6">
        <f>VLOOKUP(B68,Jordtype,Data!$X$112)</f>
        <v>12</v>
      </c>
      <c r="IA68" s="241">
        <v>1.2453000000000001</v>
      </c>
      <c r="IB68" s="241">
        <f>IF(VLOOKUP(T68,Efgr,Data!$AO$53)=1,MlafgrNUdvask,0)</f>
        <v>0</v>
      </c>
      <c r="IC68" s="20">
        <f>IF(ISERROR((HO68+POWER(HP68,1.2))*(1-EXP(-HQ68*HS68))*EXP(-HT68*HV68)*EXP(-HW68*HX68)*EXP(-HY68*HZ68)*IA68),0,(HO68+POWER(HP68,1.2))*(1-EXP(-HQ68*HS68))*EXP(-HT68*HV68)*EXP(-HW68*HX68)*EXP(-HY68*HZ68)*IA68+IB68)</f>
        <v>19.722613263993662</v>
      </c>
      <c r="ID68">
        <f>IC68*Z68</f>
        <v>113.60225240060349</v>
      </c>
      <c r="IE68">
        <f>IF(Nbal!GF68&lt;&gt;"",Nbal!GF68,RetentionNbal)</f>
        <v>65</v>
      </c>
      <c r="IF68">
        <f>IC68*(100-IE68)*0.01</f>
        <v>6.9029146423977821</v>
      </c>
      <c r="IG68">
        <f>IF68*Z68</f>
        <v>39.760788340211221</v>
      </c>
      <c r="IH68" s="2">
        <f>HS68*10000</f>
        <v>2847666.6666666605</v>
      </c>
      <c r="II68" s="2">
        <f>IH68*Z68</f>
        <v>16402559.999999963</v>
      </c>
      <c r="IJ68">
        <f>IF(ISERROR(IC68*1000*1000/IH68),0,IC68*1000*1000/IH68)</f>
        <v>6.9258854959593954</v>
      </c>
      <c r="IL68">
        <f>AT68+AX68+BK68+BU68</f>
        <v>12196.785714285714</v>
      </c>
      <c r="IO68">
        <f>VLOOKUP(R68,Afgr,Data!$AP$3)*UdsaedJust</f>
        <v>488</v>
      </c>
      <c r="IP68" s="3">
        <f>IF(Nbal!GN68&lt;&gt;"",Nbal!GN68,IO68)</f>
        <v>488</v>
      </c>
      <c r="IQ68" s="3">
        <f>IP68*Z68</f>
        <v>2810.88</v>
      </c>
      <c r="IS68" s="3">
        <f>IF(HdgVaerdiNbal=1,(BZ68+CA68)*Npris,(BZ68+CA68+CJ68+CK68)*Npris)</f>
        <v>346.45</v>
      </c>
      <c r="IT68" s="3">
        <f>IS68*Z68</f>
        <v>1995.5519999999999</v>
      </c>
      <c r="IV68">
        <f>VLOOKUP($R68,Afgr,Data!$BA$3)</f>
        <v>0</v>
      </c>
      <c r="IW68">
        <f>VLOOKUP($R68,Afgr,Data!$BB$3)</f>
        <v>2.5</v>
      </c>
      <c r="IX68">
        <f>$DS68+$EE68</f>
        <v>25.842732142857141</v>
      </c>
      <c r="IY68">
        <f>CT68</f>
        <v>18</v>
      </c>
      <c r="IZ68">
        <f>CQ68</f>
        <v>0</v>
      </c>
      <c r="JA68" s="3">
        <f>IF(HdgVaerdiNbal=1,(IZ68)*Ppris,(IY68+IZ68)*Ppris)</f>
        <v>0</v>
      </c>
      <c r="JB68" s="3">
        <f>JA68*Z68</f>
        <v>0</v>
      </c>
      <c r="JD68">
        <f>IF(AND(R68&gt;1,OR(Jordtype1=1,Jordtype1=3,Markvand1=2)),Kudvask,0)</f>
        <v>0</v>
      </c>
      <c r="JE68">
        <f>$DV68+$EH68</f>
        <v>67.16092857142857</v>
      </c>
      <c r="JF68">
        <f>DB68</f>
        <v>44</v>
      </c>
      <c r="JG68">
        <f>CY68</f>
        <v>0</v>
      </c>
      <c r="JH68" s="3">
        <f>IF(HdgVaerdiNbal=1,JG68*Kpris,(JF68+JG68)*Kpris)</f>
        <v>0</v>
      </c>
      <c r="JI68" s="3">
        <f>JH68*Z68</f>
        <v>0</v>
      </c>
      <c r="JK68">
        <f>IS68+JA68+JH68</f>
        <v>346.45</v>
      </c>
      <c r="JL68" s="3">
        <f>IF(Nbal!GT68&lt;&gt;"",Nbal!GT68,$JK68)</f>
        <v>346.45</v>
      </c>
      <c r="JM68" s="3">
        <f>JL68*Z68</f>
        <v>1995.5519999999999</v>
      </c>
      <c r="JO68">
        <f>VLOOKUP(R68,Afgr,Data!$AQ$3)*PlantevJust</f>
        <v>283</v>
      </c>
      <c r="JP68" s="3">
        <f>IF(Nbal!GZ68&lt;&gt;"",Nbal!GZ68,JO68)</f>
        <v>283</v>
      </c>
      <c r="JQ68" s="3">
        <f>JP68*Z68</f>
        <v>1630.08</v>
      </c>
      <c r="JS68">
        <f>VLOOKUP(R68,Afgr,Data!$AR$3)+AM68*VLOOKUP(R68,Afgr,Data!$BH$3)</f>
        <v>0</v>
      </c>
      <c r="JT68" s="3">
        <f>IF(Nbal!HF68&lt;&gt;"",Nbal!HF68,JS68)</f>
        <v>0</v>
      </c>
      <c r="JU68">
        <f>JT68*Z68</f>
        <v>0</v>
      </c>
      <c r="JW68">
        <f>IP68+JL68+JP68+JT68</f>
        <v>1117.45</v>
      </c>
      <c r="JY68">
        <f>IF(VLOOKUP(R68,Afgr,Data!$BY$3)&gt;0,Data!$K$259*J68,0)</f>
        <v>600</v>
      </c>
      <c r="JZ68">
        <f>IF(VLOOKUP(R68,Afgr,Data!$BZ$3)&gt;0,Data!$K$260*J68,0)</f>
        <v>0</v>
      </c>
      <c r="KA68">
        <f>(JY68+JZ68)*MaskJust</f>
        <v>600</v>
      </c>
      <c r="KB68" s="3">
        <f>IF(Nbal!HL68&lt;&gt;"",Nbal!HL68,KA68)</f>
        <v>600</v>
      </c>
      <c r="KC68" s="3">
        <f>KB68*Z68</f>
        <v>3456</v>
      </c>
      <c r="KE68">
        <f>IF(VLOOKUP(R68,Afgr,Data!$CA$3)&gt;0,VLOOKUP(R68,Afgr,Data!$CA$3)*Data!$K$261*K68,0)</f>
        <v>0</v>
      </c>
      <c r="KF68">
        <f>IF(VLOOKUP(R68,Afgr,Data!$CC$3)&gt;0,Data!$K$262*K68,0)</f>
        <v>350</v>
      </c>
      <c r="KG68">
        <f>IF(VLOOKUP(R68,Afgr,Data!$CD$3)&gt;0,VLOOKUP(R68,Afgr,Data!$CD$3)*Data!$K$263*K68,0)</f>
        <v>0</v>
      </c>
      <c r="KH68">
        <f>IF(VLOOKUP(R68,Afgr,Data!$CE$3)&gt;0,Data!$K$264*K68,0)</f>
        <v>0</v>
      </c>
      <c r="KI68">
        <f>IF(VLOOKUP(R68,Afgr,Data!$CF$3)&gt;0,Data!$K$265*K68,0)</f>
        <v>0</v>
      </c>
      <c r="KJ68">
        <f>IF(VLOOKUP(R68,Afgr,Data!$CV$3)&gt;0,Data!$K$266,0)</f>
        <v>0</v>
      </c>
      <c r="KK68">
        <f>IF(VLOOKUP(R68,Afgr,Data!$CG$3)&gt;0,Data!$K$267*K68,0)</f>
        <v>0</v>
      </c>
      <c r="KL68">
        <f>(KE68+KF68+KG68+KH68+KI68+KJ68+KK68)*MaskJust</f>
        <v>350</v>
      </c>
      <c r="KM68" s="3">
        <f>IF(Nbal!HR68&lt;&gt;"",Nbal!HR68,KL68)</f>
        <v>350</v>
      </c>
      <c r="KN68" s="3">
        <f>KM68*Z68</f>
        <v>2016</v>
      </c>
      <c r="KP68">
        <f>IF(VLOOKUP(R68,Afgr,Data!$CJ$3)&gt;0,VLOOKUP(R68,Afgr,Data!$CJ$3)*Data!$K$268*K68,0)*MaskJust</f>
        <v>140</v>
      </c>
      <c r="KQ68" s="3">
        <f>IF(Nbal!HX68&lt;&gt;"",Nbal!HX68,KP68)</f>
        <v>140</v>
      </c>
      <c r="KR68" s="3">
        <f>KQ68*Z68</f>
        <v>806.4</v>
      </c>
      <c r="KT68">
        <f>IF(VLOOKUP(R68,Afgr,Data!$CI$3)&gt;0,VLOOKUP(R68,Afgr,Data!$CI$3)*Data!$K$269,0)*MaskJust</f>
        <v>300</v>
      </c>
      <c r="KU68" s="3">
        <f>IF(Nbal!ID68&lt;&gt;"",Nbal!ID68,KT68)</f>
        <v>300</v>
      </c>
      <c r="KV68" s="3">
        <f>KU68*Z68</f>
        <v>1728</v>
      </c>
      <c r="KX68">
        <f>IF(C68=2,VLOOKUP($R68,Afgr,Data!$CY$3),0)</f>
        <v>0</v>
      </c>
      <c r="KY68">
        <f>IF(Nbal!IJ68&lt;&gt;"",Nbal!IJ68,$KX68)</f>
        <v>0</v>
      </c>
      <c r="KZ68">
        <f>IF(AND(R68&gt;1,C68=2),Vandmaskin+$KY68*Flytning/mmprgang+$KY68*Prisprmm,0)</f>
        <v>0</v>
      </c>
      <c r="LA68" s="3">
        <f>IF(Nbal!IP68&lt;&gt;"",Nbal!IP68,$KZ68)</f>
        <v>0</v>
      </c>
      <c r="LB68" s="3">
        <f>LA68*Z68</f>
        <v>0</v>
      </c>
      <c r="LD68">
        <f>IF(VLOOKUP($R68,Afgr,Data!$CK$3)&gt;0,((1+AM68/VLOOKUP($R68,Afgr,Data!$CK$3))/2)*VLOOKUP($R68,Afgr,Data!$CL$3)*VLOOKUP($R68,Afgr,Data!$CN$3)+VLOOKUP($R68,Afgr,Data!$CM$3),0)</f>
        <v>825.88235294117658</v>
      </c>
      <c r="LE68">
        <f>IF(VLOOKUP($R68,Afgr,Data!$CK$3)&gt;0,IF(AND($S68=2,$BA68&gt;0),Data!$K$271,0),0)</f>
        <v>0</v>
      </c>
      <c r="LF68">
        <f>IF(VLOOKUP($R68,Afgr,Data!$CK$3)&gt;0,(AM68/VLOOKUP($R68,Afgr,Data!$CK$3))*VLOOKUP($R68,Afgr,Data!$CO$3)*VLOOKUP($R68,Afgr,Data!$CN$3),0)</f>
        <v>271.47058823529414</v>
      </c>
      <c r="LG68">
        <f>(LD68+LE68+LF68)*MaskJust</f>
        <v>1097.3529411764707</v>
      </c>
      <c r="LH68" s="3">
        <f>IF(Nbal!IV68&lt;&gt;"",Nbal!IV68,LG68)</f>
        <v>1097.3529411764707</v>
      </c>
      <c r="LI68" s="3">
        <f>LH68*Z68</f>
        <v>6320.7529411764708</v>
      </c>
      <c r="LJ68" s="3"/>
      <c r="LK68">
        <f>IF(AND($S68=1,VLOOKUP($R68,Afgr,Data!$CP$3)&gt;0),((1+$BC68/VLOOKUP($R68,Afgr,Data!$CP$3))/2)*VLOOKUP($R68,Afgr,Data!$CQ$3),0)</f>
        <v>595.3125</v>
      </c>
      <c r="LL68">
        <f>IF(AND($S68=1,VLOOKUP($R68,Afgr,Data!$CP$3)&gt;0),($BC68/VLOOKUP($R68,Afgr,Data!$CP$3))*VLOOKUP($R68,Afgr,Data!$CR$3),0)</f>
        <v>253.57142857142856</v>
      </c>
      <c r="LM68">
        <f>(LK68+LL68)*MaskJust</f>
        <v>848.88392857142856</v>
      </c>
      <c r="LN68" s="3">
        <f>IF(Nbal!JB68&lt;&gt;"",Nbal!JB68,LM68)</f>
        <v>848.88392857142856</v>
      </c>
      <c r="LO68" s="3">
        <f>LN68*Z68</f>
        <v>4889.5714285714284</v>
      </c>
      <c r="LQ68">
        <f>$AM68*VLOOKUP($R68,Afgr,Data!$CS$3)*IF($V68=1,VLOOKUP($R68,Afgr,Data!$CT$3),IF($V68=2,VLOOKUP($R68,Afgr,Data!$CU$3),0))</f>
        <v>656.04000000000008</v>
      </c>
      <c r="LR68" s="3">
        <f>IF(Nbal!JK68&lt;&gt;"",Nbal!JK68,LQ68)</f>
        <v>656.04000000000008</v>
      </c>
      <c r="LS68" s="3">
        <f>LR68*Z68</f>
        <v>3778.7904000000003</v>
      </c>
      <c r="LU68">
        <f>VLOOKUP($T68,Efgr,Data!$AC$53)*UdsaedJust</f>
        <v>300</v>
      </c>
      <c r="LV68" s="3">
        <f>IF(Nbal!$JS68&lt;&gt;"",Nbal!$JS68,LU68)</f>
        <v>300</v>
      </c>
      <c r="LW68" s="3">
        <f>LV68*Z68</f>
        <v>1728</v>
      </c>
      <c r="LY68" s="3">
        <f>IF(HdgVaerdiNbal=1,(CB68)*Npris,(CB68+CL68)*Npris)</f>
        <v>0</v>
      </c>
      <c r="LZ68" s="3">
        <f>LY68*Z68</f>
        <v>0</v>
      </c>
      <c r="MB68">
        <f>$EO68</f>
        <v>0</v>
      </c>
      <c r="MC68">
        <f>CU68</f>
        <v>0</v>
      </c>
      <c r="MD68">
        <f>CR68</f>
        <v>0</v>
      </c>
      <c r="ME68" s="3">
        <f>IF(HdgVaerdiNbal=1,MD68*Ppris,(MC68+MD68)*Ppris)</f>
        <v>0</v>
      </c>
      <c r="MF68" s="3">
        <f>ME68*Z68</f>
        <v>0</v>
      </c>
      <c r="MH68">
        <f>$ER68</f>
        <v>0</v>
      </c>
      <c r="MI68">
        <f>DC68</f>
        <v>0</v>
      </c>
      <c r="MJ68">
        <f>CZ68</f>
        <v>0</v>
      </c>
      <c r="MK68" s="3">
        <f>IF(HdgVaerdiNbal=1,MJ68*Ppris,(MI68+MJ68)*Ppris)</f>
        <v>0</v>
      </c>
      <c r="ML68" s="3">
        <f>MK68*Z68</f>
        <v>0</v>
      </c>
      <c r="MN68">
        <f>LY68+ME68+MK68</f>
        <v>0</v>
      </c>
      <c r="MO68" s="3">
        <f>IF(Nbal!JY68&lt;&gt;"",Nbal!JY68,$MN68)</f>
        <v>0</v>
      </c>
      <c r="MP68" s="3">
        <f>MO68*Z68</f>
        <v>0</v>
      </c>
      <c r="MR68">
        <f>VLOOKUP($T68,Efgr,Data!$AE$53)*PlantevJust</f>
        <v>0</v>
      </c>
      <c r="MS68" s="3">
        <f>IF(Nbal!KE68&lt;&gt;"",Nbal!KE68,MR68)</f>
        <v>0</v>
      </c>
      <c r="MT68" s="3">
        <f>MS68*Z68</f>
        <v>0</v>
      </c>
      <c r="MV68">
        <f>VLOOKUP($T68,Efgr,Data!$AF$53)+$BR68*VLOOKUP($T68,Efgr,Data!$AL$53)</f>
        <v>0</v>
      </c>
      <c r="MW68" s="3">
        <f>IF(Nbal!KK68&lt;&gt;"",Nbal!KK68,MV68)</f>
        <v>0</v>
      </c>
      <c r="MX68" s="3">
        <f>MW68*Z68</f>
        <v>0</v>
      </c>
      <c r="MZ68">
        <f>LV68+MO68+MS68+MW68</f>
        <v>300</v>
      </c>
      <c r="NB68">
        <f>VLOOKUP($T68,Efgr,Data!$AU$53)*K68*MaskJust</f>
        <v>55</v>
      </c>
      <c r="NC68" s="3">
        <f>IF(Nbal!KQ68&lt;&gt;"",Nbal!KQ68,NB68)</f>
        <v>55</v>
      </c>
      <c r="ND68" s="3">
        <f>NC68*Z68</f>
        <v>316.8</v>
      </c>
      <c r="NF68">
        <f>VLOOKUP($T68,Efgr,Data!$AW$53)*Data!$K$268*K68*MaskJust</f>
        <v>0</v>
      </c>
      <c r="NG68" s="3">
        <f>IF(Nbal!KW68&lt;&gt;"",Nbal!KW68,NF68)</f>
        <v>0</v>
      </c>
      <c r="NH68" s="3">
        <f>NG68*Z68</f>
        <v>0</v>
      </c>
      <c r="NJ68">
        <f>VLOOKUP($T68,Efgr,Data!$AV$53)*Data!$K$269*MaskJust</f>
        <v>0</v>
      </c>
      <c r="NK68" s="3">
        <f>IF(Nbal!LC68&lt;&gt;"",Nbal!LC68,NJ68)</f>
        <v>0</v>
      </c>
      <c r="NL68" s="3">
        <f>NK68*Z68</f>
        <v>0</v>
      </c>
      <c r="NN68">
        <f>IF(C68=2,VLOOKUP($T68,Efgr,Data!$BC$53),0)</f>
        <v>0</v>
      </c>
      <c r="NO68">
        <f>IF(Nbal!LI68&lt;&gt;"",Nbal!LI68,$NN68)</f>
        <v>0</v>
      </c>
      <c r="NP68">
        <f>IF(C68=2,$NO68*Flytning/mmprgang+$NO68*Prisprmm,0)</f>
        <v>0</v>
      </c>
      <c r="NQ68" s="3">
        <f>IF(Nbal!LO68&lt;&gt;"",Nbal!LO68,$NP68)</f>
        <v>0</v>
      </c>
      <c r="NR68" s="3">
        <f>NQ68*Z68</f>
        <v>0</v>
      </c>
      <c r="NT68">
        <f>IF(VLOOKUP($T68,Efgr,Data!$AX$53)&gt;0,((1+BR68/VLOOKUP($T68,Efgr,Data!$AX$53))/2)*VLOOKUP($T68,Efgr,Data!$AY$53)*VLOOKUP($T68,Efgr,Data!$BA$53)+VLOOKUP($T68,Efgr,Data!$AZ$53),0)</f>
        <v>0</v>
      </c>
      <c r="NU68">
        <f>IF(VLOOKUP($T68,Efgr,Data!$AX$53)&gt;0,($BR68/VLOOKUP($T68,Efgr,Data!$AX$53))*VLOOKUP($T68,Efgr,Data!$BB$53)*VLOOKUP($T68,Efgr,Data!$BA$53),0)</f>
        <v>0</v>
      </c>
      <c r="NV68">
        <f>(NT68+NU68)*MaskJust</f>
        <v>0</v>
      </c>
      <c r="NW68" s="3">
        <f>IF(Nbal!LU68&lt;&gt;"",Nbal!LU68,NV68)</f>
        <v>0</v>
      </c>
      <c r="NX68" s="3">
        <f>NW68*Z68</f>
        <v>0</v>
      </c>
      <c r="NZ68">
        <f>IF($U68=2,Data!$K$304,IF($U68=3,Data!$K$305,0))*MaskJust</f>
        <v>200</v>
      </c>
      <c r="OA68" s="3">
        <f>IF(Nbal!MA68&lt;&gt;"",Nbal!MA68,NZ68)</f>
        <v>200</v>
      </c>
      <c r="OB68" s="3">
        <f>OA68*Z68</f>
        <v>1152</v>
      </c>
      <c r="OD68">
        <f>IL68</f>
        <v>12196.785714285714</v>
      </c>
      <c r="OE68">
        <f>JW68+MZ68</f>
        <v>1417.45</v>
      </c>
      <c r="OF68">
        <f>OD68-OE68</f>
        <v>10779.335714285713</v>
      </c>
      <c r="OG68">
        <f>OF68*Z68</f>
        <v>62088.973714285705</v>
      </c>
      <c r="OJ68">
        <f>VLOOKUP($O68,Afgr,Data!$BP$3)+VLOOKUP($P68,Efgr,Data!$AM$53)</f>
        <v>1</v>
      </c>
      <c r="OK68" s="3">
        <f>OJ68*Z68</f>
        <v>5.76</v>
      </c>
      <c r="OL68">
        <f>VLOOKUP($R68,Afgr,Data!$BP$3)+VLOOKUP($T68,Efgr,Data!$AM$53)</f>
        <v>1</v>
      </c>
      <c r="OM68" s="3">
        <f>OL68*Z68</f>
        <v>5.76</v>
      </c>
      <c r="OO68">
        <f>VLOOKUP($P68,Efgr,Data!$AN$53)</f>
        <v>1</v>
      </c>
      <c r="OP68">
        <f>VLOOKUP($O68,Afgr,Data!$BQ$3)</f>
        <v>1</v>
      </c>
      <c r="OQ68">
        <f>VLOOKUP($R68,Afgr,Data!$BR$3)</f>
        <v>1</v>
      </c>
      <c r="OR68">
        <f>OO68*OP68*OQ68</f>
        <v>1</v>
      </c>
      <c r="OS68" s="3">
        <f>OR68*Z68</f>
        <v>5.76</v>
      </c>
      <c r="OT68" s="3">
        <f>IF(Q68,1,0)*OS68</f>
        <v>0</v>
      </c>
      <c r="OV68">
        <f>VLOOKUP($T68,Efgr,Data!$AN$53)</f>
        <v>1</v>
      </c>
      <c r="OW68">
        <f>VLOOKUP($R68,Afgr,Data!$BQ$3)</f>
        <v>1</v>
      </c>
      <c r="OX68">
        <f>VLOOKUP($X68,Afgr,Data!$BR$3)</f>
        <v>1</v>
      </c>
      <c r="OY68">
        <f>OV68*OW68*OX68</f>
        <v>1</v>
      </c>
      <c r="OZ68" s="3">
        <f>OY68*Z68</f>
        <v>5.76</v>
      </c>
      <c r="PB68">
        <f>VLOOKUP($T68,Efgr,Data!$AO$53)</f>
        <v>0</v>
      </c>
      <c r="PC68">
        <f>VLOOKUP($O68,Afgr,Data!$BQ$3)</f>
        <v>1</v>
      </c>
      <c r="PD68">
        <f>VLOOKUP($R68,Afgr,Data!$BS$3)</f>
        <v>0</v>
      </c>
      <c r="PE68" s="3">
        <f>PB68*PC68*PD68*$Z68</f>
        <v>0</v>
      </c>
      <c r="PG68">
        <f>VLOOKUP($T68,Efgr,Data!$AO$53)</f>
        <v>0</v>
      </c>
      <c r="PH68">
        <f>VLOOKUP($R68,Afgr,Data!$BQ$3)</f>
        <v>1</v>
      </c>
      <c r="PI68">
        <f>VLOOKUP($X68,Afgr,Data!$BS$3)</f>
        <v>0</v>
      </c>
      <c r="PJ68" s="3">
        <f>PG68*PH68*PI68*$Z68</f>
        <v>0</v>
      </c>
      <c r="PK68" s="3"/>
      <c r="PL68" s="3">
        <f>VLOOKUP($O68,Afgr,Data!$BU$3)</f>
        <v>0</v>
      </c>
      <c r="PM68" s="3">
        <f>PL68*Z68</f>
        <v>0</v>
      </c>
      <c r="PN68" s="3">
        <f>VLOOKUP($R68,Afgr,Data!$BU$3)</f>
        <v>0</v>
      </c>
      <c r="PO68" s="3">
        <f>PN68*Z68</f>
        <v>0</v>
      </c>
      <c r="PQ68">
        <f>VLOOKUP(R68,Afgr,Data!$BX$3)+VLOOKUP(T68,Efgr,Data!$AQ$53)</f>
        <v>0</v>
      </c>
      <c r="PR68">
        <f>IF(PQ68&gt;0,Z68,0)</f>
        <v>0</v>
      </c>
      <c r="PT68">
        <f>VLOOKUP($O68,Afgr,Data!$BT$3)</f>
        <v>1</v>
      </c>
      <c r="PU68" s="3">
        <f>PT68*Z68</f>
        <v>5.76</v>
      </c>
      <c r="PV68">
        <f>VLOOKUP($R68,Afgr,Data!$BT$3)</f>
        <v>1</v>
      </c>
      <c r="PW68" s="3">
        <f>PV68*Z68</f>
        <v>5.76</v>
      </c>
      <c r="PY68">
        <f>VLOOKUP($R68,Afgr,Data!$BV$3)</f>
        <v>0</v>
      </c>
      <c r="PZ68">
        <f>PY68*Z68</f>
        <v>0</v>
      </c>
      <c r="QB68">
        <f>VLOOKUP($R68,Afgr,Data!$BW$3)</f>
        <v>0</v>
      </c>
      <c r="QC68">
        <f>QB68*Z68</f>
        <v>0</v>
      </c>
      <c r="QE68">
        <f>AM68*IF(VLOOKUP($R68,Afgr,Data!$BJ$3)&gt;0,1,0)</f>
        <v>71</v>
      </c>
      <c r="QF68">
        <f>QE68*Z68</f>
        <v>408.96</v>
      </c>
      <c r="QH68">
        <f>AM68*VLOOKUP(R68,Afgr,Data!$BK$3)</f>
        <v>6709.5</v>
      </c>
      <c r="QI68">
        <f>Z68*QH68</f>
        <v>38646.720000000001</v>
      </c>
      <c r="QJ68">
        <f>$AM68*VLOOKUP($R68,Afgr,Data!$BL$3)+$BR68*VLOOKUP($T68,Efgr,Data!$AP$53)</f>
        <v>0</v>
      </c>
      <c r="QK68">
        <f>QJ68*Z68</f>
        <v>0</v>
      </c>
      <c r="QL68">
        <f>$AM68*VLOOKUP($R68,Afgr,Data!$BM$3)</f>
        <v>0</v>
      </c>
      <c r="QM68">
        <f>QL68*Z68</f>
        <v>0</v>
      </c>
      <c r="QN68">
        <f>$AM68*VLOOKUP($R68,Afgr,Data!$BN$3)</f>
        <v>0</v>
      </c>
      <c r="QO68">
        <f>QN68*Z68</f>
        <v>0</v>
      </c>
      <c r="QR68">
        <f>IF(VLOOKUP($R68,Afgr,Data!$DA$3)="Vårbyg",$AN68,0)*VLOOKUP($R68,Afgr,Data!$BJ$3)</f>
        <v>41713.919999999998</v>
      </c>
      <c r="QS68">
        <f>IF(VLOOKUP($R68,Afgr,Data!$DA$3)="Vinterbyg",$AN68,0)*VLOOKUP($R68,Afgr,Data!$BJ$3)</f>
        <v>0</v>
      </c>
      <c r="QT68">
        <f>IF(VLOOKUP($R68,Afgr,Data!$DA$3)="Havre",$AN68,0)*VLOOKUP($R68,Afgr,Data!$BJ$3)</f>
        <v>0</v>
      </c>
      <c r="QU68">
        <f>IF(VLOOKUP($R68,Afgr,Data!$DA$3)="Hvede",$AN68,0)*VLOOKUP($R68,Afgr,Data!$BJ$3)</f>
        <v>0</v>
      </c>
      <c r="QV68">
        <f>IF(VLOOKUP($R68,Afgr,Data!$DA$3)="Triticale",$AN68,0)*VLOOKUP($R68,Afgr,Data!$BJ$3)</f>
        <v>0</v>
      </c>
      <c r="QW68">
        <f>IF(VLOOKUP($R68,Afgr,Data!$DA$3)="Rug",$AN68,0)*VLOOKUP($R68,Afgr,Data!$BJ$3)</f>
        <v>0</v>
      </c>
      <c r="QX68">
        <f>IF(VLOOKUP($R68,Afgr,Data!$DA$3)="Majs",$AN68,0)*VLOOKUP($R68,Afgr,Data!$BJ$3)</f>
        <v>0</v>
      </c>
      <c r="RA68">
        <f>IF(OV68+PB68&gt;0,1,0)</f>
        <v>1</v>
      </c>
      <c r="RB68">
        <f>RA68*LW68</f>
        <v>1728</v>
      </c>
      <c r="RC68">
        <f>RA68*MT68</f>
        <v>0</v>
      </c>
      <c r="RD68">
        <f>ND68</f>
        <v>316.8</v>
      </c>
      <c r="RE68">
        <f>RA68*OB68</f>
        <v>1152</v>
      </c>
      <c r="RH68">
        <f>VLOOKUP(B68,Jordtype,Data!$Y$112+DenitNr-1)</f>
        <v>7.25</v>
      </c>
      <c r="RI68">
        <f>FF68*VLOOKUP(B68,Jordtype,Data!$AB$112+DenitNr-1)</f>
        <v>1.6400000000000001</v>
      </c>
      <c r="RJ68">
        <f>((CJ68+CK68+CL68+Regn2!CO68*0.7)-(RR68+RT68))*VLOOKUP(B68,Jordtype,Data!$AE$112+DenitNr-1)</f>
        <v>7.8575062500000001</v>
      </c>
      <c r="RK68">
        <f>0*VLOOKUP(B68,Jordtype,Data!$AE$112+DenitNr-1)</f>
        <v>0</v>
      </c>
      <c r="RL68">
        <f>Regn2!FD68*VLOOKUP(B68,Jordtype,Data!$AH$112+DenitNr-1)</f>
        <v>0</v>
      </c>
      <c r="RM68" s="3">
        <f>RH68+RI68+RJ68+RK68+RL68</f>
        <v>16.747506250000001</v>
      </c>
      <c r="RO68">
        <v>2</v>
      </c>
      <c r="RP68">
        <f>(FF68)*RO68*0.01</f>
        <v>0.82000000000000006</v>
      </c>
      <c r="RQ68">
        <v>7</v>
      </c>
      <c r="RR68">
        <f>CE68*RQ68*0.01</f>
        <v>0</v>
      </c>
      <c r="RS68">
        <v>7</v>
      </c>
      <c r="RT68">
        <f>(Regn2!CF68+Regn2!CG68)*RS68*0.01</f>
        <v>5.95</v>
      </c>
      <c r="RW68">
        <f>VLOOKUP(R68,Afgr,Data!$EE$3)</f>
        <v>5</v>
      </c>
      <c r="RX68" s="3">
        <f>RP68+RR68+RT68+RV68+RW68</f>
        <v>11.77</v>
      </c>
    </row>
    <row r="70" spans="1:492" x14ac:dyDescent="0.25">
      <c r="A70" s="214" t="str">
        <f>Nbal!B70</f>
        <v>49-0</v>
      </c>
      <c r="B70">
        <v>6</v>
      </c>
      <c r="C70">
        <v>1</v>
      </c>
      <c r="D70">
        <f>IF(C70=1,VLOOKUP(B70,Jordtype,Data!$K$112),VLOOKUP(B70,Jordtype,Data!$L$112))</f>
        <v>9</v>
      </c>
      <c r="E70">
        <f>IF(C70=1,VLOOKUP(B70,Jordtype,Data!$M$112),VLOOKUP(B70,Jordtype,Data!$N$112))</f>
        <v>14</v>
      </c>
      <c r="F70">
        <f>IF(OR(B70=1,B70=3),0,IF(OR(B70=2,B70=4),1,IF(OR(B70=5,B70=6),2,3)))</f>
        <v>2</v>
      </c>
      <c r="G70">
        <f>IF(C70=1,VLOOKUP(B70,Jordtype,Data!$Q$112),VLOOKUP(B70,Jordtype,Data!$R$112))</f>
        <v>25</v>
      </c>
      <c r="H70">
        <f>IF(C70=1,VLOOKUP(B70,Jordtype,Data!$O$112),VLOOKUP(B70,Jordtype,Data!$P$112))</f>
        <v>19</v>
      </c>
      <c r="I70">
        <f>IF(B70&lt;5,0,1)</f>
        <v>1</v>
      </c>
      <c r="J70">
        <f>IF(B70&lt;5,PlojJB,1)</f>
        <v>1</v>
      </c>
      <c r="K70">
        <f>IF(B70&lt;5,SaaJB,1)</f>
        <v>1</v>
      </c>
      <c r="L70">
        <f>IF(C70=1,VLOOKUP(B70,Jordtype,Data!$S$112),VLOOKUP(B70,Jordtype,Data!$T$112))</f>
        <v>8</v>
      </c>
      <c r="M70">
        <f>IF(C70=1,VLOOKUP(B70,Jordtype,Data!$U$112),VLOOKUP(B70,Jordtype,Data!$V$112))</f>
        <v>13</v>
      </c>
      <c r="O70">
        <v>40</v>
      </c>
      <c r="P70">
        <v>2</v>
      </c>
      <c r="Q70" t="b">
        <v>0</v>
      </c>
      <c r="R70">
        <v>40</v>
      </c>
      <c r="S70">
        <v>1</v>
      </c>
      <c r="T70">
        <v>4</v>
      </c>
      <c r="U70">
        <v>3</v>
      </c>
      <c r="V70">
        <v>1</v>
      </c>
      <c r="X70">
        <v>40</v>
      </c>
      <c r="Z70">
        <f>Nbal!AG70</f>
        <v>15.41</v>
      </c>
      <c r="AA70">
        <v>1</v>
      </c>
      <c r="AB70">
        <f>VLOOKUP($R70,Afgr,G70)</f>
        <v>110</v>
      </c>
      <c r="AC70">
        <f>VLOOKUP($O70,Afgr,Data!$AI$3)*VLOOKUP(R70,Afgr,Data!$AJ$3)</f>
        <v>0</v>
      </c>
      <c r="AD70">
        <f>IF($Q70,0,VLOOKUP($P70,Efgr,(Data!$W$53+$V$6-1)))</f>
        <v>17</v>
      </c>
      <c r="AE70">
        <f>AB70-AC70-AD70</f>
        <v>93</v>
      </c>
      <c r="AF70">
        <f>AE70*Z70</f>
        <v>1433.13</v>
      </c>
      <c r="AH70">
        <f>VLOOKUP(R70,Afgr,D70)</f>
        <v>56</v>
      </c>
      <c r="AI70">
        <f>VLOOKUP(O70,Afgr,Data!$AL$3)*VLOOKUP(R70,Afgr,E70)</f>
        <v>0</v>
      </c>
      <c r="AJ70">
        <f>VLOOKUP(P70,Efgr,(Data!$Y$53+I70))</f>
        <v>0</v>
      </c>
      <c r="AK70">
        <f>AH70+AI70+AJ70</f>
        <v>56</v>
      </c>
      <c r="AL70">
        <f>AH70+AI70+AJ70</f>
        <v>56</v>
      </c>
      <c r="AM70" s="3">
        <f>IF(Nbal!CK70&lt;&gt;"",Nbal!CK70,AL70)</f>
        <v>75</v>
      </c>
      <c r="AN70">
        <f>AM70*Z70</f>
        <v>1155.75</v>
      </c>
      <c r="AO70" t="str">
        <f>VLOOKUP(R70,Afgr,3)</f>
        <v>hkg</v>
      </c>
      <c r="AP70">
        <f>IF(AO70="FE",VLOOKUP($R70,Afgr,Data!$AV$3),0)</f>
        <v>0</v>
      </c>
      <c r="AR70">
        <f>VLOOKUP(R70,Afgr,4)</f>
        <v>145</v>
      </c>
      <c r="AS70" s="3">
        <f>IF(Nbal!CW70&lt;&gt;"",Nbal!CW70,AR70)</f>
        <v>145</v>
      </c>
      <c r="AT70" s="3">
        <f>AM70*AS70</f>
        <v>10875</v>
      </c>
      <c r="AU70" s="3">
        <f>AN70*AS70</f>
        <v>167583.75</v>
      </c>
      <c r="AW70">
        <f>VLOOKUP(R70,Afgr,Data!$AN$3)</f>
        <v>0</v>
      </c>
      <c r="AX70" s="3">
        <f>IF(Nbal!DC70&lt;&gt;"",Nbal!DC70,AW70)</f>
        <v>0</v>
      </c>
      <c r="AY70" s="3">
        <f>AX70*Z70</f>
        <v>0</v>
      </c>
      <c r="BA70">
        <f>VLOOKUP(R70,Afgr,H70)</f>
        <v>3000</v>
      </c>
      <c r="BB70">
        <f>IF(ISERROR(BA70*AM70/AK70),0,(BA70*AM70/AK70))</f>
        <v>4017.8571428571427</v>
      </c>
      <c r="BC70" s="3">
        <f>IF(Nbal!DI70&lt;&gt;"",Nbal!DI70,BB70)</f>
        <v>4017.8571428571427</v>
      </c>
      <c r="BD70">
        <f>BC70*Z70</f>
        <v>61915.178571428572</v>
      </c>
      <c r="BG70">
        <f>IF($S70=1,BC70,0)</f>
        <v>4017.8571428571427</v>
      </c>
      <c r="BH70">
        <f>IF($S70=1,BD70,0)</f>
        <v>61915.178571428572</v>
      </c>
      <c r="BI70">
        <f>VLOOKUP(R70,Afgr,Data!$AM$3)</f>
        <v>0.5</v>
      </c>
      <c r="BJ70">
        <f>IF(Nbal!DR70&lt;&gt;"",Nbal!DR70,BI70)</f>
        <v>0.5</v>
      </c>
      <c r="BK70">
        <f>BG70*BJ70</f>
        <v>2008.9285714285713</v>
      </c>
      <c r="BL70">
        <f>BH70*BJ70</f>
        <v>30957.589285714286</v>
      </c>
      <c r="BN70">
        <f>VLOOKUP($T70,Efgr,M70)</f>
        <v>0</v>
      </c>
      <c r="BO70">
        <f>BN70*Z70</f>
        <v>0</v>
      </c>
      <c r="BQ70">
        <f>VLOOKUP(T70,Efgr,NormudbKolonneNrEfgr1)</f>
        <v>0</v>
      </c>
      <c r="BR70" s="3">
        <f>IF(Nbal!FE70&lt;&gt;"",Nbal!FE70,BQ70)</f>
        <v>0</v>
      </c>
      <c r="BS70">
        <f>BR70*Z70</f>
        <v>0</v>
      </c>
      <c r="BT70" t="s">
        <v>37</v>
      </c>
      <c r="BU70">
        <f>BR70*Efterslaetpris</f>
        <v>0</v>
      </c>
      <c r="BV70">
        <f>BS70*Efterslaetpris</f>
        <v>0</v>
      </c>
      <c r="BW70">
        <f>VLOOKUP(T70,Efgr,Data!$AG$53)</f>
        <v>0</v>
      </c>
      <c r="BX70">
        <f>BR70*BW70</f>
        <v>0</v>
      </c>
      <c r="BZ70">
        <f>Nbal!AQ70</f>
        <v>0</v>
      </c>
      <c r="CA70" s="211">
        <f>Nbal!AT70</f>
        <v>41</v>
      </c>
      <c r="CB70" s="2">
        <f>Nbal!DZ70</f>
        <v>0</v>
      </c>
      <c r="CC70" s="211">
        <f>Nbal!AT70+Nbal!DZ70</f>
        <v>41</v>
      </c>
      <c r="CD70" s="211">
        <f>Nbal!AX70</f>
        <v>0</v>
      </c>
      <c r="CE70">
        <f>Nbal!BH70</f>
        <v>0</v>
      </c>
      <c r="CF70" s="211">
        <f>Nbal!BM70</f>
        <v>0</v>
      </c>
      <c r="CG70" s="2">
        <f>Nbal!EI70</f>
        <v>0</v>
      </c>
      <c r="CH70" s="211">
        <f>Nbal!BM70+Nbal!EI70</f>
        <v>0</v>
      </c>
      <c r="CI70" s="211">
        <f>Nbal!BW70</f>
        <v>0</v>
      </c>
      <c r="CJ70" s="211">
        <f>Nbal!BH70*Nbal!BJ70*0.01</f>
        <v>0</v>
      </c>
      <c r="CK70" s="211">
        <f>(Nbal!BM70*Nbal!BP70*0.01)</f>
        <v>0</v>
      </c>
      <c r="CL70" s="211">
        <f>(Nbal!EI70*Nbal!EL70*0.01)</f>
        <v>0</v>
      </c>
      <c r="CM70" s="211">
        <f>(Nbal!BM70*Nbal!BP70*0.01)+(Nbal!EI70*Nbal!EL70*0.01)</f>
        <v>0</v>
      </c>
      <c r="CN70" s="211">
        <f>Nbal!BW70*Nbal!BY70*0.01</f>
        <v>0</v>
      </c>
      <c r="CO70">
        <f>Nbal!BT70+Nbal!ER70</f>
        <v>0</v>
      </c>
      <c r="CQ70">
        <f>Nbal!BA70</f>
        <v>0</v>
      </c>
      <c r="CR70">
        <f>Nbal!EC70</f>
        <v>0</v>
      </c>
      <c r="CS70">
        <f>(CQ70+CR70)*Z70</f>
        <v>0</v>
      </c>
      <c r="CT70">
        <f>Nbal!CB70</f>
        <v>0</v>
      </c>
      <c r="CU70">
        <f>Nbal!EV70</f>
        <v>0</v>
      </c>
      <c r="CV70">
        <f>(CT70+CU70)*Z70</f>
        <v>0</v>
      </c>
      <c r="CW70">
        <f>Nbal!BA70+Nbal!CB70+Nbal!EC70+Nbal!EV70</f>
        <v>0</v>
      </c>
      <c r="CY70">
        <f>Nbal!BD70</f>
        <v>0</v>
      </c>
      <c r="CZ70">
        <f>Nbal!EF70</f>
        <v>0</v>
      </c>
      <c r="DA70">
        <f>(CY70+CZ70)*Z70</f>
        <v>0</v>
      </c>
      <c r="DB70">
        <f>Nbal!CE70</f>
        <v>0</v>
      </c>
      <c r="DC70">
        <f>Nbal!EY70</f>
        <v>0</v>
      </c>
      <c r="DD70">
        <f>(DB70+DC70)*Z70</f>
        <v>0</v>
      </c>
      <c r="DE70">
        <f>Nbal!BD70+Nbal!CE70+Nbal!EF70+Nbal!EY70</f>
        <v>0</v>
      </c>
      <c r="DG70">
        <f>VLOOKUP($R70,Afgr,Data!$AW$3)</f>
        <v>11.1875</v>
      </c>
      <c r="DH70">
        <f>IF($AO70="FE",$AM70*$AP70*$DG70*0.01,$AM70*100*$DM70*0.01*$DG70*0.01)</f>
        <v>713.203125</v>
      </c>
      <c r="DI70">
        <f>IF(VLOOKUP(R70,Afgr,Data!$BO$3)=1,DH70,0)*Z70</f>
        <v>10990.460156249999</v>
      </c>
      <c r="DJ70" s="12">
        <f>(BZ70+CC70+CJ70-AE70)*VLOOKUP($R70,Afgr,Data!$AX$3)</f>
        <v>-1.04</v>
      </c>
      <c r="DK70">
        <f>DG70+DJ70</f>
        <v>10.147500000000001</v>
      </c>
      <c r="DL70">
        <f>IF(Nbal!CQ70&lt;&gt;"",Nbal!CQ70,DK70)</f>
        <v>11.2</v>
      </c>
      <c r="DM70">
        <f>VLOOKUP(R70,Afgr,Data!$AT$3)</f>
        <v>85</v>
      </c>
      <c r="DN70">
        <f>IF($AO70="FE",$AM70*$AP70*$DL70*0.01,$AM70*100*$DM70*0.01*DL70*0.01)</f>
        <v>714</v>
      </c>
      <c r="DO70">
        <f>IF(VLOOKUP(R70,Afgr,Data!$BO$3)=1,DN70,0)*Z70</f>
        <v>11002.74</v>
      </c>
      <c r="DP70">
        <f>IF(ISERROR(DN70/VLOOKUP(R70,Afgr,Data!$AY$3)),0,DN70/VLOOKUP(R70,Afgr,Data!$AY$3))</f>
        <v>114.24</v>
      </c>
      <c r="DQ70">
        <f>DP70*Z70</f>
        <v>1760.4384</v>
      </c>
      <c r="DS70">
        <f>IF($AO70="FE",$AM70*$AP70*VLOOKUP($R70,Afgr,Data!$BC$3)*0.001,$AM70*100*$DM70*0.01*VLOOKUP($R70,Afgr,Data!$BC$3)*0.001)</f>
        <v>24.225000000000001</v>
      </c>
      <c r="DT70">
        <f>DS70*Z70</f>
        <v>373.30725000000001</v>
      </c>
      <c r="DV70">
        <f>IF($AO70="FE",$AM70*$AP70*VLOOKUP($R70,Afgr,Data!$BF$3)*0.001,$AM70*100*$DM70*0.01*VLOOKUP($R70,Afgr,Data!$BF$3)*0.001)</f>
        <v>29.962500000000002</v>
      </c>
      <c r="DW70">
        <f>DV70*Z70</f>
        <v>461.72212500000006</v>
      </c>
      <c r="DY70">
        <f>IF(ISERROR(VLOOKUP(R70,Afgr,Data!$AZ$3)*DL70/DG70),0,VLOOKUP(R70,Afgr,Data!$AZ$3)*DL70/DG70)</f>
        <v>4.0044692737430161</v>
      </c>
      <c r="DZ70">
        <f>VLOOKUP(R70,Afgr,Data!$AU$3)</f>
        <v>85</v>
      </c>
      <c r="EA70">
        <f>IF($S70=1,$BC70*$DZ70*0.01*DY70*0.01,0)</f>
        <v>136.75977653631281</v>
      </c>
      <c r="EB70">
        <f>EA70/6.25</f>
        <v>21.881564245810051</v>
      </c>
      <c r="EC70">
        <f>EB70*Z70</f>
        <v>337.19490502793286</v>
      </c>
      <c r="EE70">
        <f>IF($S70=1,$BC70*$DZ70*0.01*VLOOKUP($R70,Afgr,Data!$BD$3)*0.001,0)</f>
        <v>3.0736607142857144</v>
      </c>
      <c r="EF70">
        <f>EE70*Z70</f>
        <v>47.365111607142858</v>
      </c>
      <c r="EH70">
        <f>IF($S70=1,$BC70*$DZ70*0.01*VLOOKUP($R70,Afgr,Data!$BG$3)*0.001,0)</f>
        <v>40.982142857142854</v>
      </c>
      <c r="EI70">
        <f>EH70*Z70</f>
        <v>631.53482142857138</v>
      </c>
      <c r="EK70">
        <f>VLOOKUP(T70,Efgr,Data!$AI$53)</f>
        <v>0</v>
      </c>
      <c r="EL70">
        <f>BX70*EK70*0.01/6.25</f>
        <v>0</v>
      </c>
      <c r="EM70">
        <f>EL70*Z70</f>
        <v>0</v>
      </c>
      <c r="EO70">
        <f>$BX70*VLOOKUP($T70,Efgr,Data!$AJ$53)*0.001</f>
        <v>0</v>
      </c>
      <c r="EP70">
        <f>EO70*Z70</f>
        <v>0</v>
      </c>
      <c r="ER70">
        <f>$BX70*VLOOKUP($T70,Efgr,Data!$AK$53)*0.001</f>
        <v>0</v>
      </c>
      <c r="ES70">
        <f>ER70*Z70</f>
        <v>0</v>
      </c>
      <c r="EU70">
        <f>IF(VLOOKUP(R70,Afgr,Data!$DS$3)=1,DP70*VLOOKUP(R70,Afgr,(Data!$DT$3+EftervirkningUdb1))*VLOOKUP(R70,Afgr,Data!$DV$3),0)</f>
        <v>0</v>
      </c>
      <c r="EV70">
        <f>IF(VLOOKUP(R70,Afgr,Data!$DS$3)=2,VLOOKUP(R70,Afgr,Data!$DX$3),0)</f>
        <v>0</v>
      </c>
      <c r="EW70">
        <f>IF(VLOOKUP(R70,Afgr,Data!$DS$3)=3,$DP70*VLOOKUP($R70,Afgr,IF(Jordtype1&lt;5,Data!$DT$3,Data!$DU$3))*VLOOKUP($R70,Afgr,Data!$DV$3),0)</f>
        <v>0</v>
      </c>
      <c r="EX70">
        <f>IF(VLOOKUP(R70,Afgr,Data!$DS$3)=4,(1.232+0.00469*AM70*100+(0.000256*AM70*100+0.089)*60),0)</f>
        <v>0</v>
      </c>
      <c r="EY70" s="211">
        <f>BZ70+CA70+CJ70+CK70</f>
        <v>41</v>
      </c>
      <c r="EZ70">
        <f>IF(VLOOKUP($R70,Afgr,Data!$DS$3)=5,($AM70*0.02742-$AM70*0.0001*$EY70+$AM70*0.0000001111*$EY70*$EY70),0)</f>
        <v>0</v>
      </c>
      <c r="FA70" s="2">
        <f>CB70+CL70</f>
        <v>0</v>
      </c>
      <c r="FB70">
        <f>IF(VLOOKUP($T70,Efgr,Data!$BH$53)=5,($BR70*0.02742-$BR70*0.0001*$FA70+$BR70*0.0000001111*$FA70*$FA70),0)</f>
        <v>0</v>
      </c>
      <c r="FC70" s="3">
        <f>EU70+EV70+EW70+EX70+EZ70+FB70</f>
        <v>0</v>
      </c>
      <c r="FD70" s="3">
        <f>FC70*Z70</f>
        <v>0</v>
      </c>
      <c r="FF70" s="211">
        <f>BZ70+CC70</f>
        <v>41</v>
      </c>
      <c r="FG70" s="211">
        <f>FF70*Z70</f>
        <v>631.81000000000006</v>
      </c>
      <c r="FH70" s="211">
        <f>CE70+CH70+CO70</f>
        <v>0</v>
      </c>
      <c r="FI70" s="211">
        <f>FH70*Z70</f>
        <v>0</v>
      </c>
      <c r="FJ70">
        <f>VLOOKUP($R70,Afgr,Data!$DK$3)*VLOOKUP($R70,Afgr,Data!$AT$3)*0.01*VLOOKUP($R70,Afgr,Data!$AW$3)*0.01/6.25</f>
        <v>2.4344000000000001</v>
      </c>
      <c r="FK70">
        <f>FJ70*Z70</f>
        <v>37.514104000000003</v>
      </c>
      <c r="FL70" s="4">
        <f>IF(R70&gt;1,Deposition,0)</f>
        <v>15</v>
      </c>
      <c r="FM70" s="4">
        <f>FL70*Z70</f>
        <v>231.15</v>
      </c>
      <c r="FN70">
        <f>FC70</f>
        <v>0</v>
      </c>
      <c r="FO70">
        <f>FN70*Z70</f>
        <v>0</v>
      </c>
      <c r="FP70" s="211">
        <f>SUM(FF70,FH70,FJ70,FL70,FN70)</f>
        <v>58.434399999999997</v>
      </c>
      <c r="FQ70">
        <f>DP70+EB70+EL70</f>
        <v>136.12156424581005</v>
      </c>
      <c r="FR70" s="3">
        <f>FP70-FQ70</f>
        <v>-77.687164245810052</v>
      </c>
      <c r="FS70" s="19">
        <f>FP70*Z70</f>
        <v>900.47410400000001</v>
      </c>
      <c r="FT70" s="19">
        <f>FQ70*Z70</f>
        <v>2097.6333050279327</v>
      </c>
      <c r="FU70" s="3">
        <f>FR70*Z70</f>
        <v>-1197.159201027933</v>
      </c>
      <c r="FW70">
        <f>CW70</f>
        <v>0</v>
      </c>
      <c r="FX70">
        <f>FW70*Z70</f>
        <v>0</v>
      </c>
      <c r="FY70">
        <f>IX70+MB70</f>
        <v>27.298660714285717</v>
      </c>
      <c r="FZ70">
        <f>FY70*Z70</f>
        <v>420.67236160714288</v>
      </c>
      <c r="GA70">
        <f>FW70-FY70</f>
        <v>-27.298660714285717</v>
      </c>
      <c r="GB70">
        <f>GA70*Z70</f>
        <v>-420.67236160714288</v>
      </c>
      <c r="GD70">
        <f>DE70</f>
        <v>0</v>
      </c>
      <c r="GE70">
        <f>GD70*Z70</f>
        <v>0</v>
      </c>
      <c r="GF70">
        <f>JE70+MH70</f>
        <v>70.944642857142853</v>
      </c>
      <c r="GG70">
        <f>GF70*Z70</f>
        <v>1093.2569464285714</v>
      </c>
      <c r="GH70">
        <f>GD70-GF70</f>
        <v>-70.944642857142853</v>
      </c>
      <c r="GI70">
        <f>GH70*Z70</f>
        <v>-1093.2569464285714</v>
      </c>
      <c r="GK70">
        <f>AA70</f>
        <v>1</v>
      </c>
      <c r="GL70" s="211">
        <f>FF70+FH70+FN70</f>
        <v>41</v>
      </c>
      <c r="GM70" s="211">
        <f>IF(R70=1,"",IF(GK70=1,GL70,""))</f>
        <v>41</v>
      </c>
      <c r="GN70" s="211" t="str">
        <f>IF(R70=1,"",IF(GK70=2,GL70,""))</f>
        <v/>
      </c>
      <c r="GO70" s="211" t="str">
        <f>IF(R70=1,"",IF(GK70=3,GL70,""))</f>
        <v/>
      </c>
      <c r="GP70" s="211" t="str">
        <f>IF(R70=1,"",IF(GK70=4,GL70,""))</f>
        <v/>
      </c>
      <c r="GQ70" s="149">
        <f>IF(OR(R70=1,VLOOKUP(R70,Afgr,Data!$BV$3)=1,VLOOKUP(R70,Afgr,Data!$BW$3)=1),0,IF(GK70=1,Nniveau1,IF(GK70=2,Nniveau2,IF(GK70=3,Nniveau3,IF(GK70=4,Nniveau4,GL70)))))</f>
        <v>173.16922222222217</v>
      </c>
      <c r="GR70" s="241">
        <v>0.32550000000000001</v>
      </c>
      <c r="GS70" s="6">
        <v>0</v>
      </c>
      <c r="GT70" s="149">
        <f>CC70+CM70</f>
        <v>41</v>
      </c>
      <c r="GU70" s="6">
        <f>$FN70</f>
        <v>0</v>
      </c>
      <c r="GV70" s="241">
        <v>0.25280000000000002</v>
      </c>
      <c r="GW70">
        <f>CO70</f>
        <v>0</v>
      </c>
      <c r="GX70" s="241">
        <v>0.376</v>
      </c>
      <c r="GY70" s="149">
        <f>CD70+CN70</f>
        <v>0</v>
      </c>
      <c r="GZ70" s="241">
        <f>IF(B70&gt;3,0.3539,1.0749)</f>
        <v>0.35389999999999999</v>
      </c>
      <c r="HA70" s="11">
        <f>$FQ70</f>
        <v>136.12156424581005</v>
      </c>
      <c r="HB70" s="241">
        <v>0.19359999999999999</v>
      </c>
      <c r="HC70" s="241">
        <f>VLOOKUP($R70,Afgr,Data!$DM$3)</f>
        <v>1</v>
      </c>
      <c r="HD70" s="24">
        <f>IF($HC70&gt;1,0,(VLOOKUP($X70,Afgr,Data!$DP$3)+IF(VLOOKUP($X70,Afgr,Data!$DP$3)=0,VLOOKUP($T70,Efgr,Data!$BI$53,0))))+IF(AND($HC70=7,VLOOKUP($X70,Afgr,Data!$DQ$3)=-2),-2,0)+IF(AND($HC70=6,VLOOKUP($T70,Efgr,Data!$BI$53)=2),8,0)</f>
        <v>2</v>
      </c>
      <c r="HE70" s="6">
        <f>VLOOKUP(SUM(HC70:HD70),Nlesafgr,3)</f>
        <v>-98.6</v>
      </c>
      <c r="HF70" s="7">
        <f>VLOOKUP($O70,Afgr,Data!$DN$3)</f>
        <v>1</v>
      </c>
      <c r="HG70" s="24">
        <f>IF(HF70&gt;1,0,VLOOKUP($R70,Afgr,Data!$DO$3)+IF(VLOOKUP($R70,Afgr,Data!$DO$3)=1,0,VLOOKUP($P70,Efgr,Data!$BJ$53)))</f>
        <v>1</v>
      </c>
      <c r="HH70" s="6">
        <f>VLOOKUP(SUM(HF70:HG70),Nlesforfrugt,3)</f>
        <v>14.2</v>
      </c>
      <c r="HI70" s="241">
        <f>GR70*GQ70+GV70*(GT70+GU70)+GX70*GW70+GZ70*GY70-HB70*HA70+HE70+HH70</f>
        <v>-44.021753004655508</v>
      </c>
      <c r="HJ70" s="241">
        <f>Nlesafskaering</f>
        <v>59.6</v>
      </c>
      <c r="HK70" s="241">
        <f>Teknologi1</f>
        <v>2455</v>
      </c>
      <c r="HL70" s="6">
        <v>2001</v>
      </c>
      <c r="HM70" s="241">
        <f>Teknologi2</f>
        <v>1962.2</v>
      </c>
      <c r="HN70" s="241">
        <f>Tandel</f>
        <v>0.54659999999999997</v>
      </c>
      <c r="HO70" s="241">
        <f>IF(OR(HI70&gt;0,HI70=0),HJ70+HK70/(HL70-HM70),HJ70+HK70/(HL70-HM70)+HN70*HI70)</f>
        <v>98.810905683944029</v>
      </c>
      <c r="HP70" s="241">
        <f>IF(HI70&gt;0,HI70,0.001)</f>
        <v>1E-3</v>
      </c>
      <c r="HQ70" s="241">
        <v>1.5020000000000001E-3</v>
      </c>
      <c r="HR70" s="24">
        <f>IF(R70=1,0,VLOOKUP(PostnrNbal,AfstromData,VLOOKUP($R70,Afgr,Data!$DL$3)+IF(Jordtype1&lt;7,Jordtype1,6),FALSE)-VLOOKUP(T70,Efgr,Data!$AA$53))</f>
        <v>284.76666666666603</v>
      </c>
      <c r="HS70" s="24">
        <f>IF(Nbal!GA70&lt;&gt;"",Nbal!GA70,Regn2!HR70)</f>
        <v>284.76666666666603</v>
      </c>
      <c r="HT70" s="241">
        <v>5.5400000000000002E-4</v>
      </c>
      <c r="HU70" s="24">
        <f>IF(R70=1,0,VLOOKUP(PostnrNbal,AfstromData,VLOOKUP($O70,Afgr,Data!$DL$3)+IF(B70&lt;7,B70,6),FALSE)-VLOOKUP(P70,Efgr,Data!$AA$53))</f>
        <v>284.76666666666603</v>
      </c>
      <c r="HV70" s="24">
        <f>IF(Nbal!FU70&lt;&gt;"",Nbal!FU70,Regn2!HU70)</f>
        <v>284.76666666666603</v>
      </c>
      <c r="HW70" s="241">
        <v>0.10639999999999999</v>
      </c>
      <c r="HX70" s="6">
        <f>VLOOKUP(B70,Jordtype,Data!$W$112)</f>
        <v>3</v>
      </c>
      <c r="HY70" s="241">
        <v>3.2500000000000001E-2</v>
      </c>
      <c r="HZ70" s="6">
        <f>VLOOKUP(B70,Jordtype,Data!$X$112)</f>
        <v>12</v>
      </c>
      <c r="IA70" s="241">
        <v>1.2453000000000001</v>
      </c>
      <c r="IB70" s="241">
        <f>IF(VLOOKUP(T70,Efgr,Data!$AO$53)=1,MlafgrNUdvask,0)</f>
        <v>0</v>
      </c>
      <c r="IC70" s="20">
        <f>IF(ISERROR((HO70+POWER(HP70,1.2))*(1-EXP(-HQ70*HS70))*EXP(-HT70*HV70)*EXP(-HW70*HX70)*EXP(-HY70*HZ70)*IA70),0,(HO70+POWER(HP70,1.2))*(1-EXP(-HQ70*HS70))*EXP(-HT70*HV70)*EXP(-HW70*HX70)*EXP(-HY70*HZ70)*IA70+IB70)</f>
        <v>17.994928569127211</v>
      </c>
      <c r="ID70">
        <f>IC70*Z70</f>
        <v>277.30184925025031</v>
      </c>
      <c r="IE70">
        <f>IF(Nbal!GF70&lt;&gt;"",Nbal!GF70,RetentionNbal)</f>
        <v>65</v>
      </c>
      <c r="IF70">
        <f>IC70*(100-IE70)*0.01</f>
        <v>6.2982249991945238</v>
      </c>
      <c r="IG70">
        <f>IF70*Z70</f>
        <v>97.055647237587607</v>
      </c>
      <c r="IH70" s="2">
        <f>HS70*10000</f>
        <v>2847666.6666666605</v>
      </c>
      <c r="II70" s="2">
        <f>IH70*Z70</f>
        <v>43882543.333333239</v>
      </c>
      <c r="IJ70">
        <f>IF(ISERROR(IC70*1000*1000/IH70),0,IC70*1000*1000/IH70)</f>
        <v>6.3191836248837356</v>
      </c>
      <c r="IL70">
        <f>AT70+AX70+BK70+BU70</f>
        <v>12883.928571428571</v>
      </c>
      <c r="IO70">
        <f>VLOOKUP(R70,Afgr,Data!$AP$3)*UdsaedJust</f>
        <v>488</v>
      </c>
      <c r="IP70" s="3">
        <f>IF(Nbal!GN70&lt;&gt;"",Nbal!GN70,IO70)</f>
        <v>488</v>
      </c>
      <c r="IQ70" s="3">
        <f>IP70*Z70</f>
        <v>7520.08</v>
      </c>
      <c r="IS70" s="3">
        <f>IF(HdgVaerdiNbal=1,(BZ70+CA70)*Npris,(BZ70+CA70+CJ70+CK70)*Npris)</f>
        <v>346.45</v>
      </c>
      <c r="IT70" s="3">
        <f>IS70*Z70</f>
        <v>5338.7945</v>
      </c>
      <c r="IV70">
        <f>VLOOKUP($R70,Afgr,Data!$BA$3)</f>
        <v>0</v>
      </c>
      <c r="IW70">
        <f>VLOOKUP($R70,Afgr,Data!$BB$3)</f>
        <v>2.5</v>
      </c>
      <c r="IX70">
        <f>$DS70+$EE70</f>
        <v>27.298660714285717</v>
      </c>
      <c r="IY70">
        <f>CT70</f>
        <v>0</v>
      </c>
      <c r="IZ70">
        <f>CQ70</f>
        <v>0</v>
      </c>
      <c r="JA70" s="3">
        <f>IF(HdgVaerdiNbal=1,(IZ70)*Ppris,(IY70+IZ70)*Ppris)</f>
        <v>0</v>
      </c>
      <c r="JB70" s="3">
        <f>JA70*Z70</f>
        <v>0</v>
      </c>
      <c r="JD70">
        <f>IF(AND(R70&gt;1,OR(Jordtype1=1,Jordtype1=3,Markvand1=2)),Kudvask,0)</f>
        <v>0</v>
      </c>
      <c r="JE70">
        <f>$DV70+$EH70</f>
        <v>70.944642857142853</v>
      </c>
      <c r="JF70">
        <f>DB70</f>
        <v>0</v>
      </c>
      <c r="JG70">
        <f>CY70</f>
        <v>0</v>
      </c>
      <c r="JH70" s="3">
        <f>IF(HdgVaerdiNbal=1,JG70*Kpris,(JF70+JG70)*Kpris)</f>
        <v>0</v>
      </c>
      <c r="JI70" s="3">
        <f>JH70*Z70</f>
        <v>0</v>
      </c>
      <c r="JK70">
        <f>IS70+JA70+JH70</f>
        <v>346.45</v>
      </c>
      <c r="JL70" s="3">
        <f>IF(Nbal!GT70&lt;&gt;"",Nbal!GT70,$JK70)</f>
        <v>346.45</v>
      </c>
      <c r="JM70" s="3">
        <f>JL70*Z70</f>
        <v>5338.7945</v>
      </c>
      <c r="JO70">
        <f>VLOOKUP(R70,Afgr,Data!$AQ$3)*PlantevJust</f>
        <v>283</v>
      </c>
      <c r="JP70" s="3">
        <f>IF(Nbal!GZ70&lt;&gt;"",Nbal!GZ70,JO70)</f>
        <v>283</v>
      </c>
      <c r="JQ70" s="3">
        <f>JP70*Z70</f>
        <v>4361.03</v>
      </c>
      <c r="JS70">
        <f>VLOOKUP(R70,Afgr,Data!$AR$3)+AM70*VLOOKUP(R70,Afgr,Data!$BH$3)</f>
        <v>0</v>
      </c>
      <c r="JT70" s="3">
        <f>IF(Nbal!HF70&lt;&gt;"",Nbal!HF70,JS70)</f>
        <v>0</v>
      </c>
      <c r="JU70">
        <f>JT70*Z70</f>
        <v>0</v>
      </c>
      <c r="JW70">
        <f>IP70+JL70+JP70+JT70</f>
        <v>1117.45</v>
      </c>
      <c r="JY70">
        <f>IF(VLOOKUP(R70,Afgr,Data!$BY$3)&gt;0,Data!$K$259*J70,0)</f>
        <v>600</v>
      </c>
      <c r="JZ70">
        <f>IF(VLOOKUP(R70,Afgr,Data!$BZ$3)&gt;0,Data!$K$260*J70,0)</f>
        <v>0</v>
      </c>
      <c r="KA70">
        <f>(JY70+JZ70)*MaskJust</f>
        <v>600</v>
      </c>
      <c r="KB70" s="3">
        <f>IF(Nbal!HL70&lt;&gt;"",Nbal!HL70,KA70)</f>
        <v>600</v>
      </c>
      <c r="KC70" s="3">
        <f>KB70*Z70</f>
        <v>9246</v>
      </c>
      <c r="KE70">
        <f>IF(VLOOKUP(R70,Afgr,Data!$CA$3)&gt;0,VLOOKUP(R70,Afgr,Data!$CA$3)*Data!$K$261*K70,0)</f>
        <v>0</v>
      </c>
      <c r="KF70">
        <f>IF(VLOOKUP(R70,Afgr,Data!$CC$3)&gt;0,Data!$K$262*K70,0)</f>
        <v>350</v>
      </c>
      <c r="KG70">
        <f>IF(VLOOKUP(R70,Afgr,Data!$CD$3)&gt;0,VLOOKUP(R70,Afgr,Data!$CD$3)*Data!$K$263*K70,0)</f>
        <v>0</v>
      </c>
      <c r="KH70">
        <f>IF(VLOOKUP(R70,Afgr,Data!$CE$3)&gt;0,Data!$K$264*K70,0)</f>
        <v>0</v>
      </c>
      <c r="KI70">
        <f>IF(VLOOKUP(R70,Afgr,Data!$CF$3)&gt;0,Data!$K$265*K70,0)</f>
        <v>0</v>
      </c>
      <c r="KJ70">
        <f>IF(VLOOKUP(R70,Afgr,Data!$CV$3)&gt;0,Data!$K$266,0)</f>
        <v>0</v>
      </c>
      <c r="KK70">
        <f>IF(VLOOKUP(R70,Afgr,Data!$CG$3)&gt;0,Data!$K$267*K70,0)</f>
        <v>0</v>
      </c>
      <c r="KL70">
        <f>(KE70+KF70+KG70+KH70+KI70+KJ70+KK70)*MaskJust</f>
        <v>350</v>
      </c>
      <c r="KM70" s="3">
        <f>IF(Nbal!HR70&lt;&gt;"",Nbal!HR70,KL70)</f>
        <v>350</v>
      </c>
      <c r="KN70" s="3">
        <f>KM70*Z70</f>
        <v>5393.5</v>
      </c>
      <c r="KP70">
        <f>IF(VLOOKUP(R70,Afgr,Data!$CJ$3)&gt;0,VLOOKUP(R70,Afgr,Data!$CJ$3)*Data!$K$268*K70,0)*MaskJust</f>
        <v>140</v>
      </c>
      <c r="KQ70" s="3">
        <f>IF(Nbal!HX70&lt;&gt;"",Nbal!HX70,KP70)</f>
        <v>140</v>
      </c>
      <c r="KR70" s="3">
        <f>KQ70*Z70</f>
        <v>2157.4</v>
      </c>
      <c r="KT70">
        <f>IF(VLOOKUP(R70,Afgr,Data!$CI$3)&gt;0,VLOOKUP(R70,Afgr,Data!$CI$3)*Data!$K$269,0)*MaskJust</f>
        <v>300</v>
      </c>
      <c r="KU70" s="3">
        <f>IF(Nbal!ID70&lt;&gt;"",Nbal!ID70,KT70)</f>
        <v>300</v>
      </c>
      <c r="KV70" s="3">
        <f>KU70*Z70</f>
        <v>4623</v>
      </c>
      <c r="KX70">
        <f>IF(C70=2,VLOOKUP($R70,Afgr,Data!$CY$3),0)</f>
        <v>0</v>
      </c>
      <c r="KY70">
        <f>IF(Nbal!IJ70&lt;&gt;"",Nbal!IJ70,$KX70)</f>
        <v>0</v>
      </c>
      <c r="KZ70">
        <f>IF(AND(R70&gt;1,C70=2),Vandmaskin+$KY70*Flytning/mmprgang+$KY70*Prisprmm,0)</f>
        <v>0</v>
      </c>
      <c r="LA70" s="3">
        <f>IF(Nbal!IP70&lt;&gt;"",Nbal!IP70,$KZ70)</f>
        <v>0</v>
      </c>
      <c r="LB70" s="3">
        <f>LA70*Z70</f>
        <v>0</v>
      </c>
      <c r="LD70">
        <f>IF(VLOOKUP($R70,Afgr,Data!$CK$3)&gt;0,((1+AM70/VLOOKUP($R70,Afgr,Data!$CK$3))/2)*VLOOKUP($R70,Afgr,Data!$CL$3)*VLOOKUP($R70,Afgr,Data!$CN$3)+VLOOKUP($R70,Afgr,Data!$CM$3),0)</f>
        <v>847.05882352941171</v>
      </c>
      <c r="LE70">
        <f>IF(VLOOKUP($R70,Afgr,Data!$CK$3)&gt;0,IF(AND($S70=2,$BA70&gt;0),Data!$K$271,0),0)</f>
        <v>0</v>
      </c>
      <c r="LF70">
        <f>IF(VLOOKUP($R70,Afgr,Data!$CK$3)&gt;0,(AM70/VLOOKUP($R70,Afgr,Data!$CK$3))*VLOOKUP($R70,Afgr,Data!$CO$3)*VLOOKUP($R70,Afgr,Data!$CN$3),0)</f>
        <v>286.76470588235293</v>
      </c>
      <c r="LG70">
        <f>(LD70+LE70+LF70)*MaskJust</f>
        <v>1133.8235294117646</v>
      </c>
      <c r="LH70" s="3">
        <f>IF(Nbal!IV70&lt;&gt;"",Nbal!IV70,LG70)</f>
        <v>1133.8235294117646</v>
      </c>
      <c r="LI70" s="3">
        <f>LH70*Z70</f>
        <v>17472.220588235294</v>
      </c>
      <c r="LJ70" s="3"/>
      <c r="LK70">
        <f>IF(AND($S70=1,VLOOKUP($R70,Afgr,Data!$CP$3)&gt;0),((1+$BC70/VLOOKUP($R70,Afgr,Data!$CP$3))/2)*VLOOKUP($R70,Afgr,Data!$CQ$3),0)</f>
        <v>614.0625</v>
      </c>
      <c r="LL70">
        <f>IF(AND($S70=1,VLOOKUP($R70,Afgr,Data!$CP$3)&gt;0),($BC70/VLOOKUP($R70,Afgr,Data!$CP$3))*VLOOKUP($R70,Afgr,Data!$CR$3),0)</f>
        <v>267.85714285714283</v>
      </c>
      <c r="LM70">
        <f>(LK70+LL70)*MaskJust</f>
        <v>881.91964285714289</v>
      </c>
      <c r="LN70" s="3">
        <f>IF(Nbal!JB70&lt;&gt;"",Nbal!JB70,LM70)</f>
        <v>881.91964285714289</v>
      </c>
      <c r="LO70" s="3">
        <f>LN70*Z70</f>
        <v>13590.381696428572</v>
      </c>
      <c r="LQ70">
        <f>$AM70*VLOOKUP($R70,Afgr,Data!$CS$3)*IF($V70=1,VLOOKUP($R70,Afgr,Data!$CT$3),IF($V70=2,VLOOKUP($R70,Afgr,Data!$CU$3),0))</f>
        <v>693</v>
      </c>
      <c r="LR70" s="3">
        <f>IF(Nbal!JK70&lt;&gt;"",Nbal!JK70,LQ70)</f>
        <v>693</v>
      </c>
      <c r="LS70" s="3">
        <f>LR70*Z70</f>
        <v>10679.13</v>
      </c>
      <c r="LU70">
        <f>VLOOKUP($T70,Efgr,Data!$AC$53)*UdsaedJust</f>
        <v>300</v>
      </c>
      <c r="LV70" s="3">
        <f>IF(Nbal!$JS70&lt;&gt;"",Nbal!$JS70,LU70)</f>
        <v>300</v>
      </c>
      <c r="LW70" s="3">
        <f>LV70*Z70</f>
        <v>4623</v>
      </c>
      <c r="LY70" s="3">
        <f>IF(HdgVaerdiNbal=1,(CB70)*Npris,(CB70+CL70)*Npris)</f>
        <v>0</v>
      </c>
      <c r="LZ70" s="3">
        <f>LY70*Z70</f>
        <v>0</v>
      </c>
      <c r="MB70">
        <f>$EO70</f>
        <v>0</v>
      </c>
      <c r="MC70">
        <f>CU70</f>
        <v>0</v>
      </c>
      <c r="MD70">
        <f>CR70</f>
        <v>0</v>
      </c>
      <c r="ME70" s="3">
        <f>IF(HdgVaerdiNbal=1,MD70*Ppris,(MC70+MD70)*Ppris)</f>
        <v>0</v>
      </c>
      <c r="MF70" s="3">
        <f>ME70*Z70</f>
        <v>0</v>
      </c>
      <c r="MH70">
        <f>$ER70</f>
        <v>0</v>
      </c>
      <c r="MI70">
        <f>DC70</f>
        <v>0</v>
      </c>
      <c r="MJ70">
        <f>CZ70</f>
        <v>0</v>
      </c>
      <c r="MK70" s="3">
        <f>IF(HdgVaerdiNbal=1,MJ70*Ppris,(MI70+MJ70)*Ppris)</f>
        <v>0</v>
      </c>
      <c r="ML70" s="3">
        <f>MK70*Z70</f>
        <v>0</v>
      </c>
      <c r="MN70">
        <f>LY70+ME70+MK70</f>
        <v>0</v>
      </c>
      <c r="MO70" s="3">
        <f>IF(Nbal!JY70&lt;&gt;"",Nbal!JY70,$MN70)</f>
        <v>0</v>
      </c>
      <c r="MP70" s="3">
        <f>MO70*Z70</f>
        <v>0</v>
      </c>
      <c r="MR70">
        <f>VLOOKUP($T70,Efgr,Data!$AE$53)*PlantevJust</f>
        <v>0</v>
      </c>
      <c r="MS70" s="3">
        <f>IF(Nbal!KE70&lt;&gt;"",Nbal!KE70,MR70)</f>
        <v>0</v>
      </c>
      <c r="MT70" s="3">
        <f>MS70*Z70</f>
        <v>0</v>
      </c>
      <c r="MV70">
        <f>VLOOKUP($T70,Efgr,Data!$AF$53)+$BR70*VLOOKUP($T70,Efgr,Data!$AL$53)</f>
        <v>0</v>
      </c>
      <c r="MW70" s="3">
        <f>IF(Nbal!KK70&lt;&gt;"",Nbal!KK70,MV70)</f>
        <v>0</v>
      </c>
      <c r="MX70" s="3">
        <f>MW70*Z70</f>
        <v>0</v>
      </c>
      <c r="MZ70">
        <f>LV70+MO70+MS70+MW70</f>
        <v>300</v>
      </c>
      <c r="NB70">
        <f>VLOOKUP($T70,Efgr,Data!$AU$53)*K70*MaskJust</f>
        <v>55</v>
      </c>
      <c r="NC70" s="3">
        <f>IF(Nbal!KQ70&lt;&gt;"",Nbal!KQ70,NB70)</f>
        <v>55</v>
      </c>
      <c r="ND70" s="3">
        <f>NC70*Z70</f>
        <v>847.55</v>
      </c>
      <c r="NF70">
        <f>VLOOKUP($T70,Efgr,Data!$AW$53)*Data!$K$268*K70*MaskJust</f>
        <v>0</v>
      </c>
      <c r="NG70" s="3">
        <f>IF(Nbal!KW70&lt;&gt;"",Nbal!KW70,NF70)</f>
        <v>0</v>
      </c>
      <c r="NH70" s="3">
        <f>NG70*Z70</f>
        <v>0</v>
      </c>
      <c r="NJ70">
        <f>VLOOKUP($T70,Efgr,Data!$AV$53)*Data!$K$269*MaskJust</f>
        <v>0</v>
      </c>
      <c r="NK70" s="3">
        <f>IF(Nbal!LC70&lt;&gt;"",Nbal!LC70,NJ70)</f>
        <v>0</v>
      </c>
      <c r="NL70" s="3">
        <f>NK70*Z70</f>
        <v>0</v>
      </c>
      <c r="NN70">
        <f>IF(C70=2,VLOOKUP($T70,Efgr,Data!$BC$53),0)</f>
        <v>0</v>
      </c>
      <c r="NO70">
        <f>IF(Nbal!LI70&lt;&gt;"",Nbal!LI70,$NN70)</f>
        <v>0</v>
      </c>
      <c r="NP70">
        <f>IF(C70=2,$NO70*Flytning/mmprgang+$NO70*Prisprmm,0)</f>
        <v>0</v>
      </c>
      <c r="NQ70" s="3">
        <f>IF(Nbal!LO70&lt;&gt;"",Nbal!LO70,$NP70)</f>
        <v>0</v>
      </c>
      <c r="NR70" s="3">
        <f>NQ70*Z70</f>
        <v>0</v>
      </c>
      <c r="NT70">
        <f>IF(VLOOKUP($T70,Efgr,Data!$AX$53)&gt;0,((1+BR70/VLOOKUP($T70,Efgr,Data!$AX$53))/2)*VLOOKUP($T70,Efgr,Data!$AY$53)*VLOOKUP($T70,Efgr,Data!$BA$53)+VLOOKUP($T70,Efgr,Data!$AZ$53),0)</f>
        <v>0</v>
      </c>
      <c r="NU70">
        <f>IF(VLOOKUP($T70,Efgr,Data!$AX$53)&gt;0,($BR70/VLOOKUP($T70,Efgr,Data!$AX$53))*VLOOKUP($T70,Efgr,Data!$BB$53)*VLOOKUP($T70,Efgr,Data!$BA$53),0)</f>
        <v>0</v>
      </c>
      <c r="NV70">
        <f>(NT70+NU70)*MaskJust</f>
        <v>0</v>
      </c>
      <c r="NW70" s="3">
        <f>IF(Nbal!LU70&lt;&gt;"",Nbal!LU70,NV70)</f>
        <v>0</v>
      </c>
      <c r="NX70" s="3">
        <f>NW70*Z70</f>
        <v>0</v>
      </c>
      <c r="NZ70">
        <f>IF($U70=2,Data!$K$304,IF($U70=3,Data!$K$305,0))*MaskJust</f>
        <v>200</v>
      </c>
      <c r="OA70" s="3">
        <f>IF(Nbal!MA70&lt;&gt;"",Nbal!MA70,NZ70)</f>
        <v>200</v>
      </c>
      <c r="OB70" s="3">
        <f>OA70*Z70</f>
        <v>3082</v>
      </c>
      <c r="OD70">
        <f>IL70</f>
        <v>12883.928571428571</v>
      </c>
      <c r="OE70">
        <f>JW70+MZ70</f>
        <v>1417.45</v>
      </c>
      <c r="OF70">
        <f>OD70-OE70</f>
        <v>11466.47857142857</v>
      </c>
      <c r="OG70">
        <f>OF70*Z70</f>
        <v>176698.43478571426</v>
      </c>
      <c r="OJ70">
        <f>VLOOKUP($O70,Afgr,Data!$BP$3)+VLOOKUP($P70,Efgr,Data!$AM$53)</f>
        <v>1</v>
      </c>
      <c r="OK70" s="3">
        <f>OJ70*Z70</f>
        <v>15.41</v>
      </c>
      <c r="OL70">
        <f>VLOOKUP($R70,Afgr,Data!$BP$3)+VLOOKUP($T70,Efgr,Data!$AM$53)</f>
        <v>1</v>
      </c>
      <c r="OM70" s="3">
        <f>OL70*Z70</f>
        <v>15.41</v>
      </c>
      <c r="OO70">
        <f>VLOOKUP($P70,Efgr,Data!$AN$53)</f>
        <v>1</v>
      </c>
      <c r="OP70">
        <f>VLOOKUP($O70,Afgr,Data!$BQ$3)</f>
        <v>1</v>
      </c>
      <c r="OQ70">
        <f>VLOOKUP($R70,Afgr,Data!$BR$3)</f>
        <v>1</v>
      </c>
      <c r="OR70">
        <f>OO70*OP70*OQ70</f>
        <v>1</v>
      </c>
      <c r="OS70" s="3">
        <f>OR70*Z70</f>
        <v>15.41</v>
      </c>
      <c r="OT70" s="3">
        <f>IF(Q70,1,0)*OS70</f>
        <v>0</v>
      </c>
      <c r="OV70">
        <f>VLOOKUP($T70,Efgr,Data!$AN$53)</f>
        <v>1</v>
      </c>
      <c r="OW70">
        <f>VLOOKUP($R70,Afgr,Data!$BQ$3)</f>
        <v>1</v>
      </c>
      <c r="OX70">
        <f>VLOOKUP($X70,Afgr,Data!$BR$3)</f>
        <v>1</v>
      </c>
      <c r="OY70">
        <f>OV70*OW70*OX70</f>
        <v>1</v>
      </c>
      <c r="OZ70" s="3">
        <f>OY70*Z70</f>
        <v>15.41</v>
      </c>
      <c r="PB70">
        <f>VLOOKUP($T70,Efgr,Data!$AO$53)</f>
        <v>0</v>
      </c>
      <c r="PC70">
        <f>VLOOKUP($O70,Afgr,Data!$BQ$3)</f>
        <v>1</v>
      </c>
      <c r="PD70">
        <f>VLOOKUP($R70,Afgr,Data!$BS$3)</f>
        <v>0</v>
      </c>
      <c r="PE70" s="3">
        <f>PB70*PC70*PD70*$Z70</f>
        <v>0</v>
      </c>
      <c r="PG70">
        <f>VLOOKUP($T70,Efgr,Data!$AO$53)</f>
        <v>0</v>
      </c>
      <c r="PH70">
        <f>VLOOKUP($R70,Afgr,Data!$BQ$3)</f>
        <v>1</v>
      </c>
      <c r="PI70">
        <f>VLOOKUP($X70,Afgr,Data!$BS$3)</f>
        <v>0</v>
      </c>
      <c r="PJ70" s="3">
        <f>PG70*PH70*PI70*$Z70</f>
        <v>0</v>
      </c>
      <c r="PK70" s="3"/>
      <c r="PL70" s="3">
        <f>VLOOKUP($O70,Afgr,Data!$BU$3)</f>
        <v>0</v>
      </c>
      <c r="PM70" s="3">
        <f>PL70*Z70</f>
        <v>0</v>
      </c>
      <c r="PN70" s="3">
        <f>VLOOKUP($R70,Afgr,Data!$BU$3)</f>
        <v>0</v>
      </c>
      <c r="PO70" s="3">
        <f>PN70*Z70</f>
        <v>0</v>
      </c>
      <c r="PQ70">
        <f>VLOOKUP(R70,Afgr,Data!$BX$3)+VLOOKUP(T70,Efgr,Data!$AQ$53)</f>
        <v>0</v>
      </c>
      <c r="PR70">
        <f>IF(PQ70&gt;0,Z70,0)</f>
        <v>0</v>
      </c>
      <c r="PT70">
        <f>VLOOKUP($O70,Afgr,Data!$BT$3)</f>
        <v>1</v>
      </c>
      <c r="PU70" s="3">
        <f>PT70*Z70</f>
        <v>15.41</v>
      </c>
      <c r="PV70">
        <f>VLOOKUP($R70,Afgr,Data!$BT$3)</f>
        <v>1</v>
      </c>
      <c r="PW70" s="3">
        <f>PV70*Z70</f>
        <v>15.41</v>
      </c>
      <c r="PY70">
        <f>VLOOKUP($R70,Afgr,Data!$BV$3)</f>
        <v>0</v>
      </c>
      <c r="PZ70">
        <f>PY70*Z70</f>
        <v>0</v>
      </c>
      <c r="QB70">
        <f>VLOOKUP($R70,Afgr,Data!$BW$3)</f>
        <v>0</v>
      </c>
      <c r="QC70">
        <f>QB70*Z70</f>
        <v>0</v>
      </c>
      <c r="QE70">
        <f>AM70*IF(VLOOKUP($R70,Afgr,Data!$BJ$3)&gt;0,1,0)</f>
        <v>75</v>
      </c>
      <c r="QF70">
        <f>QE70*Z70</f>
        <v>1155.75</v>
      </c>
      <c r="QH70">
        <f>AM70*VLOOKUP(R70,Afgr,Data!$BK$3)</f>
        <v>7087.5</v>
      </c>
      <c r="QI70">
        <f>Z70*QH70</f>
        <v>109218.375</v>
      </c>
      <c r="QJ70">
        <f>$AM70*VLOOKUP($R70,Afgr,Data!$BL$3)+$BR70*VLOOKUP($T70,Efgr,Data!$AP$53)</f>
        <v>0</v>
      </c>
      <c r="QK70">
        <f>QJ70*Z70</f>
        <v>0</v>
      </c>
      <c r="QL70">
        <f>$AM70*VLOOKUP($R70,Afgr,Data!$BM$3)</f>
        <v>0</v>
      </c>
      <c r="QM70">
        <f>QL70*Z70</f>
        <v>0</v>
      </c>
      <c r="QN70">
        <f>$AM70*VLOOKUP($R70,Afgr,Data!$BN$3)</f>
        <v>0</v>
      </c>
      <c r="QO70">
        <f>QN70*Z70</f>
        <v>0</v>
      </c>
      <c r="QR70">
        <f>IF(VLOOKUP($R70,Afgr,Data!$DA$3)="Vårbyg",$AN70,0)*VLOOKUP($R70,Afgr,Data!$BJ$3)</f>
        <v>117886.5</v>
      </c>
      <c r="QS70">
        <f>IF(VLOOKUP($R70,Afgr,Data!$DA$3)="Vinterbyg",$AN70,0)*VLOOKUP($R70,Afgr,Data!$BJ$3)</f>
        <v>0</v>
      </c>
      <c r="QT70">
        <f>IF(VLOOKUP($R70,Afgr,Data!$DA$3)="Havre",$AN70,0)*VLOOKUP($R70,Afgr,Data!$BJ$3)</f>
        <v>0</v>
      </c>
      <c r="QU70">
        <f>IF(VLOOKUP($R70,Afgr,Data!$DA$3)="Hvede",$AN70,0)*VLOOKUP($R70,Afgr,Data!$BJ$3)</f>
        <v>0</v>
      </c>
      <c r="QV70">
        <f>IF(VLOOKUP($R70,Afgr,Data!$DA$3)="Triticale",$AN70,0)*VLOOKUP($R70,Afgr,Data!$BJ$3)</f>
        <v>0</v>
      </c>
      <c r="QW70">
        <f>IF(VLOOKUP($R70,Afgr,Data!$DA$3)="Rug",$AN70,0)*VLOOKUP($R70,Afgr,Data!$BJ$3)</f>
        <v>0</v>
      </c>
      <c r="QX70">
        <f>IF(VLOOKUP($R70,Afgr,Data!$DA$3)="Majs",$AN70,0)*VLOOKUP($R70,Afgr,Data!$BJ$3)</f>
        <v>0</v>
      </c>
      <c r="RA70">
        <f>IF(OV70+PB70&gt;0,1,0)</f>
        <v>1</v>
      </c>
      <c r="RB70">
        <f>RA70*LW70</f>
        <v>4623</v>
      </c>
      <c r="RC70">
        <f>RA70*MT70</f>
        <v>0</v>
      </c>
      <c r="RD70">
        <f>ND70</f>
        <v>847.55</v>
      </c>
      <c r="RE70">
        <f>RA70*OB70</f>
        <v>3082</v>
      </c>
      <c r="RH70">
        <f>VLOOKUP(B70,Jordtype,Data!$Y$112+DenitNr-1)</f>
        <v>7.25</v>
      </c>
      <c r="RI70">
        <f>FF70*VLOOKUP(B70,Jordtype,Data!$AB$112+DenitNr-1)</f>
        <v>1.6400000000000001</v>
      </c>
      <c r="RJ70">
        <f>((CJ70+CK70+CL70+Regn2!CO70*0.7)-(RR70+RT70))*VLOOKUP(B70,Jordtype,Data!$AE$112+DenitNr-1)</f>
        <v>0</v>
      </c>
      <c r="RK70">
        <f>0*VLOOKUP(B70,Jordtype,Data!$AE$112+DenitNr-1)</f>
        <v>0</v>
      </c>
      <c r="RL70">
        <f>Regn2!FD70*VLOOKUP(B70,Jordtype,Data!$AH$112+DenitNr-1)</f>
        <v>0</v>
      </c>
      <c r="RM70" s="3">
        <f>RH70+RI70+RJ70+RK70+RL70</f>
        <v>8.89</v>
      </c>
      <c r="RO70">
        <v>2</v>
      </c>
      <c r="RP70">
        <f>(FF70)*RO70*0.01</f>
        <v>0.82000000000000006</v>
      </c>
      <c r="RQ70">
        <v>7</v>
      </c>
      <c r="RR70">
        <f>CE70*RQ70*0.01</f>
        <v>0</v>
      </c>
      <c r="RS70">
        <v>7</v>
      </c>
      <c r="RT70">
        <f>(Regn2!CF70+Regn2!CG70)*RS70*0.01</f>
        <v>0</v>
      </c>
      <c r="RW70">
        <f>VLOOKUP(R70,Afgr,Data!$EE$3)</f>
        <v>5</v>
      </c>
      <c r="RX70" s="3">
        <f>RP70+RR70+RT70+RV70+RW70</f>
        <v>5.82</v>
      </c>
    </row>
    <row r="72" spans="1:492" x14ac:dyDescent="0.25">
      <c r="A72" s="214" t="str">
        <f>Nbal!B72</f>
        <v>980-0</v>
      </c>
      <c r="B72">
        <v>6</v>
      </c>
      <c r="C72">
        <v>1</v>
      </c>
      <c r="D72">
        <f>IF(C72=1,VLOOKUP(B72,Jordtype,Data!$K$112),VLOOKUP(B72,Jordtype,Data!$L$112))</f>
        <v>9</v>
      </c>
      <c r="E72">
        <f>IF(C72=1,VLOOKUP(B72,Jordtype,Data!$M$112),VLOOKUP(B72,Jordtype,Data!$N$112))</f>
        <v>14</v>
      </c>
      <c r="F72">
        <f>IF(OR(B72=1,B72=3),0,IF(OR(B72=2,B72=4),1,IF(OR(B72=5,B72=6),2,3)))</f>
        <v>2</v>
      </c>
      <c r="G72">
        <f>IF(C72=1,VLOOKUP(B72,Jordtype,Data!$Q$112),VLOOKUP(B72,Jordtype,Data!$R$112))</f>
        <v>25</v>
      </c>
      <c r="H72">
        <f>IF(C72=1,VLOOKUP(B72,Jordtype,Data!$O$112),VLOOKUP(B72,Jordtype,Data!$P$112))</f>
        <v>19</v>
      </c>
      <c r="I72">
        <f>IF(B72&lt;5,0,1)</f>
        <v>1</v>
      </c>
      <c r="J72">
        <f>IF(B72&lt;5,PlojJB,1)</f>
        <v>1</v>
      </c>
      <c r="K72">
        <f>IF(B72&lt;5,SaaJB,1)</f>
        <v>1</v>
      </c>
      <c r="L72">
        <f>IF(C72=1,VLOOKUP(B72,Jordtype,Data!$S$112),VLOOKUP(B72,Jordtype,Data!$T$112))</f>
        <v>8</v>
      </c>
      <c r="M72">
        <f>IF(C72=1,VLOOKUP(B72,Jordtype,Data!$U$112),VLOOKUP(B72,Jordtype,Data!$V$112))</f>
        <v>13</v>
      </c>
      <c r="O72">
        <v>29</v>
      </c>
      <c r="P72">
        <v>1</v>
      </c>
      <c r="Q72" t="b">
        <v>0</v>
      </c>
      <c r="R72">
        <v>29</v>
      </c>
      <c r="S72">
        <v>1</v>
      </c>
      <c r="T72">
        <v>1</v>
      </c>
      <c r="U72">
        <v>1</v>
      </c>
      <c r="V72">
        <v>1</v>
      </c>
      <c r="X72">
        <v>29</v>
      </c>
      <c r="Z72">
        <f>Nbal!AG72</f>
        <v>1.66</v>
      </c>
      <c r="AA72">
        <v>3</v>
      </c>
      <c r="AB72">
        <f>VLOOKUP($R72,Afgr,G72)</f>
        <v>0</v>
      </c>
      <c r="AC72">
        <f>VLOOKUP($O72,Afgr,Data!$AI$3)*VLOOKUP(R72,Afgr,Data!$AJ$3)</f>
        <v>0</v>
      </c>
      <c r="AD72">
        <f>IF($Q72,0,VLOOKUP($P72,Efgr,(Data!$W$53+$V$6-1)))</f>
        <v>0</v>
      </c>
      <c r="AE72">
        <f>AB72-AC72-AD72</f>
        <v>0</v>
      </c>
      <c r="AF72">
        <f>AE72*Z72</f>
        <v>0</v>
      </c>
      <c r="AH72">
        <f>VLOOKUP(R72,Afgr,D72)</f>
        <v>0</v>
      </c>
      <c r="AI72">
        <f>VLOOKUP(O72,Afgr,Data!$AL$3)*VLOOKUP(R72,Afgr,E72)</f>
        <v>0</v>
      </c>
      <c r="AJ72">
        <f>VLOOKUP(P72,Efgr,(Data!$Y$53+I72))</f>
        <v>0</v>
      </c>
      <c r="AK72">
        <f>AH72+AI72+AJ72</f>
        <v>0</v>
      </c>
      <c r="AL72">
        <f>AH72+AI72+AJ72</f>
        <v>0</v>
      </c>
      <c r="AM72" s="3">
        <f>IF(Nbal!CK72&lt;&gt;"",Nbal!CK72,AL72)</f>
        <v>0</v>
      </c>
      <c r="AN72">
        <f>AM72*Z72</f>
        <v>0</v>
      </c>
      <c r="AO72">
        <f>VLOOKUP(R72,Afgr,3)</f>
        <v>0</v>
      </c>
      <c r="AP72">
        <f>IF(AO72="FE",VLOOKUP($R72,Afgr,Data!$AV$3),0)</f>
        <v>0</v>
      </c>
      <c r="AR72">
        <f>VLOOKUP(R72,Afgr,4)</f>
        <v>0</v>
      </c>
      <c r="AS72" s="3">
        <f>IF(Nbal!CW72&lt;&gt;"",Nbal!CW72,AR72)</f>
        <v>0</v>
      </c>
      <c r="AT72" s="3">
        <f>AM72*AS72</f>
        <v>0</v>
      </c>
      <c r="AU72" s="3">
        <f>AN72*AS72</f>
        <v>0</v>
      </c>
      <c r="AW72">
        <f>VLOOKUP(R72,Afgr,Data!$AN$3)</f>
        <v>2100</v>
      </c>
      <c r="AX72" s="3">
        <f>IF(Nbal!DC72&lt;&gt;"",Nbal!DC72,AW72)</f>
        <v>2100</v>
      </c>
      <c r="AY72" s="3">
        <f>AX72*Z72</f>
        <v>3486</v>
      </c>
      <c r="BA72">
        <f>VLOOKUP(R72,Afgr,H72)</f>
        <v>0</v>
      </c>
      <c r="BB72">
        <f>IF(ISERROR(BA72*AM72/AK72),0,(BA72*AM72/AK72))</f>
        <v>0</v>
      </c>
      <c r="BC72" s="3">
        <f>IF(Nbal!DI72&lt;&gt;"",Nbal!DI72,BB72)</f>
        <v>0</v>
      </c>
      <c r="BD72">
        <f>BC72*Z72</f>
        <v>0</v>
      </c>
      <c r="BG72">
        <f>IF($S72=1,BC72,0)</f>
        <v>0</v>
      </c>
      <c r="BH72">
        <f>IF($S72=1,BD72,0)</f>
        <v>0</v>
      </c>
      <c r="BI72">
        <f>VLOOKUP(R72,Afgr,Data!$AM$3)</f>
        <v>0</v>
      </c>
      <c r="BJ72">
        <f>IF(Nbal!DR72&lt;&gt;"",Nbal!DR72,BI72)</f>
        <v>0</v>
      </c>
      <c r="BK72">
        <f>BG72*BJ72</f>
        <v>0</v>
      </c>
      <c r="BL72">
        <f>BH72*BJ72</f>
        <v>0</v>
      </c>
      <c r="BN72">
        <f>VLOOKUP($T72,Efgr,M72)</f>
        <v>0</v>
      </c>
      <c r="BO72">
        <f>BN72*Z72</f>
        <v>0</v>
      </c>
      <c r="BQ72">
        <f>VLOOKUP(T72,Efgr,NormudbKolonneNrEfgr1)</f>
        <v>0</v>
      </c>
      <c r="BR72" s="3">
        <f>IF(Nbal!FE72&lt;&gt;"",Nbal!FE72,BQ72)</f>
        <v>0</v>
      </c>
      <c r="BS72">
        <f>BR72*Z72</f>
        <v>0</v>
      </c>
      <c r="BT72" t="s">
        <v>37</v>
      </c>
      <c r="BU72">
        <f>BR72*Efterslaetpris</f>
        <v>0</v>
      </c>
      <c r="BV72">
        <f>BS72*Efterslaetpris</f>
        <v>0</v>
      </c>
      <c r="BW72">
        <f>VLOOKUP(T72,Efgr,Data!$AG$53)</f>
        <v>0</v>
      </c>
      <c r="BX72">
        <f>BR72*BW72</f>
        <v>0</v>
      </c>
      <c r="BZ72">
        <f>Nbal!AQ72</f>
        <v>0</v>
      </c>
      <c r="CA72" s="211">
        <f>Nbal!AT72</f>
        <v>0</v>
      </c>
      <c r="CB72" s="2">
        <f>Nbal!DZ72</f>
        <v>0</v>
      </c>
      <c r="CC72" s="211">
        <f>Nbal!AT72+Nbal!DZ72</f>
        <v>0</v>
      </c>
      <c r="CD72" s="211">
        <f>Nbal!AX72</f>
        <v>0</v>
      </c>
      <c r="CE72">
        <f>Nbal!BH72</f>
        <v>0</v>
      </c>
      <c r="CF72" s="211">
        <f>Nbal!BM72</f>
        <v>0</v>
      </c>
      <c r="CG72" s="2">
        <f>Nbal!EI72</f>
        <v>0</v>
      </c>
      <c r="CH72" s="211">
        <f>Nbal!BM72+Nbal!EI72</f>
        <v>0</v>
      </c>
      <c r="CI72" s="211">
        <f>Nbal!BW72</f>
        <v>0</v>
      </c>
      <c r="CJ72" s="211">
        <f>Nbal!BH72*Nbal!BJ72*0.01</f>
        <v>0</v>
      </c>
      <c r="CK72" s="211">
        <f>(Nbal!BM72*Nbal!BP72*0.01)</f>
        <v>0</v>
      </c>
      <c r="CL72" s="211">
        <f>(Nbal!EI72*Nbal!EL72*0.01)</f>
        <v>0</v>
      </c>
      <c r="CM72" s="211">
        <f>(Nbal!BM72*Nbal!BP72*0.01)+(Nbal!EI72*Nbal!EL72*0.01)</f>
        <v>0</v>
      </c>
      <c r="CN72" s="211">
        <f>Nbal!BW72*Nbal!BY72*0.01</f>
        <v>0</v>
      </c>
      <c r="CO72">
        <f>Nbal!BT72+Nbal!ER72</f>
        <v>0</v>
      </c>
      <c r="CQ72">
        <f>Nbal!BA72</f>
        <v>0</v>
      </c>
      <c r="CR72">
        <f>Nbal!EC72</f>
        <v>0</v>
      </c>
      <c r="CS72">
        <f>(CQ72+CR72)*Z72</f>
        <v>0</v>
      </c>
      <c r="CT72">
        <f>Nbal!CB72</f>
        <v>0</v>
      </c>
      <c r="CU72">
        <f>Nbal!EV72</f>
        <v>0</v>
      </c>
      <c r="CV72">
        <f>(CT72+CU72)*Z72</f>
        <v>0</v>
      </c>
      <c r="CW72">
        <f>Nbal!BA72+Nbal!CB72+Nbal!EC72+Nbal!EV72</f>
        <v>0</v>
      </c>
      <c r="CY72">
        <f>Nbal!BD72</f>
        <v>0</v>
      </c>
      <c r="CZ72">
        <f>Nbal!EF72</f>
        <v>0</v>
      </c>
      <c r="DA72">
        <f>(CY72+CZ72)*Z72</f>
        <v>0</v>
      </c>
      <c r="DB72">
        <f>Nbal!CE72</f>
        <v>0</v>
      </c>
      <c r="DC72">
        <f>Nbal!EY72</f>
        <v>0</v>
      </c>
      <c r="DD72">
        <f>(DB72+DC72)*Z72</f>
        <v>0</v>
      </c>
      <c r="DE72">
        <f>Nbal!BD72+Nbal!CE72+Nbal!EF72+Nbal!EY72</f>
        <v>0</v>
      </c>
      <c r="DG72">
        <f>VLOOKUP($R72,Afgr,Data!$AW$3)</f>
        <v>0</v>
      </c>
      <c r="DH72">
        <f>IF($AO72="FE",$AM72*$AP72*$DG72*0.01,$AM72*100*$DM72*0.01*$DG72*0.01)</f>
        <v>0</v>
      </c>
      <c r="DI72">
        <f>IF(VLOOKUP(R72,Afgr,Data!$BO$3)=1,DH72,0)*Z72</f>
        <v>0</v>
      </c>
      <c r="DJ72" s="12">
        <f>(BZ72+CC72+CJ72-AE72)*VLOOKUP($R72,Afgr,Data!$AX$3)</f>
        <v>0</v>
      </c>
      <c r="DK72">
        <f>DG72+DJ72</f>
        <v>0</v>
      </c>
      <c r="DL72">
        <f>IF(Nbal!CQ72&lt;&gt;"",Nbal!CQ72,DK72)</f>
        <v>0</v>
      </c>
      <c r="DM72">
        <f>VLOOKUP(R72,Afgr,Data!$AT$3)</f>
        <v>0</v>
      </c>
      <c r="DN72">
        <f>IF($AO72="FE",$AM72*$AP72*$DL72*0.01,$AM72*100*$DM72*0.01*DL72*0.01)</f>
        <v>0</v>
      </c>
      <c r="DO72">
        <f>IF(VLOOKUP(R72,Afgr,Data!$BO$3)=1,DN72,0)*Z72</f>
        <v>0</v>
      </c>
      <c r="DP72">
        <f>IF(ISERROR(DN72/VLOOKUP(R72,Afgr,Data!$AY$3)),0,DN72/VLOOKUP(R72,Afgr,Data!$AY$3))</f>
        <v>0</v>
      </c>
      <c r="DQ72">
        <f>DP72*Z72</f>
        <v>0</v>
      </c>
      <c r="DS72">
        <f>IF($AO72="FE",$AM72*$AP72*VLOOKUP($R72,Afgr,Data!$BC$3)*0.001,$AM72*100*$DM72*0.01*VLOOKUP($R72,Afgr,Data!$BC$3)*0.001)</f>
        <v>0</v>
      </c>
      <c r="DT72">
        <f>DS72*Z72</f>
        <v>0</v>
      </c>
      <c r="DV72">
        <f>IF($AO72="FE",$AM72*$AP72*VLOOKUP($R72,Afgr,Data!$BF$3)*0.001,$AM72*100*$DM72*0.01*VLOOKUP($R72,Afgr,Data!$BF$3)*0.001)</f>
        <v>0</v>
      </c>
      <c r="DW72">
        <f>DV72*Z72</f>
        <v>0</v>
      </c>
      <c r="DY72">
        <f>IF(ISERROR(VLOOKUP(R72,Afgr,Data!$AZ$3)*DL72/DG72),0,VLOOKUP(R72,Afgr,Data!$AZ$3)*DL72/DG72)</f>
        <v>0</v>
      </c>
      <c r="DZ72">
        <f>VLOOKUP(R72,Afgr,Data!$AU$3)</f>
        <v>0</v>
      </c>
      <c r="EA72">
        <f>IF($S72=1,$BC72*$DZ72*0.01*DY72*0.01,0)</f>
        <v>0</v>
      </c>
      <c r="EB72">
        <f>EA72/6.25</f>
        <v>0</v>
      </c>
      <c r="EC72">
        <f>EB72*Z72</f>
        <v>0</v>
      </c>
      <c r="EE72">
        <f>IF($S72=1,$BC72*$DZ72*0.01*VLOOKUP($R72,Afgr,Data!$BD$3)*0.001,0)</f>
        <v>0</v>
      </c>
      <c r="EF72">
        <f>EE72*Z72</f>
        <v>0</v>
      </c>
      <c r="EH72">
        <f>IF($S72=1,$BC72*$DZ72*0.01*VLOOKUP($R72,Afgr,Data!$BG$3)*0.001,0)</f>
        <v>0</v>
      </c>
      <c r="EI72">
        <f>EH72*Z72</f>
        <v>0</v>
      </c>
      <c r="EK72">
        <f>VLOOKUP(T72,Efgr,Data!$AI$53)</f>
        <v>0</v>
      </c>
      <c r="EL72">
        <f>BX72*EK72*0.01/6.25</f>
        <v>0</v>
      </c>
      <c r="EM72">
        <f>EL72*Z72</f>
        <v>0</v>
      </c>
      <c r="EO72">
        <f>$BX72*VLOOKUP($T72,Efgr,Data!$AJ$53)*0.001</f>
        <v>0</v>
      </c>
      <c r="EP72">
        <f>EO72*Z72</f>
        <v>0</v>
      </c>
      <c r="ER72">
        <f>$BX72*VLOOKUP($T72,Efgr,Data!$AK$53)*0.001</f>
        <v>0</v>
      </c>
      <c r="ES72">
        <f>ER72*Z72</f>
        <v>0</v>
      </c>
      <c r="EU72">
        <f>IF(VLOOKUP(R72,Afgr,Data!$DS$3)=1,DP72*VLOOKUP(R72,Afgr,(Data!$DT$3+EftervirkningUdb1))*VLOOKUP(R72,Afgr,Data!$DV$3),0)</f>
        <v>0</v>
      </c>
      <c r="EV72">
        <f>IF(VLOOKUP(R72,Afgr,Data!$DS$3)=2,VLOOKUP(R72,Afgr,Data!$DX$3),0)</f>
        <v>0</v>
      </c>
      <c r="EW72">
        <f>IF(VLOOKUP(R72,Afgr,Data!$DS$3)=3,$DP72*VLOOKUP($R72,Afgr,IF(Jordtype1&lt;5,Data!$DT$3,Data!$DU$3))*VLOOKUP($R72,Afgr,Data!$DV$3),0)</f>
        <v>0</v>
      </c>
      <c r="EX72">
        <f>IF(VLOOKUP(R72,Afgr,Data!$DS$3)=4,(1.232+0.00469*AM72*100+(0.000256*AM72*100+0.089)*60),0)</f>
        <v>0</v>
      </c>
      <c r="EY72" s="211">
        <f>BZ72+CA72+CJ72+CK72</f>
        <v>0</v>
      </c>
      <c r="EZ72">
        <f>IF(VLOOKUP($R72,Afgr,Data!$DS$3)=5,($AM72*0.02742-$AM72*0.0001*$EY72+$AM72*0.0000001111*$EY72*$EY72),0)</f>
        <v>0</v>
      </c>
      <c r="FA72" s="2">
        <f>CB72+CL72</f>
        <v>0</v>
      </c>
      <c r="FB72">
        <f>IF(VLOOKUP($T72,Efgr,Data!$BH$53)=5,($BR72*0.02742-$BR72*0.0001*$FA72+$BR72*0.0000001111*$FA72*$FA72),0)</f>
        <v>0</v>
      </c>
      <c r="FC72" s="3">
        <f>EU72+EV72+EW72+EX72+EZ72+FB72</f>
        <v>0</v>
      </c>
      <c r="FD72" s="3">
        <f>FC72*Z72</f>
        <v>0</v>
      </c>
      <c r="FF72" s="211">
        <f>BZ72+CC72</f>
        <v>0</v>
      </c>
      <c r="FG72" s="211">
        <f>FF72*Z72</f>
        <v>0</v>
      </c>
      <c r="FH72" s="211">
        <f>CE72+CH72+CO72</f>
        <v>0</v>
      </c>
      <c r="FI72" s="211">
        <f>FH72*Z72</f>
        <v>0</v>
      </c>
      <c r="FJ72">
        <f>VLOOKUP($R72,Afgr,Data!$DK$3)*VLOOKUP($R72,Afgr,Data!$AT$3)*0.01*VLOOKUP($R72,Afgr,Data!$AW$3)*0.01/6.25</f>
        <v>0</v>
      </c>
      <c r="FK72">
        <f>FJ72*Z72</f>
        <v>0</v>
      </c>
      <c r="FL72" s="4">
        <f>IF(R72&gt;1,Deposition,0)</f>
        <v>15</v>
      </c>
      <c r="FM72" s="4">
        <f>FL72*Z72</f>
        <v>24.9</v>
      </c>
      <c r="FN72">
        <f>FC72</f>
        <v>0</v>
      </c>
      <c r="FO72">
        <f>FN72*Z72</f>
        <v>0</v>
      </c>
      <c r="FP72" s="211">
        <f>SUM(FF72,FH72,FJ72,FL72,FN72)</f>
        <v>15</v>
      </c>
      <c r="FQ72">
        <f>DP72+EB72+EL72</f>
        <v>0</v>
      </c>
      <c r="FR72" s="3">
        <f>FP72-FQ72</f>
        <v>15</v>
      </c>
      <c r="FS72" s="19">
        <f>FP72*Z72</f>
        <v>24.9</v>
      </c>
      <c r="FT72" s="19">
        <f>FQ72*Z72</f>
        <v>0</v>
      </c>
      <c r="FU72" s="3">
        <f>FR72*Z72</f>
        <v>24.9</v>
      </c>
      <c r="FW72">
        <f>CW72</f>
        <v>0</v>
      </c>
      <c r="FX72">
        <f>FW72*Z72</f>
        <v>0</v>
      </c>
      <c r="FY72">
        <f>IX72+MB72</f>
        <v>0</v>
      </c>
      <c r="FZ72">
        <f>FY72*Z72</f>
        <v>0</v>
      </c>
      <c r="GA72">
        <f>FW72-FY72</f>
        <v>0</v>
      </c>
      <c r="GB72">
        <f>GA72*Z72</f>
        <v>0</v>
      </c>
      <c r="GD72">
        <f>DE72</f>
        <v>0</v>
      </c>
      <c r="GE72">
        <f>GD72*Z72</f>
        <v>0</v>
      </c>
      <c r="GF72">
        <f>JE72+MH72</f>
        <v>0</v>
      </c>
      <c r="GG72">
        <f>GF72*Z72</f>
        <v>0</v>
      </c>
      <c r="GH72">
        <f>GD72-GF72</f>
        <v>0</v>
      </c>
      <c r="GI72">
        <f>GH72*Z72</f>
        <v>0</v>
      </c>
      <c r="GK72">
        <f>AA72</f>
        <v>3</v>
      </c>
      <c r="GL72" s="211">
        <f>FF72+FH72+FN72</f>
        <v>0</v>
      </c>
      <c r="GM72" s="211" t="str">
        <f>IF(R72=1,"",IF(GK72=1,GL72,""))</f>
        <v/>
      </c>
      <c r="GN72" s="211" t="str">
        <f>IF(R72=1,"",IF(GK72=2,GL72,""))</f>
        <v/>
      </c>
      <c r="GO72" s="211">
        <f>IF(R72=1,"",IF(GK72=3,GL72,""))</f>
        <v>0</v>
      </c>
      <c r="GP72" s="211" t="str">
        <f>IF(R72=1,"",IF(GK72=4,GL72,""))</f>
        <v/>
      </c>
      <c r="GQ72" s="149">
        <f>IF(OR(R72=1,VLOOKUP(R72,Afgr,Data!$BV$3)=1,VLOOKUP(R72,Afgr,Data!$BW$3)=1),0,IF(GK72=1,Nniveau1,IF(GK72=2,Nniveau2,IF(GK72=3,Nniveau3,IF(GK72=4,Nniveau4,GL72)))))</f>
        <v>0</v>
      </c>
      <c r="GR72" s="241">
        <v>0.32550000000000001</v>
      </c>
      <c r="GS72" s="6">
        <v>0</v>
      </c>
      <c r="GT72" s="149">
        <f>CC72+CM72</f>
        <v>0</v>
      </c>
      <c r="GU72" s="6">
        <f>$FN72</f>
        <v>0</v>
      </c>
      <c r="GV72" s="241">
        <v>0.25280000000000002</v>
      </c>
      <c r="GW72">
        <f>CO72</f>
        <v>0</v>
      </c>
      <c r="GX72" s="241">
        <v>0.376</v>
      </c>
      <c r="GY72" s="149">
        <f>CD72+CN72</f>
        <v>0</v>
      </c>
      <c r="GZ72" s="241">
        <f>IF(B72&gt;3,0.3539,1.0749)</f>
        <v>0.35389999999999999</v>
      </c>
      <c r="HA72" s="11">
        <f>$FQ72</f>
        <v>0</v>
      </c>
      <c r="HB72" s="241">
        <v>0.19359999999999999</v>
      </c>
      <c r="HC72" s="241">
        <f>VLOOKUP($R72,Afgr,Data!$DM$3)</f>
        <v>7</v>
      </c>
      <c r="HD72" s="24">
        <f>IF($HC72&gt;1,0,(VLOOKUP($X72,Afgr,Data!$DP$3)+IF(VLOOKUP($X72,Afgr,Data!$DP$3)=0,VLOOKUP($T72,Efgr,Data!$BI$53,0))))+IF(AND($HC72=7,VLOOKUP($X72,Afgr,Data!$DQ$3)=-2),-2,0)+IF(AND($HC72=6,VLOOKUP($T72,Efgr,Data!$BI$53)=2),8,0)</f>
        <v>0</v>
      </c>
      <c r="HE72" s="6">
        <f>VLOOKUP(SUM(HC72:HD72),Nlesafgr,3)</f>
        <v>-165.7</v>
      </c>
      <c r="HF72" s="7">
        <f>VLOOKUP($O72,Afgr,Data!$DN$3)</f>
        <v>4</v>
      </c>
      <c r="HG72" s="24">
        <f>IF(HF72&gt;1,0,VLOOKUP($R72,Afgr,Data!$DO$3)+IF(VLOOKUP($R72,Afgr,Data!$DO$3)=1,0,VLOOKUP($P72,Efgr,Data!$BJ$53)))</f>
        <v>0</v>
      </c>
      <c r="HH72" s="6">
        <f>VLOOKUP(SUM(HF72:HG72),Nlesforfrugt,3)</f>
        <v>34.700000000000003</v>
      </c>
      <c r="HI72" s="241">
        <f>GR72*GQ72+GV72*(GT72+GU72)+GX72*GW72+GZ72*GY72-HB72*HA72+HE72+HH72</f>
        <v>-131</v>
      </c>
      <c r="HJ72" s="241">
        <f>Nlesafskaering</f>
        <v>59.6</v>
      </c>
      <c r="HK72" s="241">
        <f>Teknologi1</f>
        <v>2455</v>
      </c>
      <c r="HL72" s="6">
        <v>2001</v>
      </c>
      <c r="HM72" s="241">
        <f>Teknologi2</f>
        <v>1962.2</v>
      </c>
      <c r="HN72" s="241">
        <f>Tandel</f>
        <v>0.54659999999999997</v>
      </c>
      <c r="HO72" s="241">
        <f>IF(OR(HI72&gt;0,HI72=0),HJ72+HK72/(HL72-HM72),HJ72+HK72/(HL72-HM72)+HN72*HI72)</f>
        <v>51.268595876288742</v>
      </c>
      <c r="HP72" s="241">
        <f>IF(HI72&gt;0,HI72,0.001)</f>
        <v>1E-3</v>
      </c>
      <c r="HQ72" s="241">
        <v>1.5020000000000001E-3</v>
      </c>
      <c r="HR72" s="24">
        <f>IF(R72=1,0,VLOOKUP(PostnrNbal,AfstromData,VLOOKUP($R72,Afgr,Data!$DL$3)+IF(Jordtype1&lt;7,Jordtype1,6),FALSE)-VLOOKUP(T72,Efgr,Data!$AA$53))</f>
        <v>272.32333333333298</v>
      </c>
      <c r="HS72" s="24">
        <f>IF(Nbal!GA72&lt;&gt;"",Nbal!GA72,Regn2!HR72)</f>
        <v>272.32333333333298</v>
      </c>
      <c r="HT72" s="241">
        <v>5.5400000000000002E-4</v>
      </c>
      <c r="HU72" s="24">
        <f>IF(R72=1,0,VLOOKUP(PostnrNbal,AfstromData,VLOOKUP($O72,Afgr,Data!$DL$3)+IF(B72&lt;7,B72,6),FALSE)-VLOOKUP(P72,Efgr,Data!$AA$53))</f>
        <v>272.32333333333298</v>
      </c>
      <c r="HV72" s="24">
        <f>IF(Nbal!FU72&lt;&gt;"",Nbal!FU72,Regn2!HU72)</f>
        <v>272.32333333333298</v>
      </c>
      <c r="HW72" s="241">
        <v>0.10639999999999999</v>
      </c>
      <c r="HX72" s="6">
        <f>VLOOKUP(B72,Jordtype,Data!$W$112)</f>
        <v>3</v>
      </c>
      <c r="HY72" s="241">
        <v>3.2500000000000001E-2</v>
      </c>
      <c r="HZ72" s="6">
        <f>VLOOKUP(B72,Jordtype,Data!$X$112)</f>
        <v>12</v>
      </c>
      <c r="IA72" s="241">
        <v>1.2453000000000001</v>
      </c>
      <c r="IB72" s="241">
        <f>IF(VLOOKUP(T72,Efgr,Data!$AO$53)=1,MlafgrNUdvask,0)</f>
        <v>0</v>
      </c>
      <c r="IC72" s="20">
        <f>IF(ISERROR((HO72+POWER(HP72,1.2))*(1-EXP(-HQ72*HS72))*EXP(-HT72*HV72)*EXP(-HW72*HX72)*EXP(-HY72*HZ72)*IA72),0,(HO72+POWER(HP72,1.2))*(1-EXP(-HQ72*HS72))*EXP(-HT72*HV72)*EXP(-HW72*HX72)*EXP(-HY72*HZ72)*IA72+IB72)</f>
        <v>9.0690864030581704</v>
      </c>
      <c r="ID72">
        <f>IC72*Z72</f>
        <v>15.054683429076562</v>
      </c>
      <c r="IE72">
        <f>IF(Nbal!GF72&lt;&gt;"",Nbal!GF72,RetentionNbal)</f>
        <v>65</v>
      </c>
      <c r="IF72">
        <f>IC72*(100-IE72)*0.01</f>
        <v>3.1741802410703599</v>
      </c>
      <c r="IG72">
        <f>IF72*Z72</f>
        <v>5.2691392001767969</v>
      </c>
      <c r="IH72" s="2">
        <f>HS72*10000</f>
        <v>2723233.3333333298</v>
      </c>
      <c r="II72" s="2">
        <f>IH72*Z72</f>
        <v>4520567.3333333274</v>
      </c>
      <c r="IJ72">
        <f>IF(ISERROR(IC72*1000*1000/IH72),0,IC72*1000*1000/IH72)</f>
        <v>3.3302641723899957</v>
      </c>
      <c r="IL72">
        <f>AT72+AX72+BK72+BU72</f>
        <v>2100</v>
      </c>
      <c r="IO72">
        <f>VLOOKUP(R72,Afgr,Data!$AP$3)*UdsaedJust</f>
        <v>0</v>
      </c>
      <c r="IP72" s="3">
        <f>IF(Nbal!GN72&lt;&gt;"",Nbal!GN72,IO72)</f>
        <v>0</v>
      </c>
      <c r="IQ72" s="3">
        <f>IP72*Z72</f>
        <v>0</v>
      </c>
      <c r="IS72" s="3">
        <f>IF(HdgVaerdiNbal=1,(BZ72+CA72)*Npris,(BZ72+CA72+CJ72+CK72)*Npris)</f>
        <v>0</v>
      </c>
      <c r="IT72" s="3">
        <f>IS72*Z72</f>
        <v>0</v>
      </c>
      <c r="IV72">
        <f>VLOOKUP($R72,Afgr,Data!$BA$3)</f>
        <v>0</v>
      </c>
      <c r="IW72">
        <f>VLOOKUP($R72,Afgr,Data!$BB$3)</f>
        <v>0</v>
      </c>
      <c r="IX72">
        <f>$DS72+$EE72</f>
        <v>0</v>
      </c>
      <c r="IY72">
        <f>CT72</f>
        <v>0</v>
      </c>
      <c r="IZ72">
        <f>CQ72</f>
        <v>0</v>
      </c>
      <c r="JA72" s="3">
        <f>IF(HdgVaerdiNbal=1,(IZ72)*Ppris,(IY72+IZ72)*Ppris)</f>
        <v>0</v>
      </c>
      <c r="JB72" s="3">
        <f>JA72*Z72</f>
        <v>0</v>
      </c>
      <c r="JD72">
        <f>IF(AND(R72&gt;1,OR(Jordtype1=1,Jordtype1=3,Markvand1=2)),Kudvask,0)</f>
        <v>0</v>
      </c>
      <c r="JE72">
        <f>$DV72+$EH72</f>
        <v>0</v>
      </c>
      <c r="JF72">
        <f>DB72</f>
        <v>0</v>
      </c>
      <c r="JG72">
        <f>CY72</f>
        <v>0</v>
      </c>
      <c r="JH72" s="3">
        <f>IF(HdgVaerdiNbal=1,JG72*Kpris,(JF72+JG72)*Kpris)</f>
        <v>0</v>
      </c>
      <c r="JI72" s="3">
        <f>JH72*Z72</f>
        <v>0</v>
      </c>
      <c r="JK72">
        <f>IS72+JA72+JH72</f>
        <v>0</v>
      </c>
      <c r="JL72" s="3">
        <f>IF(Nbal!GT72&lt;&gt;"",Nbal!GT72,$JK72)</f>
        <v>0</v>
      </c>
      <c r="JM72" s="3">
        <f>JL72*Z72</f>
        <v>0</v>
      </c>
      <c r="JO72">
        <f>VLOOKUP(R72,Afgr,Data!$AQ$3)*PlantevJust</f>
        <v>0</v>
      </c>
      <c r="JP72" s="3">
        <f>IF(Nbal!GZ72&lt;&gt;"",Nbal!GZ72,JO72)</f>
        <v>0</v>
      </c>
      <c r="JQ72" s="3">
        <f>JP72*Z72</f>
        <v>0</v>
      </c>
      <c r="JS72">
        <f>VLOOKUP(R72,Afgr,Data!$AR$3)+AM72*VLOOKUP(R72,Afgr,Data!$BH$3)</f>
        <v>0</v>
      </c>
      <c r="JT72" s="3">
        <f>IF(Nbal!HF72&lt;&gt;"",Nbal!HF72,JS72)</f>
        <v>0</v>
      </c>
      <c r="JU72">
        <f>JT72*Z72</f>
        <v>0</v>
      </c>
      <c r="JW72">
        <f>IP72+JL72+JP72+JT72</f>
        <v>0</v>
      </c>
      <c r="JY72">
        <f>IF(VLOOKUP(R72,Afgr,Data!$BY$3)&gt;0,Data!$K$259*J72,0)</f>
        <v>0</v>
      </c>
      <c r="JZ72">
        <f>IF(VLOOKUP(R72,Afgr,Data!$BZ$3)&gt;0,Data!$K$260*J72,0)</f>
        <v>0</v>
      </c>
      <c r="KA72">
        <f>(JY72+JZ72)*MaskJust</f>
        <v>0</v>
      </c>
      <c r="KB72" s="3">
        <f>IF(Nbal!HL72&lt;&gt;"",Nbal!HL72,KA72)</f>
        <v>0</v>
      </c>
      <c r="KC72" s="3">
        <f>KB72*Z72</f>
        <v>0</v>
      </c>
      <c r="KE72">
        <f>IF(VLOOKUP(R72,Afgr,Data!$CA$3)&gt;0,VLOOKUP(R72,Afgr,Data!$CA$3)*Data!$K$261*K72,0)</f>
        <v>0</v>
      </c>
      <c r="KF72">
        <f>IF(VLOOKUP(R72,Afgr,Data!$CC$3)&gt;0,Data!$K$262*K72,0)</f>
        <v>0</v>
      </c>
      <c r="KG72">
        <f>IF(VLOOKUP(R72,Afgr,Data!$CD$3)&gt;0,VLOOKUP(R72,Afgr,Data!$CD$3)*Data!$K$263*K72,0)</f>
        <v>0</v>
      </c>
      <c r="KH72">
        <f>IF(VLOOKUP(R72,Afgr,Data!$CE$3)&gt;0,Data!$K$264*K72,0)</f>
        <v>0</v>
      </c>
      <c r="KI72">
        <f>IF(VLOOKUP(R72,Afgr,Data!$CF$3)&gt;0,Data!$K$265*K72,0)</f>
        <v>0</v>
      </c>
      <c r="KJ72">
        <f>IF(VLOOKUP(R72,Afgr,Data!$CV$3)&gt;0,Data!$K$266,0)</f>
        <v>0</v>
      </c>
      <c r="KK72">
        <f>IF(VLOOKUP(R72,Afgr,Data!$CG$3)&gt;0,Data!$K$267*K72,0)</f>
        <v>0</v>
      </c>
      <c r="KL72">
        <f>(KE72+KF72+KG72+KH72+KI72+KJ72+KK72)*MaskJust</f>
        <v>0</v>
      </c>
      <c r="KM72" s="3">
        <f>IF(Nbal!HR72&lt;&gt;"",Nbal!HR72,KL72)</f>
        <v>0</v>
      </c>
      <c r="KN72" s="3">
        <f>KM72*Z72</f>
        <v>0</v>
      </c>
      <c r="KP72">
        <f>IF(VLOOKUP(R72,Afgr,Data!$CJ$3)&gt;0,VLOOKUP(R72,Afgr,Data!$CJ$3)*Data!$K$268*K72,0)*MaskJust</f>
        <v>0</v>
      </c>
      <c r="KQ72" s="3">
        <f>IF(Nbal!HX72&lt;&gt;"",Nbal!HX72,KP72)</f>
        <v>0</v>
      </c>
      <c r="KR72" s="3">
        <f>KQ72*Z72</f>
        <v>0</v>
      </c>
      <c r="KT72">
        <f>IF(VLOOKUP(R72,Afgr,Data!$CI$3)&gt;0,VLOOKUP(R72,Afgr,Data!$CI$3)*Data!$K$269,0)*MaskJust</f>
        <v>0</v>
      </c>
      <c r="KU72" s="3">
        <f>IF(Nbal!ID72&lt;&gt;"",Nbal!ID72,KT72)</f>
        <v>0</v>
      </c>
      <c r="KV72" s="3">
        <f>KU72*Z72</f>
        <v>0</v>
      </c>
      <c r="KX72">
        <f>IF(C72=2,VLOOKUP($R72,Afgr,Data!$CY$3),0)</f>
        <v>0</v>
      </c>
      <c r="KY72">
        <f>IF(Nbal!IJ72&lt;&gt;"",Nbal!IJ72,$KX72)</f>
        <v>0</v>
      </c>
      <c r="KZ72">
        <f>IF(AND(R72&gt;1,C72=2),Vandmaskin+$KY72*Flytning/mmprgang+$KY72*Prisprmm,0)</f>
        <v>0</v>
      </c>
      <c r="LA72" s="3">
        <f>IF(Nbal!IP72&lt;&gt;"",Nbal!IP72,$KZ72)</f>
        <v>0</v>
      </c>
      <c r="LB72" s="3">
        <f>LA72*Z72</f>
        <v>0</v>
      </c>
      <c r="LD72">
        <f>IF(VLOOKUP($R72,Afgr,Data!$CK$3)&gt;0,((1+AM72/VLOOKUP($R72,Afgr,Data!$CK$3))/2)*VLOOKUP($R72,Afgr,Data!$CL$3)*VLOOKUP($R72,Afgr,Data!$CN$3)+VLOOKUP($R72,Afgr,Data!$CM$3),0)</f>
        <v>0</v>
      </c>
      <c r="LE72">
        <f>IF(VLOOKUP($R72,Afgr,Data!$CK$3)&gt;0,IF(AND($S72=2,$BA72&gt;0),Data!$K$271,0),0)</f>
        <v>0</v>
      </c>
      <c r="LF72">
        <f>IF(VLOOKUP($R72,Afgr,Data!$CK$3)&gt;0,(AM72/VLOOKUP($R72,Afgr,Data!$CK$3))*VLOOKUP($R72,Afgr,Data!$CO$3)*VLOOKUP($R72,Afgr,Data!$CN$3),0)</f>
        <v>0</v>
      </c>
      <c r="LG72">
        <f>(LD72+LE72+LF72)*MaskJust</f>
        <v>0</v>
      </c>
      <c r="LH72" s="3">
        <f>IF(Nbal!IV72&lt;&gt;"",Nbal!IV72,LG72)</f>
        <v>0</v>
      </c>
      <c r="LI72" s="3">
        <f>LH72*Z72</f>
        <v>0</v>
      </c>
      <c r="LJ72" s="3"/>
      <c r="LK72">
        <f>IF(AND($S72=1,VLOOKUP($R72,Afgr,Data!$CP$3)&gt;0),((1+$BC72/VLOOKUP($R72,Afgr,Data!$CP$3))/2)*VLOOKUP($R72,Afgr,Data!$CQ$3),0)</f>
        <v>0</v>
      </c>
      <c r="LL72">
        <f>IF(AND($S72=1,VLOOKUP($R72,Afgr,Data!$CP$3)&gt;0),($BC72/VLOOKUP($R72,Afgr,Data!$CP$3))*VLOOKUP($R72,Afgr,Data!$CR$3),0)</f>
        <v>0</v>
      </c>
      <c r="LM72">
        <f>(LK72+LL72)*MaskJust</f>
        <v>0</v>
      </c>
      <c r="LN72" s="3">
        <f>IF(Nbal!JB72&lt;&gt;"",Nbal!JB72,LM72)</f>
        <v>0</v>
      </c>
      <c r="LO72" s="3">
        <f>LN72*Z72</f>
        <v>0</v>
      </c>
      <c r="LQ72">
        <f>$AM72*VLOOKUP($R72,Afgr,Data!$CS$3)*IF($V72=1,VLOOKUP($R72,Afgr,Data!$CT$3),IF($V72=2,VLOOKUP($R72,Afgr,Data!$CU$3),0))</f>
        <v>0</v>
      </c>
      <c r="LR72" s="3">
        <f>IF(Nbal!JK72&lt;&gt;"",Nbal!JK72,LQ72)</f>
        <v>0</v>
      </c>
      <c r="LS72" s="3">
        <f>LR72*Z72</f>
        <v>0</v>
      </c>
      <c r="LU72">
        <f>VLOOKUP($T72,Efgr,Data!$AC$53)*UdsaedJust</f>
        <v>0</v>
      </c>
      <c r="LV72" s="3">
        <f>IF(Nbal!$JS72&lt;&gt;"",Nbal!$JS72,LU72)</f>
        <v>0</v>
      </c>
      <c r="LW72" s="3">
        <f>LV72*Z72</f>
        <v>0</v>
      </c>
      <c r="LY72" s="3">
        <f>IF(HdgVaerdiNbal=1,(CB72)*Npris,(CB72+CL72)*Npris)</f>
        <v>0</v>
      </c>
      <c r="LZ72" s="3">
        <f>LY72*Z72</f>
        <v>0</v>
      </c>
      <c r="MB72">
        <f>$EO72</f>
        <v>0</v>
      </c>
      <c r="MC72">
        <f>CU72</f>
        <v>0</v>
      </c>
      <c r="MD72">
        <f>CR72</f>
        <v>0</v>
      </c>
      <c r="ME72" s="3">
        <f>IF(HdgVaerdiNbal=1,MD72*Ppris,(MC72+MD72)*Ppris)</f>
        <v>0</v>
      </c>
      <c r="MF72" s="3">
        <f>ME72*Z72</f>
        <v>0</v>
      </c>
      <c r="MH72">
        <f>$ER72</f>
        <v>0</v>
      </c>
      <c r="MI72">
        <f>DC72</f>
        <v>0</v>
      </c>
      <c r="MJ72">
        <f>CZ72</f>
        <v>0</v>
      </c>
      <c r="MK72" s="3">
        <f>IF(HdgVaerdiNbal=1,MJ72*Ppris,(MI72+MJ72)*Ppris)</f>
        <v>0</v>
      </c>
      <c r="ML72" s="3">
        <f>MK72*Z72</f>
        <v>0</v>
      </c>
      <c r="MN72">
        <f>LY72+ME72+MK72</f>
        <v>0</v>
      </c>
      <c r="MO72" s="3">
        <f>IF(Nbal!JY72&lt;&gt;"",Nbal!JY72,$MN72)</f>
        <v>0</v>
      </c>
      <c r="MP72" s="3">
        <f>MO72*Z72</f>
        <v>0</v>
      </c>
      <c r="MR72">
        <f>VLOOKUP($T72,Efgr,Data!$AE$53)*PlantevJust</f>
        <v>0</v>
      </c>
      <c r="MS72" s="3">
        <f>IF(Nbal!KE72&lt;&gt;"",Nbal!KE72,MR72)</f>
        <v>0</v>
      </c>
      <c r="MT72" s="3">
        <f>MS72*Z72</f>
        <v>0</v>
      </c>
      <c r="MV72">
        <f>VLOOKUP($T72,Efgr,Data!$AF$53)+$BR72*VLOOKUP($T72,Efgr,Data!$AL$53)</f>
        <v>0</v>
      </c>
      <c r="MW72" s="3">
        <f>IF(Nbal!KK72&lt;&gt;"",Nbal!KK72,MV72)</f>
        <v>0</v>
      </c>
      <c r="MX72" s="3">
        <f>MW72*Z72</f>
        <v>0</v>
      </c>
      <c r="MZ72">
        <f>LV72+MO72+MS72+MW72</f>
        <v>0</v>
      </c>
      <c r="NB72">
        <f>VLOOKUP($T72,Efgr,Data!$AU$53)*K72*MaskJust</f>
        <v>0</v>
      </c>
      <c r="NC72" s="3">
        <f>IF(Nbal!KQ72&lt;&gt;"",Nbal!KQ72,NB72)</f>
        <v>0</v>
      </c>
      <c r="ND72" s="3">
        <f>NC72*Z72</f>
        <v>0</v>
      </c>
      <c r="NF72">
        <f>VLOOKUP($T72,Efgr,Data!$AW$53)*Data!$K$268*K72*MaskJust</f>
        <v>0</v>
      </c>
      <c r="NG72" s="3">
        <f>IF(Nbal!KW72&lt;&gt;"",Nbal!KW72,NF72)</f>
        <v>0</v>
      </c>
      <c r="NH72" s="3">
        <f>NG72*Z72</f>
        <v>0</v>
      </c>
      <c r="NJ72">
        <f>VLOOKUP($T72,Efgr,Data!$AV$53)*Data!$K$269*MaskJust</f>
        <v>0</v>
      </c>
      <c r="NK72" s="3">
        <f>IF(Nbal!LC72&lt;&gt;"",Nbal!LC72,NJ72)</f>
        <v>0</v>
      </c>
      <c r="NL72" s="3">
        <f>NK72*Z72</f>
        <v>0</v>
      </c>
      <c r="NN72">
        <f>IF(C72=2,VLOOKUP($T72,Efgr,Data!$BC$53),0)</f>
        <v>0</v>
      </c>
      <c r="NO72">
        <f>IF(Nbal!LI72&lt;&gt;"",Nbal!LI72,$NN72)</f>
        <v>0</v>
      </c>
      <c r="NP72">
        <f>IF(C72=2,$NO72*Flytning/mmprgang+$NO72*Prisprmm,0)</f>
        <v>0</v>
      </c>
      <c r="NQ72" s="3">
        <f>IF(Nbal!LO72&lt;&gt;"",Nbal!LO72,$NP72)</f>
        <v>0</v>
      </c>
      <c r="NR72" s="3">
        <f>NQ72*Z72</f>
        <v>0</v>
      </c>
      <c r="NT72">
        <f>IF(VLOOKUP($T72,Efgr,Data!$AX$53)&gt;0,((1+BR72/VLOOKUP($T72,Efgr,Data!$AX$53))/2)*VLOOKUP($T72,Efgr,Data!$AY$53)*VLOOKUP($T72,Efgr,Data!$BA$53)+VLOOKUP($T72,Efgr,Data!$AZ$53),0)</f>
        <v>0</v>
      </c>
      <c r="NU72">
        <f>IF(VLOOKUP($T72,Efgr,Data!$AX$53)&gt;0,($BR72/VLOOKUP($T72,Efgr,Data!$AX$53))*VLOOKUP($T72,Efgr,Data!$BB$53)*VLOOKUP($T72,Efgr,Data!$BA$53),0)</f>
        <v>0</v>
      </c>
      <c r="NV72">
        <f>(NT72+NU72)*MaskJust</f>
        <v>0</v>
      </c>
      <c r="NW72" s="3">
        <f>IF(Nbal!LU72&lt;&gt;"",Nbal!LU72,NV72)</f>
        <v>0</v>
      </c>
      <c r="NX72" s="3">
        <f>NW72*Z72</f>
        <v>0</v>
      </c>
      <c r="NZ72">
        <f>IF($U72=2,Data!$K$304,IF($U72=3,Data!$K$305,0))*MaskJust</f>
        <v>0</v>
      </c>
      <c r="OA72" s="3">
        <f>IF(Nbal!MA72&lt;&gt;"",Nbal!MA72,NZ72)</f>
        <v>0</v>
      </c>
      <c r="OB72" s="3">
        <f>OA72*Z72</f>
        <v>0</v>
      </c>
      <c r="OD72">
        <f>IL72</f>
        <v>2100</v>
      </c>
      <c r="OE72">
        <f>JW72+MZ72</f>
        <v>0</v>
      </c>
      <c r="OF72">
        <f>OD72-OE72</f>
        <v>2100</v>
      </c>
      <c r="OG72">
        <f>OF72*Z72</f>
        <v>3486</v>
      </c>
      <c r="OJ72">
        <f>VLOOKUP($O72,Afgr,Data!$BP$3)+VLOOKUP($P72,Efgr,Data!$AM$53)</f>
        <v>0</v>
      </c>
      <c r="OK72" s="3">
        <f>OJ72*Z72</f>
        <v>0</v>
      </c>
      <c r="OL72">
        <f>VLOOKUP($R72,Afgr,Data!$BP$3)+VLOOKUP($T72,Efgr,Data!$AM$53)</f>
        <v>0</v>
      </c>
      <c r="OM72" s="3">
        <f>OL72*Z72</f>
        <v>0</v>
      </c>
      <c r="OO72">
        <f>VLOOKUP($P72,Efgr,Data!$AN$53)</f>
        <v>0</v>
      </c>
      <c r="OP72">
        <f>VLOOKUP($O72,Afgr,Data!$BQ$3)</f>
        <v>0</v>
      </c>
      <c r="OQ72">
        <f>VLOOKUP($R72,Afgr,Data!$BR$3)</f>
        <v>0</v>
      </c>
      <c r="OR72">
        <f>OO72*OP72*OQ72</f>
        <v>0</v>
      </c>
      <c r="OS72" s="3">
        <f>OR72*Z72</f>
        <v>0</v>
      </c>
      <c r="OT72" s="3">
        <f>IF(Q72,1,0)*OS72</f>
        <v>0</v>
      </c>
      <c r="OV72">
        <f>VLOOKUP($T72,Efgr,Data!$AN$53)</f>
        <v>0</v>
      </c>
      <c r="OW72">
        <f>VLOOKUP($R72,Afgr,Data!$BQ$3)</f>
        <v>0</v>
      </c>
      <c r="OX72">
        <f>VLOOKUP($X72,Afgr,Data!$BR$3)</f>
        <v>0</v>
      </c>
      <c r="OY72">
        <f>OV72*OW72*OX72</f>
        <v>0</v>
      </c>
      <c r="OZ72" s="3">
        <f>OY72*Z72</f>
        <v>0</v>
      </c>
      <c r="PB72">
        <f>VLOOKUP($T72,Efgr,Data!$AO$53)</f>
        <v>0</v>
      </c>
      <c r="PC72">
        <f>VLOOKUP($O72,Afgr,Data!$BQ$3)</f>
        <v>0</v>
      </c>
      <c r="PD72">
        <f>VLOOKUP($R72,Afgr,Data!$BS$3)</f>
        <v>0</v>
      </c>
      <c r="PE72" s="3">
        <f>PB72*PC72*PD72*$Z72</f>
        <v>0</v>
      </c>
      <c r="PG72">
        <f>VLOOKUP($T72,Efgr,Data!$AO$53)</f>
        <v>0</v>
      </c>
      <c r="PH72">
        <f>VLOOKUP($R72,Afgr,Data!$BQ$3)</f>
        <v>0</v>
      </c>
      <c r="PI72">
        <f>VLOOKUP($X72,Afgr,Data!$BS$3)</f>
        <v>0</v>
      </c>
      <c r="PJ72" s="3">
        <f>PG72*PH72*PI72*$Z72</f>
        <v>0</v>
      </c>
      <c r="PK72" s="3"/>
      <c r="PL72" s="3">
        <f>VLOOKUP($O72,Afgr,Data!$BU$3)</f>
        <v>0</v>
      </c>
      <c r="PM72" s="3">
        <f>PL72*Z72</f>
        <v>0</v>
      </c>
      <c r="PN72" s="3">
        <f>VLOOKUP($R72,Afgr,Data!$BU$3)</f>
        <v>0</v>
      </c>
      <c r="PO72" s="3">
        <f>PN72*Z72</f>
        <v>0</v>
      </c>
      <c r="PQ72">
        <f>VLOOKUP(R72,Afgr,Data!$BX$3)+VLOOKUP(T72,Efgr,Data!$AQ$53)</f>
        <v>1</v>
      </c>
      <c r="PR72">
        <f>IF(PQ72&gt;0,Z72,0)</f>
        <v>1.66</v>
      </c>
      <c r="PT72">
        <f>VLOOKUP($O72,Afgr,Data!$BT$3)</f>
        <v>0</v>
      </c>
      <c r="PU72" s="3">
        <f>PT72*Z72</f>
        <v>0</v>
      </c>
      <c r="PV72">
        <f>VLOOKUP($R72,Afgr,Data!$BT$3)</f>
        <v>0</v>
      </c>
      <c r="PW72" s="3">
        <f>PV72*Z72</f>
        <v>0</v>
      </c>
      <c r="PY72">
        <f>VLOOKUP($R72,Afgr,Data!$BV$3)</f>
        <v>1</v>
      </c>
      <c r="PZ72">
        <f>PY72*Z72</f>
        <v>1.66</v>
      </c>
      <c r="QB72">
        <f>VLOOKUP($R72,Afgr,Data!$BW$3)</f>
        <v>0</v>
      </c>
      <c r="QC72">
        <f>QB72*Z72</f>
        <v>0</v>
      </c>
      <c r="QE72">
        <f>AM72*IF(VLOOKUP($R72,Afgr,Data!$BJ$3)&gt;0,1,0)</f>
        <v>0</v>
      </c>
      <c r="QF72">
        <f>QE72*Z72</f>
        <v>0</v>
      </c>
      <c r="QH72">
        <f>AM72*VLOOKUP(R72,Afgr,Data!$BK$3)</f>
        <v>0</v>
      </c>
      <c r="QI72">
        <f>Z72*QH72</f>
        <v>0</v>
      </c>
      <c r="QJ72">
        <f>$AM72*VLOOKUP($R72,Afgr,Data!$BL$3)+$BR72*VLOOKUP($T72,Efgr,Data!$AP$53)</f>
        <v>0</v>
      </c>
      <c r="QK72">
        <f>QJ72*Z72</f>
        <v>0</v>
      </c>
      <c r="QL72">
        <f>$AM72*VLOOKUP($R72,Afgr,Data!$BM$3)</f>
        <v>0</v>
      </c>
      <c r="QM72">
        <f>QL72*Z72</f>
        <v>0</v>
      </c>
      <c r="QN72">
        <f>$AM72*VLOOKUP($R72,Afgr,Data!$BN$3)</f>
        <v>0</v>
      </c>
      <c r="QO72">
        <f>QN72*Z72</f>
        <v>0</v>
      </c>
      <c r="QR72">
        <f>IF(VLOOKUP($R72,Afgr,Data!$DA$3)="Vårbyg",$AN72,0)*VLOOKUP($R72,Afgr,Data!$BJ$3)</f>
        <v>0</v>
      </c>
      <c r="QS72">
        <f>IF(VLOOKUP($R72,Afgr,Data!$DA$3)="Vinterbyg",$AN72,0)*VLOOKUP($R72,Afgr,Data!$BJ$3)</f>
        <v>0</v>
      </c>
      <c r="QT72">
        <f>IF(VLOOKUP($R72,Afgr,Data!$DA$3)="Havre",$AN72,0)*VLOOKUP($R72,Afgr,Data!$BJ$3)</f>
        <v>0</v>
      </c>
      <c r="QU72">
        <f>IF(VLOOKUP($R72,Afgr,Data!$DA$3)="Hvede",$AN72,0)*VLOOKUP($R72,Afgr,Data!$BJ$3)</f>
        <v>0</v>
      </c>
      <c r="QV72">
        <f>IF(VLOOKUP($R72,Afgr,Data!$DA$3)="Triticale",$AN72,0)*VLOOKUP($R72,Afgr,Data!$BJ$3)</f>
        <v>0</v>
      </c>
      <c r="QW72">
        <f>IF(VLOOKUP($R72,Afgr,Data!$DA$3)="Rug",$AN72,0)*VLOOKUP($R72,Afgr,Data!$BJ$3)</f>
        <v>0</v>
      </c>
      <c r="QX72">
        <f>IF(VLOOKUP($R72,Afgr,Data!$DA$3)="Majs",$AN72,0)*VLOOKUP($R72,Afgr,Data!$BJ$3)</f>
        <v>0</v>
      </c>
      <c r="RA72">
        <f>IF(OV72+PB72&gt;0,1,0)</f>
        <v>0</v>
      </c>
      <c r="RB72">
        <f>RA72*LW72</f>
        <v>0</v>
      </c>
      <c r="RC72">
        <f>RA72*MT72</f>
        <v>0</v>
      </c>
      <c r="RD72">
        <f>ND72</f>
        <v>0</v>
      </c>
      <c r="RE72">
        <f>RA72*OB72</f>
        <v>0</v>
      </c>
      <c r="RH72">
        <f>VLOOKUP(B72,Jordtype,Data!$Y$112+DenitNr-1)</f>
        <v>7.25</v>
      </c>
      <c r="RI72">
        <f>FF72*VLOOKUP(B72,Jordtype,Data!$AB$112+DenitNr-1)</f>
        <v>0</v>
      </c>
      <c r="RJ72">
        <f>((CJ72+CK72+CL72+Regn2!CO72*0.7)-(RR72+RT72))*VLOOKUP(B72,Jordtype,Data!$AE$112+DenitNr-1)</f>
        <v>0</v>
      </c>
      <c r="RK72">
        <f>0*VLOOKUP(B72,Jordtype,Data!$AE$112+DenitNr-1)</f>
        <v>0</v>
      </c>
      <c r="RL72">
        <f>Regn2!FD72*VLOOKUP(B72,Jordtype,Data!$AH$112+DenitNr-1)</f>
        <v>0</v>
      </c>
      <c r="RM72" s="3">
        <f>RH72+RI72+RJ72+RK72+RL72</f>
        <v>7.25</v>
      </c>
      <c r="RO72">
        <v>2</v>
      </c>
      <c r="RP72">
        <f>(FF72)*RO72*0.01</f>
        <v>0</v>
      </c>
      <c r="RQ72">
        <v>7</v>
      </c>
      <c r="RR72">
        <f>CE72*RQ72*0.01</f>
        <v>0</v>
      </c>
      <c r="RS72">
        <v>7</v>
      </c>
      <c r="RT72">
        <f>(Regn2!CF72+Regn2!CG72)*RS72*0.01</f>
        <v>0</v>
      </c>
      <c r="RW72">
        <f>VLOOKUP(R72,Afgr,Data!$EE$3)</f>
        <v>0</v>
      </c>
      <c r="RX72" s="3">
        <f>RP72+RR72+RT72+RV72+RW72</f>
        <v>0</v>
      </c>
    </row>
    <row r="74" spans="1:492" x14ac:dyDescent="0.25">
      <c r="A74" s="214">
        <f>Nbal!B74</f>
        <v>0</v>
      </c>
      <c r="B74">
        <v>6</v>
      </c>
      <c r="C74">
        <v>1</v>
      </c>
      <c r="D74">
        <f>IF(C74=1,VLOOKUP(B74,Jordtype,Data!$K$112),VLOOKUP(B74,Jordtype,Data!$L$112))</f>
        <v>9</v>
      </c>
      <c r="E74">
        <f>IF(C74=1,VLOOKUP(B74,Jordtype,Data!$M$112),VLOOKUP(B74,Jordtype,Data!$N$112))</f>
        <v>14</v>
      </c>
      <c r="F74">
        <f>IF(OR(B74=1,B74=3),0,IF(OR(B74=2,B74=4),1,IF(OR(B74=5,B74=6),2,3)))</f>
        <v>2</v>
      </c>
      <c r="G74">
        <f>IF(C74=1,VLOOKUP(B74,Jordtype,Data!$Q$112),VLOOKUP(B74,Jordtype,Data!$R$112))</f>
        <v>25</v>
      </c>
      <c r="H74">
        <f>IF(C74=1,VLOOKUP(B74,Jordtype,Data!$O$112),VLOOKUP(B74,Jordtype,Data!$P$112))</f>
        <v>19</v>
      </c>
      <c r="I74">
        <f>IF(B74&lt;5,0,1)</f>
        <v>1</v>
      </c>
      <c r="J74">
        <f>IF(B74&lt;5,PlojJB,1)</f>
        <v>1</v>
      </c>
      <c r="K74">
        <f>IF(B74&lt;5,SaaJB,1)</f>
        <v>1</v>
      </c>
      <c r="L74">
        <f>IF(C74=1,VLOOKUP(B74,Jordtype,Data!$S$112),VLOOKUP(B74,Jordtype,Data!$T$112))</f>
        <v>8</v>
      </c>
      <c r="M74">
        <f>IF(C74=1,VLOOKUP(B74,Jordtype,Data!$U$112),VLOOKUP(B74,Jordtype,Data!$V$112))</f>
        <v>13</v>
      </c>
      <c r="O74">
        <v>1</v>
      </c>
      <c r="P74">
        <v>1</v>
      </c>
      <c r="Q74" t="b">
        <v>0</v>
      </c>
      <c r="R74">
        <v>1</v>
      </c>
      <c r="S74">
        <v>1</v>
      </c>
      <c r="T74">
        <v>1</v>
      </c>
      <c r="U74">
        <v>1</v>
      </c>
      <c r="V74">
        <v>1</v>
      </c>
      <c r="X74">
        <v>1</v>
      </c>
      <c r="Z74">
        <f>Nbal!AG74</f>
        <v>0</v>
      </c>
      <c r="AA74">
        <v>1</v>
      </c>
      <c r="AB74">
        <f>VLOOKUP($R74,Afgr,G74)</f>
        <v>0</v>
      </c>
      <c r="AC74">
        <f>VLOOKUP($O74,Afgr,Data!$AI$3)*VLOOKUP(R74,Afgr,Data!$AJ$3)</f>
        <v>0</v>
      </c>
      <c r="AD74">
        <f>IF($Q74,0,VLOOKUP($P74,Efgr,(Data!$W$53+$V$6-1)))</f>
        <v>0</v>
      </c>
      <c r="AE74">
        <f>AB74-AC74-AD74</f>
        <v>0</v>
      </c>
      <c r="AF74">
        <f>AE74*Z74</f>
        <v>0</v>
      </c>
      <c r="AH74">
        <f>VLOOKUP(R74,Afgr,D74)</f>
        <v>0</v>
      </c>
      <c r="AI74">
        <f>VLOOKUP(O74,Afgr,Data!$AL$3)*VLOOKUP(R74,Afgr,E74)</f>
        <v>0</v>
      </c>
      <c r="AJ74">
        <f>VLOOKUP(P74,Efgr,(Data!$Y$53+I74))</f>
        <v>0</v>
      </c>
      <c r="AK74">
        <f>AH74+AI74+AJ74</f>
        <v>0</v>
      </c>
      <c r="AL74">
        <f>AH74+AI74+AJ74</f>
        <v>0</v>
      </c>
      <c r="AM74" s="3">
        <f>IF(Nbal!CK74&lt;&gt;"",Nbal!CK74,AL74)</f>
        <v>0</v>
      </c>
      <c r="AN74">
        <f>AM74*Z74</f>
        <v>0</v>
      </c>
      <c r="AO74">
        <f>VLOOKUP(R74,Afgr,3)</f>
        <v>0</v>
      </c>
      <c r="AP74">
        <f>IF(AO74="FE",VLOOKUP($R74,Afgr,Data!$AV$3),0)</f>
        <v>0</v>
      </c>
      <c r="AR74">
        <f>VLOOKUP(R74,Afgr,4)</f>
        <v>0</v>
      </c>
      <c r="AS74" s="3">
        <f>IF(Nbal!CW74&lt;&gt;"",Nbal!CW74,AR74)</f>
        <v>0</v>
      </c>
      <c r="AT74" s="3">
        <f>AM74*AS74</f>
        <v>0</v>
      </c>
      <c r="AU74" s="3">
        <f>AN74*AS74</f>
        <v>0</v>
      </c>
      <c r="AW74">
        <f>VLOOKUP(R74,Afgr,Data!$AN$3)</f>
        <v>0</v>
      </c>
      <c r="AX74" s="3">
        <f>IF(Nbal!DC74&lt;&gt;"",Nbal!DC74,AW74)</f>
        <v>0</v>
      </c>
      <c r="AY74" s="3">
        <f>AX74*Z74</f>
        <v>0</v>
      </c>
      <c r="BA74">
        <f>VLOOKUP(R74,Afgr,H74)</f>
        <v>0</v>
      </c>
      <c r="BB74">
        <f>IF(ISERROR(BA74*AM74/AK74),0,(BA74*AM74/AK74))</f>
        <v>0</v>
      </c>
      <c r="BC74" s="3">
        <f>IF(Nbal!DI74&lt;&gt;"",Nbal!DI74,BB74)</f>
        <v>0</v>
      </c>
      <c r="BD74">
        <f>BC74*Z74</f>
        <v>0</v>
      </c>
      <c r="BG74">
        <f>IF($S74=1,BC74,0)</f>
        <v>0</v>
      </c>
      <c r="BH74">
        <f>IF($S74=1,BD74,0)</f>
        <v>0</v>
      </c>
      <c r="BI74">
        <f>VLOOKUP(R74,Afgr,Data!$AM$3)</f>
        <v>0</v>
      </c>
      <c r="BJ74">
        <f>IF(Nbal!DR74&lt;&gt;"",Nbal!DR74,BI74)</f>
        <v>0</v>
      </c>
      <c r="BK74">
        <f>BG74*BJ74</f>
        <v>0</v>
      </c>
      <c r="BL74">
        <f>BH74*BJ74</f>
        <v>0</v>
      </c>
      <c r="BN74">
        <f>VLOOKUP($T74,Efgr,M74)</f>
        <v>0</v>
      </c>
      <c r="BO74">
        <f>BN74*Z74</f>
        <v>0</v>
      </c>
      <c r="BQ74">
        <f>VLOOKUP(T74,Efgr,NormudbKolonneNrEfgr1)</f>
        <v>0</v>
      </c>
      <c r="BR74" s="3">
        <f>IF(Nbal!FE74&lt;&gt;"",Nbal!FE74,BQ74)</f>
        <v>0</v>
      </c>
      <c r="BS74">
        <f>BR74*Z74</f>
        <v>0</v>
      </c>
      <c r="BT74" t="s">
        <v>37</v>
      </c>
      <c r="BU74">
        <f>BR74*Efterslaetpris</f>
        <v>0</v>
      </c>
      <c r="BV74">
        <f>BS74*Efterslaetpris</f>
        <v>0</v>
      </c>
      <c r="BW74">
        <f>VLOOKUP(T74,Efgr,Data!$AG$53)</f>
        <v>0</v>
      </c>
      <c r="BX74">
        <f>BR74*BW74</f>
        <v>0</v>
      </c>
      <c r="BZ74">
        <f>Nbal!AQ74</f>
        <v>0</v>
      </c>
      <c r="CA74" s="211">
        <f>Nbal!AT74</f>
        <v>0</v>
      </c>
      <c r="CB74" s="2">
        <f>Nbal!DZ74</f>
        <v>0</v>
      </c>
      <c r="CC74" s="211">
        <f>Nbal!AT74+Nbal!DZ74</f>
        <v>0</v>
      </c>
      <c r="CD74" s="211">
        <f>Nbal!AX74</f>
        <v>0</v>
      </c>
      <c r="CE74">
        <f>Nbal!BH74</f>
        <v>0</v>
      </c>
      <c r="CF74" s="211">
        <f>Nbal!BM74</f>
        <v>0</v>
      </c>
      <c r="CG74" s="2">
        <f>Nbal!EI74</f>
        <v>0</v>
      </c>
      <c r="CH74" s="211">
        <f>Nbal!BM74+Nbal!EI74</f>
        <v>0</v>
      </c>
      <c r="CI74" s="211">
        <f>Nbal!BW74</f>
        <v>0</v>
      </c>
      <c r="CJ74" s="211">
        <f>Nbal!BH74*Nbal!BJ74*0.01</f>
        <v>0</v>
      </c>
      <c r="CK74" s="211">
        <f>(Nbal!BM74*Nbal!BP74*0.01)</f>
        <v>0</v>
      </c>
      <c r="CL74" s="211">
        <f>(Nbal!EI74*Nbal!EL74*0.01)</f>
        <v>0</v>
      </c>
      <c r="CM74" s="211">
        <f>(Nbal!BM74*Nbal!BP74*0.01)+(Nbal!EI74*Nbal!EL74*0.01)</f>
        <v>0</v>
      </c>
      <c r="CN74" s="211">
        <f>Nbal!BW74*Nbal!BY74*0.01</f>
        <v>0</v>
      </c>
      <c r="CO74">
        <f>Nbal!BT74+Nbal!ER74</f>
        <v>0</v>
      </c>
      <c r="CQ74">
        <f>Nbal!BA74</f>
        <v>0</v>
      </c>
      <c r="CR74">
        <f>Nbal!EC74</f>
        <v>0</v>
      </c>
      <c r="CS74">
        <f>(CQ74+CR74)*Z74</f>
        <v>0</v>
      </c>
      <c r="CT74">
        <f>Nbal!CB74</f>
        <v>0</v>
      </c>
      <c r="CU74">
        <f>Nbal!EV74</f>
        <v>0</v>
      </c>
      <c r="CV74">
        <f>(CT74+CU74)*Z74</f>
        <v>0</v>
      </c>
      <c r="CW74">
        <f>Nbal!BA74+Nbal!CB74+Nbal!EC74+Nbal!EV74</f>
        <v>0</v>
      </c>
      <c r="CY74">
        <f>Nbal!BD74</f>
        <v>0</v>
      </c>
      <c r="CZ74">
        <f>Nbal!EF74</f>
        <v>0</v>
      </c>
      <c r="DA74">
        <f>(CY74+CZ74)*Z74</f>
        <v>0</v>
      </c>
      <c r="DB74">
        <f>Nbal!CE74</f>
        <v>0</v>
      </c>
      <c r="DC74">
        <f>Nbal!EY74</f>
        <v>0</v>
      </c>
      <c r="DD74">
        <f>(DB74+DC74)*Z74</f>
        <v>0</v>
      </c>
      <c r="DE74">
        <f>Nbal!BD74+Nbal!CE74+Nbal!EF74+Nbal!EY74</f>
        <v>0</v>
      </c>
      <c r="DG74">
        <f>VLOOKUP($R74,Afgr,Data!$AW$3)</f>
        <v>0</v>
      </c>
      <c r="DH74">
        <f>IF($AO74="FE",$AM74*$AP74*$DG74*0.01,$AM74*100*$DM74*0.01*$DG74*0.01)</f>
        <v>0</v>
      </c>
      <c r="DI74">
        <f>IF(VLOOKUP(R74,Afgr,Data!$BO$3)=1,DH74,0)*Z74</f>
        <v>0</v>
      </c>
      <c r="DJ74" s="12">
        <f>(BZ74+CC74+CJ74-AE74)*VLOOKUP($R74,Afgr,Data!$AX$3)</f>
        <v>0</v>
      </c>
      <c r="DK74">
        <f>DG74+DJ74</f>
        <v>0</v>
      </c>
      <c r="DL74">
        <f>IF(Nbal!CQ74&lt;&gt;"",Nbal!CQ74,DK74)</f>
        <v>0</v>
      </c>
      <c r="DM74">
        <f>VLOOKUP(R74,Afgr,Data!$AT$3)</f>
        <v>0</v>
      </c>
      <c r="DN74">
        <f>IF($AO74="FE",$AM74*$AP74*$DL74*0.01,$AM74*100*$DM74*0.01*DL74*0.01)</f>
        <v>0</v>
      </c>
      <c r="DO74">
        <f>IF(VLOOKUP(R74,Afgr,Data!$BO$3)=1,DN74,0)*Z74</f>
        <v>0</v>
      </c>
      <c r="DP74">
        <f>IF(ISERROR(DN74/VLOOKUP(R74,Afgr,Data!$AY$3)),0,DN74/VLOOKUP(R74,Afgr,Data!$AY$3))</f>
        <v>0</v>
      </c>
      <c r="DQ74">
        <f>DP74*Z74</f>
        <v>0</v>
      </c>
      <c r="DS74">
        <f>IF($AO74="FE",$AM74*$AP74*VLOOKUP($R74,Afgr,Data!$BC$3)*0.001,$AM74*100*$DM74*0.01*VLOOKUP($R74,Afgr,Data!$BC$3)*0.001)</f>
        <v>0</v>
      </c>
      <c r="DT74">
        <f>DS74*Z74</f>
        <v>0</v>
      </c>
      <c r="DV74">
        <f>IF($AO74="FE",$AM74*$AP74*VLOOKUP($R74,Afgr,Data!$BF$3)*0.001,$AM74*100*$DM74*0.01*VLOOKUP($R74,Afgr,Data!$BF$3)*0.001)</f>
        <v>0</v>
      </c>
      <c r="DW74">
        <f>DV74*Z74</f>
        <v>0</v>
      </c>
      <c r="DY74">
        <f>IF(ISERROR(VLOOKUP(R74,Afgr,Data!$AZ$3)*DL74/DG74),0,VLOOKUP(R74,Afgr,Data!$AZ$3)*DL74/DG74)</f>
        <v>0</v>
      </c>
      <c r="DZ74">
        <f>VLOOKUP(R74,Afgr,Data!$AU$3)</f>
        <v>0</v>
      </c>
      <c r="EA74">
        <f>IF($S74=1,$BC74*$DZ74*0.01*DY74*0.01,0)</f>
        <v>0</v>
      </c>
      <c r="EB74">
        <f>EA74/6.25</f>
        <v>0</v>
      </c>
      <c r="EC74">
        <f>EB74*Z74</f>
        <v>0</v>
      </c>
      <c r="EE74">
        <f>IF($S74=1,$BC74*$DZ74*0.01*VLOOKUP($R74,Afgr,Data!$BD$3)*0.001,0)</f>
        <v>0</v>
      </c>
      <c r="EF74">
        <f>EE74*Z74</f>
        <v>0</v>
      </c>
      <c r="EH74">
        <f>IF($S74=1,$BC74*$DZ74*0.01*VLOOKUP($R74,Afgr,Data!$BG$3)*0.001,0)</f>
        <v>0</v>
      </c>
      <c r="EI74">
        <f>EH74*Z74</f>
        <v>0</v>
      </c>
      <c r="EK74">
        <f>VLOOKUP(T74,Efgr,Data!$AI$53)</f>
        <v>0</v>
      </c>
      <c r="EL74">
        <f>BX74*EK74*0.01/6.25</f>
        <v>0</v>
      </c>
      <c r="EM74">
        <f>EL74*Z74</f>
        <v>0</v>
      </c>
      <c r="EO74">
        <f>$BX74*VLOOKUP($T74,Efgr,Data!$AJ$53)*0.001</f>
        <v>0</v>
      </c>
      <c r="EP74">
        <f>EO74*Z74</f>
        <v>0</v>
      </c>
      <c r="ER74">
        <f>$BX74*VLOOKUP($T74,Efgr,Data!$AK$53)*0.001</f>
        <v>0</v>
      </c>
      <c r="ES74">
        <f>ER74*Z74</f>
        <v>0</v>
      </c>
      <c r="EU74">
        <f>IF(VLOOKUP(R74,Afgr,Data!$DS$3)=1,DP74*VLOOKUP(R74,Afgr,(Data!$DT$3+EftervirkningUdb1))*VLOOKUP(R74,Afgr,Data!$DV$3),0)</f>
        <v>0</v>
      </c>
      <c r="EV74">
        <f>IF(VLOOKUP(R74,Afgr,Data!$DS$3)=2,VLOOKUP(R74,Afgr,Data!$DX$3),0)</f>
        <v>0</v>
      </c>
      <c r="EW74">
        <f>IF(VLOOKUP(R74,Afgr,Data!$DS$3)=3,$DP74*VLOOKUP($R74,Afgr,IF(Jordtype1&lt;5,Data!$DT$3,Data!$DU$3))*VLOOKUP($R74,Afgr,Data!$DV$3),0)</f>
        <v>0</v>
      </c>
      <c r="EX74">
        <f>IF(VLOOKUP(R74,Afgr,Data!$DS$3)=4,(1.232+0.00469*AM74*100+(0.000256*AM74*100+0.089)*60),0)</f>
        <v>0</v>
      </c>
      <c r="EY74" s="211">
        <f>BZ74+CA74+CJ74+CK74</f>
        <v>0</v>
      </c>
      <c r="EZ74">
        <f>IF(VLOOKUP($R74,Afgr,Data!$DS$3)=5,($AM74*0.02742-$AM74*0.0001*$EY74+$AM74*0.0000001111*$EY74*$EY74),0)</f>
        <v>0</v>
      </c>
      <c r="FA74" s="2">
        <f>CB74+CL74</f>
        <v>0</v>
      </c>
      <c r="FB74">
        <f>IF(VLOOKUP($T74,Efgr,Data!$BH$53)=5,($BR74*0.02742-$BR74*0.0001*$FA74+$BR74*0.0000001111*$FA74*$FA74),0)</f>
        <v>0</v>
      </c>
      <c r="FC74" s="3">
        <f>EU74+EV74+EW74+EX74+EZ74+FB74</f>
        <v>0</v>
      </c>
      <c r="FD74" s="3">
        <f>FC74*Z74</f>
        <v>0</v>
      </c>
      <c r="FF74" s="211">
        <f>BZ74+CC74</f>
        <v>0</v>
      </c>
      <c r="FG74" s="211">
        <f>FF74*Z74</f>
        <v>0</v>
      </c>
      <c r="FH74" s="211">
        <f>CE74+CH74+CO74</f>
        <v>0</v>
      </c>
      <c r="FI74" s="211">
        <f>FH74*Z74</f>
        <v>0</v>
      </c>
      <c r="FJ74">
        <f>VLOOKUP($R74,Afgr,Data!$DK$3)*VLOOKUP($R74,Afgr,Data!$AT$3)*0.01*VLOOKUP($R74,Afgr,Data!$AW$3)*0.01/6.25</f>
        <v>0</v>
      </c>
      <c r="FK74">
        <f>FJ74*Z74</f>
        <v>0</v>
      </c>
      <c r="FL74" s="4">
        <f>IF(R74&gt;1,Deposition,0)</f>
        <v>0</v>
      </c>
      <c r="FM74" s="4">
        <f>FL74*Z74</f>
        <v>0</v>
      </c>
      <c r="FN74">
        <f>FC74</f>
        <v>0</v>
      </c>
      <c r="FO74">
        <f>FN74*Z74</f>
        <v>0</v>
      </c>
      <c r="FP74" s="211">
        <f>SUM(FF74,FH74,FJ74,FL74,FN74)</f>
        <v>0</v>
      </c>
      <c r="FQ74">
        <f>DP74+EB74+EL74</f>
        <v>0</v>
      </c>
      <c r="FR74" s="3">
        <f>FP74-FQ74</f>
        <v>0</v>
      </c>
      <c r="FS74" s="19">
        <f>FP74*Z74</f>
        <v>0</v>
      </c>
      <c r="FT74" s="19">
        <f>FQ74*Z74</f>
        <v>0</v>
      </c>
      <c r="FU74" s="3">
        <f>FR74*Z74</f>
        <v>0</v>
      </c>
      <c r="FW74">
        <f>CW74</f>
        <v>0</v>
      </c>
      <c r="FX74">
        <f>FW74*Z74</f>
        <v>0</v>
      </c>
      <c r="FY74">
        <f>IX74+MB74</f>
        <v>0</v>
      </c>
      <c r="FZ74">
        <f>FY74*Z74</f>
        <v>0</v>
      </c>
      <c r="GA74">
        <f>FW74-FY74</f>
        <v>0</v>
      </c>
      <c r="GB74">
        <f>GA74*Z74</f>
        <v>0</v>
      </c>
      <c r="GD74">
        <f>DE74</f>
        <v>0</v>
      </c>
      <c r="GE74">
        <f>GD74*Z74</f>
        <v>0</v>
      </c>
      <c r="GF74">
        <f>JE74+MH74</f>
        <v>0</v>
      </c>
      <c r="GG74">
        <f>GF74*Z74</f>
        <v>0</v>
      </c>
      <c r="GH74">
        <f>GD74-GF74</f>
        <v>0</v>
      </c>
      <c r="GI74">
        <f>GH74*Z74</f>
        <v>0</v>
      </c>
      <c r="GK74">
        <f>AA74</f>
        <v>1</v>
      </c>
      <c r="GL74" s="211">
        <f>FF74+FH74+FN74</f>
        <v>0</v>
      </c>
      <c r="GM74" s="211" t="str">
        <f>IF(R74=1,"",IF(GK74=1,GL74,""))</f>
        <v/>
      </c>
      <c r="GN74" s="211" t="str">
        <f>IF(R74=1,"",IF(GK74=2,GL74,""))</f>
        <v/>
      </c>
      <c r="GO74" s="211" t="str">
        <f>IF(R74=1,"",IF(GK74=3,GL74,""))</f>
        <v/>
      </c>
      <c r="GP74" s="211" t="str">
        <f>IF(R74=1,"",IF(GK74=4,GL74,""))</f>
        <v/>
      </c>
      <c r="GQ74" s="149">
        <f>IF(OR(R74=1,VLOOKUP(R74,Afgr,Data!$BV$3)=1,VLOOKUP(R74,Afgr,Data!$BW$3)=1),0,IF(GK74=1,Nniveau1,IF(GK74=2,Nniveau2,IF(GK74=3,Nniveau3,IF(GK74=4,Nniveau4,GL74)))))</f>
        <v>0</v>
      </c>
      <c r="GR74" s="241">
        <v>0.32550000000000001</v>
      </c>
      <c r="GS74" s="6">
        <v>0</v>
      </c>
      <c r="GT74" s="149">
        <f>CC74+CM74</f>
        <v>0</v>
      </c>
      <c r="GU74" s="6">
        <f>$FN74</f>
        <v>0</v>
      </c>
      <c r="GV74" s="241">
        <v>0.25280000000000002</v>
      </c>
      <c r="GW74">
        <f>CO74</f>
        <v>0</v>
      </c>
      <c r="GX74" s="241">
        <v>0.376</v>
      </c>
      <c r="GY74" s="149">
        <f>CD74+CN74</f>
        <v>0</v>
      </c>
      <c r="GZ74" s="241">
        <f>IF(B74&gt;3,0.3539,1.0749)</f>
        <v>0.35389999999999999</v>
      </c>
      <c r="HA74" s="11">
        <f>$FQ74</f>
        <v>0</v>
      </c>
      <c r="HB74" s="241">
        <v>0.19359999999999999</v>
      </c>
      <c r="HC74" s="241">
        <f>VLOOKUP($R74,Afgr,Data!$DM$3)</f>
        <v>0</v>
      </c>
      <c r="HD74" s="24">
        <f>IF($HC74&gt;1,0,(VLOOKUP($X74,Afgr,Data!$DP$3)+IF(VLOOKUP($X74,Afgr,Data!$DP$3)=0,VLOOKUP($T74,Efgr,Data!$BI$53,0))))+IF(AND($HC74=7,VLOOKUP($X74,Afgr,Data!$DQ$3)=-2),-2,0)+IF(AND($HC74=6,VLOOKUP($T74,Efgr,Data!$BI$53)=2),8,0)</f>
        <v>0</v>
      </c>
      <c r="HE74" s="6" t="e">
        <f>VLOOKUP(SUM(HC74:HD74),Nlesafgr,3)</f>
        <v>#N/A</v>
      </c>
      <c r="HF74" s="7">
        <f>VLOOKUP($O74,Afgr,Data!$DN$3)</f>
        <v>0</v>
      </c>
      <c r="HG74" s="24">
        <f>IF(HF74&gt;1,0,VLOOKUP($R74,Afgr,Data!$DO$3)+IF(VLOOKUP($R74,Afgr,Data!$DO$3)=1,0,VLOOKUP($P74,Efgr,Data!$BJ$53)))</f>
        <v>0</v>
      </c>
      <c r="HH74" s="6" t="e">
        <f>VLOOKUP(SUM(HF74:HG74),Nlesforfrugt,3)</f>
        <v>#N/A</v>
      </c>
      <c r="HI74" s="241" t="e">
        <f>GR74*GQ74+GV74*(GT74+GU74)+GX74*GW74+GZ74*GY74-HB74*HA74+HE74+HH74</f>
        <v>#N/A</v>
      </c>
      <c r="HJ74" s="241">
        <f>Nlesafskaering</f>
        <v>59.6</v>
      </c>
      <c r="HK74" s="241">
        <f>Teknologi1</f>
        <v>2455</v>
      </c>
      <c r="HL74" s="6">
        <v>2001</v>
      </c>
      <c r="HM74" s="241">
        <f>Teknologi2</f>
        <v>1962.2</v>
      </c>
      <c r="HN74" s="241">
        <f>Tandel</f>
        <v>0.54659999999999997</v>
      </c>
      <c r="HO74" s="241" t="e">
        <f>IF(OR(HI74&gt;0,HI74=0),HJ74+HK74/(HL74-HM74),HJ74+HK74/(HL74-HM74)+HN74*HI74)</f>
        <v>#N/A</v>
      </c>
      <c r="HP74" s="241" t="e">
        <f>IF(HI74&gt;0,HI74,0.001)</f>
        <v>#N/A</v>
      </c>
      <c r="HQ74" s="241">
        <v>1.5020000000000001E-3</v>
      </c>
      <c r="HR74" s="24">
        <f>IF(R74=1,0,VLOOKUP(PostnrNbal,AfstromData,VLOOKUP($R74,Afgr,Data!$DL$3)+IF(Jordtype1&lt;7,Jordtype1,6),FALSE)-VLOOKUP(T74,Efgr,Data!$AA$53))</f>
        <v>0</v>
      </c>
      <c r="HS74" s="24">
        <f>IF(Nbal!GA74&lt;&gt;"",Nbal!GA74,Regn2!HR74)</f>
        <v>0</v>
      </c>
      <c r="HT74" s="241">
        <v>5.5400000000000002E-4</v>
      </c>
      <c r="HU74" s="24">
        <f>IF(R74=1,0,VLOOKUP(PostnrNbal,AfstromData,VLOOKUP($O74,Afgr,Data!$DL$3)+IF(B74&lt;7,B74,6),FALSE)-VLOOKUP(P74,Efgr,Data!$AA$53))</f>
        <v>0</v>
      </c>
      <c r="HV74" s="24">
        <f>IF(Nbal!FU74&lt;&gt;"",Nbal!FU74,Regn2!HU74)</f>
        <v>0</v>
      </c>
      <c r="HW74" s="241">
        <v>0.10639999999999999</v>
      </c>
      <c r="HX74" s="6">
        <f>VLOOKUP(B74,Jordtype,Data!$W$112)</f>
        <v>3</v>
      </c>
      <c r="HY74" s="241">
        <v>3.2500000000000001E-2</v>
      </c>
      <c r="HZ74" s="6">
        <f>VLOOKUP(B74,Jordtype,Data!$X$112)</f>
        <v>12</v>
      </c>
      <c r="IA74" s="241">
        <v>1.2453000000000001</v>
      </c>
      <c r="IB74" s="241">
        <f>IF(VLOOKUP(T74,Efgr,Data!$AO$53)=1,MlafgrNUdvask,0)</f>
        <v>0</v>
      </c>
      <c r="IC74" s="20">
        <f>IF(ISERROR((HO74+POWER(HP74,1.2))*(1-EXP(-HQ74*HS74))*EXP(-HT74*HV74)*EXP(-HW74*HX74)*EXP(-HY74*HZ74)*IA74),0,(HO74+POWER(HP74,1.2))*(1-EXP(-HQ74*HS74))*EXP(-HT74*HV74)*EXP(-HW74*HX74)*EXP(-HY74*HZ74)*IA74+IB74)</f>
        <v>0</v>
      </c>
      <c r="ID74">
        <f>IC74*Z74</f>
        <v>0</v>
      </c>
      <c r="IE74">
        <f>IF(Nbal!GF74&lt;&gt;"",Nbal!GF74,RetentionNbal)</f>
        <v>65</v>
      </c>
      <c r="IF74">
        <f>IC74*(100-IE74)*0.01</f>
        <v>0</v>
      </c>
      <c r="IG74">
        <f>IF74*Z74</f>
        <v>0</v>
      </c>
      <c r="IH74" s="2">
        <f>HS74*10000</f>
        <v>0</v>
      </c>
      <c r="II74" s="2">
        <f>IH74*Z74</f>
        <v>0</v>
      </c>
      <c r="IJ74">
        <f>IF(ISERROR(IC74*1000*1000/IH74),0,IC74*1000*1000/IH74)</f>
        <v>0</v>
      </c>
      <c r="IL74">
        <f>AT74+AX74+BK74+BU74</f>
        <v>0</v>
      </c>
      <c r="IO74">
        <f>VLOOKUP(R74,Afgr,Data!$AP$3)*UdsaedJust</f>
        <v>0</v>
      </c>
      <c r="IP74" s="3">
        <f>IF(Nbal!GN74&lt;&gt;"",Nbal!GN74,IO74)</f>
        <v>0</v>
      </c>
      <c r="IQ74" s="3">
        <f>IP74*Z74</f>
        <v>0</v>
      </c>
      <c r="IS74" s="3">
        <f>IF(HdgVaerdiNbal=1,(BZ74+CA74)*Npris,(BZ74+CA74+CJ74+CK74)*Npris)</f>
        <v>0</v>
      </c>
      <c r="IT74" s="3">
        <f>IS74*Z74</f>
        <v>0</v>
      </c>
      <c r="IV74">
        <f>VLOOKUP($R74,Afgr,Data!$BA$3)</f>
        <v>0</v>
      </c>
      <c r="IW74">
        <f>VLOOKUP($R74,Afgr,Data!$BB$3)</f>
        <v>0</v>
      </c>
      <c r="IX74">
        <f>$DS74+$EE74</f>
        <v>0</v>
      </c>
      <c r="IY74">
        <f>CT74</f>
        <v>0</v>
      </c>
      <c r="IZ74">
        <f>CQ74</f>
        <v>0</v>
      </c>
      <c r="JA74" s="3">
        <f>IF(HdgVaerdiNbal=1,(IZ74)*Ppris,(IY74+IZ74)*Ppris)</f>
        <v>0</v>
      </c>
      <c r="JB74" s="3">
        <f>JA74*Z74</f>
        <v>0</v>
      </c>
      <c r="JD74">
        <f>IF(AND(R74&gt;1,OR(Jordtype1=1,Jordtype1=3,Markvand1=2)),Kudvask,0)</f>
        <v>0</v>
      </c>
      <c r="JE74">
        <f>$DV74+$EH74</f>
        <v>0</v>
      </c>
      <c r="JF74">
        <f>DB74</f>
        <v>0</v>
      </c>
      <c r="JG74">
        <f>CY74</f>
        <v>0</v>
      </c>
      <c r="JH74" s="3">
        <f>IF(HdgVaerdiNbal=1,JG74*Kpris,(JF74+JG74)*Kpris)</f>
        <v>0</v>
      </c>
      <c r="JI74" s="3">
        <f>JH74*Z74</f>
        <v>0</v>
      </c>
      <c r="JK74">
        <f>IS74+JA74+JH74</f>
        <v>0</v>
      </c>
      <c r="JL74" s="3">
        <f>IF(Nbal!GT74&lt;&gt;"",Nbal!GT74,$JK74)</f>
        <v>0</v>
      </c>
      <c r="JM74" s="3">
        <f>JL74*Z74</f>
        <v>0</v>
      </c>
      <c r="JO74">
        <f>VLOOKUP(R74,Afgr,Data!$AQ$3)*PlantevJust</f>
        <v>0</v>
      </c>
      <c r="JP74" s="3">
        <f>IF(Nbal!GZ74&lt;&gt;"",Nbal!GZ74,JO74)</f>
        <v>0</v>
      </c>
      <c r="JQ74" s="3">
        <f>JP74*Z74</f>
        <v>0</v>
      </c>
      <c r="JS74">
        <f>VLOOKUP(R74,Afgr,Data!$AR$3)+AM74*VLOOKUP(R74,Afgr,Data!$BH$3)</f>
        <v>0</v>
      </c>
      <c r="JT74" s="3">
        <f>IF(Nbal!HF74&lt;&gt;"",Nbal!HF74,JS74)</f>
        <v>0</v>
      </c>
      <c r="JU74">
        <f>JT74*Z74</f>
        <v>0</v>
      </c>
      <c r="JW74">
        <f>IP74+JL74+JP74+JT74</f>
        <v>0</v>
      </c>
      <c r="JY74">
        <f>IF(VLOOKUP(R74,Afgr,Data!$BY$3)&gt;0,Data!$K$259*J74,0)</f>
        <v>0</v>
      </c>
      <c r="JZ74">
        <f>IF(VLOOKUP(R74,Afgr,Data!$BZ$3)&gt;0,Data!$K$260*J74,0)</f>
        <v>0</v>
      </c>
      <c r="KA74">
        <f>(JY74+JZ74)*MaskJust</f>
        <v>0</v>
      </c>
      <c r="KB74" s="3">
        <f>IF(Nbal!HL74&lt;&gt;"",Nbal!HL74,KA74)</f>
        <v>0</v>
      </c>
      <c r="KC74" s="3">
        <f>KB74*Z74</f>
        <v>0</v>
      </c>
      <c r="KE74">
        <f>IF(VLOOKUP(R74,Afgr,Data!$CA$3)&gt;0,VLOOKUP(R74,Afgr,Data!$CA$3)*Data!$K$261*K74,0)</f>
        <v>0</v>
      </c>
      <c r="KF74">
        <f>IF(VLOOKUP(R74,Afgr,Data!$CC$3)&gt;0,Data!$K$262*K74,0)</f>
        <v>0</v>
      </c>
      <c r="KG74">
        <f>IF(VLOOKUP(R74,Afgr,Data!$CD$3)&gt;0,VLOOKUP(R74,Afgr,Data!$CD$3)*Data!$K$263*K74,0)</f>
        <v>0</v>
      </c>
      <c r="KH74">
        <f>IF(VLOOKUP(R74,Afgr,Data!$CE$3)&gt;0,Data!$K$264*K74,0)</f>
        <v>0</v>
      </c>
      <c r="KI74">
        <f>IF(VLOOKUP(R74,Afgr,Data!$CF$3)&gt;0,Data!$K$265*K74,0)</f>
        <v>0</v>
      </c>
      <c r="KJ74">
        <f>IF(VLOOKUP(R74,Afgr,Data!$CV$3)&gt;0,Data!$K$266,0)</f>
        <v>0</v>
      </c>
      <c r="KK74">
        <f>IF(VLOOKUP(R74,Afgr,Data!$CG$3)&gt;0,Data!$K$267*K74,0)</f>
        <v>0</v>
      </c>
      <c r="KL74">
        <f>(KE74+KF74+KG74+KH74+KI74+KJ74+KK74)*MaskJust</f>
        <v>0</v>
      </c>
      <c r="KM74" s="3">
        <f>IF(Nbal!HR74&lt;&gt;"",Nbal!HR74,KL74)</f>
        <v>0</v>
      </c>
      <c r="KN74" s="3">
        <f>KM74*Z74</f>
        <v>0</v>
      </c>
      <c r="KP74">
        <f>IF(VLOOKUP(R74,Afgr,Data!$CJ$3)&gt;0,VLOOKUP(R74,Afgr,Data!$CJ$3)*Data!$K$268*K74,0)*MaskJust</f>
        <v>0</v>
      </c>
      <c r="KQ74" s="3">
        <f>IF(Nbal!HX74&lt;&gt;"",Nbal!HX74,KP74)</f>
        <v>0</v>
      </c>
      <c r="KR74" s="3">
        <f>KQ74*Z74</f>
        <v>0</v>
      </c>
      <c r="KT74">
        <f>IF(VLOOKUP(R74,Afgr,Data!$CI$3)&gt;0,VLOOKUP(R74,Afgr,Data!$CI$3)*Data!$K$269,0)*MaskJust</f>
        <v>0</v>
      </c>
      <c r="KU74" s="3">
        <f>IF(Nbal!ID74&lt;&gt;"",Nbal!ID74,KT74)</f>
        <v>0</v>
      </c>
      <c r="KV74" s="3">
        <f>KU74*Z74</f>
        <v>0</v>
      </c>
      <c r="KX74">
        <f>IF(C74=2,VLOOKUP($R74,Afgr,Data!$CY$3),0)</f>
        <v>0</v>
      </c>
      <c r="KY74">
        <f>IF(Nbal!IJ74&lt;&gt;"",Nbal!IJ74,$KX74)</f>
        <v>0</v>
      </c>
      <c r="KZ74">
        <f>IF(AND(R74&gt;1,C74=2),Vandmaskin+$KY74*Flytning/mmprgang+$KY74*Prisprmm,0)</f>
        <v>0</v>
      </c>
      <c r="LA74" s="3">
        <f>IF(Nbal!IP74&lt;&gt;"",Nbal!IP74,$KZ74)</f>
        <v>0</v>
      </c>
      <c r="LB74" s="3">
        <f>LA74*Z74</f>
        <v>0</v>
      </c>
      <c r="LD74">
        <f>IF(VLOOKUP($R74,Afgr,Data!$CK$3)&gt;0,((1+AM74/VLOOKUP($R74,Afgr,Data!$CK$3))/2)*VLOOKUP($R74,Afgr,Data!$CL$3)*VLOOKUP($R74,Afgr,Data!$CN$3)+VLOOKUP($R74,Afgr,Data!$CM$3),0)</f>
        <v>0</v>
      </c>
      <c r="LE74">
        <f>IF(VLOOKUP($R74,Afgr,Data!$CK$3)&gt;0,IF(AND($S74=2,$BA74&gt;0),Data!$K$271,0),0)</f>
        <v>0</v>
      </c>
      <c r="LF74">
        <f>IF(VLOOKUP($R74,Afgr,Data!$CK$3)&gt;0,(AM74/VLOOKUP($R74,Afgr,Data!$CK$3))*VLOOKUP($R74,Afgr,Data!$CO$3)*VLOOKUP($R74,Afgr,Data!$CN$3),0)</f>
        <v>0</v>
      </c>
      <c r="LG74">
        <f>(LD74+LE74+LF74)*MaskJust</f>
        <v>0</v>
      </c>
      <c r="LH74" s="3">
        <f>IF(Nbal!IV74&lt;&gt;"",Nbal!IV74,LG74)</f>
        <v>0</v>
      </c>
      <c r="LI74" s="3">
        <f>LH74*Z74</f>
        <v>0</v>
      </c>
      <c r="LJ74" s="3"/>
      <c r="LK74">
        <f>IF(AND($S74=1,VLOOKUP($R74,Afgr,Data!$CP$3)&gt;0),((1+$BC74/VLOOKUP($R74,Afgr,Data!$CP$3))/2)*VLOOKUP($R74,Afgr,Data!$CQ$3),0)</f>
        <v>0</v>
      </c>
      <c r="LL74">
        <f>IF(AND($S74=1,VLOOKUP($R74,Afgr,Data!$CP$3)&gt;0),($BC74/VLOOKUP($R74,Afgr,Data!$CP$3))*VLOOKUP($R74,Afgr,Data!$CR$3),0)</f>
        <v>0</v>
      </c>
      <c r="LM74">
        <f>(LK74+LL74)*MaskJust</f>
        <v>0</v>
      </c>
      <c r="LN74" s="3">
        <f>IF(Nbal!JB74&lt;&gt;"",Nbal!JB74,LM74)</f>
        <v>0</v>
      </c>
      <c r="LO74" s="3">
        <f>LN74*Z74</f>
        <v>0</v>
      </c>
      <c r="LQ74">
        <f>$AM74*VLOOKUP($R74,Afgr,Data!$CS$3)*IF($V74=1,VLOOKUP($R74,Afgr,Data!$CT$3),IF($V74=2,VLOOKUP($R74,Afgr,Data!$CU$3),0))</f>
        <v>0</v>
      </c>
      <c r="LR74" s="3">
        <f>IF(Nbal!JK74&lt;&gt;"",Nbal!JK74,LQ74)</f>
        <v>0</v>
      </c>
      <c r="LS74" s="3">
        <f>LR74*Z74</f>
        <v>0</v>
      </c>
      <c r="LU74">
        <f>VLOOKUP($T74,Efgr,Data!$AC$53)*UdsaedJust</f>
        <v>0</v>
      </c>
      <c r="LV74" s="3">
        <f>IF(Nbal!$JS74&lt;&gt;"",Nbal!$JS74,LU74)</f>
        <v>0</v>
      </c>
      <c r="LW74" s="3">
        <f>LV74*Z74</f>
        <v>0</v>
      </c>
      <c r="LY74" s="3">
        <f>IF(HdgVaerdiNbal=1,(CB74)*Npris,(CB74+CL74)*Npris)</f>
        <v>0</v>
      </c>
      <c r="LZ74" s="3">
        <f>LY74*Z74</f>
        <v>0</v>
      </c>
      <c r="MB74">
        <f>$EO74</f>
        <v>0</v>
      </c>
      <c r="MC74">
        <f>CU74</f>
        <v>0</v>
      </c>
      <c r="MD74">
        <f>CR74</f>
        <v>0</v>
      </c>
      <c r="ME74" s="3">
        <f>IF(HdgVaerdiNbal=1,MD74*Ppris,(MC74+MD74)*Ppris)</f>
        <v>0</v>
      </c>
      <c r="MF74" s="3">
        <f>ME74*Z74</f>
        <v>0</v>
      </c>
      <c r="MH74">
        <f>$ER74</f>
        <v>0</v>
      </c>
      <c r="MI74">
        <f>DC74</f>
        <v>0</v>
      </c>
      <c r="MJ74">
        <f>CZ74</f>
        <v>0</v>
      </c>
      <c r="MK74" s="3">
        <f>IF(HdgVaerdiNbal=1,MJ74*Ppris,(MI74+MJ74)*Ppris)</f>
        <v>0</v>
      </c>
      <c r="ML74" s="3">
        <f>MK74*Z74</f>
        <v>0</v>
      </c>
      <c r="MN74">
        <f>LY74+ME74+MK74</f>
        <v>0</v>
      </c>
      <c r="MO74" s="3">
        <f>IF(Nbal!JY74&lt;&gt;"",Nbal!JY74,$MN74)</f>
        <v>0</v>
      </c>
      <c r="MP74" s="3">
        <f>MO74*Z74</f>
        <v>0</v>
      </c>
      <c r="MR74">
        <f>VLOOKUP($T74,Efgr,Data!$AE$53)*PlantevJust</f>
        <v>0</v>
      </c>
      <c r="MS74" s="3">
        <f>IF(Nbal!KE74&lt;&gt;"",Nbal!KE74,MR74)</f>
        <v>0</v>
      </c>
      <c r="MT74" s="3">
        <f>MS74*Z74</f>
        <v>0</v>
      </c>
      <c r="MV74">
        <f>VLOOKUP($T74,Efgr,Data!$AF$53)+$BR74*VLOOKUP($T74,Efgr,Data!$AL$53)</f>
        <v>0</v>
      </c>
      <c r="MW74" s="3">
        <f>IF(Nbal!KK74&lt;&gt;"",Nbal!KK74,MV74)</f>
        <v>0</v>
      </c>
      <c r="MX74" s="3">
        <f>MW74*Z74</f>
        <v>0</v>
      </c>
      <c r="MZ74">
        <f>LV74+MO74+MS74+MW74</f>
        <v>0</v>
      </c>
      <c r="NB74">
        <f>VLOOKUP($T74,Efgr,Data!$AU$53)*K74*MaskJust</f>
        <v>0</v>
      </c>
      <c r="NC74" s="3">
        <f>IF(Nbal!KQ74&lt;&gt;"",Nbal!KQ74,NB74)</f>
        <v>0</v>
      </c>
      <c r="ND74" s="3">
        <f>NC74*Z74</f>
        <v>0</v>
      </c>
      <c r="NF74">
        <f>VLOOKUP($T74,Efgr,Data!$AW$53)*Data!$K$268*K74*MaskJust</f>
        <v>0</v>
      </c>
      <c r="NG74" s="3">
        <f>IF(Nbal!KW74&lt;&gt;"",Nbal!KW74,NF74)</f>
        <v>0</v>
      </c>
      <c r="NH74" s="3">
        <f>NG74*Z74</f>
        <v>0</v>
      </c>
      <c r="NJ74">
        <f>VLOOKUP($T74,Efgr,Data!$AV$53)*Data!$K$269*MaskJust</f>
        <v>0</v>
      </c>
      <c r="NK74" s="3">
        <f>IF(Nbal!LC74&lt;&gt;"",Nbal!LC74,NJ74)</f>
        <v>0</v>
      </c>
      <c r="NL74" s="3">
        <f>NK74*Z74</f>
        <v>0</v>
      </c>
      <c r="NN74">
        <f>IF(C74=2,VLOOKUP($T74,Efgr,Data!$BC$53),0)</f>
        <v>0</v>
      </c>
      <c r="NO74">
        <f>IF(Nbal!LI74&lt;&gt;"",Nbal!LI74,$NN74)</f>
        <v>0</v>
      </c>
      <c r="NP74">
        <f>IF(C74=2,$NO74*Flytning/mmprgang+$NO74*Prisprmm,0)</f>
        <v>0</v>
      </c>
      <c r="NQ74" s="3">
        <f>IF(Nbal!LO74&lt;&gt;"",Nbal!LO74,$NP74)</f>
        <v>0</v>
      </c>
      <c r="NR74" s="3">
        <f>NQ74*Z74</f>
        <v>0</v>
      </c>
      <c r="NT74">
        <f>IF(VLOOKUP($T74,Efgr,Data!$AX$53)&gt;0,((1+BR74/VLOOKUP($T74,Efgr,Data!$AX$53))/2)*VLOOKUP($T74,Efgr,Data!$AY$53)*VLOOKUP($T74,Efgr,Data!$BA$53)+VLOOKUP($T74,Efgr,Data!$AZ$53),0)</f>
        <v>0</v>
      </c>
      <c r="NU74">
        <f>IF(VLOOKUP($T74,Efgr,Data!$AX$53)&gt;0,($BR74/VLOOKUP($T74,Efgr,Data!$AX$53))*VLOOKUP($T74,Efgr,Data!$BB$53)*VLOOKUP($T74,Efgr,Data!$BA$53),0)</f>
        <v>0</v>
      </c>
      <c r="NV74">
        <f>(NT74+NU74)*MaskJust</f>
        <v>0</v>
      </c>
      <c r="NW74" s="3">
        <f>IF(Nbal!LU74&lt;&gt;"",Nbal!LU74,NV74)</f>
        <v>0</v>
      </c>
      <c r="NX74" s="3">
        <f>NW74*Z74</f>
        <v>0</v>
      </c>
      <c r="NZ74">
        <f>IF($U74=2,Data!$K$304,IF($U74=3,Data!$K$305,0))*MaskJust</f>
        <v>0</v>
      </c>
      <c r="OA74" s="3">
        <f>IF(Nbal!MA74&lt;&gt;"",Nbal!MA74,NZ74)</f>
        <v>0</v>
      </c>
      <c r="OB74" s="3">
        <f>OA74*Z74</f>
        <v>0</v>
      </c>
      <c r="OD74">
        <f>IL74</f>
        <v>0</v>
      </c>
      <c r="OE74">
        <f>JW74+MZ74</f>
        <v>0</v>
      </c>
      <c r="OF74">
        <f>OD74-OE74</f>
        <v>0</v>
      </c>
      <c r="OG74">
        <f>OF74*Z74</f>
        <v>0</v>
      </c>
      <c r="OJ74">
        <f>VLOOKUP($O74,Afgr,Data!$BP$3)+VLOOKUP($P74,Efgr,Data!$AM$53)</f>
        <v>0</v>
      </c>
      <c r="OK74" s="3">
        <f>OJ74*Z74</f>
        <v>0</v>
      </c>
      <c r="OL74">
        <f>VLOOKUP($R74,Afgr,Data!$BP$3)+VLOOKUP($T74,Efgr,Data!$AM$53)</f>
        <v>0</v>
      </c>
      <c r="OM74" s="3">
        <f>OL74*Z74</f>
        <v>0</v>
      </c>
      <c r="OO74">
        <f>VLOOKUP($P74,Efgr,Data!$AN$53)</f>
        <v>0</v>
      </c>
      <c r="OP74">
        <f>VLOOKUP($O74,Afgr,Data!$BQ$3)</f>
        <v>0</v>
      </c>
      <c r="OQ74">
        <f>VLOOKUP($R74,Afgr,Data!$BR$3)</f>
        <v>1</v>
      </c>
      <c r="OR74">
        <f>OO74*OP74*OQ74</f>
        <v>0</v>
      </c>
      <c r="OS74" s="3">
        <f>OR74*Z74</f>
        <v>0</v>
      </c>
      <c r="OT74" s="3">
        <f>IF(Q74,1,0)*OS74</f>
        <v>0</v>
      </c>
      <c r="OV74">
        <f>VLOOKUP($T74,Efgr,Data!$AN$53)</f>
        <v>0</v>
      </c>
      <c r="OW74">
        <f>VLOOKUP($R74,Afgr,Data!$BQ$3)</f>
        <v>0</v>
      </c>
      <c r="OX74">
        <f>VLOOKUP($X74,Afgr,Data!$BR$3)</f>
        <v>1</v>
      </c>
      <c r="OY74">
        <f>OV74*OW74*OX74</f>
        <v>0</v>
      </c>
      <c r="OZ74" s="3">
        <f>OY74*Z74</f>
        <v>0</v>
      </c>
      <c r="PB74">
        <f>VLOOKUP($T74,Efgr,Data!$AO$53)</f>
        <v>0</v>
      </c>
      <c r="PC74">
        <f>VLOOKUP($O74,Afgr,Data!$BQ$3)</f>
        <v>0</v>
      </c>
      <c r="PD74">
        <f>VLOOKUP($R74,Afgr,Data!$BS$3)</f>
        <v>0</v>
      </c>
      <c r="PE74" s="3">
        <f>PB74*PC74*PD74*$Z74</f>
        <v>0</v>
      </c>
      <c r="PG74">
        <f>VLOOKUP($T74,Efgr,Data!$AO$53)</f>
        <v>0</v>
      </c>
      <c r="PH74">
        <f>VLOOKUP($R74,Afgr,Data!$BQ$3)</f>
        <v>0</v>
      </c>
      <c r="PI74">
        <f>VLOOKUP($X74,Afgr,Data!$BS$3)</f>
        <v>0</v>
      </c>
      <c r="PJ74" s="3">
        <f>PG74*PH74*PI74*$Z74</f>
        <v>0</v>
      </c>
      <c r="PK74" s="3"/>
      <c r="PL74" s="3">
        <f>VLOOKUP($O74,Afgr,Data!$BU$3)</f>
        <v>0</v>
      </c>
      <c r="PM74" s="3">
        <f>PL74*Z74</f>
        <v>0</v>
      </c>
      <c r="PN74" s="3">
        <f>VLOOKUP($R74,Afgr,Data!$BU$3)</f>
        <v>0</v>
      </c>
      <c r="PO74" s="3">
        <f>PN74*Z74</f>
        <v>0</v>
      </c>
      <c r="PQ74">
        <f>VLOOKUP(R74,Afgr,Data!$BX$3)+VLOOKUP(T74,Efgr,Data!$AQ$53)</f>
        <v>0</v>
      </c>
      <c r="PR74">
        <f>IF(PQ74&gt;0,Z74,0)</f>
        <v>0</v>
      </c>
      <c r="PT74">
        <f>VLOOKUP($O74,Afgr,Data!$BT$3)</f>
        <v>0</v>
      </c>
      <c r="PU74" s="3">
        <f>PT74*Z74</f>
        <v>0</v>
      </c>
      <c r="PV74">
        <f>VLOOKUP($R74,Afgr,Data!$BT$3)</f>
        <v>0</v>
      </c>
      <c r="PW74" s="3">
        <f>PV74*Z74</f>
        <v>0</v>
      </c>
      <c r="PY74">
        <f>VLOOKUP($R74,Afgr,Data!$BV$3)</f>
        <v>0</v>
      </c>
      <c r="PZ74">
        <f>PY74*Z74</f>
        <v>0</v>
      </c>
      <c r="QB74">
        <f>VLOOKUP($R74,Afgr,Data!$BW$3)</f>
        <v>0</v>
      </c>
      <c r="QC74">
        <f>QB74*Z74</f>
        <v>0</v>
      </c>
      <c r="QE74">
        <f>AM74*IF(VLOOKUP($R74,Afgr,Data!$BJ$3)&gt;0,1,0)</f>
        <v>0</v>
      </c>
      <c r="QF74">
        <f>QE74*Z74</f>
        <v>0</v>
      </c>
      <c r="QH74">
        <f>AM74*VLOOKUP(R74,Afgr,Data!$BK$3)</f>
        <v>0</v>
      </c>
      <c r="QI74">
        <f>Z74*QH74</f>
        <v>0</v>
      </c>
      <c r="QJ74">
        <f>$AM74*VLOOKUP($R74,Afgr,Data!$BL$3)+$BR74*VLOOKUP($T74,Efgr,Data!$AP$53)</f>
        <v>0</v>
      </c>
      <c r="QK74">
        <f>QJ74*Z74</f>
        <v>0</v>
      </c>
      <c r="QL74">
        <f>$AM74*VLOOKUP($R74,Afgr,Data!$BM$3)</f>
        <v>0</v>
      </c>
      <c r="QM74">
        <f>QL74*Z74</f>
        <v>0</v>
      </c>
      <c r="QN74">
        <f>$AM74*VLOOKUP($R74,Afgr,Data!$BN$3)</f>
        <v>0</v>
      </c>
      <c r="QO74">
        <f>QN74*Z74</f>
        <v>0</v>
      </c>
      <c r="QR74">
        <f>IF(VLOOKUP($R74,Afgr,Data!$DA$3)="Vårbyg",$AN74,0)*VLOOKUP($R74,Afgr,Data!$BJ$3)</f>
        <v>0</v>
      </c>
      <c r="QS74">
        <f>IF(VLOOKUP($R74,Afgr,Data!$DA$3)="Vinterbyg",$AN74,0)*VLOOKUP($R74,Afgr,Data!$BJ$3)</f>
        <v>0</v>
      </c>
      <c r="QT74">
        <f>IF(VLOOKUP($R74,Afgr,Data!$DA$3)="Havre",$AN74,0)*VLOOKUP($R74,Afgr,Data!$BJ$3)</f>
        <v>0</v>
      </c>
      <c r="QU74">
        <f>IF(VLOOKUP($R74,Afgr,Data!$DA$3)="Hvede",$AN74,0)*VLOOKUP($R74,Afgr,Data!$BJ$3)</f>
        <v>0</v>
      </c>
      <c r="QV74">
        <f>IF(VLOOKUP($R74,Afgr,Data!$DA$3)="Triticale",$AN74,0)*VLOOKUP($R74,Afgr,Data!$BJ$3)</f>
        <v>0</v>
      </c>
      <c r="QW74">
        <f>IF(VLOOKUP($R74,Afgr,Data!$DA$3)="Rug",$AN74,0)*VLOOKUP($R74,Afgr,Data!$BJ$3)</f>
        <v>0</v>
      </c>
      <c r="QX74">
        <f>IF(VLOOKUP($R74,Afgr,Data!$DA$3)="Majs",$AN74,0)*VLOOKUP($R74,Afgr,Data!$BJ$3)</f>
        <v>0</v>
      </c>
      <c r="RA74">
        <f>IF(OV74+PB74&gt;0,1,0)</f>
        <v>0</v>
      </c>
      <c r="RB74">
        <f>RA74*LW74</f>
        <v>0</v>
      </c>
      <c r="RC74">
        <f>RA74*MT74</f>
        <v>0</v>
      </c>
      <c r="RD74">
        <f>ND74</f>
        <v>0</v>
      </c>
      <c r="RE74">
        <f>RA74*OB74</f>
        <v>0</v>
      </c>
      <c r="RH74">
        <f>VLOOKUP(B74,Jordtype,Data!$Y$112+DenitNr-1)</f>
        <v>7.25</v>
      </c>
      <c r="RI74">
        <f>FF74*VLOOKUP(B74,Jordtype,Data!$AB$112+DenitNr-1)</f>
        <v>0</v>
      </c>
      <c r="RJ74">
        <f>((CJ74+CK74+CL74+Regn2!CO74*0.7)-(RR74+RT74))*VLOOKUP(B74,Jordtype,Data!$AE$112+DenitNr-1)</f>
        <v>0</v>
      </c>
      <c r="RK74">
        <f>0*VLOOKUP(B74,Jordtype,Data!$AE$112+DenitNr-1)</f>
        <v>0</v>
      </c>
      <c r="RL74">
        <f>Regn2!FD74*VLOOKUP(B74,Jordtype,Data!$AH$112+DenitNr-1)</f>
        <v>0</v>
      </c>
      <c r="RM74" s="3">
        <f>RH74+RI74+RJ74+RK74+RL74</f>
        <v>7.25</v>
      </c>
      <c r="RO74">
        <v>2</v>
      </c>
      <c r="RP74">
        <f>(FF74)*RO74*0.01</f>
        <v>0</v>
      </c>
      <c r="RQ74">
        <v>7</v>
      </c>
      <c r="RR74">
        <f>CE74*RQ74*0.01</f>
        <v>0</v>
      </c>
      <c r="RS74">
        <v>7</v>
      </c>
      <c r="RT74">
        <f>(Regn2!CF74+Regn2!CG74)*RS74*0.01</f>
        <v>0</v>
      </c>
      <c r="RW74">
        <f>VLOOKUP(R74,Afgr,Data!$EE$3)</f>
        <v>0</v>
      </c>
      <c r="RX74" s="3">
        <f>RP74+RR74+RT74+RV74+RW74</f>
        <v>0</v>
      </c>
    </row>
    <row r="76" spans="1:492" x14ac:dyDescent="0.25">
      <c r="A76" s="214">
        <f>Nbal!B76</f>
        <v>0</v>
      </c>
      <c r="B76">
        <v>6</v>
      </c>
      <c r="C76">
        <v>1</v>
      </c>
      <c r="D76">
        <f>IF(C76=1,VLOOKUP(B76,Jordtype,Data!$K$112),VLOOKUP(B76,Jordtype,Data!$L$112))</f>
        <v>9</v>
      </c>
      <c r="E76">
        <f>IF(C76=1,VLOOKUP(B76,Jordtype,Data!$M$112),VLOOKUP(B76,Jordtype,Data!$N$112))</f>
        <v>14</v>
      </c>
      <c r="F76">
        <f>IF(OR(B76=1,B76=3),0,IF(OR(B76=2,B76=4),1,IF(OR(B76=5,B76=6),2,3)))</f>
        <v>2</v>
      </c>
      <c r="G76">
        <f>IF(C76=1,VLOOKUP(B76,Jordtype,Data!$Q$112),VLOOKUP(B76,Jordtype,Data!$R$112))</f>
        <v>25</v>
      </c>
      <c r="H76">
        <f>IF(C76=1,VLOOKUP(B76,Jordtype,Data!$O$112),VLOOKUP(B76,Jordtype,Data!$P$112))</f>
        <v>19</v>
      </c>
      <c r="I76">
        <f>IF(B76&lt;5,0,1)</f>
        <v>1</v>
      </c>
      <c r="J76">
        <f>IF(B76&lt;5,PlojJB,1)</f>
        <v>1</v>
      </c>
      <c r="K76">
        <f>IF(B76&lt;5,SaaJB,1)</f>
        <v>1</v>
      </c>
      <c r="L76">
        <f>IF(C76=1,VLOOKUP(B76,Jordtype,Data!$S$112),VLOOKUP(B76,Jordtype,Data!$T$112))</f>
        <v>8</v>
      </c>
      <c r="M76">
        <f>IF(C76=1,VLOOKUP(B76,Jordtype,Data!$U$112),VLOOKUP(B76,Jordtype,Data!$V$112))</f>
        <v>13</v>
      </c>
      <c r="O76">
        <v>1</v>
      </c>
      <c r="P76">
        <v>1</v>
      </c>
      <c r="Q76" t="b">
        <v>0</v>
      </c>
      <c r="R76">
        <v>1</v>
      </c>
      <c r="S76">
        <v>1</v>
      </c>
      <c r="T76">
        <v>1</v>
      </c>
      <c r="U76">
        <v>1</v>
      </c>
      <c r="V76">
        <v>1</v>
      </c>
      <c r="X76">
        <v>1</v>
      </c>
      <c r="Z76">
        <f>Nbal!AG76</f>
        <v>0</v>
      </c>
      <c r="AA76">
        <v>1</v>
      </c>
      <c r="AB76">
        <f>VLOOKUP($R76,Afgr,G76)</f>
        <v>0</v>
      </c>
      <c r="AC76">
        <f>VLOOKUP($O76,Afgr,Data!$AI$3)*VLOOKUP(R76,Afgr,Data!$AJ$3)</f>
        <v>0</v>
      </c>
      <c r="AD76">
        <f>IF($Q76,0,VLOOKUP($P76,Efgr,(Data!$W$53+$V$6-1)))</f>
        <v>0</v>
      </c>
      <c r="AE76">
        <f>AB76-AC76-AD76</f>
        <v>0</v>
      </c>
      <c r="AF76">
        <f>AE76*Z76</f>
        <v>0</v>
      </c>
      <c r="AH76">
        <f>VLOOKUP(R76,Afgr,D76)</f>
        <v>0</v>
      </c>
      <c r="AI76">
        <f>VLOOKUP(O76,Afgr,Data!$AL$3)*VLOOKUP(R76,Afgr,E76)</f>
        <v>0</v>
      </c>
      <c r="AJ76">
        <f>VLOOKUP(P76,Efgr,(Data!$Y$53+I76))</f>
        <v>0</v>
      </c>
      <c r="AK76">
        <f>AH76+AI76+AJ76</f>
        <v>0</v>
      </c>
      <c r="AL76">
        <f>AH76+AI76+AJ76</f>
        <v>0</v>
      </c>
      <c r="AM76" s="3">
        <f>IF(Nbal!CK76&lt;&gt;"",Nbal!CK76,AL76)</f>
        <v>0</v>
      </c>
      <c r="AN76">
        <f>AM76*Z76</f>
        <v>0</v>
      </c>
      <c r="AO76">
        <f>VLOOKUP(R76,Afgr,3)</f>
        <v>0</v>
      </c>
      <c r="AP76">
        <f>IF(AO76="FE",VLOOKUP($R76,Afgr,Data!$AV$3),0)</f>
        <v>0</v>
      </c>
      <c r="AR76">
        <f>VLOOKUP(R76,Afgr,4)</f>
        <v>0</v>
      </c>
      <c r="AS76" s="3">
        <f>IF(Nbal!CW76&lt;&gt;"",Nbal!CW76,AR76)</f>
        <v>0</v>
      </c>
      <c r="AT76" s="3">
        <f>AM76*AS76</f>
        <v>0</v>
      </c>
      <c r="AU76" s="3">
        <f>AN76*AS76</f>
        <v>0</v>
      </c>
      <c r="AW76">
        <f>VLOOKUP(R76,Afgr,Data!$AN$3)</f>
        <v>0</v>
      </c>
      <c r="AX76" s="3">
        <f>IF(Nbal!DC76&lt;&gt;"",Nbal!DC76,AW76)</f>
        <v>0</v>
      </c>
      <c r="AY76" s="3">
        <f>AX76*Z76</f>
        <v>0</v>
      </c>
      <c r="BA76">
        <f>VLOOKUP(R76,Afgr,H76)</f>
        <v>0</v>
      </c>
      <c r="BB76">
        <f>IF(ISERROR(BA76*AM76/AK76),0,(BA76*AM76/AK76))</f>
        <v>0</v>
      </c>
      <c r="BC76" s="3">
        <f>IF(Nbal!DI76&lt;&gt;"",Nbal!DI76,BB76)</f>
        <v>0</v>
      </c>
      <c r="BD76">
        <f>BC76*Z76</f>
        <v>0</v>
      </c>
      <c r="BG76">
        <f>IF($S76=1,BC76,0)</f>
        <v>0</v>
      </c>
      <c r="BH76">
        <f>IF($S76=1,BD76,0)</f>
        <v>0</v>
      </c>
      <c r="BI76">
        <f>VLOOKUP(R76,Afgr,Data!$AM$3)</f>
        <v>0</v>
      </c>
      <c r="BJ76">
        <f>IF(Nbal!DR76&lt;&gt;"",Nbal!DR76,BI76)</f>
        <v>0</v>
      </c>
      <c r="BK76">
        <f>BG76*BJ76</f>
        <v>0</v>
      </c>
      <c r="BL76">
        <f>BH76*BJ76</f>
        <v>0</v>
      </c>
      <c r="BN76">
        <f>VLOOKUP($T76,Efgr,M76)</f>
        <v>0</v>
      </c>
      <c r="BO76">
        <f>BN76*Z76</f>
        <v>0</v>
      </c>
      <c r="BQ76">
        <f>VLOOKUP(T76,Efgr,NormudbKolonneNrEfgr1)</f>
        <v>0</v>
      </c>
      <c r="BR76" s="3">
        <f>IF(Nbal!FE76&lt;&gt;"",Nbal!FE76,BQ76)</f>
        <v>0</v>
      </c>
      <c r="BS76">
        <f>BR76*Z76</f>
        <v>0</v>
      </c>
      <c r="BT76" t="s">
        <v>37</v>
      </c>
      <c r="BU76">
        <f>BR76*Efterslaetpris</f>
        <v>0</v>
      </c>
      <c r="BV76">
        <f>BS76*Efterslaetpris</f>
        <v>0</v>
      </c>
      <c r="BW76">
        <f>VLOOKUP(T76,Efgr,Data!$AG$53)</f>
        <v>0</v>
      </c>
      <c r="BX76">
        <f>BR76*BW76</f>
        <v>0</v>
      </c>
      <c r="BZ76">
        <f>Nbal!AQ76</f>
        <v>0</v>
      </c>
      <c r="CA76" s="211">
        <f>Nbal!AT76</f>
        <v>0</v>
      </c>
      <c r="CB76" s="2">
        <f>Nbal!DZ76</f>
        <v>0</v>
      </c>
      <c r="CC76" s="211">
        <f>Nbal!AT76+Nbal!DZ76</f>
        <v>0</v>
      </c>
      <c r="CD76" s="211">
        <f>Nbal!AX76</f>
        <v>0</v>
      </c>
      <c r="CE76">
        <f>Nbal!BH76</f>
        <v>0</v>
      </c>
      <c r="CF76" s="211">
        <f>Nbal!BM76</f>
        <v>0</v>
      </c>
      <c r="CG76" s="2">
        <f>Nbal!EI76</f>
        <v>0</v>
      </c>
      <c r="CH76" s="211">
        <f>Nbal!BM76+Nbal!EI76</f>
        <v>0</v>
      </c>
      <c r="CI76" s="211">
        <f>Nbal!BW76</f>
        <v>0</v>
      </c>
      <c r="CJ76" s="211">
        <f>Nbal!BH76*Nbal!BJ76*0.01</f>
        <v>0</v>
      </c>
      <c r="CK76" s="211">
        <f>(Nbal!BM76*Nbal!BP76*0.01)</f>
        <v>0</v>
      </c>
      <c r="CL76" s="211">
        <f>(Nbal!EI76*Nbal!EL76*0.01)</f>
        <v>0</v>
      </c>
      <c r="CM76" s="211">
        <f>(Nbal!BM76*Nbal!BP76*0.01)+(Nbal!EI76*Nbal!EL76*0.01)</f>
        <v>0</v>
      </c>
      <c r="CN76" s="211">
        <f>Nbal!BW76*Nbal!BY76*0.01</f>
        <v>0</v>
      </c>
      <c r="CO76">
        <f>Nbal!BT76+Nbal!ER76</f>
        <v>0</v>
      </c>
      <c r="CQ76">
        <f>Nbal!BA76</f>
        <v>0</v>
      </c>
      <c r="CR76">
        <f>Nbal!EC76</f>
        <v>0</v>
      </c>
      <c r="CS76">
        <f>(CQ76+CR76)*Z76</f>
        <v>0</v>
      </c>
      <c r="CT76">
        <f>Nbal!CB76</f>
        <v>0</v>
      </c>
      <c r="CU76">
        <f>Nbal!EV76</f>
        <v>0</v>
      </c>
      <c r="CV76">
        <f>(CT76+CU76)*Z76</f>
        <v>0</v>
      </c>
      <c r="CW76">
        <f>Nbal!BA76+Nbal!CB76+Nbal!EC76+Nbal!EV76</f>
        <v>0</v>
      </c>
      <c r="CY76">
        <f>Nbal!BD76</f>
        <v>0</v>
      </c>
      <c r="CZ76">
        <f>Nbal!EF76</f>
        <v>0</v>
      </c>
      <c r="DA76">
        <f>(CY76+CZ76)*Z76</f>
        <v>0</v>
      </c>
      <c r="DB76">
        <f>Nbal!CE76</f>
        <v>0</v>
      </c>
      <c r="DC76">
        <f>Nbal!EY76</f>
        <v>0</v>
      </c>
      <c r="DD76">
        <f>(DB76+DC76)*Z76</f>
        <v>0</v>
      </c>
      <c r="DE76">
        <f>Nbal!BD76+Nbal!CE76+Nbal!EF76+Nbal!EY76</f>
        <v>0</v>
      </c>
      <c r="DG76">
        <f>VLOOKUP($R76,Afgr,Data!$AW$3)</f>
        <v>0</v>
      </c>
      <c r="DH76">
        <f>IF($AO76="FE",$AM76*$AP76*$DG76*0.01,$AM76*100*$DM76*0.01*$DG76*0.01)</f>
        <v>0</v>
      </c>
      <c r="DI76">
        <f>IF(VLOOKUP(R76,Afgr,Data!$BO$3)=1,DH76,0)*Z76</f>
        <v>0</v>
      </c>
      <c r="DJ76" s="12">
        <f>(BZ76+CC76+CJ76-AE76)*VLOOKUP($R76,Afgr,Data!$AX$3)</f>
        <v>0</v>
      </c>
      <c r="DK76">
        <f>DG76+DJ76</f>
        <v>0</v>
      </c>
      <c r="DL76">
        <f>IF(Nbal!CQ76&lt;&gt;"",Nbal!CQ76,DK76)</f>
        <v>0</v>
      </c>
      <c r="DM76">
        <f>VLOOKUP(R76,Afgr,Data!$AT$3)</f>
        <v>0</v>
      </c>
      <c r="DN76">
        <f>IF($AO76="FE",$AM76*$AP76*$DL76*0.01,$AM76*100*$DM76*0.01*DL76*0.01)</f>
        <v>0</v>
      </c>
      <c r="DO76">
        <f>IF(VLOOKUP(R76,Afgr,Data!$BO$3)=1,DN76,0)*Z76</f>
        <v>0</v>
      </c>
      <c r="DP76">
        <f>IF(ISERROR(DN76/VLOOKUP(R76,Afgr,Data!$AY$3)),0,DN76/VLOOKUP(R76,Afgr,Data!$AY$3))</f>
        <v>0</v>
      </c>
      <c r="DQ76">
        <f>DP76*Z76</f>
        <v>0</v>
      </c>
      <c r="DS76">
        <f>IF($AO76="FE",$AM76*$AP76*VLOOKUP($R76,Afgr,Data!$BC$3)*0.001,$AM76*100*$DM76*0.01*VLOOKUP($R76,Afgr,Data!$BC$3)*0.001)</f>
        <v>0</v>
      </c>
      <c r="DT76">
        <f>DS76*Z76</f>
        <v>0</v>
      </c>
      <c r="DV76">
        <f>IF($AO76="FE",$AM76*$AP76*VLOOKUP($R76,Afgr,Data!$BF$3)*0.001,$AM76*100*$DM76*0.01*VLOOKUP($R76,Afgr,Data!$BF$3)*0.001)</f>
        <v>0</v>
      </c>
      <c r="DW76">
        <f>DV76*Z76</f>
        <v>0</v>
      </c>
      <c r="DY76">
        <f>IF(ISERROR(VLOOKUP(R76,Afgr,Data!$AZ$3)*DL76/DG76),0,VLOOKUP(R76,Afgr,Data!$AZ$3)*DL76/DG76)</f>
        <v>0</v>
      </c>
      <c r="DZ76">
        <f>VLOOKUP(R76,Afgr,Data!$AU$3)</f>
        <v>0</v>
      </c>
      <c r="EA76">
        <f>IF($S76=1,$BC76*$DZ76*0.01*DY76*0.01,0)</f>
        <v>0</v>
      </c>
      <c r="EB76">
        <f>EA76/6.25</f>
        <v>0</v>
      </c>
      <c r="EC76">
        <f>EB76*Z76</f>
        <v>0</v>
      </c>
      <c r="EE76">
        <f>IF($S76=1,$BC76*$DZ76*0.01*VLOOKUP($R76,Afgr,Data!$BD$3)*0.001,0)</f>
        <v>0</v>
      </c>
      <c r="EF76">
        <f>EE76*Z76</f>
        <v>0</v>
      </c>
      <c r="EH76">
        <f>IF($S76=1,$BC76*$DZ76*0.01*VLOOKUP($R76,Afgr,Data!$BG$3)*0.001,0)</f>
        <v>0</v>
      </c>
      <c r="EI76">
        <f>EH76*Z76</f>
        <v>0</v>
      </c>
      <c r="EK76">
        <f>VLOOKUP(T76,Efgr,Data!$AI$53)</f>
        <v>0</v>
      </c>
      <c r="EL76">
        <f>BX76*EK76*0.01/6.25</f>
        <v>0</v>
      </c>
      <c r="EM76">
        <f>EL76*Z76</f>
        <v>0</v>
      </c>
      <c r="EO76">
        <f>$BX76*VLOOKUP($T76,Efgr,Data!$AJ$53)*0.001</f>
        <v>0</v>
      </c>
      <c r="EP76">
        <f>EO76*Z76</f>
        <v>0</v>
      </c>
      <c r="ER76">
        <f>$BX76*VLOOKUP($T76,Efgr,Data!$AK$53)*0.001</f>
        <v>0</v>
      </c>
      <c r="ES76">
        <f>ER76*Z76</f>
        <v>0</v>
      </c>
      <c r="EU76">
        <f>IF(VLOOKUP(R76,Afgr,Data!$DS$3)=1,DP76*VLOOKUP(R76,Afgr,(Data!$DT$3+EftervirkningUdb1))*VLOOKUP(R76,Afgr,Data!$DV$3),0)</f>
        <v>0</v>
      </c>
      <c r="EV76">
        <f>IF(VLOOKUP(R76,Afgr,Data!$DS$3)=2,VLOOKUP(R76,Afgr,Data!$DX$3),0)</f>
        <v>0</v>
      </c>
      <c r="EW76">
        <f>IF(VLOOKUP(R76,Afgr,Data!$DS$3)=3,$DP76*VLOOKUP($R76,Afgr,IF(Jordtype1&lt;5,Data!$DT$3,Data!$DU$3))*VLOOKUP($R76,Afgr,Data!$DV$3),0)</f>
        <v>0</v>
      </c>
      <c r="EX76">
        <f>IF(VLOOKUP(R76,Afgr,Data!$DS$3)=4,(1.232+0.00469*AM76*100+(0.000256*AM76*100+0.089)*60),0)</f>
        <v>0</v>
      </c>
      <c r="EY76" s="211">
        <f>BZ76+CA76+CJ76+CK76</f>
        <v>0</v>
      </c>
      <c r="EZ76">
        <f>IF(VLOOKUP($R76,Afgr,Data!$DS$3)=5,($AM76*0.02742-$AM76*0.0001*$EY76+$AM76*0.0000001111*$EY76*$EY76),0)</f>
        <v>0</v>
      </c>
      <c r="FA76" s="2">
        <f>CB76+CL76</f>
        <v>0</v>
      </c>
      <c r="FB76">
        <f>IF(VLOOKUP($T76,Efgr,Data!$BH$53)=5,($BR76*0.02742-$BR76*0.0001*$FA76+$BR76*0.0000001111*$FA76*$FA76),0)</f>
        <v>0</v>
      </c>
      <c r="FC76" s="3">
        <f>EU76+EV76+EW76+EX76+EZ76+FB76</f>
        <v>0</v>
      </c>
      <c r="FD76" s="3">
        <f>FC76*Z76</f>
        <v>0</v>
      </c>
      <c r="FF76" s="211">
        <f>BZ76+CC76</f>
        <v>0</v>
      </c>
      <c r="FG76" s="211">
        <f>FF76*Z76</f>
        <v>0</v>
      </c>
      <c r="FH76" s="211">
        <f>CE76+CH76+CO76</f>
        <v>0</v>
      </c>
      <c r="FI76" s="211">
        <f>FH76*Z76</f>
        <v>0</v>
      </c>
      <c r="FJ76">
        <f>VLOOKUP($R76,Afgr,Data!$DK$3)*VLOOKUP($R76,Afgr,Data!$AT$3)*0.01*VLOOKUP($R76,Afgr,Data!$AW$3)*0.01/6.25</f>
        <v>0</v>
      </c>
      <c r="FK76">
        <f>FJ76*Z76</f>
        <v>0</v>
      </c>
      <c r="FL76" s="4">
        <f>IF(R76&gt;1,Deposition,0)</f>
        <v>0</v>
      </c>
      <c r="FM76" s="4">
        <f>FL76*Z76</f>
        <v>0</v>
      </c>
      <c r="FN76">
        <f>FC76</f>
        <v>0</v>
      </c>
      <c r="FO76">
        <f>FN76*Z76</f>
        <v>0</v>
      </c>
      <c r="FP76" s="211">
        <f>SUM(FF76,FH76,FJ76,FL76,FN76)</f>
        <v>0</v>
      </c>
      <c r="FQ76">
        <f>DP76+EB76+EL76</f>
        <v>0</v>
      </c>
      <c r="FR76" s="3">
        <f>FP76-FQ76</f>
        <v>0</v>
      </c>
      <c r="FS76" s="19">
        <f>FP76*Z76</f>
        <v>0</v>
      </c>
      <c r="FT76" s="19">
        <f>FQ76*Z76</f>
        <v>0</v>
      </c>
      <c r="FU76" s="3">
        <f>FR76*Z76</f>
        <v>0</v>
      </c>
      <c r="FW76">
        <f>CW76</f>
        <v>0</v>
      </c>
      <c r="FX76">
        <f>FW76*Z76</f>
        <v>0</v>
      </c>
      <c r="FY76">
        <f>IX76+MB76</f>
        <v>0</v>
      </c>
      <c r="FZ76">
        <f>FY76*Z76</f>
        <v>0</v>
      </c>
      <c r="GA76">
        <f>FW76-FY76</f>
        <v>0</v>
      </c>
      <c r="GB76">
        <f>GA76*Z76</f>
        <v>0</v>
      </c>
      <c r="GD76">
        <f>DE76</f>
        <v>0</v>
      </c>
      <c r="GE76">
        <f>GD76*Z76</f>
        <v>0</v>
      </c>
      <c r="GF76">
        <f>JE76+MH76</f>
        <v>0</v>
      </c>
      <c r="GG76">
        <f>GF76*Z76</f>
        <v>0</v>
      </c>
      <c r="GH76">
        <f>GD76-GF76</f>
        <v>0</v>
      </c>
      <c r="GI76">
        <f>GH76*Z76</f>
        <v>0</v>
      </c>
      <c r="GK76">
        <f>AA76</f>
        <v>1</v>
      </c>
      <c r="GL76" s="211">
        <f>FF76+FH76+FN76</f>
        <v>0</v>
      </c>
      <c r="GM76" s="211" t="str">
        <f>IF(R76=1,"",IF(GK76=1,GL76,""))</f>
        <v/>
      </c>
      <c r="GN76" s="211" t="str">
        <f>IF(R76=1,"",IF(GK76=2,GL76,""))</f>
        <v/>
      </c>
      <c r="GO76" s="211" t="str">
        <f>IF(R76=1,"",IF(GK76=3,GL76,""))</f>
        <v/>
      </c>
      <c r="GP76" s="211" t="str">
        <f>IF(R76=1,"",IF(GK76=4,GL76,""))</f>
        <v/>
      </c>
      <c r="GQ76" s="149">
        <f>IF(OR(R76=1,VLOOKUP(R76,Afgr,Data!$BV$3)=1,VLOOKUP(R76,Afgr,Data!$BW$3)=1),0,IF(GK76=1,Nniveau1,IF(GK76=2,Nniveau2,IF(GK76=3,Nniveau3,IF(GK76=4,Nniveau4,GL76)))))</f>
        <v>0</v>
      </c>
      <c r="GR76" s="241">
        <v>0.32550000000000001</v>
      </c>
      <c r="GS76" s="6">
        <v>0</v>
      </c>
      <c r="GT76" s="149">
        <f>CC76+CM76</f>
        <v>0</v>
      </c>
      <c r="GU76" s="6">
        <f>$FN76</f>
        <v>0</v>
      </c>
      <c r="GV76" s="241">
        <v>0.25280000000000002</v>
      </c>
      <c r="GW76">
        <f>CO76</f>
        <v>0</v>
      </c>
      <c r="GX76" s="241">
        <v>0.376</v>
      </c>
      <c r="GY76" s="149">
        <f>CD76+CN76</f>
        <v>0</v>
      </c>
      <c r="GZ76" s="241">
        <f>IF(B76&gt;3,0.3539,1.0749)</f>
        <v>0.35389999999999999</v>
      </c>
      <c r="HA76" s="11">
        <f>$FQ76</f>
        <v>0</v>
      </c>
      <c r="HB76" s="241">
        <v>0.19359999999999999</v>
      </c>
      <c r="HC76" s="241">
        <f>VLOOKUP($R76,Afgr,Data!$DM$3)</f>
        <v>0</v>
      </c>
      <c r="HD76" s="24">
        <f>IF($HC76&gt;1,0,(VLOOKUP($X76,Afgr,Data!$DP$3)+IF(VLOOKUP($X76,Afgr,Data!$DP$3)=0,VLOOKUP($T76,Efgr,Data!$BI$53,0))))+IF(AND($HC76=7,VLOOKUP($X76,Afgr,Data!$DQ$3)=-2),-2,0)+IF(AND($HC76=6,VLOOKUP($T76,Efgr,Data!$BI$53)=2),8,0)</f>
        <v>0</v>
      </c>
      <c r="HE76" s="6" t="e">
        <f>VLOOKUP(SUM(HC76:HD76),Nlesafgr,3)</f>
        <v>#N/A</v>
      </c>
      <c r="HF76" s="7">
        <f>VLOOKUP($O76,Afgr,Data!$DN$3)</f>
        <v>0</v>
      </c>
      <c r="HG76" s="24">
        <f>IF(HF76&gt;1,0,VLOOKUP($R76,Afgr,Data!$DO$3)+IF(VLOOKUP($R76,Afgr,Data!$DO$3)=1,0,VLOOKUP($P76,Efgr,Data!$BJ$53)))</f>
        <v>0</v>
      </c>
      <c r="HH76" s="6" t="e">
        <f>VLOOKUP(SUM(HF76:HG76),Nlesforfrugt,3)</f>
        <v>#N/A</v>
      </c>
      <c r="HI76" s="241" t="e">
        <f>GR76*GQ76+GV76*(GT76+GU76)+GX76*GW76+GZ76*GY76-HB76*HA76+HE76+HH76</f>
        <v>#N/A</v>
      </c>
      <c r="HJ76" s="241">
        <f>Nlesafskaering</f>
        <v>59.6</v>
      </c>
      <c r="HK76" s="241">
        <f>Teknologi1</f>
        <v>2455</v>
      </c>
      <c r="HL76" s="6">
        <v>2001</v>
      </c>
      <c r="HM76" s="241">
        <f>Teknologi2</f>
        <v>1962.2</v>
      </c>
      <c r="HN76" s="241">
        <f>Tandel</f>
        <v>0.54659999999999997</v>
      </c>
      <c r="HO76" s="241" t="e">
        <f>IF(OR(HI76&gt;0,HI76=0),HJ76+HK76/(HL76-HM76),HJ76+HK76/(HL76-HM76)+HN76*HI76)</f>
        <v>#N/A</v>
      </c>
      <c r="HP76" s="241" t="e">
        <f>IF(HI76&gt;0,HI76,0.001)</f>
        <v>#N/A</v>
      </c>
      <c r="HQ76" s="241">
        <v>1.5020000000000001E-3</v>
      </c>
      <c r="HR76" s="24">
        <f>IF(R76=1,0,VLOOKUP(PostnrNbal,AfstromData,VLOOKUP($R76,Afgr,Data!$DL$3)+IF(Jordtype1&lt;7,Jordtype1,6),FALSE)-VLOOKUP(T76,Efgr,Data!$AA$53))</f>
        <v>0</v>
      </c>
      <c r="HS76" s="24">
        <f>IF(Nbal!GA76&lt;&gt;"",Nbal!GA76,Regn2!HR76)</f>
        <v>0</v>
      </c>
      <c r="HT76" s="241">
        <v>5.5400000000000002E-4</v>
      </c>
      <c r="HU76" s="24">
        <f>IF(R76=1,0,VLOOKUP(PostnrNbal,AfstromData,VLOOKUP($O76,Afgr,Data!$DL$3)+IF(B76&lt;7,B76,6),FALSE)-VLOOKUP(P76,Efgr,Data!$AA$53))</f>
        <v>0</v>
      </c>
      <c r="HV76" s="24">
        <f>IF(Nbal!FU76&lt;&gt;"",Nbal!FU76,Regn2!HU76)</f>
        <v>0</v>
      </c>
      <c r="HW76" s="241">
        <v>0.10639999999999999</v>
      </c>
      <c r="HX76" s="6">
        <f>VLOOKUP(B76,Jordtype,Data!$W$112)</f>
        <v>3</v>
      </c>
      <c r="HY76" s="241">
        <v>3.2500000000000001E-2</v>
      </c>
      <c r="HZ76" s="6">
        <f>VLOOKUP(B76,Jordtype,Data!$X$112)</f>
        <v>12</v>
      </c>
      <c r="IA76" s="241">
        <v>1.2453000000000001</v>
      </c>
      <c r="IB76" s="241">
        <f>IF(VLOOKUP(T76,Efgr,Data!$AO$53)=1,MlafgrNUdvask,0)</f>
        <v>0</v>
      </c>
      <c r="IC76" s="20">
        <f>IF(ISERROR((HO76+POWER(HP76,1.2))*(1-EXP(-HQ76*HS76))*EXP(-HT76*HV76)*EXP(-HW76*HX76)*EXP(-HY76*HZ76)*IA76),0,(HO76+POWER(HP76,1.2))*(1-EXP(-HQ76*HS76))*EXP(-HT76*HV76)*EXP(-HW76*HX76)*EXP(-HY76*HZ76)*IA76+IB76)</f>
        <v>0</v>
      </c>
      <c r="ID76">
        <f>IC76*Z76</f>
        <v>0</v>
      </c>
      <c r="IE76">
        <f>IF(Nbal!GF76&lt;&gt;"",Nbal!GF76,RetentionNbal)</f>
        <v>65</v>
      </c>
      <c r="IF76">
        <f>IC76*(100-IE76)*0.01</f>
        <v>0</v>
      </c>
      <c r="IG76">
        <f>IF76*Z76</f>
        <v>0</v>
      </c>
      <c r="IH76" s="2">
        <f>HS76*10000</f>
        <v>0</v>
      </c>
      <c r="II76" s="2">
        <f>IH76*Z76</f>
        <v>0</v>
      </c>
      <c r="IJ76">
        <f>IF(ISERROR(IC76*1000*1000/IH76),0,IC76*1000*1000/IH76)</f>
        <v>0</v>
      </c>
      <c r="IL76">
        <f>AT76+AX76+BK76+BU76</f>
        <v>0</v>
      </c>
      <c r="IO76">
        <f>VLOOKUP(R76,Afgr,Data!$AP$3)*UdsaedJust</f>
        <v>0</v>
      </c>
      <c r="IP76" s="3">
        <f>IF(Nbal!GN76&lt;&gt;"",Nbal!GN76,IO76)</f>
        <v>0</v>
      </c>
      <c r="IQ76" s="3">
        <f>IP76*Z76</f>
        <v>0</v>
      </c>
      <c r="IS76" s="3">
        <f>IF(HdgVaerdiNbal=1,(BZ76+CA76)*Npris,(BZ76+CA76+CJ76+CK76)*Npris)</f>
        <v>0</v>
      </c>
      <c r="IT76" s="3">
        <f>IS76*Z76</f>
        <v>0</v>
      </c>
      <c r="IV76">
        <f>VLOOKUP($R76,Afgr,Data!$BA$3)</f>
        <v>0</v>
      </c>
      <c r="IW76">
        <f>VLOOKUP($R76,Afgr,Data!$BB$3)</f>
        <v>0</v>
      </c>
      <c r="IX76">
        <f>$DS76+$EE76</f>
        <v>0</v>
      </c>
      <c r="IY76">
        <f>CT76</f>
        <v>0</v>
      </c>
      <c r="IZ76">
        <f>CQ76</f>
        <v>0</v>
      </c>
      <c r="JA76" s="3">
        <f>IF(HdgVaerdiNbal=1,(IZ76)*Ppris,(IY76+IZ76)*Ppris)</f>
        <v>0</v>
      </c>
      <c r="JB76" s="3">
        <f>JA76*Z76</f>
        <v>0</v>
      </c>
      <c r="JD76">
        <f>IF(AND(R76&gt;1,OR(Jordtype1=1,Jordtype1=3,Markvand1=2)),Kudvask,0)</f>
        <v>0</v>
      </c>
      <c r="JE76">
        <f>$DV76+$EH76</f>
        <v>0</v>
      </c>
      <c r="JF76">
        <f>DB76</f>
        <v>0</v>
      </c>
      <c r="JG76">
        <f>CY76</f>
        <v>0</v>
      </c>
      <c r="JH76" s="3">
        <f>IF(HdgVaerdiNbal=1,JG76*Kpris,(JF76+JG76)*Kpris)</f>
        <v>0</v>
      </c>
      <c r="JI76" s="3">
        <f>JH76*Z76</f>
        <v>0</v>
      </c>
      <c r="JK76">
        <f>IS76+JA76+JH76</f>
        <v>0</v>
      </c>
      <c r="JL76" s="3">
        <f>IF(Nbal!GT76&lt;&gt;"",Nbal!GT76,$JK76)</f>
        <v>0</v>
      </c>
      <c r="JM76" s="3">
        <f>JL76*Z76</f>
        <v>0</v>
      </c>
      <c r="JO76">
        <f>VLOOKUP(R76,Afgr,Data!$AQ$3)*PlantevJust</f>
        <v>0</v>
      </c>
      <c r="JP76" s="3">
        <f>IF(Nbal!GZ76&lt;&gt;"",Nbal!GZ76,JO76)</f>
        <v>0</v>
      </c>
      <c r="JQ76" s="3">
        <f>JP76*Z76</f>
        <v>0</v>
      </c>
      <c r="JS76">
        <f>VLOOKUP(R76,Afgr,Data!$AR$3)+AM76*VLOOKUP(R76,Afgr,Data!$BH$3)</f>
        <v>0</v>
      </c>
      <c r="JT76" s="3">
        <f>IF(Nbal!HF76&lt;&gt;"",Nbal!HF76,JS76)</f>
        <v>0</v>
      </c>
      <c r="JU76">
        <f>JT76*Z76</f>
        <v>0</v>
      </c>
      <c r="JW76">
        <f>IP76+JL76+JP76+JT76</f>
        <v>0</v>
      </c>
      <c r="JY76">
        <f>IF(VLOOKUP(R76,Afgr,Data!$BY$3)&gt;0,Data!$K$259*J76,0)</f>
        <v>0</v>
      </c>
      <c r="JZ76">
        <f>IF(VLOOKUP(R76,Afgr,Data!$BZ$3)&gt;0,Data!$K$260*J76,0)</f>
        <v>0</v>
      </c>
      <c r="KA76">
        <f>(JY76+JZ76)*MaskJust</f>
        <v>0</v>
      </c>
      <c r="KB76" s="3">
        <f>IF(Nbal!HL76&lt;&gt;"",Nbal!HL76,KA76)</f>
        <v>0</v>
      </c>
      <c r="KC76" s="3">
        <f>KB76*Z76</f>
        <v>0</v>
      </c>
      <c r="KE76">
        <f>IF(VLOOKUP(R76,Afgr,Data!$CA$3)&gt;0,VLOOKUP(R76,Afgr,Data!$CA$3)*Data!$K$261*K76,0)</f>
        <v>0</v>
      </c>
      <c r="KF76">
        <f>IF(VLOOKUP(R76,Afgr,Data!$CC$3)&gt;0,Data!$K$262*K76,0)</f>
        <v>0</v>
      </c>
      <c r="KG76">
        <f>IF(VLOOKUP(R76,Afgr,Data!$CD$3)&gt;0,VLOOKUP(R76,Afgr,Data!$CD$3)*Data!$K$263*K76,0)</f>
        <v>0</v>
      </c>
      <c r="KH76">
        <f>IF(VLOOKUP(R76,Afgr,Data!$CE$3)&gt;0,Data!$K$264*K76,0)</f>
        <v>0</v>
      </c>
      <c r="KI76">
        <f>IF(VLOOKUP(R76,Afgr,Data!$CF$3)&gt;0,Data!$K$265*K76,0)</f>
        <v>0</v>
      </c>
      <c r="KJ76">
        <f>IF(VLOOKUP(R76,Afgr,Data!$CV$3)&gt;0,Data!$K$266,0)</f>
        <v>0</v>
      </c>
      <c r="KK76">
        <f>IF(VLOOKUP(R76,Afgr,Data!$CG$3)&gt;0,Data!$K$267*K76,0)</f>
        <v>0</v>
      </c>
      <c r="KL76">
        <f>(KE76+KF76+KG76+KH76+KI76+KJ76+KK76)*MaskJust</f>
        <v>0</v>
      </c>
      <c r="KM76" s="3">
        <f>IF(Nbal!HR76&lt;&gt;"",Nbal!HR76,KL76)</f>
        <v>0</v>
      </c>
      <c r="KN76" s="3">
        <f>KM76*Z76</f>
        <v>0</v>
      </c>
      <c r="KP76">
        <f>IF(VLOOKUP(R76,Afgr,Data!$CJ$3)&gt;0,VLOOKUP(R76,Afgr,Data!$CJ$3)*Data!$K$268*K76,0)*MaskJust</f>
        <v>0</v>
      </c>
      <c r="KQ76" s="3">
        <f>IF(Nbal!HX76&lt;&gt;"",Nbal!HX76,KP76)</f>
        <v>0</v>
      </c>
      <c r="KR76" s="3">
        <f>KQ76*Z76</f>
        <v>0</v>
      </c>
      <c r="KT76">
        <f>IF(VLOOKUP(R76,Afgr,Data!$CI$3)&gt;0,VLOOKUP(R76,Afgr,Data!$CI$3)*Data!$K$269,0)*MaskJust</f>
        <v>0</v>
      </c>
      <c r="KU76" s="3">
        <f>IF(Nbal!ID76&lt;&gt;"",Nbal!ID76,KT76)</f>
        <v>0</v>
      </c>
      <c r="KV76" s="3">
        <f>KU76*Z76</f>
        <v>0</v>
      </c>
      <c r="KX76">
        <f>IF(C76=2,VLOOKUP($R76,Afgr,Data!$CY$3),0)</f>
        <v>0</v>
      </c>
      <c r="KY76">
        <f>IF(Nbal!IJ76&lt;&gt;"",Nbal!IJ76,$KX76)</f>
        <v>0</v>
      </c>
      <c r="KZ76">
        <f>IF(AND(R76&gt;1,C76=2),Vandmaskin+$KY76*Flytning/mmprgang+$KY76*Prisprmm,0)</f>
        <v>0</v>
      </c>
      <c r="LA76" s="3">
        <f>IF(Nbal!IP76&lt;&gt;"",Nbal!IP76,$KZ76)</f>
        <v>0</v>
      </c>
      <c r="LB76" s="3">
        <f>LA76*Z76</f>
        <v>0</v>
      </c>
      <c r="LD76">
        <f>IF(VLOOKUP($R76,Afgr,Data!$CK$3)&gt;0,((1+AM76/VLOOKUP($R76,Afgr,Data!$CK$3))/2)*VLOOKUP($R76,Afgr,Data!$CL$3)*VLOOKUP($R76,Afgr,Data!$CN$3)+VLOOKUP($R76,Afgr,Data!$CM$3),0)</f>
        <v>0</v>
      </c>
      <c r="LE76">
        <f>IF(VLOOKUP($R76,Afgr,Data!$CK$3)&gt;0,IF(AND($S76=2,$BA76&gt;0),Data!$K$271,0),0)</f>
        <v>0</v>
      </c>
      <c r="LF76">
        <f>IF(VLOOKUP($R76,Afgr,Data!$CK$3)&gt;0,(AM76/VLOOKUP($R76,Afgr,Data!$CK$3))*VLOOKUP($R76,Afgr,Data!$CO$3)*VLOOKUP($R76,Afgr,Data!$CN$3),0)</f>
        <v>0</v>
      </c>
      <c r="LG76">
        <f>(LD76+LE76+LF76)*MaskJust</f>
        <v>0</v>
      </c>
      <c r="LH76" s="3">
        <f>IF(Nbal!IV76&lt;&gt;"",Nbal!IV76,LG76)</f>
        <v>0</v>
      </c>
      <c r="LI76" s="3">
        <f>LH76*Z76</f>
        <v>0</v>
      </c>
      <c r="LJ76" s="3"/>
      <c r="LK76">
        <f>IF(AND($S76=1,VLOOKUP($R76,Afgr,Data!$CP$3)&gt;0),((1+$BC76/VLOOKUP($R76,Afgr,Data!$CP$3))/2)*VLOOKUP($R76,Afgr,Data!$CQ$3),0)</f>
        <v>0</v>
      </c>
      <c r="LL76">
        <f>IF(AND($S76=1,VLOOKUP($R76,Afgr,Data!$CP$3)&gt;0),($BC76/VLOOKUP($R76,Afgr,Data!$CP$3))*VLOOKUP($R76,Afgr,Data!$CR$3),0)</f>
        <v>0</v>
      </c>
      <c r="LM76">
        <f>(LK76+LL76)*MaskJust</f>
        <v>0</v>
      </c>
      <c r="LN76" s="3">
        <f>IF(Nbal!JB76&lt;&gt;"",Nbal!JB76,LM76)</f>
        <v>0</v>
      </c>
      <c r="LO76" s="3">
        <f>LN76*Z76</f>
        <v>0</v>
      </c>
      <c r="LQ76">
        <f>$AM76*VLOOKUP($R76,Afgr,Data!$CS$3)*IF($V76=1,VLOOKUP($R76,Afgr,Data!$CT$3),IF($V76=2,VLOOKUP($R76,Afgr,Data!$CU$3),0))</f>
        <v>0</v>
      </c>
      <c r="LR76" s="3">
        <f>IF(Nbal!JK76&lt;&gt;"",Nbal!JK76,LQ76)</f>
        <v>0</v>
      </c>
      <c r="LS76" s="3">
        <f>LR76*Z76</f>
        <v>0</v>
      </c>
      <c r="LU76">
        <f>VLOOKUP($T76,Efgr,Data!$AC$53)*UdsaedJust</f>
        <v>0</v>
      </c>
      <c r="LV76" s="3">
        <f>IF(Nbal!$JS76&lt;&gt;"",Nbal!$JS76,LU76)</f>
        <v>0</v>
      </c>
      <c r="LW76" s="3">
        <f>LV76*Z76</f>
        <v>0</v>
      </c>
      <c r="LY76" s="3">
        <f>IF(HdgVaerdiNbal=1,(CB76)*Npris,(CB76+CL76)*Npris)</f>
        <v>0</v>
      </c>
      <c r="LZ76" s="3">
        <f>LY76*Z76</f>
        <v>0</v>
      </c>
      <c r="MB76">
        <f>$EO76</f>
        <v>0</v>
      </c>
      <c r="MC76">
        <f>CU76</f>
        <v>0</v>
      </c>
      <c r="MD76">
        <f>CR76</f>
        <v>0</v>
      </c>
      <c r="ME76" s="3">
        <f>IF(HdgVaerdiNbal=1,MD76*Ppris,(MC76+MD76)*Ppris)</f>
        <v>0</v>
      </c>
      <c r="MF76" s="3">
        <f>ME76*Z76</f>
        <v>0</v>
      </c>
      <c r="MH76">
        <f>$ER76</f>
        <v>0</v>
      </c>
      <c r="MI76">
        <f>DC76</f>
        <v>0</v>
      </c>
      <c r="MJ76">
        <f>CZ76</f>
        <v>0</v>
      </c>
      <c r="MK76" s="3">
        <f>IF(HdgVaerdiNbal=1,MJ76*Ppris,(MI76+MJ76)*Ppris)</f>
        <v>0</v>
      </c>
      <c r="ML76" s="3">
        <f>MK76*Z76</f>
        <v>0</v>
      </c>
      <c r="MN76">
        <f>LY76+ME76+MK76</f>
        <v>0</v>
      </c>
      <c r="MO76" s="3">
        <f>IF(Nbal!JY76&lt;&gt;"",Nbal!JY76,$MN76)</f>
        <v>0</v>
      </c>
      <c r="MP76" s="3">
        <f>MO76*Z76</f>
        <v>0</v>
      </c>
      <c r="MR76">
        <f>VLOOKUP($T76,Efgr,Data!$AE$53)*PlantevJust</f>
        <v>0</v>
      </c>
      <c r="MS76" s="3">
        <f>IF(Nbal!KE76&lt;&gt;"",Nbal!KE76,MR76)</f>
        <v>0</v>
      </c>
      <c r="MT76" s="3">
        <f>MS76*Z76</f>
        <v>0</v>
      </c>
      <c r="MV76">
        <f>VLOOKUP($T76,Efgr,Data!$AF$53)+$BR76*VLOOKUP($T76,Efgr,Data!$AL$53)</f>
        <v>0</v>
      </c>
      <c r="MW76" s="3">
        <f>IF(Nbal!KK76&lt;&gt;"",Nbal!KK76,MV76)</f>
        <v>0</v>
      </c>
      <c r="MX76" s="3">
        <f>MW76*Z76</f>
        <v>0</v>
      </c>
      <c r="MZ76">
        <f>LV76+MO76+MS76+MW76</f>
        <v>0</v>
      </c>
      <c r="NB76">
        <f>VLOOKUP($T76,Efgr,Data!$AU$53)*K76*MaskJust</f>
        <v>0</v>
      </c>
      <c r="NC76" s="3">
        <f>IF(Nbal!KQ76&lt;&gt;"",Nbal!KQ76,NB76)</f>
        <v>0</v>
      </c>
      <c r="ND76" s="3">
        <f>NC76*Z76</f>
        <v>0</v>
      </c>
      <c r="NF76">
        <f>VLOOKUP($T76,Efgr,Data!$AW$53)*Data!$K$268*K76*MaskJust</f>
        <v>0</v>
      </c>
      <c r="NG76" s="3">
        <f>IF(Nbal!KW76&lt;&gt;"",Nbal!KW76,NF76)</f>
        <v>0</v>
      </c>
      <c r="NH76" s="3">
        <f>NG76*Z76</f>
        <v>0</v>
      </c>
      <c r="NJ76">
        <f>VLOOKUP($T76,Efgr,Data!$AV$53)*Data!$K$269*MaskJust</f>
        <v>0</v>
      </c>
      <c r="NK76" s="3">
        <f>IF(Nbal!LC76&lt;&gt;"",Nbal!LC76,NJ76)</f>
        <v>0</v>
      </c>
      <c r="NL76" s="3">
        <f>NK76*Z76</f>
        <v>0</v>
      </c>
      <c r="NN76">
        <f>IF(C76=2,VLOOKUP($T76,Efgr,Data!$BC$53),0)</f>
        <v>0</v>
      </c>
      <c r="NO76">
        <f>IF(Nbal!LI76&lt;&gt;"",Nbal!LI76,$NN76)</f>
        <v>0</v>
      </c>
      <c r="NP76">
        <f>IF(C76=2,$NO76*Flytning/mmprgang+$NO76*Prisprmm,0)</f>
        <v>0</v>
      </c>
      <c r="NQ76" s="3">
        <f>IF(Nbal!LO76&lt;&gt;"",Nbal!LO76,$NP76)</f>
        <v>0</v>
      </c>
      <c r="NR76" s="3">
        <f>NQ76*Z76</f>
        <v>0</v>
      </c>
      <c r="NT76">
        <f>IF(VLOOKUP($T76,Efgr,Data!$AX$53)&gt;0,((1+BR76/VLOOKUP($T76,Efgr,Data!$AX$53))/2)*VLOOKUP($T76,Efgr,Data!$AY$53)*VLOOKUP($T76,Efgr,Data!$BA$53)+VLOOKUP($T76,Efgr,Data!$AZ$53),0)</f>
        <v>0</v>
      </c>
      <c r="NU76">
        <f>IF(VLOOKUP($T76,Efgr,Data!$AX$53)&gt;0,($BR76/VLOOKUP($T76,Efgr,Data!$AX$53))*VLOOKUP($T76,Efgr,Data!$BB$53)*VLOOKUP($T76,Efgr,Data!$BA$53),0)</f>
        <v>0</v>
      </c>
      <c r="NV76">
        <f>(NT76+NU76)*MaskJust</f>
        <v>0</v>
      </c>
      <c r="NW76" s="3">
        <f>IF(Nbal!LU76&lt;&gt;"",Nbal!LU76,NV76)</f>
        <v>0</v>
      </c>
      <c r="NX76" s="3">
        <f>NW76*Z76</f>
        <v>0</v>
      </c>
      <c r="NZ76">
        <f>IF($U76=2,Data!$K$304,IF($U76=3,Data!$K$305,0))*MaskJust</f>
        <v>0</v>
      </c>
      <c r="OA76" s="3">
        <f>IF(Nbal!MA76&lt;&gt;"",Nbal!MA76,NZ76)</f>
        <v>0</v>
      </c>
      <c r="OB76" s="3">
        <f>OA76*Z76</f>
        <v>0</v>
      </c>
      <c r="OD76">
        <f>IL76</f>
        <v>0</v>
      </c>
      <c r="OE76">
        <f>JW76+MZ76</f>
        <v>0</v>
      </c>
      <c r="OF76">
        <f>OD76-OE76</f>
        <v>0</v>
      </c>
      <c r="OG76">
        <f>OF76*Z76</f>
        <v>0</v>
      </c>
      <c r="OJ76">
        <f>VLOOKUP($O76,Afgr,Data!$BP$3)+VLOOKUP($P76,Efgr,Data!$AM$53)</f>
        <v>0</v>
      </c>
      <c r="OK76" s="3">
        <f>OJ76*Z76</f>
        <v>0</v>
      </c>
      <c r="OL76">
        <f>VLOOKUP($R76,Afgr,Data!$BP$3)+VLOOKUP($T76,Efgr,Data!$AM$53)</f>
        <v>0</v>
      </c>
      <c r="OM76" s="3">
        <f>OL76*Z76</f>
        <v>0</v>
      </c>
      <c r="OO76">
        <f>VLOOKUP($P76,Efgr,Data!$AN$53)</f>
        <v>0</v>
      </c>
      <c r="OP76">
        <f>VLOOKUP($O76,Afgr,Data!$BQ$3)</f>
        <v>0</v>
      </c>
      <c r="OQ76">
        <f>VLOOKUP($R76,Afgr,Data!$BR$3)</f>
        <v>1</v>
      </c>
      <c r="OR76">
        <f>OO76*OP76*OQ76</f>
        <v>0</v>
      </c>
      <c r="OS76" s="3">
        <f>OR76*Z76</f>
        <v>0</v>
      </c>
      <c r="OT76" s="3">
        <f>IF(Q76,1,0)*OS76</f>
        <v>0</v>
      </c>
      <c r="OV76">
        <f>VLOOKUP($T76,Efgr,Data!$AN$53)</f>
        <v>0</v>
      </c>
      <c r="OW76">
        <f>VLOOKUP($R76,Afgr,Data!$BQ$3)</f>
        <v>0</v>
      </c>
      <c r="OX76">
        <f>VLOOKUP($X76,Afgr,Data!$BR$3)</f>
        <v>1</v>
      </c>
      <c r="OY76">
        <f>OV76*OW76*OX76</f>
        <v>0</v>
      </c>
      <c r="OZ76" s="3">
        <f>OY76*Z76</f>
        <v>0</v>
      </c>
      <c r="PB76">
        <f>VLOOKUP($T76,Efgr,Data!$AO$53)</f>
        <v>0</v>
      </c>
      <c r="PC76">
        <f>VLOOKUP($O76,Afgr,Data!$BQ$3)</f>
        <v>0</v>
      </c>
      <c r="PD76">
        <f>VLOOKUP($R76,Afgr,Data!$BS$3)</f>
        <v>0</v>
      </c>
      <c r="PE76" s="3">
        <f>PB76*PC76*PD76*$Z76</f>
        <v>0</v>
      </c>
      <c r="PG76">
        <f>VLOOKUP($T76,Efgr,Data!$AO$53)</f>
        <v>0</v>
      </c>
      <c r="PH76">
        <f>VLOOKUP($R76,Afgr,Data!$BQ$3)</f>
        <v>0</v>
      </c>
      <c r="PI76">
        <f>VLOOKUP($X76,Afgr,Data!$BS$3)</f>
        <v>0</v>
      </c>
      <c r="PJ76" s="3">
        <f>PG76*PH76*PI76*$Z76</f>
        <v>0</v>
      </c>
      <c r="PK76" s="3"/>
      <c r="PL76" s="3">
        <f>VLOOKUP($O76,Afgr,Data!$BU$3)</f>
        <v>0</v>
      </c>
      <c r="PM76" s="3">
        <f>PL76*Z76</f>
        <v>0</v>
      </c>
      <c r="PN76" s="3">
        <f>VLOOKUP($R76,Afgr,Data!$BU$3)</f>
        <v>0</v>
      </c>
      <c r="PO76" s="3">
        <f>PN76*Z76</f>
        <v>0</v>
      </c>
      <c r="PQ76">
        <f>VLOOKUP(R76,Afgr,Data!$BX$3)+VLOOKUP(T76,Efgr,Data!$AQ$53)</f>
        <v>0</v>
      </c>
      <c r="PR76">
        <f>IF(PQ76&gt;0,Z76,0)</f>
        <v>0</v>
      </c>
      <c r="PT76">
        <f>VLOOKUP($O76,Afgr,Data!$BT$3)</f>
        <v>0</v>
      </c>
      <c r="PU76" s="3">
        <f>PT76*Z76</f>
        <v>0</v>
      </c>
      <c r="PV76">
        <f>VLOOKUP($R76,Afgr,Data!$BT$3)</f>
        <v>0</v>
      </c>
      <c r="PW76" s="3">
        <f>PV76*Z76</f>
        <v>0</v>
      </c>
      <c r="PY76">
        <f>VLOOKUP($R76,Afgr,Data!$BV$3)</f>
        <v>0</v>
      </c>
      <c r="PZ76">
        <f>PY76*Z76</f>
        <v>0</v>
      </c>
      <c r="QB76">
        <f>VLOOKUP($R76,Afgr,Data!$BW$3)</f>
        <v>0</v>
      </c>
      <c r="QC76">
        <f>QB76*Z76</f>
        <v>0</v>
      </c>
      <c r="QE76">
        <f>AM76*IF(VLOOKUP($R76,Afgr,Data!$BJ$3)&gt;0,1,0)</f>
        <v>0</v>
      </c>
      <c r="QF76">
        <f>QE76*Z76</f>
        <v>0</v>
      </c>
      <c r="QH76">
        <f>AM76*VLOOKUP(R76,Afgr,Data!$BK$3)</f>
        <v>0</v>
      </c>
      <c r="QI76">
        <f>Z76*QH76</f>
        <v>0</v>
      </c>
      <c r="QJ76">
        <f>$AM76*VLOOKUP($R76,Afgr,Data!$BL$3)+$BR76*VLOOKUP($T76,Efgr,Data!$AP$53)</f>
        <v>0</v>
      </c>
      <c r="QK76">
        <f>QJ76*Z76</f>
        <v>0</v>
      </c>
      <c r="QL76">
        <f>$AM76*VLOOKUP($R76,Afgr,Data!$BM$3)</f>
        <v>0</v>
      </c>
      <c r="QM76">
        <f>QL76*Z76</f>
        <v>0</v>
      </c>
      <c r="QN76">
        <f>$AM76*VLOOKUP($R76,Afgr,Data!$BN$3)</f>
        <v>0</v>
      </c>
      <c r="QO76">
        <f>QN76*Z76</f>
        <v>0</v>
      </c>
      <c r="QR76">
        <f>IF(VLOOKUP($R76,Afgr,Data!$DA$3)="Vårbyg",$AN76,0)*VLOOKUP($R76,Afgr,Data!$BJ$3)</f>
        <v>0</v>
      </c>
      <c r="QS76">
        <f>IF(VLOOKUP($R76,Afgr,Data!$DA$3)="Vinterbyg",$AN76,0)*VLOOKUP($R76,Afgr,Data!$BJ$3)</f>
        <v>0</v>
      </c>
      <c r="QT76">
        <f>IF(VLOOKUP($R76,Afgr,Data!$DA$3)="Havre",$AN76,0)*VLOOKUP($R76,Afgr,Data!$BJ$3)</f>
        <v>0</v>
      </c>
      <c r="QU76">
        <f>IF(VLOOKUP($R76,Afgr,Data!$DA$3)="Hvede",$AN76,0)*VLOOKUP($R76,Afgr,Data!$BJ$3)</f>
        <v>0</v>
      </c>
      <c r="QV76">
        <f>IF(VLOOKUP($R76,Afgr,Data!$DA$3)="Triticale",$AN76,0)*VLOOKUP($R76,Afgr,Data!$BJ$3)</f>
        <v>0</v>
      </c>
      <c r="QW76">
        <f>IF(VLOOKUP($R76,Afgr,Data!$DA$3)="Rug",$AN76,0)*VLOOKUP($R76,Afgr,Data!$BJ$3)</f>
        <v>0</v>
      </c>
      <c r="QX76">
        <f>IF(VLOOKUP($R76,Afgr,Data!$DA$3)="Majs",$AN76,0)*VLOOKUP($R76,Afgr,Data!$BJ$3)</f>
        <v>0</v>
      </c>
      <c r="RA76">
        <f>IF(OV76+PB76&gt;0,1,0)</f>
        <v>0</v>
      </c>
      <c r="RB76">
        <f>RA76*LW76</f>
        <v>0</v>
      </c>
      <c r="RC76">
        <f>RA76*MT76</f>
        <v>0</v>
      </c>
      <c r="RD76">
        <f>ND76</f>
        <v>0</v>
      </c>
      <c r="RE76">
        <f>RA76*OB76</f>
        <v>0</v>
      </c>
      <c r="RH76">
        <f>VLOOKUP(B76,Jordtype,Data!$Y$112+DenitNr-1)</f>
        <v>7.25</v>
      </c>
      <c r="RI76">
        <f>FF76*VLOOKUP(B76,Jordtype,Data!$AB$112+DenitNr-1)</f>
        <v>0</v>
      </c>
      <c r="RJ76">
        <f>((CJ76+CK76+CL76+Regn2!CO76*0.7)-(RR76+RT76))*VLOOKUP(B76,Jordtype,Data!$AE$112+DenitNr-1)</f>
        <v>0</v>
      </c>
      <c r="RK76">
        <f>0*VLOOKUP(B76,Jordtype,Data!$AE$112+DenitNr-1)</f>
        <v>0</v>
      </c>
      <c r="RL76">
        <f>Regn2!FD76*VLOOKUP(B76,Jordtype,Data!$AH$112+DenitNr-1)</f>
        <v>0</v>
      </c>
      <c r="RM76" s="3">
        <f>RH76+RI76+RJ76+RK76+RL76</f>
        <v>7.25</v>
      </c>
      <c r="RO76">
        <v>2</v>
      </c>
      <c r="RP76">
        <f>(FF76)*RO76*0.01</f>
        <v>0</v>
      </c>
      <c r="RQ76">
        <v>7</v>
      </c>
      <c r="RR76">
        <f>CE76*RQ76*0.01</f>
        <v>0</v>
      </c>
      <c r="RS76">
        <v>7</v>
      </c>
      <c r="RT76">
        <f>(Regn2!CF76+Regn2!CG76)*RS76*0.01</f>
        <v>0</v>
      </c>
      <c r="RW76">
        <f>VLOOKUP(R76,Afgr,Data!$EE$3)</f>
        <v>0</v>
      </c>
      <c r="RX76" s="3">
        <f>RP76+RR76+RT76+RV76+RW76</f>
        <v>0</v>
      </c>
    </row>
    <row r="78" spans="1:492" x14ac:dyDescent="0.25">
      <c r="A78" s="214">
        <f>Nbal!B78</f>
        <v>0</v>
      </c>
      <c r="B78">
        <v>6</v>
      </c>
      <c r="C78">
        <v>1</v>
      </c>
      <c r="D78">
        <f>IF(C78=1,VLOOKUP(B78,Jordtype,Data!$K$112),VLOOKUP(B78,Jordtype,Data!$L$112))</f>
        <v>9</v>
      </c>
      <c r="E78">
        <f>IF(C78=1,VLOOKUP(B78,Jordtype,Data!$M$112),VLOOKUP(B78,Jordtype,Data!$N$112))</f>
        <v>14</v>
      </c>
      <c r="F78">
        <f>IF(OR(B78=1,B78=3),0,IF(OR(B78=2,B78=4),1,IF(OR(B78=5,B78=6),2,3)))</f>
        <v>2</v>
      </c>
      <c r="G78">
        <f>IF(C78=1,VLOOKUP(B78,Jordtype,Data!$Q$112),VLOOKUP(B78,Jordtype,Data!$R$112))</f>
        <v>25</v>
      </c>
      <c r="H78">
        <f>IF(C78=1,VLOOKUP(B78,Jordtype,Data!$O$112),VLOOKUP(B78,Jordtype,Data!$P$112))</f>
        <v>19</v>
      </c>
      <c r="I78">
        <f>IF(B78&lt;5,0,1)</f>
        <v>1</v>
      </c>
      <c r="J78">
        <f>IF(B78&lt;5,PlojJB,1)</f>
        <v>1</v>
      </c>
      <c r="K78">
        <f>IF(B78&lt;5,SaaJB,1)</f>
        <v>1</v>
      </c>
      <c r="L78">
        <f>IF(C78=1,VLOOKUP(B78,Jordtype,Data!$S$112),VLOOKUP(B78,Jordtype,Data!$T$112))</f>
        <v>8</v>
      </c>
      <c r="M78">
        <f>IF(C78=1,VLOOKUP(B78,Jordtype,Data!$U$112),VLOOKUP(B78,Jordtype,Data!$V$112))</f>
        <v>13</v>
      </c>
      <c r="O78">
        <v>1</v>
      </c>
      <c r="P78">
        <v>1</v>
      </c>
      <c r="Q78" t="b">
        <v>0</v>
      </c>
      <c r="R78">
        <v>1</v>
      </c>
      <c r="S78">
        <v>1</v>
      </c>
      <c r="T78">
        <v>1</v>
      </c>
      <c r="U78">
        <v>1</v>
      </c>
      <c r="V78">
        <v>1</v>
      </c>
      <c r="X78">
        <v>1</v>
      </c>
      <c r="Z78">
        <f>Nbal!AG78</f>
        <v>0</v>
      </c>
      <c r="AA78">
        <v>1</v>
      </c>
      <c r="AB78">
        <f>VLOOKUP($R78,Afgr,G78)</f>
        <v>0</v>
      </c>
      <c r="AC78">
        <f>VLOOKUP($O78,Afgr,Data!$AI$3)*VLOOKUP(R78,Afgr,Data!$AJ$3)</f>
        <v>0</v>
      </c>
      <c r="AD78">
        <f>IF($Q78,0,VLOOKUP($P78,Efgr,(Data!$W$53+$V$6-1)))</f>
        <v>0</v>
      </c>
      <c r="AE78">
        <f>AB78-AC78-AD78</f>
        <v>0</v>
      </c>
      <c r="AF78">
        <f>AE78*Z78</f>
        <v>0</v>
      </c>
      <c r="AH78">
        <f>VLOOKUP(R78,Afgr,D78)</f>
        <v>0</v>
      </c>
      <c r="AI78">
        <f>VLOOKUP(O78,Afgr,Data!$AL$3)*VLOOKUP(R78,Afgr,E78)</f>
        <v>0</v>
      </c>
      <c r="AJ78">
        <f>VLOOKUP(P78,Efgr,(Data!$Y$53+I78))</f>
        <v>0</v>
      </c>
      <c r="AK78">
        <f>AH78+AI78+AJ78</f>
        <v>0</v>
      </c>
      <c r="AL78">
        <f>AH78+AI78+AJ78</f>
        <v>0</v>
      </c>
      <c r="AM78" s="3">
        <f>IF(Nbal!CK78&lt;&gt;"",Nbal!CK78,AL78)</f>
        <v>0</v>
      </c>
      <c r="AN78">
        <f>AM78*Z78</f>
        <v>0</v>
      </c>
      <c r="AO78">
        <f>VLOOKUP(R78,Afgr,3)</f>
        <v>0</v>
      </c>
      <c r="AP78">
        <f>IF(AO78="FE",VLOOKUP($R78,Afgr,Data!$AV$3),0)</f>
        <v>0</v>
      </c>
      <c r="AR78">
        <f>VLOOKUP(R78,Afgr,4)</f>
        <v>0</v>
      </c>
      <c r="AS78" s="3">
        <f>IF(Nbal!CW78&lt;&gt;"",Nbal!CW78,AR78)</f>
        <v>0</v>
      </c>
      <c r="AT78" s="3">
        <f>AM78*AS78</f>
        <v>0</v>
      </c>
      <c r="AU78" s="3">
        <f>AN78*AS78</f>
        <v>0</v>
      </c>
      <c r="AW78">
        <f>VLOOKUP(R78,Afgr,Data!$AN$3)</f>
        <v>0</v>
      </c>
      <c r="AX78" s="3">
        <f>IF(Nbal!DC78&lt;&gt;"",Nbal!DC78,AW78)</f>
        <v>0</v>
      </c>
      <c r="AY78" s="3">
        <f>AX78*Z78</f>
        <v>0</v>
      </c>
      <c r="BA78">
        <f>VLOOKUP(R78,Afgr,H78)</f>
        <v>0</v>
      </c>
      <c r="BB78">
        <f>IF(ISERROR(BA78*AM78/AK78),0,(BA78*AM78/AK78))</f>
        <v>0</v>
      </c>
      <c r="BC78" s="3">
        <f>IF(Nbal!DI78&lt;&gt;"",Nbal!DI78,BB78)</f>
        <v>0</v>
      </c>
      <c r="BD78">
        <f>BC78*Z78</f>
        <v>0</v>
      </c>
      <c r="BG78">
        <f>IF($S78=1,BC78,0)</f>
        <v>0</v>
      </c>
      <c r="BH78">
        <f>IF($S78=1,BD78,0)</f>
        <v>0</v>
      </c>
      <c r="BI78">
        <f>VLOOKUP(R78,Afgr,Data!$AM$3)</f>
        <v>0</v>
      </c>
      <c r="BJ78">
        <f>IF(Nbal!DR78&lt;&gt;"",Nbal!DR78,BI78)</f>
        <v>0</v>
      </c>
      <c r="BK78">
        <f>BG78*BJ78</f>
        <v>0</v>
      </c>
      <c r="BL78">
        <f>BH78*BJ78</f>
        <v>0</v>
      </c>
      <c r="BN78">
        <f>VLOOKUP($T78,Efgr,M78)</f>
        <v>0</v>
      </c>
      <c r="BO78">
        <f>BN78*Z78</f>
        <v>0</v>
      </c>
      <c r="BQ78">
        <f>VLOOKUP(T78,Efgr,NormudbKolonneNrEfgr1)</f>
        <v>0</v>
      </c>
      <c r="BR78" s="3">
        <f>IF(Nbal!FE78&lt;&gt;"",Nbal!FE78,BQ78)</f>
        <v>0</v>
      </c>
      <c r="BS78">
        <f>BR78*Z78</f>
        <v>0</v>
      </c>
      <c r="BT78" t="s">
        <v>37</v>
      </c>
      <c r="BU78">
        <f>BR78*Efterslaetpris</f>
        <v>0</v>
      </c>
      <c r="BV78">
        <f>BS78*Efterslaetpris</f>
        <v>0</v>
      </c>
      <c r="BW78">
        <f>VLOOKUP(T78,Efgr,Data!$AG$53)</f>
        <v>0</v>
      </c>
      <c r="BX78">
        <f>BR78*BW78</f>
        <v>0</v>
      </c>
      <c r="BZ78">
        <f>Nbal!AQ78</f>
        <v>0</v>
      </c>
      <c r="CA78" s="211">
        <f>Nbal!AT78</f>
        <v>0</v>
      </c>
      <c r="CB78" s="2">
        <f>Nbal!DZ78</f>
        <v>0</v>
      </c>
      <c r="CC78" s="211">
        <f>Nbal!AT78+Nbal!DZ78</f>
        <v>0</v>
      </c>
      <c r="CD78" s="211">
        <f>Nbal!AX78</f>
        <v>0</v>
      </c>
      <c r="CE78">
        <f>Nbal!BH78</f>
        <v>0</v>
      </c>
      <c r="CF78" s="211">
        <f>Nbal!BM78</f>
        <v>0</v>
      </c>
      <c r="CG78" s="2">
        <f>Nbal!EI78</f>
        <v>0</v>
      </c>
      <c r="CH78" s="211">
        <f>Nbal!BM78+Nbal!EI78</f>
        <v>0</v>
      </c>
      <c r="CI78" s="211">
        <f>Nbal!BW78</f>
        <v>0</v>
      </c>
      <c r="CJ78" s="211">
        <f>Nbal!BH78*Nbal!BJ78*0.01</f>
        <v>0</v>
      </c>
      <c r="CK78" s="211">
        <f>(Nbal!BM78*Nbal!BP78*0.01)</f>
        <v>0</v>
      </c>
      <c r="CL78" s="211">
        <f>(Nbal!EI78*Nbal!EL78*0.01)</f>
        <v>0</v>
      </c>
      <c r="CM78" s="211">
        <f>(Nbal!BM78*Nbal!BP78*0.01)+(Nbal!EI78*Nbal!EL78*0.01)</f>
        <v>0</v>
      </c>
      <c r="CN78" s="211">
        <f>Nbal!BW78*Nbal!BY78*0.01</f>
        <v>0</v>
      </c>
      <c r="CO78">
        <f>Nbal!BT78+Nbal!ER78</f>
        <v>0</v>
      </c>
      <c r="CQ78">
        <f>Nbal!BA78</f>
        <v>0</v>
      </c>
      <c r="CR78">
        <f>Nbal!EC78</f>
        <v>0</v>
      </c>
      <c r="CS78">
        <f>(CQ78+CR78)*Z78</f>
        <v>0</v>
      </c>
      <c r="CT78">
        <f>Nbal!CB78</f>
        <v>0</v>
      </c>
      <c r="CU78">
        <f>Nbal!EV78</f>
        <v>0</v>
      </c>
      <c r="CV78">
        <f>(CT78+CU78)*Z78</f>
        <v>0</v>
      </c>
      <c r="CW78">
        <f>Nbal!BA78+Nbal!CB78+Nbal!EC78+Nbal!EV78</f>
        <v>0</v>
      </c>
      <c r="CY78">
        <f>Nbal!BD78</f>
        <v>0</v>
      </c>
      <c r="CZ78">
        <f>Nbal!EF78</f>
        <v>0</v>
      </c>
      <c r="DA78">
        <f>(CY78+CZ78)*Z78</f>
        <v>0</v>
      </c>
      <c r="DB78">
        <f>Nbal!CE78</f>
        <v>0</v>
      </c>
      <c r="DC78">
        <f>Nbal!EY78</f>
        <v>0</v>
      </c>
      <c r="DD78">
        <f>(DB78+DC78)*Z78</f>
        <v>0</v>
      </c>
      <c r="DE78">
        <f>Nbal!BD78+Nbal!CE78+Nbal!EF78+Nbal!EY78</f>
        <v>0</v>
      </c>
      <c r="DG78">
        <f>VLOOKUP($R78,Afgr,Data!$AW$3)</f>
        <v>0</v>
      </c>
      <c r="DH78">
        <f>IF($AO78="FE",$AM78*$AP78*$DG78*0.01,$AM78*100*$DM78*0.01*$DG78*0.01)</f>
        <v>0</v>
      </c>
      <c r="DI78">
        <f>IF(VLOOKUP(R78,Afgr,Data!$BO$3)=1,DH78,0)*Z78</f>
        <v>0</v>
      </c>
      <c r="DJ78" s="12">
        <f>(BZ78+CC78+CJ78-AE78)*VLOOKUP($R78,Afgr,Data!$AX$3)</f>
        <v>0</v>
      </c>
      <c r="DK78">
        <f>DG78+DJ78</f>
        <v>0</v>
      </c>
      <c r="DL78">
        <f>IF(Nbal!CQ78&lt;&gt;"",Nbal!CQ78,DK78)</f>
        <v>0</v>
      </c>
      <c r="DM78">
        <f>VLOOKUP(R78,Afgr,Data!$AT$3)</f>
        <v>0</v>
      </c>
      <c r="DN78">
        <f>IF($AO78="FE",$AM78*$AP78*$DL78*0.01,$AM78*100*$DM78*0.01*DL78*0.01)</f>
        <v>0</v>
      </c>
      <c r="DO78">
        <f>IF(VLOOKUP(R78,Afgr,Data!$BO$3)=1,DN78,0)*Z78</f>
        <v>0</v>
      </c>
      <c r="DP78">
        <f>IF(ISERROR(DN78/VLOOKUP(R78,Afgr,Data!$AY$3)),0,DN78/VLOOKUP(R78,Afgr,Data!$AY$3))</f>
        <v>0</v>
      </c>
      <c r="DQ78">
        <f>DP78*Z78</f>
        <v>0</v>
      </c>
      <c r="DS78">
        <f>IF($AO78="FE",$AM78*$AP78*VLOOKUP($R78,Afgr,Data!$BC$3)*0.001,$AM78*100*$DM78*0.01*VLOOKUP($R78,Afgr,Data!$BC$3)*0.001)</f>
        <v>0</v>
      </c>
      <c r="DT78">
        <f>DS78*Z78</f>
        <v>0</v>
      </c>
      <c r="DV78">
        <f>IF($AO78="FE",$AM78*$AP78*VLOOKUP($R78,Afgr,Data!$BF$3)*0.001,$AM78*100*$DM78*0.01*VLOOKUP($R78,Afgr,Data!$BF$3)*0.001)</f>
        <v>0</v>
      </c>
      <c r="DW78">
        <f>DV78*Z78</f>
        <v>0</v>
      </c>
      <c r="DY78">
        <f>IF(ISERROR(VLOOKUP(R78,Afgr,Data!$AZ$3)*DL78/DG78),0,VLOOKUP(R78,Afgr,Data!$AZ$3)*DL78/DG78)</f>
        <v>0</v>
      </c>
      <c r="DZ78">
        <f>VLOOKUP(R78,Afgr,Data!$AU$3)</f>
        <v>0</v>
      </c>
      <c r="EA78">
        <f>IF($S78=1,$BC78*$DZ78*0.01*DY78*0.01,0)</f>
        <v>0</v>
      </c>
      <c r="EB78">
        <f>EA78/6.25</f>
        <v>0</v>
      </c>
      <c r="EC78">
        <f>EB78*Z78</f>
        <v>0</v>
      </c>
      <c r="EE78">
        <f>IF($S78=1,$BC78*$DZ78*0.01*VLOOKUP($R78,Afgr,Data!$BD$3)*0.001,0)</f>
        <v>0</v>
      </c>
      <c r="EF78">
        <f>EE78*Z78</f>
        <v>0</v>
      </c>
      <c r="EH78">
        <f>IF($S78=1,$BC78*$DZ78*0.01*VLOOKUP($R78,Afgr,Data!$BG$3)*0.001,0)</f>
        <v>0</v>
      </c>
      <c r="EI78">
        <f>EH78*Z78</f>
        <v>0</v>
      </c>
      <c r="EK78">
        <f>VLOOKUP(T78,Efgr,Data!$AI$53)</f>
        <v>0</v>
      </c>
      <c r="EL78">
        <f>BX78*EK78*0.01/6.25</f>
        <v>0</v>
      </c>
      <c r="EM78">
        <f>EL78*Z78</f>
        <v>0</v>
      </c>
      <c r="EO78">
        <f>$BX78*VLOOKUP($T78,Efgr,Data!$AJ$53)*0.001</f>
        <v>0</v>
      </c>
      <c r="EP78">
        <f>EO78*Z78</f>
        <v>0</v>
      </c>
      <c r="ER78">
        <f>$BX78*VLOOKUP($T78,Efgr,Data!$AK$53)*0.001</f>
        <v>0</v>
      </c>
      <c r="ES78">
        <f>ER78*Z78</f>
        <v>0</v>
      </c>
      <c r="EU78">
        <f>IF(VLOOKUP(R78,Afgr,Data!$DS$3)=1,DP78*VLOOKUP(R78,Afgr,(Data!$DT$3+EftervirkningUdb1))*VLOOKUP(R78,Afgr,Data!$DV$3),0)</f>
        <v>0</v>
      </c>
      <c r="EV78">
        <f>IF(VLOOKUP(R78,Afgr,Data!$DS$3)=2,VLOOKUP(R78,Afgr,Data!$DX$3),0)</f>
        <v>0</v>
      </c>
      <c r="EW78">
        <f>IF(VLOOKUP(R78,Afgr,Data!$DS$3)=3,$DP78*VLOOKUP($R78,Afgr,IF(Jordtype1&lt;5,Data!$DT$3,Data!$DU$3))*VLOOKUP($R78,Afgr,Data!$DV$3),0)</f>
        <v>0</v>
      </c>
      <c r="EX78">
        <f>IF(VLOOKUP(R78,Afgr,Data!$DS$3)=4,(1.232+0.00469*AM78*100+(0.000256*AM78*100+0.089)*60),0)</f>
        <v>0</v>
      </c>
      <c r="EY78" s="211">
        <f>BZ78+CA78+CJ78+CK78</f>
        <v>0</v>
      </c>
      <c r="EZ78">
        <f>IF(VLOOKUP($R78,Afgr,Data!$DS$3)=5,($AM78*0.02742-$AM78*0.0001*$EY78+$AM78*0.0000001111*$EY78*$EY78),0)</f>
        <v>0</v>
      </c>
      <c r="FA78" s="2">
        <f>CB78+CL78</f>
        <v>0</v>
      </c>
      <c r="FB78">
        <f>IF(VLOOKUP($T78,Efgr,Data!$BH$53)=5,($BR78*0.02742-$BR78*0.0001*$FA78+$BR78*0.0000001111*$FA78*$FA78),0)</f>
        <v>0</v>
      </c>
      <c r="FC78" s="3">
        <f>EU78+EV78+EW78+EX78+EZ78+FB78</f>
        <v>0</v>
      </c>
      <c r="FD78" s="3">
        <f>FC78*Z78</f>
        <v>0</v>
      </c>
      <c r="FF78" s="211">
        <f>BZ78+CC78</f>
        <v>0</v>
      </c>
      <c r="FG78" s="211">
        <f>FF78*Z78</f>
        <v>0</v>
      </c>
      <c r="FH78" s="211">
        <f>CE78+CH78+CO78</f>
        <v>0</v>
      </c>
      <c r="FI78" s="211">
        <f>FH78*Z78</f>
        <v>0</v>
      </c>
      <c r="FJ78">
        <f>VLOOKUP($R78,Afgr,Data!$DK$3)*VLOOKUP($R78,Afgr,Data!$AT$3)*0.01*VLOOKUP($R78,Afgr,Data!$AW$3)*0.01/6.25</f>
        <v>0</v>
      </c>
      <c r="FK78">
        <f>FJ78*Z78</f>
        <v>0</v>
      </c>
      <c r="FL78" s="4">
        <f>IF(R78&gt;1,Deposition,0)</f>
        <v>0</v>
      </c>
      <c r="FM78" s="4">
        <f>FL78*Z78</f>
        <v>0</v>
      </c>
      <c r="FN78">
        <f>FC78</f>
        <v>0</v>
      </c>
      <c r="FO78">
        <f>FN78*Z78</f>
        <v>0</v>
      </c>
      <c r="FP78" s="211">
        <f>SUM(FF78,FH78,FJ78,FL78,FN78)</f>
        <v>0</v>
      </c>
      <c r="FQ78">
        <f>DP78+EB78+EL78</f>
        <v>0</v>
      </c>
      <c r="FR78" s="3">
        <f>FP78-FQ78</f>
        <v>0</v>
      </c>
      <c r="FS78" s="19">
        <f>FP78*Z78</f>
        <v>0</v>
      </c>
      <c r="FT78" s="19">
        <f>FQ78*Z78</f>
        <v>0</v>
      </c>
      <c r="FU78" s="3">
        <f>FR78*Z78</f>
        <v>0</v>
      </c>
      <c r="FW78">
        <f>CW78</f>
        <v>0</v>
      </c>
      <c r="FX78">
        <f>FW78*Z78</f>
        <v>0</v>
      </c>
      <c r="FY78">
        <f>IX78+MB78</f>
        <v>0</v>
      </c>
      <c r="FZ78">
        <f>FY78*Z78</f>
        <v>0</v>
      </c>
      <c r="GA78">
        <f>FW78-FY78</f>
        <v>0</v>
      </c>
      <c r="GB78">
        <f>GA78*Z78</f>
        <v>0</v>
      </c>
      <c r="GD78">
        <f>DE78</f>
        <v>0</v>
      </c>
      <c r="GE78">
        <f>GD78*Z78</f>
        <v>0</v>
      </c>
      <c r="GF78">
        <f>JE78+MH78</f>
        <v>0</v>
      </c>
      <c r="GG78">
        <f>GF78*Z78</f>
        <v>0</v>
      </c>
      <c r="GH78">
        <f>GD78-GF78</f>
        <v>0</v>
      </c>
      <c r="GI78">
        <f>GH78*Z78</f>
        <v>0</v>
      </c>
      <c r="GK78">
        <f>AA78</f>
        <v>1</v>
      </c>
      <c r="GL78" s="211">
        <f>FF78+FH78+FN78</f>
        <v>0</v>
      </c>
      <c r="GM78" s="211" t="str">
        <f>IF(R78=1,"",IF(GK78=1,GL78,""))</f>
        <v/>
      </c>
      <c r="GN78" s="211" t="str">
        <f>IF(R78=1,"",IF(GK78=2,GL78,""))</f>
        <v/>
      </c>
      <c r="GO78" s="211" t="str">
        <f>IF(R78=1,"",IF(GK78=3,GL78,""))</f>
        <v/>
      </c>
      <c r="GP78" s="211" t="str">
        <f>IF(R78=1,"",IF(GK78=4,GL78,""))</f>
        <v/>
      </c>
      <c r="GQ78" s="149">
        <f>IF(OR(R78=1,VLOOKUP(R78,Afgr,Data!$BV$3)=1,VLOOKUP(R78,Afgr,Data!$BW$3)=1),0,IF(GK78=1,Nniveau1,IF(GK78=2,Nniveau2,IF(GK78=3,Nniveau3,IF(GK78=4,Nniveau4,GL78)))))</f>
        <v>0</v>
      </c>
      <c r="GR78" s="241">
        <v>0.32550000000000001</v>
      </c>
      <c r="GS78" s="6">
        <v>0</v>
      </c>
      <c r="GT78" s="149">
        <f>CC78+CM78</f>
        <v>0</v>
      </c>
      <c r="GU78" s="6">
        <f>$FN78</f>
        <v>0</v>
      </c>
      <c r="GV78" s="241">
        <v>0.25280000000000002</v>
      </c>
      <c r="GW78">
        <f>CO78</f>
        <v>0</v>
      </c>
      <c r="GX78" s="241">
        <v>0.376</v>
      </c>
      <c r="GY78" s="149">
        <f>CD78+CN78</f>
        <v>0</v>
      </c>
      <c r="GZ78" s="241">
        <f>IF(B78&gt;3,0.3539,1.0749)</f>
        <v>0.35389999999999999</v>
      </c>
      <c r="HA78" s="11">
        <f>$FQ78</f>
        <v>0</v>
      </c>
      <c r="HB78" s="241">
        <v>0.19359999999999999</v>
      </c>
      <c r="HC78" s="241">
        <f>VLOOKUP($R78,Afgr,Data!$DM$3)</f>
        <v>0</v>
      </c>
      <c r="HD78" s="24">
        <f>IF($HC78&gt;1,0,(VLOOKUP($X78,Afgr,Data!$DP$3)+IF(VLOOKUP($X78,Afgr,Data!$DP$3)=0,VLOOKUP($T78,Efgr,Data!$BI$53,0))))+IF(AND($HC78=7,VLOOKUP($X78,Afgr,Data!$DQ$3)=-2),-2,0)+IF(AND($HC78=6,VLOOKUP($T78,Efgr,Data!$BI$53)=2),8,0)</f>
        <v>0</v>
      </c>
      <c r="HE78" s="6" t="e">
        <f>VLOOKUP(SUM(HC78:HD78),Nlesafgr,3)</f>
        <v>#N/A</v>
      </c>
      <c r="HF78" s="7">
        <f>VLOOKUP($O78,Afgr,Data!$DN$3)</f>
        <v>0</v>
      </c>
      <c r="HG78" s="24">
        <f>IF(HF78&gt;1,0,VLOOKUP($R78,Afgr,Data!$DO$3)+IF(VLOOKUP($R78,Afgr,Data!$DO$3)=1,0,VLOOKUP($P78,Efgr,Data!$BJ$53)))</f>
        <v>0</v>
      </c>
      <c r="HH78" s="6" t="e">
        <f>VLOOKUP(SUM(HF78:HG78),Nlesforfrugt,3)</f>
        <v>#N/A</v>
      </c>
      <c r="HI78" s="241" t="e">
        <f>GR78*GQ78+GV78*(GT78+GU78)+GX78*GW78+GZ78*GY78-HB78*HA78+HE78+HH78</f>
        <v>#N/A</v>
      </c>
      <c r="HJ78" s="241">
        <f>Nlesafskaering</f>
        <v>59.6</v>
      </c>
      <c r="HK78" s="241">
        <f>Teknologi1</f>
        <v>2455</v>
      </c>
      <c r="HL78" s="6">
        <v>2001</v>
      </c>
      <c r="HM78" s="241">
        <f>Teknologi2</f>
        <v>1962.2</v>
      </c>
      <c r="HN78" s="241">
        <f>Tandel</f>
        <v>0.54659999999999997</v>
      </c>
      <c r="HO78" s="241" t="e">
        <f>IF(OR(HI78&gt;0,HI78=0),HJ78+HK78/(HL78-HM78),HJ78+HK78/(HL78-HM78)+HN78*HI78)</f>
        <v>#N/A</v>
      </c>
      <c r="HP78" s="241" t="e">
        <f>IF(HI78&gt;0,HI78,0.001)</f>
        <v>#N/A</v>
      </c>
      <c r="HQ78" s="241">
        <v>1.5020000000000001E-3</v>
      </c>
      <c r="HR78" s="24">
        <f>IF(R78=1,0,VLOOKUP(PostnrNbal,AfstromData,VLOOKUP($R78,Afgr,Data!$DL$3)+IF(Jordtype1&lt;7,Jordtype1,6),FALSE)-VLOOKUP(T78,Efgr,Data!$AA$53))</f>
        <v>0</v>
      </c>
      <c r="HS78" s="24">
        <f>IF(Nbal!GA78&lt;&gt;"",Nbal!GA78,Regn2!HR78)</f>
        <v>0</v>
      </c>
      <c r="HT78" s="241">
        <v>5.5400000000000002E-4</v>
      </c>
      <c r="HU78" s="24">
        <f>IF(R78=1,0,VLOOKUP(PostnrNbal,AfstromData,VLOOKUP($O78,Afgr,Data!$DL$3)+IF(B78&lt;7,B78,6),FALSE)-VLOOKUP(P78,Efgr,Data!$AA$53))</f>
        <v>0</v>
      </c>
      <c r="HV78" s="24">
        <f>IF(Nbal!FU78&lt;&gt;"",Nbal!FU78,Regn2!HU78)</f>
        <v>0</v>
      </c>
      <c r="HW78" s="241">
        <v>0.10639999999999999</v>
      </c>
      <c r="HX78" s="6">
        <f>VLOOKUP(B78,Jordtype,Data!$W$112)</f>
        <v>3</v>
      </c>
      <c r="HY78" s="241">
        <v>3.2500000000000001E-2</v>
      </c>
      <c r="HZ78" s="6">
        <f>VLOOKUP(B78,Jordtype,Data!$X$112)</f>
        <v>12</v>
      </c>
      <c r="IA78" s="241">
        <v>1.2453000000000001</v>
      </c>
      <c r="IB78" s="241">
        <f>IF(VLOOKUP(T78,Efgr,Data!$AO$53)=1,MlafgrNUdvask,0)</f>
        <v>0</v>
      </c>
      <c r="IC78" s="20">
        <f>IF(ISERROR((HO78+POWER(HP78,1.2))*(1-EXP(-HQ78*HS78))*EXP(-HT78*HV78)*EXP(-HW78*HX78)*EXP(-HY78*HZ78)*IA78),0,(HO78+POWER(HP78,1.2))*(1-EXP(-HQ78*HS78))*EXP(-HT78*HV78)*EXP(-HW78*HX78)*EXP(-HY78*HZ78)*IA78+IB78)</f>
        <v>0</v>
      </c>
      <c r="ID78">
        <f>IC78*Z78</f>
        <v>0</v>
      </c>
      <c r="IE78">
        <f>IF(Nbal!GF78&lt;&gt;"",Nbal!GF78,RetentionNbal)</f>
        <v>65</v>
      </c>
      <c r="IF78">
        <f>IC78*(100-IE78)*0.01</f>
        <v>0</v>
      </c>
      <c r="IG78">
        <f>IF78*Z78</f>
        <v>0</v>
      </c>
      <c r="IH78" s="2">
        <f>HS78*10000</f>
        <v>0</v>
      </c>
      <c r="II78" s="2">
        <f>IH78*Z78</f>
        <v>0</v>
      </c>
      <c r="IJ78">
        <f>IF(ISERROR(IC78*1000*1000/IH78),0,IC78*1000*1000/IH78)</f>
        <v>0</v>
      </c>
      <c r="IL78">
        <f>AT78+AX78+BK78+BU78</f>
        <v>0</v>
      </c>
      <c r="IO78">
        <f>VLOOKUP(R78,Afgr,Data!$AP$3)*UdsaedJust</f>
        <v>0</v>
      </c>
      <c r="IP78" s="3">
        <f>IF(Nbal!GN78&lt;&gt;"",Nbal!GN78,IO78)</f>
        <v>0</v>
      </c>
      <c r="IQ78" s="3">
        <f>IP78*Z78</f>
        <v>0</v>
      </c>
      <c r="IS78" s="3">
        <f>IF(HdgVaerdiNbal=1,(BZ78+CA78)*Npris,(BZ78+CA78+CJ78+CK78)*Npris)</f>
        <v>0</v>
      </c>
      <c r="IT78" s="3">
        <f>IS78*Z78</f>
        <v>0</v>
      </c>
      <c r="IV78">
        <f>VLOOKUP($R78,Afgr,Data!$BA$3)</f>
        <v>0</v>
      </c>
      <c r="IW78">
        <f>VLOOKUP($R78,Afgr,Data!$BB$3)</f>
        <v>0</v>
      </c>
      <c r="IX78">
        <f>$DS78+$EE78</f>
        <v>0</v>
      </c>
      <c r="IY78">
        <f>CT78</f>
        <v>0</v>
      </c>
      <c r="IZ78">
        <f>CQ78</f>
        <v>0</v>
      </c>
      <c r="JA78" s="3">
        <f>IF(HdgVaerdiNbal=1,(IZ78)*Ppris,(IY78+IZ78)*Ppris)</f>
        <v>0</v>
      </c>
      <c r="JB78" s="3">
        <f>JA78*Z78</f>
        <v>0</v>
      </c>
      <c r="JD78">
        <f>IF(AND(R78&gt;1,OR(Jordtype1=1,Jordtype1=3,Markvand1=2)),Kudvask,0)</f>
        <v>0</v>
      </c>
      <c r="JE78">
        <f>$DV78+$EH78</f>
        <v>0</v>
      </c>
      <c r="JF78">
        <f>DB78</f>
        <v>0</v>
      </c>
      <c r="JG78">
        <f>CY78</f>
        <v>0</v>
      </c>
      <c r="JH78" s="3">
        <f>IF(HdgVaerdiNbal=1,JG78*Kpris,(JF78+JG78)*Kpris)</f>
        <v>0</v>
      </c>
      <c r="JI78" s="3">
        <f>JH78*Z78</f>
        <v>0</v>
      </c>
      <c r="JK78">
        <f>IS78+JA78+JH78</f>
        <v>0</v>
      </c>
      <c r="JL78" s="3">
        <f>IF(Nbal!GT78&lt;&gt;"",Nbal!GT78,$JK78)</f>
        <v>0</v>
      </c>
      <c r="JM78" s="3">
        <f>JL78*Z78</f>
        <v>0</v>
      </c>
      <c r="JO78">
        <f>VLOOKUP(R78,Afgr,Data!$AQ$3)*PlantevJust</f>
        <v>0</v>
      </c>
      <c r="JP78" s="3">
        <f>IF(Nbal!GZ78&lt;&gt;"",Nbal!GZ78,JO78)</f>
        <v>0</v>
      </c>
      <c r="JQ78" s="3">
        <f>JP78*Z78</f>
        <v>0</v>
      </c>
      <c r="JS78">
        <f>VLOOKUP(R78,Afgr,Data!$AR$3)+AM78*VLOOKUP(R78,Afgr,Data!$BH$3)</f>
        <v>0</v>
      </c>
      <c r="JT78" s="3">
        <f>IF(Nbal!HF78&lt;&gt;"",Nbal!HF78,JS78)</f>
        <v>0</v>
      </c>
      <c r="JU78">
        <f>JT78*Z78</f>
        <v>0</v>
      </c>
      <c r="JW78">
        <f>IP78+JL78+JP78+JT78</f>
        <v>0</v>
      </c>
      <c r="JY78">
        <f>IF(VLOOKUP(R78,Afgr,Data!$BY$3)&gt;0,Data!$K$259*J78,0)</f>
        <v>0</v>
      </c>
      <c r="JZ78">
        <f>IF(VLOOKUP(R78,Afgr,Data!$BZ$3)&gt;0,Data!$K$260*J78,0)</f>
        <v>0</v>
      </c>
      <c r="KA78">
        <f>(JY78+JZ78)*MaskJust</f>
        <v>0</v>
      </c>
      <c r="KB78" s="3">
        <f>IF(Nbal!HL78&lt;&gt;"",Nbal!HL78,KA78)</f>
        <v>0</v>
      </c>
      <c r="KC78" s="3">
        <f>KB78*Z78</f>
        <v>0</v>
      </c>
      <c r="KE78">
        <f>IF(VLOOKUP(R78,Afgr,Data!$CA$3)&gt;0,VLOOKUP(R78,Afgr,Data!$CA$3)*Data!$K$261*K78,0)</f>
        <v>0</v>
      </c>
      <c r="KF78">
        <f>IF(VLOOKUP(R78,Afgr,Data!$CC$3)&gt;0,Data!$K$262*K78,0)</f>
        <v>0</v>
      </c>
      <c r="KG78">
        <f>IF(VLOOKUP(R78,Afgr,Data!$CD$3)&gt;0,VLOOKUP(R78,Afgr,Data!$CD$3)*Data!$K$263*K78,0)</f>
        <v>0</v>
      </c>
      <c r="KH78">
        <f>IF(VLOOKUP(R78,Afgr,Data!$CE$3)&gt;0,Data!$K$264*K78,0)</f>
        <v>0</v>
      </c>
      <c r="KI78">
        <f>IF(VLOOKUP(R78,Afgr,Data!$CF$3)&gt;0,Data!$K$265*K78,0)</f>
        <v>0</v>
      </c>
      <c r="KJ78">
        <f>IF(VLOOKUP(R78,Afgr,Data!$CV$3)&gt;0,Data!$K$266,0)</f>
        <v>0</v>
      </c>
      <c r="KK78">
        <f>IF(VLOOKUP(R78,Afgr,Data!$CG$3)&gt;0,Data!$K$267*K78,0)</f>
        <v>0</v>
      </c>
      <c r="KL78">
        <f>(KE78+KF78+KG78+KH78+KI78+KJ78+KK78)*MaskJust</f>
        <v>0</v>
      </c>
      <c r="KM78" s="3">
        <f>IF(Nbal!HR78&lt;&gt;"",Nbal!HR78,KL78)</f>
        <v>0</v>
      </c>
      <c r="KN78" s="3">
        <f>KM78*Z78</f>
        <v>0</v>
      </c>
      <c r="KP78">
        <f>IF(VLOOKUP(R78,Afgr,Data!$CJ$3)&gt;0,VLOOKUP(R78,Afgr,Data!$CJ$3)*Data!$K$268*K78,0)*MaskJust</f>
        <v>0</v>
      </c>
      <c r="KQ78" s="3">
        <f>IF(Nbal!HX78&lt;&gt;"",Nbal!HX78,KP78)</f>
        <v>0</v>
      </c>
      <c r="KR78" s="3">
        <f>KQ78*Z78</f>
        <v>0</v>
      </c>
      <c r="KT78">
        <f>IF(VLOOKUP(R78,Afgr,Data!$CI$3)&gt;0,VLOOKUP(R78,Afgr,Data!$CI$3)*Data!$K$269,0)*MaskJust</f>
        <v>0</v>
      </c>
      <c r="KU78" s="3">
        <f>IF(Nbal!ID78&lt;&gt;"",Nbal!ID78,KT78)</f>
        <v>0</v>
      </c>
      <c r="KV78" s="3">
        <f>KU78*Z78</f>
        <v>0</v>
      </c>
      <c r="KX78">
        <f>IF(C78=2,VLOOKUP($R78,Afgr,Data!$CY$3),0)</f>
        <v>0</v>
      </c>
      <c r="KY78">
        <f>IF(Nbal!IJ78&lt;&gt;"",Nbal!IJ78,$KX78)</f>
        <v>0</v>
      </c>
      <c r="KZ78">
        <f>IF(AND(R78&gt;1,C78=2),Vandmaskin+$KY78*Flytning/mmprgang+$KY78*Prisprmm,0)</f>
        <v>0</v>
      </c>
      <c r="LA78" s="3">
        <f>IF(Nbal!IP78&lt;&gt;"",Nbal!IP78,$KZ78)</f>
        <v>0</v>
      </c>
      <c r="LB78" s="3">
        <f>LA78*Z78</f>
        <v>0</v>
      </c>
      <c r="LD78">
        <f>IF(VLOOKUP($R78,Afgr,Data!$CK$3)&gt;0,((1+AM78/VLOOKUP($R78,Afgr,Data!$CK$3))/2)*VLOOKUP($R78,Afgr,Data!$CL$3)*VLOOKUP($R78,Afgr,Data!$CN$3)+VLOOKUP($R78,Afgr,Data!$CM$3),0)</f>
        <v>0</v>
      </c>
      <c r="LE78">
        <f>IF(VLOOKUP($R78,Afgr,Data!$CK$3)&gt;0,IF(AND($S78=2,$BA78&gt;0),Data!$K$271,0),0)</f>
        <v>0</v>
      </c>
      <c r="LF78">
        <f>IF(VLOOKUP($R78,Afgr,Data!$CK$3)&gt;0,(AM78/VLOOKUP($R78,Afgr,Data!$CK$3))*VLOOKUP($R78,Afgr,Data!$CO$3)*VLOOKUP($R78,Afgr,Data!$CN$3),0)</f>
        <v>0</v>
      </c>
      <c r="LG78">
        <f>(LD78+LE78+LF78)*MaskJust</f>
        <v>0</v>
      </c>
      <c r="LH78" s="3">
        <f>IF(Nbal!IV78&lt;&gt;"",Nbal!IV78,LG78)</f>
        <v>0</v>
      </c>
      <c r="LI78" s="3">
        <f>LH78*Z78</f>
        <v>0</v>
      </c>
      <c r="LJ78" s="3"/>
      <c r="LK78">
        <f>IF(AND($S78=1,VLOOKUP($R78,Afgr,Data!$CP$3)&gt;0),((1+$BC78/VLOOKUP($R78,Afgr,Data!$CP$3))/2)*VLOOKUP($R78,Afgr,Data!$CQ$3),0)</f>
        <v>0</v>
      </c>
      <c r="LL78">
        <f>IF(AND($S78=1,VLOOKUP($R78,Afgr,Data!$CP$3)&gt;0),($BC78/VLOOKUP($R78,Afgr,Data!$CP$3))*VLOOKUP($R78,Afgr,Data!$CR$3),0)</f>
        <v>0</v>
      </c>
      <c r="LM78">
        <f>(LK78+LL78)*MaskJust</f>
        <v>0</v>
      </c>
      <c r="LN78" s="3">
        <f>IF(Nbal!JB78&lt;&gt;"",Nbal!JB78,LM78)</f>
        <v>0</v>
      </c>
      <c r="LO78" s="3">
        <f>LN78*Z78</f>
        <v>0</v>
      </c>
      <c r="LQ78">
        <f>$AM78*VLOOKUP($R78,Afgr,Data!$CS$3)*IF($V78=1,VLOOKUP($R78,Afgr,Data!$CT$3),IF($V78=2,VLOOKUP($R78,Afgr,Data!$CU$3),0))</f>
        <v>0</v>
      </c>
      <c r="LR78" s="3">
        <f>IF(Nbal!JK78&lt;&gt;"",Nbal!JK78,LQ78)</f>
        <v>0</v>
      </c>
      <c r="LS78" s="3">
        <f>LR78*Z78</f>
        <v>0</v>
      </c>
      <c r="LU78">
        <f>VLOOKUP($T78,Efgr,Data!$AC$53)*UdsaedJust</f>
        <v>0</v>
      </c>
      <c r="LV78" s="3">
        <f>IF(Nbal!$JS78&lt;&gt;"",Nbal!$JS78,LU78)</f>
        <v>0</v>
      </c>
      <c r="LW78" s="3">
        <f>LV78*Z78</f>
        <v>0</v>
      </c>
      <c r="LY78" s="3">
        <f>IF(HdgVaerdiNbal=1,(CB78)*Npris,(CB78+CL78)*Npris)</f>
        <v>0</v>
      </c>
      <c r="LZ78" s="3">
        <f>LY78*Z78</f>
        <v>0</v>
      </c>
      <c r="MB78">
        <f>$EO78</f>
        <v>0</v>
      </c>
      <c r="MC78">
        <f>CU78</f>
        <v>0</v>
      </c>
      <c r="MD78">
        <f>CR78</f>
        <v>0</v>
      </c>
      <c r="ME78" s="3">
        <f>IF(HdgVaerdiNbal=1,MD78*Ppris,(MC78+MD78)*Ppris)</f>
        <v>0</v>
      </c>
      <c r="MF78" s="3">
        <f>ME78*Z78</f>
        <v>0</v>
      </c>
      <c r="MH78">
        <f>$ER78</f>
        <v>0</v>
      </c>
      <c r="MI78">
        <f>DC78</f>
        <v>0</v>
      </c>
      <c r="MJ78">
        <f>CZ78</f>
        <v>0</v>
      </c>
      <c r="MK78" s="3">
        <f>IF(HdgVaerdiNbal=1,MJ78*Ppris,(MI78+MJ78)*Ppris)</f>
        <v>0</v>
      </c>
      <c r="ML78" s="3">
        <f>MK78*Z78</f>
        <v>0</v>
      </c>
      <c r="MN78">
        <f>LY78+ME78+MK78</f>
        <v>0</v>
      </c>
      <c r="MO78" s="3">
        <f>IF(Nbal!JY78&lt;&gt;"",Nbal!JY78,$MN78)</f>
        <v>0</v>
      </c>
      <c r="MP78" s="3">
        <f>MO78*Z78</f>
        <v>0</v>
      </c>
      <c r="MR78">
        <f>VLOOKUP($T78,Efgr,Data!$AE$53)*PlantevJust</f>
        <v>0</v>
      </c>
      <c r="MS78" s="3">
        <f>IF(Nbal!KE78&lt;&gt;"",Nbal!KE78,MR78)</f>
        <v>0</v>
      </c>
      <c r="MT78" s="3">
        <f>MS78*Z78</f>
        <v>0</v>
      </c>
      <c r="MV78">
        <f>VLOOKUP($T78,Efgr,Data!$AF$53)+$BR78*VLOOKUP($T78,Efgr,Data!$AL$53)</f>
        <v>0</v>
      </c>
      <c r="MW78" s="3">
        <f>IF(Nbal!KK78&lt;&gt;"",Nbal!KK78,MV78)</f>
        <v>0</v>
      </c>
      <c r="MX78" s="3">
        <f>MW78*Z78</f>
        <v>0</v>
      </c>
      <c r="MZ78">
        <f>LV78+MO78+MS78+MW78</f>
        <v>0</v>
      </c>
      <c r="NB78">
        <f>VLOOKUP($T78,Efgr,Data!$AU$53)*K78*MaskJust</f>
        <v>0</v>
      </c>
      <c r="NC78" s="3">
        <f>IF(Nbal!KQ78&lt;&gt;"",Nbal!KQ78,NB78)</f>
        <v>0</v>
      </c>
      <c r="ND78" s="3">
        <f>NC78*Z78</f>
        <v>0</v>
      </c>
      <c r="NF78">
        <f>VLOOKUP($T78,Efgr,Data!$AW$53)*Data!$K$268*K78*MaskJust</f>
        <v>0</v>
      </c>
      <c r="NG78" s="3">
        <f>IF(Nbal!KW78&lt;&gt;"",Nbal!KW78,NF78)</f>
        <v>0</v>
      </c>
      <c r="NH78" s="3">
        <f>NG78*Z78</f>
        <v>0</v>
      </c>
      <c r="NJ78">
        <f>VLOOKUP($T78,Efgr,Data!$AV$53)*Data!$K$269*MaskJust</f>
        <v>0</v>
      </c>
      <c r="NK78" s="3">
        <f>IF(Nbal!LC78&lt;&gt;"",Nbal!LC78,NJ78)</f>
        <v>0</v>
      </c>
      <c r="NL78" s="3">
        <f>NK78*Z78</f>
        <v>0</v>
      </c>
      <c r="NN78">
        <f>IF(C78=2,VLOOKUP($T78,Efgr,Data!$BC$53),0)</f>
        <v>0</v>
      </c>
      <c r="NO78">
        <f>IF(Nbal!LI78&lt;&gt;"",Nbal!LI78,$NN78)</f>
        <v>0</v>
      </c>
      <c r="NP78">
        <f>IF(C78=2,$NO78*Flytning/mmprgang+$NO78*Prisprmm,0)</f>
        <v>0</v>
      </c>
      <c r="NQ78" s="3">
        <f>IF(Nbal!LO78&lt;&gt;"",Nbal!LO78,$NP78)</f>
        <v>0</v>
      </c>
      <c r="NR78" s="3">
        <f>NQ78*Z78</f>
        <v>0</v>
      </c>
      <c r="NT78">
        <f>IF(VLOOKUP($T78,Efgr,Data!$AX$53)&gt;0,((1+BR78/VLOOKUP($T78,Efgr,Data!$AX$53))/2)*VLOOKUP($T78,Efgr,Data!$AY$53)*VLOOKUP($T78,Efgr,Data!$BA$53)+VLOOKUP($T78,Efgr,Data!$AZ$53),0)</f>
        <v>0</v>
      </c>
      <c r="NU78">
        <f>IF(VLOOKUP($T78,Efgr,Data!$AX$53)&gt;0,($BR78/VLOOKUP($T78,Efgr,Data!$AX$53))*VLOOKUP($T78,Efgr,Data!$BB$53)*VLOOKUP($T78,Efgr,Data!$BA$53),0)</f>
        <v>0</v>
      </c>
      <c r="NV78">
        <f>(NT78+NU78)*MaskJust</f>
        <v>0</v>
      </c>
      <c r="NW78" s="3">
        <f>IF(Nbal!LU78&lt;&gt;"",Nbal!LU78,NV78)</f>
        <v>0</v>
      </c>
      <c r="NX78" s="3">
        <f>NW78*Z78</f>
        <v>0</v>
      </c>
      <c r="NZ78">
        <f>IF($U78=2,Data!$K$304,IF($U78=3,Data!$K$305,0))*MaskJust</f>
        <v>0</v>
      </c>
      <c r="OA78" s="3">
        <f>IF(Nbal!MA78&lt;&gt;"",Nbal!MA78,NZ78)</f>
        <v>0</v>
      </c>
      <c r="OB78" s="3">
        <f>OA78*Z78</f>
        <v>0</v>
      </c>
      <c r="OD78">
        <f>IL78</f>
        <v>0</v>
      </c>
      <c r="OE78">
        <f>JW78+MZ78</f>
        <v>0</v>
      </c>
      <c r="OF78">
        <f>OD78-OE78</f>
        <v>0</v>
      </c>
      <c r="OG78">
        <f>OF78*Z78</f>
        <v>0</v>
      </c>
      <c r="OJ78">
        <f>VLOOKUP($O78,Afgr,Data!$BP$3)+VLOOKUP($P78,Efgr,Data!$AM$53)</f>
        <v>0</v>
      </c>
      <c r="OK78" s="3">
        <f>OJ78*Z78</f>
        <v>0</v>
      </c>
      <c r="OL78">
        <f>VLOOKUP($R78,Afgr,Data!$BP$3)+VLOOKUP($T78,Efgr,Data!$AM$53)</f>
        <v>0</v>
      </c>
      <c r="OM78" s="3">
        <f>OL78*Z78</f>
        <v>0</v>
      </c>
      <c r="OO78">
        <f>VLOOKUP($P78,Efgr,Data!$AN$53)</f>
        <v>0</v>
      </c>
      <c r="OP78">
        <f>VLOOKUP($O78,Afgr,Data!$BQ$3)</f>
        <v>0</v>
      </c>
      <c r="OQ78">
        <f>VLOOKUP($R78,Afgr,Data!$BR$3)</f>
        <v>1</v>
      </c>
      <c r="OR78">
        <f>OO78*OP78*OQ78</f>
        <v>0</v>
      </c>
      <c r="OS78" s="3">
        <f>OR78*Z78</f>
        <v>0</v>
      </c>
      <c r="OT78" s="3">
        <f>IF(Q78,1,0)*OS78</f>
        <v>0</v>
      </c>
      <c r="OV78">
        <f>VLOOKUP($T78,Efgr,Data!$AN$53)</f>
        <v>0</v>
      </c>
      <c r="OW78">
        <f>VLOOKUP($R78,Afgr,Data!$BQ$3)</f>
        <v>0</v>
      </c>
      <c r="OX78">
        <f>VLOOKUP($X78,Afgr,Data!$BR$3)</f>
        <v>1</v>
      </c>
      <c r="OY78">
        <f>OV78*OW78*OX78</f>
        <v>0</v>
      </c>
      <c r="OZ78" s="3">
        <f>OY78*Z78</f>
        <v>0</v>
      </c>
      <c r="PB78">
        <f>VLOOKUP($T78,Efgr,Data!$AO$53)</f>
        <v>0</v>
      </c>
      <c r="PC78">
        <f>VLOOKUP($O78,Afgr,Data!$BQ$3)</f>
        <v>0</v>
      </c>
      <c r="PD78">
        <f>VLOOKUP($R78,Afgr,Data!$BS$3)</f>
        <v>0</v>
      </c>
      <c r="PE78" s="3">
        <f>PB78*PC78*PD78*$Z78</f>
        <v>0</v>
      </c>
      <c r="PG78">
        <f>VLOOKUP($T78,Efgr,Data!$AO$53)</f>
        <v>0</v>
      </c>
      <c r="PH78">
        <f>VLOOKUP($R78,Afgr,Data!$BQ$3)</f>
        <v>0</v>
      </c>
      <c r="PI78">
        <f>VLOOKUP($X78,Afgr,Data!$BS$3)</f>
        <v>0</v>
      </c>
      <c r="PJ78" s="3">
        <f>PG78*PH78*PI78*$Z78</f>
        <v>0</v>
      </c>
      <c r="PK78" s="3"/>
      <c r="PL78" s="3">
        <f>VLOOKUP($O78,Afgr,Data!$BU$3)</f>
        <v>0</v>
      </c>
      <c r="PM78" s="3">
        <f>PL78*Z78</f>
        <v>0</v>
      </c>
      <c r="PN78" s="3">
        <f>VLOOKUP($R78,Afgr,Data!$BU$3)</f>
        <v>0</v>
      </c>
      <c r="PO78" s="3">
        <f>PN78*Z78</f>
        <v>0</v>
      </c>
      <c r="PQ78">
        <f>VLOOKUP(R78,Afgr,Data!$BX$3)+VLOOKUP(T78,Efgr,Data!$AQ$53)</f>
        <v>0</v>
      </c>
      <c r="PR78">
        <f>IF(PQ78&gt;0,Z78,0)</f>
        <v>0</v>
      </c>
      <c r="PT78">
        <f>VLOOKUP($O78,Afgr,Data!$BT$3)</f>
        <v>0</v>
      </c>
      <c r="PU78" s="3">
        <f>PT78*Z78</f>
        <v>0</v>
      </c>
      <c r="PV78">
        <f>VLOOKUP($R78,Afgr,Data!$BT$3)</f>
        <v>0</v>
      </c>
      <c r="PW78" s="3">
        <f>PV78*Z78</f>
        <v>0</v>
      </c>
      <c r="PY78">
        <f>VLOOKUP($R78,Afgr,Data!$BV$3)</f>
        <v>0</v>
      </c>
      <c r="PZ78">
        <f>PY78*Z78</f>
        <v>0</v>
      </c>
      <c r="QB78">
        <f>VLOOKUP($R78,Afgr,Data!$BW$3)</f>
        <v>0</v>
      </c>
      <c r="QC78">
        <f>QB78*Z78</f>
        <v>0</v>
      </c>
      <c r="QE78">
        <f>AM78*IF(VLOOKUP($R78,Afgr,Data!$BJ$3)&gt;0,1,0)</f>
        <v>0</v>
      </c>
      <c r="QF78">
        <f>QE78*Z78</f>
        <v>0</v>
      </c>
      <c r="QH78">
        <f>AM78*VLOOKUP(R78,Afgr,Data!$BK$3)</f>
        <v>0</v>
      </c>
      <c r="QI78">
        <f>Z78*QH78</f>
        <v>0</v>
      </c>
      <c r="QJ78">
        <f>$AM78*VLOOKUP($R78,Afgr,Data!$BL$3)+$BR78*VLOOKUP($T78,Efgr,Data!$AP$53)</f>
        <v>0</v>
      </c>
      <c r="QK78">
        <f>QJ78*Z78</f>
        <v>0</v>
      </c>
      <c r="QL78">
        <f>$AM78*VLOOKUP($R78,Afgr,Data!$BM$3)</f>
        <v>0</v>
      </c>
      <c r="QM78">
        <f>QL78*Z78</f>
        <v>0</v>
      </c>
      <c r="QN78">
        <f>$AM78*VLOOKUP($R78,Afgr,Data!$BN$3)</f>
        <v>0</v>
      </c>
      <c r="QO78">
        <f>QN78*Z78</f>
        <v>0</v>
      </c>
      <c r="QR78">
        <f>IF(VLOOKUP($R78,Afgr,Data!$DA$3)="Vårbyg",$AN78,0)*VLOOKUP($R78,Afgr,Data!$BJ$3)</f>
        <v>0</v>
      </c>
      <c r="QS78">
        <f>IF(VLOOKUP($R78,Afgr,Data!$DA$3)="Vinterbyg",$AN78,0)*VLOOKUP($R78,Afgr,Data!$BJ$3)</f>
        <v>0</v>
      </c>
      <c r="QT78">
        <f>IF(VLOOKUP($R78,Afgr,Data!$DA$3)="Havre",$AN78,0)*VLOOKUP($R78,Afgr,Data!$BJ$3)</f>
        <v>0</v>
      </c>
      <c r="QU78">
        <f>IF(VLOOKUP($R78,Afgr,Data!$DA$3)="Hvede",$AN78,0)*VLOOKUP($R78,Afgr,Data!$BJ$3)</f>
        <v>0</v>
      </c>
      <c r="QV78">
        <f>IF(VLOOKUP($R78,Afgr,Data!$DA$3)="Triticale",$AN78,0)*VLOOKUP($R78,Afgr,Data!$BJ$3)</f>
        <v>0</v>
      </c>
      <c r="QW78">
        <f>IF(VLOOKUP($R78,Afgr,Data!$DA$3)="Rug",$AN78,0)*VLOOKUP($R78,Afgr,Data!$BJ$3)</f>
        <v>0</v>
      </c>
      <c r="QX78">
        <f>IF(VLOOKUP($R78,Afgr,Data!$DA$3)="Majs",$AN78,0)*VLOOKUP($R78,Afgr,Data!$BJ$3)</f>
        <v>0</v>
      </c>
      <c r="RA78">
        <f>IF(OV78+PB78&gt;0,1,0)</f>
        <v>0</v>
      </c>
      <c r="RB78">
        <f>RA78*LW78</f>
        <v>0</v>
      </c>
      <c r="RC78">
        <f>RA78*MT78</f>
        <v>0</v>
      </c>
      <c r="RD78">
        <f>ND78</f>
        <v>0</v>
      </c>
      <c r="RE78">
        <f>RA78*OB78</f>
        <v>0</v>
      </c>
      <c r="RH78">
        <f>VLOOKUP(B78,Jordtype,Data!$Y$112+DenitNr-1)</f>
        <v>7.25</v>
      </c>
      <c r="RI78">
        <f>FF78*VLOOKUP(B78,Jordtype,Data!$AB$112+DenitNr-1)</f>
        <v>0</v>
      </c>
      <c r="RJ78">
        <f>((CJ78+CK78+CL78+Regn2!CO78*0.7)-(RR78+RT78))*VLOOKUP(B78,Jordtype,Data!$AE$112+DenitNr-1)</f>
        <v>0</v>
      </c>
      <c r="RK78">
        <f>0*VLOOKUP(B78,Jordtype,Data!$AE$112+DenitNr-1)</f>
        <v>0</v>
      </c>
      <c r="RL78">
        <f>Regn2!FD78*VLOOKUP(B78,Jordtype,Data!$AH$112+DenitNr-1)</f>
        <v>0</v>
      </c>
      <c r="RM78" s="3">
        <f>RH78+RI78+RJ78+RK78+RL78</f>
        <v>7.25</v>
      </c>
      <c r="RO78">
        <v>2</v>
      </c>
      <c r="RP78">
        <f>(FF78)*RO78*0.01</f>
        <v>0</v>
      </c>
      <c r="RQ78">
        <v>7</v>
      </c>
      <c r="RR78">
        <f>CE78*RQ78*0.01</f>
        <v>0</v>
      </c>
      <c r="RS78">
        <v>7</v>
      </c>
      <c r="RT78">
        <f>(Regn2!CF78+Regn2!CG78)*RS78*0.01</f>
        <v>0</v>
      </c>
      <c r="RW78">
        <f>VLOOKUP(R78,Afgr,Data!$EE$3)</f>
        <v>0</v>
      </c>
      <c r="RX78" s="3">
        <f>RP78+RR78+RT78+RV78+RW78</f>
        <v>0</v>
      </c>
    </row>
    <row r="80" spans="1:492" x14ac:dyDescent="0.25">
      <c r="A80" s="214">
        <f>Nbal!B80</f>
        <v>0</v>
      </c>
      <c r="B80">
        <v>6</v>
      </c>
      <c r="C80">
        <v>1</v>
      </c>
      <c r="D80">
        <f>IF(C80=1,VLOOKUP(B80,Jordtype,Data!$K$112),VLOOKUP(B80,Jordtype,Data!$L$112))</f>
        <v>9</v>
      </c>
      <c r="E80">
        <f>IF(C80=1,VLOOKUP(B80,Jordtype,Data!$M$112),VLOOKUP(B80,Jordtype,Data!$N$112))</f>
        <v>14</v>
      </c>
      <c r="F80">
        <f>IF(OR(B80=1,B80=3),0,IF(OR(B80=2,B80=4),1,IF(OR(B80=5,B80=6),2,3)))</f>
        <v>2</v>
      </c>
      <c r="G80">
        <f>IF(C80=1,VLOOKUP(B80,Jordtype,Data!$Q$112),VLOOKUP(B80,Jordtype,Data!$R$112))</f>
        <v>25</v>
      </c>
      <c r="H80">
        <f>IF(C80=1,VLOOKUP(B80,Jordtype,Data!$O$112),VLOOKUP(B80,Jordtype,Data!$P$112))</f>
        <v>19</v>
      </c>
      <c r="I80">
        <f>IF(B80&lt;5,0,1)</f>
        <v>1</v>
      </c>
      <c r="J80">
        <f>IF(B80&lt;5,PlojJB,1)</f>
        <v>1</v>
      </c>
      <c r="K80">
        <f>IF(B80&lt;5,SaaJB,1)</f>
        <v>1</v>
      </c>
      <c r="L80">
        <f>IF(C80=1,VLOOKUP(B80,Jordtype,Data!$S$112),VLOOKUP(B80,Jordtype,Data!$T$112))</f>
        <v>8</v>
      </c>
      <c r="M80">
        <f>IF(C80=1,VLOOKUP(B80,Jordtype,Data!$U$112),VLOOKUP(B80,Jordtype,Data!$V$112))</f>
        <v>13</v>
      </c>
      <c r="O80">
        <v>1</v>
      </c>
      <c r="P80">
        <v>1</v>
      </c>
      <c r="Q80" t="b">
        <v>0</v>
      </c>
      <c r="R80">
        <v>1</v>
      </c>
      <c r="S80">
        <v>1</v>
      </c>
      <c r="T80">
        <v>1</v>
      </c>
      <c r="U80">
        <v>1</v>
      </c>
      <c r="V80">
        <v>1</v>
      </c>
      <c r="X80">
        <v>1</v>
      </c>
      <c r="Z80">
        <f>Nbal!AG80</f>
        <v>0</v>
      </c>
      <c r="AA80">
        <v>1</v>
      </c>
      <c r="AB80">
        <f>VLOOKUP($R80,Afgr,G80)</f>
        <v>0</v>
      </c>
      <c r="AC80">
        <f>VLOOKUP($O80,Afgr,Data!$AI$3)*VLOOKUP(R80,Afgr,Data!$AJ$3)</f>
        <v>0</v>
      </c>
      <c r="AD80">
        <f>IF($Q80,0,VLOOKUP($P80,Efgr,(Data!$W$53+$V$6-1)))</f>
        <v>0</v>
      </c>
      <c r="AE80">
        <f>AB80-AC80-AD80</f>
        <v>0</v>
      </c>
      <c r="AF80">
        <f>AE80*Z80</f>
        <v>0</v>
      </c>
      <c r="AH80">
        <f>VLOOKUP(R80,Afgr,D80)</f>
        <v>0</v>
      </c>
      <c r="AI80">
        <f>VLOOKUP(O80,Afgr,Data!$AL$3)*VLOOKUP(R80,Afgr,E80)</f>
        <v>0</v>
      </c>
      <c r="AJ80">
        <f>VLOOKUP(P80,Efgr,(Data!$Y$53+I80))</f>
        <v>0</v>
      </c>
      <c r="AK80">
        <f>AH80+AI80+AJ80</f>
        <v>0</v>
      </c>
      <c r="AL80">
        <f>AH80+AI80+AJ80</f>
        <v>0</v>
      </c>
      <c r="AM80" s="3">
        <f>IF(Nbal!CK80&lt;&gt;"",Nbal!CK80,AL80)</f>
        <v>0</v>
      </c>
      <c r="AN80">
        <f>AM80*Z80</f>
        <v>0</v>
      </c>
      <c r="AO80">
        <f>VLOOKUP(R80,Afgr,3)</f>
        <v>0</v>
      </c>
      <c r="AP80">
        <f>IF(AO80="FE",VLOOKUP($R80,Afgr,Data!$AV$3),0)</f>
        <v>0</v>
      </c>
      <c r="AR80">
        <f>VLOOKUP(R80,Afgr,4)</f>
        <v>0</v>
      </c>
      <c r="AS80" s="3">
        <f>IF(Nbal!CW80&lt;&gt;"",Nbal!CW80,AR80)</f>
        <v>0</v>
      </c>
      <c r="AT80" s="3">
        <f>AM80*AS80</f>
        <v>0</v>
      </c>
      <c r="AU80" s="3">
        <f>AN80*AS80</f>
        <v>0</v>
      </c>
      <c r="AW80">
        <f>VLOOKUP(R80,Afgr,Data!$AN$3)</f>
        <v>0</v>
      </c>
      <c r="AX80" s="3">
        <f>IF(Nbal!DC80&lt;&gt;"",Nbal!DC80,AW80)</f>
        <v>0</v>
      </c>
      <c r="AY80" s="3">
        <f>AX80*Z80</f>
        <v>0</v>
      </c>
      <c r="BA80">
        <f>VLOOKUP(R80,Afgr,H80)</f>
        <v>0</v>
      </c>
      <c r="BB80">
        <f>IF(ISERROR(BA80*AM80/AK80),0,(BA80*AM80/AK80))</f>
        <v>0</v>
      </c>
      <c r="BC80" s="3">
        <f>IF(Nbal!DI80&lt;&gt;"",Nbal!DI80,BB80)</f>
        <v>0</v>
      </c>
      <c r="BD80">
        <f>BC80*Z80</f>
        <v>0</v>
      </c>
      <c r="BG80">
        <f>IF($S80=1,BC80,0)</f>
        <v>0</v>
      </c>
      <c r="BH80">
        <f>IF($S80=1,BD80,0)</f>
        <v>0</v>
      </c>
      <c r="BI80">
        <f>VLOOKUP(R80,Afgr,Data!$AM$3)</f>
        <v>0</v>
      </c>
      <c r="BJ80">
        <f>IF(Nbal!DR80&lt;&gt;"",Nbal!DR80,BI80)</f>
        <v>0</v>
      </c>
      <c r="BK80">
        <f>BG80*BJ80</f>
        <v>0</v>
      </c>
      <c r="BL80">
        <f>BH80*BJ80</f>
        <v>0</v>
      </c>
      <c r="BN80">
        <f>VLOOKUP($T80,Efgr,M80)</f>
        <v>0</v>
      </c>
      <c r="BO80">
        <f>BN80*Z80</f>
        <v>0</v>
      </c>
      <c r="BQ80">
        <f>VLOOKUP(T80,Efgr,NormudbKolonneNrEfgr1)</f>
        <v>0</v>
      </c>
      <c r="BR80" s="3">
        <f>IF(Nbal!FE80&lt;&gt;"",Nbal!FE80,BQ80)</f>
        <v>0</v>
      </c>
      <c r="BS80">
        <f>BR80*Z80</f>
        <v>0</v>
      </c>
      <c r="BT80" t="s">
        <v>37</v>
      </c>
      <c r="BU80">
        <f>BR80*Efterslaetpris</f>
        <v>0</v>
      </c>
      <c r="BV80">
        <f>BS80*Efterslaetpris</f>
        <v>0</v>
      </c>
      <c r="BW80">
        <f>VLOOKUP(T80,Efgr,Data!$AG$53)</f>
        <v>0</v>
      </c>
      <c r="BX80">
        <f>BR80*BW80</f>
        <v>0</v>
      </c>
      <c r="BZ80">
        <f>Nbal!AQ80</f>
        <v>0</v>
      </c>
      <c r="CA80" s="211">
        <f>Nbal!AT80</f>
        <v>0</v>
      </c>
      <c r="CB80" s="2">
        <f>Nbal!DZ80</f>
        <v>0</v>
      </c>
      <c r="CC80" s="211">
        <f>Nbal!AT80+Nbal!DZ80</f>
        <v>0</v>
      </c>
      <c r="CD80" s="211">
        <f>Nbal!AX80</f>
        <v>0</v>
      </c>
      <c r="CE80">
        <f>Nbal!BH80</f>
        <v>0</v>
      </c>
      <c r="CF80" s="211">
        <f>Nbal!BM80</f>
        <v>0</v>
      </c>
      <c r="CG80" s="2">
        <f>Nbal!EI80</f>
        <v>0</v>
      </c>
      <c r="CH80" s="211">
        <f>Nbal!BM80+Nbal!EI80</f>
        <v>0</v>
      </c>
      <c r="CI80" s="211">
        <f>Nbal!BW80</f>
        <v>0</v>
      </c>
      <c r="CJ80" s="211">
        <f>Nbal!BH80*Nbal!BJ80*0.01</f>
        <v>0</v>
      </c>
      <c r="CK80" s="211">
        <f>(Nbal!BM80*Nbal!BP80*0.01)</f>
        <v>0</v>
      </c>
      <c r="CL80" s="211">
        <f>(Nbal!EI80*Nbal!EL80*0.01)</f>
        <v>0</v>
      </c>
      <c r="CM80" s="211">
        <f>(Nbal!BM80*Nbal!BP80*0.01)+(Nbal!EI80*Nbal!EL80*0.01)</f>
        <v>0</v>
      </c>
      <c r="CN80" s="211">
        <f>Nbal!BW80*Nbal!BY80*0.01</f>
        <v>0</v>
      </c>
      <c r="CO80">
        <f>Nbal!BT80+Nbal!ER80</f>
        <v>0</v>
      </c>
      <c r="CQ80">
        <f>Nbal!BA80</f>
        <v>0</v>
      </c>
      <c r="CR80">
        <f>Nbal!EC80</f>
        <v>0</v>
      </c>
      <c r="CS80">
        <f>(CQ80+CR80)*Z80</f>
        <v>0</v>
      </c>
      <c r="CT80">
        <f>Nbal!CB80</f>
        <v>0</v>
      </c>
      <c r="CU80">
        <f>Nbal!EV80</f>
        <v>0</v>
      </c>
      <c r="CV80">
        <f>(CT80+CU80)*Z80</f>
        <v>0</v>
      </c>
      <c r="CW80">
        <f>Nbal!BA80+Nbal!CB80+Nbal!EC80+Nbal!EV80</f>
        <v>0</v>
      </c>
      <c r="CY80">
        <f>Nbal!BD80</f>
        <v>0</v>
      </c>
      <c r="CZ80">
        <f>Nbal!EF80</f>
        <v>0</v>
      </c>
      <c r="DA80">
        <f>(CY80+CZ80)*Z80</f>
        <v>0</v>
      </c>
      <c r="DB80">
        <f>Nbal!CE80</f>
        <v>0</v>
      </c>
      <c r="DC80">
        <f>Nbal!EY80</f>
        <v>0</v>
      </c>
      <c r="DD80">
        <f>(DB80+DC80)*Z80</f>
        <v>0</v>
      </c>
      <c r="DE80">
        <f>Nbal!BD80+Nbal!CE80+Nbal!EF80+Nbal!EY80</f>
        <v>0</v>
      </c>
      <c r="DG80">
        <f>VLOOKUP($R80,Afgr,Data!$AW$3)</f>
        <v>0</v>
      </c>
      <c r="DH80">
        <f>IF($AO80="FE",$AM80*$AP80*$DG80*0.01,$AM80*100*$DM80*0.01*$DG80*0.01)</f>
        <v>0</v>
      </c>
      <c r="DI80">
        <f>IF(VLOOKUP(R80,Afgr,Data!$BO$3)=1,DH80,0)*Z80</f>
        <v>0</v>
      </c>
      <c r="DJ80" s="12">
        <f>(BZ80+CC80+CJ80-AE80)*VLOOKUP($R80,Afgr,Data!$AX$3)</f>
        <v>0</v>
      </c>
      <c r="DK80">
        <f>DG80+DJ80</f>
        <v>0</v>
      </c>
      <c r="DL80">
        <f>IF(Nbal!CQ80&lt;&gt;"",Nbal!CQ80,DK80)</f>
        <v>0</v>
      </c>
      <c r="DM80">
        <f>VLOOKUP(R80,Afgr,Data!$AT$3)</f>
        <v>0</v>
      </c>
      <c r="DN80">
        <f>IF($AO80="FE",$AM80*$AP80*$DL80*0.01,$AM80*100*$DM80*0.01*DL80*0.01)</f>
        <v>0</v>
      </c>
      <c r="DO80">
        <f>IF(VLOOKUP(R80,Afgr,Data!$BO$3)=1,DN80,0)*Z80</f>
        <v>0</v>
      </c>
      <c r="DP80">
        <f>IF(ISERROR(DN80/VLOOKUP(R80,Afgr,Data!$AY$3)),0,DN80/VLOOKUP(R80,Afgr,Data!$AY$3))</f>
        <v>0</v>
      </c>
      <c r="DQ80">
        <f>DP80*Z80</f>
        <v>0</v>
      </c>
      <c r="DS80">
        <f>IF($AO80="FE",$AM80*$AP80*VLOOKUP($R80,Afgr,Data!$BC$3)*0.001,$AM80*100*$DM80*0.01*VLOOKUP($R80,Afgr,Data!$BC$3)*0.001)</f>
        <v>0</v>
      </c>
      <c r="DT80">
        <f>DS80*Z80</f>
        <v>0</v>
      </c>
      <c r="DV80">
        <f>IF($AO80="FE",$AM80*$AP80*VLOOKUP($R80,Afgr,Data!$BF$3)*0.001,$AM80*100*$DM80*0.01*VLOOKUP($R80,Afgr,Data!$BF$3)*0.001)</f>
        <v>0</v>
      </c>
      <c r="DW80">
        <f>DV80*Z80</f>
        <v>0</v>
      </c>
      <c r="DY80">
        <f>IF(ISERROR(VLOOKUP(R80,Afgr,Data!$AZ$3)*DL80/DG80),0,VLOOKUP(R80,Afgr,Data!$AZ$3)*DL80/DG80)</f>
        <v>0</v>
      </c>
      <c r="DZ80">
        <f>VLOOKUP(R80,Afgr,Data!$AU$3)</f>
        <v>0</v>
      </c>
      <c r="EA80">
        <f>IF($S80=1,$BC80*$DZ80*0.01*DY80*0.01,0)</f>
        <v>0</v>
      </c>
      <c r="EB80">
        <f>EA80/6.25</f>
        <v>0</v>
      </c>
      <c r="EC80">
        <f>EB80*Z80</f>
        <v>0</v>
      </c>
      <c r="EE80">
        <f>IF($S80=1,$BC80*$DZ80*0.01*VLOOKUP($R80,Afgr,Data!$BD$3)*0.001,0)</f>
        <v>0</v>
      </c>
      <c r="EF80">
        <f>EE80*Z80</f>
        <v>0</v>
      </c>
      <c r="EH80">
        <f>IF($S80=1,$BC80*$DZ80*0.01*VLOOKUP($R80,Afgr,Data!$BG$3)*0.001,0)</f>
        <v>0</v>
      </c>
      <c r="EI80">
        <f>EH80*Z80</f>
        <v>0</v>
      </c>
      <c r="EK80">
        <f>VLOOKUP(T80,Efgr,Data!$AI$53)</f>
        <v>0</v>
      </c>
      <c r="EL80">
        <f>BX80*EK80*0.01/6.25</f>
        <v>0</v>
      </c>
      <c r="EM80">
        <f>EL80*Z80</f>
        <v>0</v>
      </c>
      <c r="EO80">
        <f>$BX80*VLOOKUP($T80,Efgr,Data!$AJ$53)*0.001</f>
        <v>0</v>
      </c>
      <c r="EP80">
        <f>EO80*Z80</f>
        <v>0</v>
      </c>
      <c r="ER80">
        <f>$BX80*VLOOKUP($T80,Efgr,Data!$AK$53)*0.001</f>
        <v>0</v>
      </c>
      <c r="ES80">
        <f>ER80*Z80</f>
        <v>0</v>
      </c>
      <c r="EU80">
        <f>IF(VLOOKUP(R80,Afgr,Data!$DS$3)=1,DP80*VLOOKUP(R80,Afgr,(Data!$DT$3+EftervirkningUdb1))*VLOOKUP(R80,Afgr,Data!$DV$3),0)</f>
        <v>0</v>
      </c>
      <c r="EV80">
        <f>IF(VLOOKUP(R80,Afgr,Data!$DS$3)=2,VLOOKUP(R80,Afgr,Data!$DX$3),0)</f>
        <v>0</v>
      </c>
      <c r="EW80">
        <f>IF(VLOOKUP(R80,Afgr,Data!$DS$3)=3,$DP80*VLOOKUP($R80,Afgr,IF(Jordtype1&lt;5,Data!$DT$3,Data!$DU$3))*VLOOKUP($R80,Afgr,Data!$DV$3),0)</f>
        <v>0</v>
      </c>
      <c r="EX80">
        <f>IF(VLOOKUP(R80,Afgr,Data!$DS$3)=4,(1.232+0.00469*AM80*100+(0.000256*AM80*100+0.089)*60),0)</f>
        <v>0</v>
      </c>
      <c r="EY80" s="211">
        <f>BZ80+CA80+CJ80+CK80</f>
        <v>0</v>
      </c>
      <c r="EZ80">
        <f>IF(VLOOKUP($R80,Afgr,Data!$DS$3)=5,($AM80*0.02742-$AM80*0.0001*$EY80+$AM80*0.0000001111*$EY80*$EY80),0)</f>
        <v>0</v>
      </c>
      <c r="FA80" s="2">
        <f>CB80+CL80</f>
        <v>0</v>
      </c>
      <c r="FB80">
        <f>IF(VLOOKUP($T80,Efgr,Data!$BH$53)=5,($BR80*0.02742-$BR80*0.0001*$FA80+$BR80*0.0000001111*$FA80*$FA80),0)</f>
        <v>0</v>
      </c>
      <c r="FC80" s="3">
        <f>EU80+EV80+EW80+EX80+EZ80+FB80</f>
        <v>0</v>
      </c>
      <c r="FD80" s="3">
        <f>FC80*Z80</f>
        <v>0</v>
      </c>
      <c r="FF80" s="211">
        <f>BZ80+CC80</f>
        <v>0</v>
      </c>
      <c r="FG80" s="211">
        <f>FF80*Z80</f>
        <v>0</v>
      </c>
      <c r="FH80" s="211">
        <f>CE80+CH80+CO80</f>
        <v>0</v>
      </c>
      <c r="FI80" s="211">
        <f>FH80*Z80</f>
        <v>0</v>
      </c>
      <c r="FJ80">
        <f>VLOOKUP($R80,Afgr,Data!$DK$3)*VLOOKUP($R80,Afgr,Data!$AT$3)*0.01*VLOOKUP($R80,Afgr,Data!$AW$3)*0.01/6.25</f>
        <v>0</v>
      </c>
      <c r="FK80">
        <f>FJ80*Z80</f>
        <v>0</v>
      </c>
      <c r="FL80" s="4">
        <f>IF(R80&gt;1,Deposition,0)</f>
        <v>0</v>
      </c>
      <c r="FM80" s="4">
        <f>FL80*Z80</f>
        <v>0</v>
      </c>
      <c r="FN80">
        <f>FC80</f>
        <v>0</v>
      </c>
      <c r="FO80">
        <f>FN80*Z80</f>
        <v>0</v>
      </c>
      <c r="FP80" s="211">
        <f>SUM(FF80,FH80,FJ80,FL80,FN80)</f>
        <v>0</v>
      </c>
      <c r="FQ80">
        <f>DP80+EB80+EL80</f>
        <v>0</v>
      </c>
      <c r="FR80" s="3">
        <f>FP80-FQ80</f>
        <v>0</v>
      </c>
      <c r="FS80" s="19">
        <f>FP80*Z80</f>
        <v>0</v>
      </c>
      <c r="FT80" s="19">
        <f>FQ80*Z80</f>
        <v>0</v>
      </c>
      <c r="FU80" s="3">
        <f>FR80*Z80</f>
        <v>0</v>
      </c>
      <c r="FW80">
        <f>CW80</f>
        <v>0</v>
      </c>
      <c r="FX80">
        <f>FW80*Z80</f>
        <v>0</v>
      </c>
      <c r="FY80">
        <f>IX80+MB80</f>
        <v>0</v>
      </c>
      <c r="FZ80">
        <f>FY80*Z80</f>
        <v>0</v>
      </c>
      <c r="GA80">
        <f>FW80-FY80</f>
        <v>0</v>
      </c>
      <c r="GB80">
        <f>GA80*Z80</f>
        <v>0</v>
      </c>
      <c r="GD80">
        <f>DE80</f>
        <v>0</v>
      </c>
      <c r="GE80">
        <f>GD80*Z80</f>
        <v>0</v>
      </c>
      <c r="GF80">
        <f>JE80+MH80</f>
        <v>0</v>
      </c>
      <c r="GG80">
        <f>GF80*Z80</f>
        <v>0</v>
      </c>
      <c r="GH80">
        <f>GD80-GF80</f>
        <v>0</v>
      </c>
      <c r="GI80">
        <f>GH80*Z80</f>
        <v>0</v>
      </c>
      <c r="GK80">
        <f>AA80</f>
        <v>1</v>
      </c>
      <c r="GL80" s="211">
        <f>FF80+FH80+FN80</f>
        <v>0</v>
      </c>
      <c r="GM80" s="211" t="str">
        <f>IF(R80=1,"",IF(GK80=1,GL80,""))</f>
        <v/>
      </c>
      <c r="GN80" s="211" t="str">
        <f>IF(R80=1,"",IF(GK80=2,GL80,""))</f>
        <v/>
      </c>
      <c r="GO80" s="211" t="str">
        <f>IF(R80=1,"",IF(GK80=3,GL80,""))</f>
        <v/>
      </c>
      <c r="GP80" s="211" t="str">
        <f>IF(R80=1,"",IF(GK80=4,GL80,""))</f>
        <v/>
      </c>
      <c r="GQ80" s="149">
        <f>IF(OR(R80=1,VLOOKUP(R80,Afgr,Data!$BV$3)=1,VLOOKUP(R80,Afgr,Data!$BW$3)=1),0,IF(GK80=1,Nniveau1,IF(GK80=2,Nniveau2,IF(GK80=3,Nniveau3,IF(GK80=4,Nniveau4,GL80)))))</f>
        <v>0</v>
      </c>
      <c r="GR80" s="241">
        <v>0.32550000000000001</v>
      </c>
      <c r="GS80" s="6">
        <v>0</v>
      </c>
      <c r="GT80" s="149">
        <f>CC80+CM80</f>
        <v>0</v>
      </c>
      <c r="GU80" s="6">
        <f>$FN80</f>
        <v>0</v>
      </c>
      <c r="GV80" s="241">
        <v>0.25280000000000002</v>
      </c>
      <c r="GW80">
        <f>CO80</f>
        <v>0</v>
      </c>
      <c r="GX80" s="241">
        <v>0.376</v>
      </c>
      <c r="GY80" s="149">
        <f>CD80+CN80</f>
        <v>0</v>
      </c>
      <c r="GZ80" s="241">
        <f>IF(B80&gt;3,0.3539,1.0749)</f>
        <v>0.35389999999999999</v>
      </c>
      <c r="HA80" s="11">
        <f>$FQ80</f>
        <v>0</v>
      </c>
      <c r="HB80" s="241">
        <v>0.19359999999999999</v>
      </c>
      <c r="HC80" s="241">
        <f>VLOOKUP($R80,Afgr,Data!$DM$3)</f>
        <v>0</v>
      </c>
      <c r="HD80" s="24">
        <f>IF($HC80&gt;1,0,(VLOOKUP($X80,Afgr,Data!$DP$3)+IF(VLOOKUP($X80,Afgr,Data!$DP$3)=0,VLOOKUP($T80,Efgr,Data!$BI$53,0))))+IF(AND($HC80=7,VLOOKUP($X80,Afgr,Data!$DQ$3)=-2),-2,0)+IF(AND($HC80=6,VLOOKUP($T80,Efgr,Data!$BI$53)=2),8,0)</f>
        <v>0</v>
      </c>
      <c r="HE80" s="6" t="e">
        <f>VLOOKUP(SUM(HC80:HD80),Nlesafgr,3)</f>
        <v>#N/A</v>
      </c>
      <c r="HF80" s="7">
        <f>VLOOKUP($O80,Afgr,Data!$DN$3)</f>
        <v>0</v>
      </c>
      <c r="HG80" s="24">
        <f>IF(HF80&gt;1,0,VLOOKUP($R80,Afgr,Data!$DO$3)+IF(VLOOKUP($R80,Afgr,Data!$DO$3)=1,0,VLOOKUP($P80,Efgr,Data!$BJ$53)))</f>
        <v>0</v>
      </c>
      <c r="HH80" s="6" t="e">
        <f>VLOOKUP(SUM(HF80:HG80),Nlesforfrugt,3)</f>
        <v>#N/A</v>
      </c>
      <c r="HI80" s="241" t="e">
        <f>GR80*GQ80+GV80*(GT80+GU80)+GX80*GW80+GZ80*GY80-HB80*HA80+HE80+HH80</f>
        <v>#N/A</v>
      </c>
      <c r="HJ80" s="241">
        <f>Nlesafskaering</f>
        <v>59.6</v>
      </c>
      <c r="HK80" s="241">
        <f>Teknologi1</f>
        <v>2455</v>
      </c>
      <c r="HL80" s="6">
        <v>2001</v>
      </c>
      <c r="HM80" s="241">
        <f>Teknologi2</f>
        <v>1962.2</v>
      </c>
      <c r="HN80" s="241">
        <f>Tandel</f>
        <v>0.54659999999999997</v>
      </c>
      <c r="HO80" s="241" t="e">
        <f>IF(OR(HI80&gt;0,HI80=0),HJ80+HK80/(HL80-HM80),HJ80+HK80/(HL80-HM80)+HN80*HI80)</f>
        <v>#N/A</v>
      </c>
      <c r="HP80" s="241" t="e">
        <f>IF(HI80&gt;0,HI80,0.001)</f>
        <v>#N/A</v>
      </c>
      <c r="HQ80" s="241">
        <v>1.5020000000000001E-3</v>
      </c>
      <c r="HR80" s="24">
        <f>IF(R80=1,0,VLOOKUP(PostnrNbal,AfstromData,VLOOKUP($R80,Afgr,Data!$DL$3)+IF(Jordtype1&lt;7,Jordtype1,6),FALSE)-VLOOKUP(T80,Efgr,Data!$AA$53))</f>
        <v>0</v>
      </c>
      <c r="HS80" s="24">
        <f>IF(Nbal!GA80&lt;&gt;"",Nbal!GA80,Regn2!HR80)</f>
        <v>0</v>
      </c>
      <c r="HT80" s="241">
        <v>5.5400000000000002E-4</v>
      </c>
      <c r="HU80" s="24">
        <f>IF(R80=1,0,VLOOKUP(PostnrNbal,AfstromData,VLOOKUP($O80,Afgr,Data!$DL$3)+IF(B80&lt;7,B80,6),FALSE)-VLOOKUP(P80,Efgr,Data!$AA$53))</f>
        <v>0</v>
      </c>
      <c r="HV80" s="24">
        <f>IF(Nbal!FU80&lt;&gt;"",Nbal!FU80,Regn2!HU80)</f>
        <v>0</v>
      </c>
      <c r="HW80" s="241">
        <v>0.10639999999999999</v>
      </c>
      <c r="HX80" s="6">
        <f>VLOOKUP(B80,Jordtype,Data!$W$112)</f>
        <v>3</v>
      </c>
      <c r="HY80" s="241">
        <v>3.2500000000000001E-2</v>
      </c>
      <c r="HZ80" s="6">
        <f>VLOOKUP(B80,Jordtype,Data!$X$112)</f>
        <v>12</v>
      </c>
      <c r="IA80" s="241">
        <v>1.2453000000000001</v>
      </c>
      <c r="IB80" s="241">
        <f>IF(VLOOKUP(T80,Efgr,Data!$AO$53)=1,MlafgrNUdvask,0)</f>
        <v>0</v>
      </c>
      <c r="IC80" s="20">
        <f>IF(ISERROR((HO80+POWER(HP80,1.2))*(1-EXP(-HQ80*HS80))*EXP(-HT80*HV80)*EXP(-HW80*HX80)*EXP(-HY80*HZ80)*IA80),0,(HO80+POWER(HP80,1.2))*(1-EXP(-HQ80*HS80))*EXP(-HT80*HV80)*EXP(-HW80*HX80)*EXP(-HY80*HZ80)*IA80+IB80)</f>
        <v>0</v>
      </c>
      <c r="ID80">
        <f>IC80*Z80</f>
        <v>0</v>
      </c>
      <c r="IE80">
        <f>IF(Nbal!GF80&lt;&gt;"",Nbal!GF80,RetentionNbal)</f>
        <v>65</v>
      </c>
      <c r="IF80">
        <f>IC80*(100-IE80)*0.01</f>
        <v>0</v>
      </c>
      <c r="IG80">
        <f>IF80*Z80</f>
        <v>0</v>
      </c>
      <c r="IH80" s="2">
        <f>HS80*10000</f>
        <v>0</v>
      </c>
      <c r="II80" s="2">
        <f>IH80*Z80</f>
        <v>0</v>
      </c>
      <c r="IJ80">
        <f>IF(ISERROR(IC80*1000*1000/IH80),0,IC80*1000*1000/IH80)</f>
        <v>0</v>
      </c>
      <c r="IL80">
        <f>AT80+AX80+BK80+BU80</f>
        <v>0</v>
      </c>
      <c r="IO80">
        <f>VLOOKUP(R80,Afgr,Data!$AP$3)*UdsaedJust</f>
        <v>0</v>
      </c>
      <c r="IP80" s="3">
        <f>IF(Nbal!GN80&lt;&gt;"",Nbal!GN80,IO80)</f>
        <v>0</v>
      </c>
      <c r="IQ80" s="3">
        <f>IP80*Z80</f>
        <v>0</v>
      </c>
      <c r="IS80" s="3">
        <f>IF(HdgVaerdiNbal=1,(BZ80+CA80)*Npris,(BZ80+CA80+CJ80+CK80)*Npris)</f>
        <v>0</v>
      </c>
      <c r="IT80" s="3">
        <f>IS80*Z80</f>
        <v>0</v>
      </c>
      <c r="IV80">
        <f>VLOOKUP($R80,Afgr,Data!$BA$3)</f>
        <v>0</v>
      </c>
      <c r="IW80">
        <f>VLOOKUP($R80,Afgr,Data!$BB$3)</f>
        <v>0</v>
      </c>
      <c r="IX80">
        <f>$DS80+$EE80</f>
        <v>0</v>
      </c>
      <c r="IY80">
        <f>CT80</f>
        <v>0</v>
      </c>
      <c r="IZ80">
        <f>CQ80</f>
        <v>0</v>
      </c>
      <c r="JA80" s="3">
        <f>IF(HdgVaerdiNbal=1,(IZ80)*Ppris,(IY80+IZ80)*Ppris)</f>
        <v>0</v>
      </c>
      <c r="JB80" s="3">
        <f>JA80*Z80</f>
        <v>0</v>
      </c>
      <c r="JD80">
        <f>IF(AND(R80&gt;1,OR(Jordtype1=1,Jordtype1=3,Markvand1=2)),Kudvask,0)</f>
        <v>0</v>
      </c>
      <c r="JE80">
        <f>$DV80+$EH80</f>
        <v>0</v>
      </c>
      <c r="JF80">
        <f>DB80</f>
        <v>0</v>
      </c>
      <c r="JG80">
        <f>CY80</f>
        <v>0</v>
      </c>
      <c r="JH80" s="3">
        <f>IF(HdgVaerdiNbal=1,JG80*Kpris,(JF80+JG80)*Kpris)</f>
        <v>0</v>
      </c>
      <c r="JI80" s="3">
        <f>JH80*Z80</f>
        <v>0</v>
      </c>
      <c r="JK80">
        <f>IS80+JA80+JH80</f>
        <v>0</v>
      </c>
      <c r="JL80" s="3">
        <f>IF(Nbal!GT80&lt;&gt;"",Nbal!GT80,$JK80)</f>
        <v>0</v>
      </c>
      <c r="JM80" s="3">
        <f>JL80*Z80</f>
        <v>0</v>
      </c>
      <c r="JO80">
        <f>VLOOKUP(R80,Afgr,Data!$AQ$3)*PlantevJust</f>
        <v>0</v>
      </c>
      <c r="JP80" s="3">
        <f>IF(Nbal!GZ80&lt;&gt;"",Nbal!GZ80,JO80)</f>
        <v>0</v>
      </c>
      <c r="JQ80" s="3">
        <f>JP80*Z80</f>
        <v>0</v>
      </c>
      <c r="JS80">
        <f>VLOOKUP(R80,Afgr,Data!$AR$3)+AM80*VLOOKUP(R80,Afgr,Data!$BH$3)</f>
        <v>0</v>
      </c>
      <c r="JT80" s="3">
        <f>IF(Nbal!HF80&lt;&gt;"",Nbal!HF80,JS80)</f>
        <v>0</v>
      </c>
      <c r="JU80">
        <f>JT80*Z80</f>
        <v>0</v>
      </c>
      <c r="JW80">
        <f>IP80+JL80+JP80+JT80</f>
        <v>0</v>
      </c>
      <c r="JY80">
        <f>IF(VLOOKUP(R80,Afgr,Data!$BY$3)&gt;0,Data!$K$259*J80,0)</f>
        <v>0</v>
      </c>
      <c r="JZ80">
        <f>IF(VLOOKUP(R80,Afgr,Data!$BZ$3)&gt;0,Data!$K$260*J80,0)</f>
        <v>0</v>
      </c>
      <c r="KA80">
        <f>(JY80+JZ80)*MaskJust</f>
        <v>0</v>
      </c>
      <c r="KB80" s="3">
        <f>IF(Nbal!HL80&lt;&gt;"",Nbal!HL80,KA80)</f>
        <v>0</v>
      </c>
      <c r="KC80" s="3">
        <f>KB80*Z80</f>
        <v>0</v>
      </c>
      <c r="KE80">
        <f>IF(VLOOKUP(R80,Afgr,Data!$CA$3)&gt;0,VLOOKUP(R80,Afgr,Data!$CA$3)*Data!$K$261*K80,0)</f>
        <v>0</v>
      </c>
      <c r="KF80">
        <f>IF(VLOOKUP(R80,Afgr,Data!$CC$3)&gt;0,Data!$K$262*K80,0)</f>
        <v>0</v>
      </c>
      <c r="KG80">
        <f>IF(VLOOKUP(R80,Afgr,Data!$CD$3)&gt;0,VLOOKUP(R80,Afgr,Data!$CD$3)*Data!$K$263*K80,0)</f>
        <v>0</v>
      </c>
      <c r="KH80">
        <f>IF(VLOOKUP(R80,Afgr,Data!$CE$3)&gt;0,Data!$K$264*K80,0)</f>
        <v>0</v>
      </c>
      <c r="KI80">
        <f>IF(VLOOKUP(R80,Afgr,Data!$CF$3)&gt;0,Data!$K$265*K80,0)</f>
        <v>0</v>
      </c>
      <c r="KJ80">
        <f>IF(VLOOKUP(R80,Afgr,Data!$CV$3)&gt;0,Data!$K$266,0)</f>
        <v>0</v>
      </c>
      <c r="KK80">
        <f>IF(VLOOKUP(R80,Afgr,Data!$CG$3)&gt;0,Data!$K$267*K80,0)</f>
        <v>0</v>
      </c>
      <c r="KL80">
        <f>(KE80+KF80+KG80+KH80+KI80+KJ80+KK80)*MaskJust</f>
        <v>0</v>
      </c>
      <c r="KM80" s="3">
        <f>IF(Nbal!HR80&lt;&gt;"",Nbal!HR80,KL80)</f>
        <v>0</v>
      </c>
      <c r="KN80" s="3">
        <f>KM80*Z80</f>
        <v>0</v>
      </c>
      <c r="KP80">
        <f>IF(VLOOKUP(R80,Afgr,Data!$CJ$3)&gt;0,VLOOKUP(R80,Afgr,Data!$CJ$3)*Data!$K$268*K80,0)*MaskJust</f>
        <v>0</v>
      </c>
      <c r="KQ80" s="3">
        <f>IF(Nbal!HX80&lt;&gt;"",Nbal!HX80,KP80)</f>
        <v>0</v>
      </c>
      <c r="KR80" s="3">
        <f>KQ80*Z80</f>
        <v>0</v>
      </c>
      <c r="KT80">
        <f>IF(VLOOKUP(R80,Afgr,Data!$CI$3)&gt;0,VLOOKUP(R80,Afgr,Data!$CI$3)*Data!$K$269,0)*MaskJust</f>
        <v>0</v>
      </c>
      <c r="KU80" s="3">
        <f>IF(Nbal!ID80&lt;&gt;"",Nbal!ID80,KT80)</f>
        <v>0</v>
      </c>
      <c r="KV80" s="3">
        <f>KU80*Z80</f>
        <v>0</v>
      </c>
      <c r="KX80">
        <f>IF(C80=2,VLOOKUP($R80,Afgr,Data!$CY$3),0)</f>
        <v>0</v>
      </c>
      <c r="KY80">
        <f>IF(Nbal!IJ80&lt;&gt;"",Nbal!IJ80,$KX80)</f>
        <v>0</v>
      </c>
      <c r="KZ80">
        <f>IF(AND(R80&gt;1,C80=2),Vandmaskin+$KY80*Flytning/mmprgang+$KY80*Prisprmm,0)</f>
        <v>0</v>
      </c>
      <c r="LA80" s="3">
        <f>IF(Nbal!IP80&lt;&gt;"",Nbal!IP80,$KZ80)</f>
        <v>0</v>
      </c>
      <c r="LB80" s="3">
        <f>LA80*Z80</f>
        <v>0</v>
      </c>
      <c r="LD80">
        <f>IF(VLOOKUP($R80,Afgr,Data!$CK$3)&gt;0,((1+AM80/VLOOKUP($R80,Afgr,Data!$CK$3))/2)*VLOOKUP($R80,Afgr,Data!$CL$3)*VLOOKUP($R80,Afgr,Data!$CN$3)+VLOOKUP($R80,Afgr,Data!$CM$3),0)</f>
        <v>0</v>
      </c>
      <c r="LE80">
        <f>IF(VLOOKUP($R80,Afgr,Data!$CK$3)&gt;0,IF(AND($S80=2,$BA80&gt;0),Data!$K$271,0),0)</f>
        <v>0</v>
      </c>
      <c r="LF80">
        <f>IF(VLOOKUP($R80,Afgr,Data!$CK$3)&gt;0,(AM80/VLOOKUP($R80,Afgr,Data!$CK$3))*VLOOKUP($R80,Afgr,Data!$CO$3)*VLOOKUP($R80,Afgr,Data!$CN$3),0)</f>
        <v>0</v>
      </c>
      <c r="LG80">
        <f>(LD80+LE80+LF80)*MaskJust</f>
        <v>0</v>
      </c>
      <c r="LH80" s="3">
        <f>IF(Nbal!IV80&lt;&gt;"",Nbal!IV80,LG80)</f>
        <v>0</v>
      </c>
      <c r="LI80" s="3">
        <f>LH80*Z80</f>
        <v>0</v>
      </c>
      <c r="LJ80" s="3"/>
      <c r="LK80">
        <f>IF(AND($S80=1,VLOOKUP($R80,Afgr,Data!$CP$3)&gt;0),((1+$BC80/VLOOKUP($R80,Afgr,Data!$CP$3))/2)*VLOOKUP($R80,Afgr,Data!$CQ$3),0)</f>
        <v>0</v>
      </c>
      <c r="LL80">
        <f>IF(AND($S80=1,VLOOKUP($R80,Afgr,Data!$CP$3)&gt;0),($BC80/VLOOKUP($R80,Afgr,Data!$CP$3))*VLOOKUP($R80,Afgr,Data!$CR$3),0)</f>
        <v>0</v>
      </c>
      <c r="LM80">
        <f>(LK80+LL80)*MaskJust</f>
        <v>0</v>
      </c>
      <c r="LN80" s="3">
        <f>IF(Nbal!JB80&lt;&gt;"",Nbal!JB80,LM80)</f>
        <v>0</v>
      </c>
      <c r="LO80" s="3">
        <f>LN80*Z80</f>
        <v>0</v>
      </c>
      <c r="LQ80">
        <f>$AM80*VLOOKUP($R80,Afgr,Data!$CS$3)*IF($V80=1,VLOOKUP($R80,Afgr,Data!$CT$3),IF($V80=2,VLOOKUP($R80,Afgr,Data!$CU$3),0))</f>
        <v>0</v>
      </c>
      <c r="LR80" s="3">
        <f>IF(Nbal!JK80&lt;&gt;"",Nbal!JK80,LQ80)</f>
        <v>0</v>
      </c>
      <c r="LS80" s="3">
        <f>LR80*Z80</f>
        <v>0</v>
      </c>
      <c r="LU80">
        <f>VLOOKUP($T80,Efgr,Data!$AC$53)*UdsaedJust</f>
        <v>0</v>
      </c>
      <c r="LV80" s="3">
        <f>IF(Nbal!$JS80&lt;&gt;"",Nbal!$JS80,LU80)</f>
        <v>0</v>
      </c>
      <c r="LW80" s="3">
        <f>LV80*Z80</f>
        <v>0</v>
      </c>
      <c r="LY80" s="3">
        <f>IF(HdgVaerdiNbal=1,(CB80)*Npris,(CB80+CL80)*Npris)</f>
        <v>0</v>
      </c>
      <c r="LZ80" s="3">
        <f>LY80*Z80</f>
        <v>0</v>
      </c>
      <c r="MB80">
        <f>$EO80</f>
        <v>0</v>
      </c>
      <c r="MC80">
        <f>CU80</f>
        <v>0</v>
      </c>
      <c r="MD80">
        <f>CR80</f>
        <v>0</v>
      </c>
      <c r="ME80" s="3">
        <f>IF(HdgVaerdiNbal=1,MD80*Ppris,(MC80+MD80)*Ppris)</f>
        <v>0</v>
      </c>
      <c r="MF80" s="3">
        <f>ME80*Z80</f>
        <v>0</v>
      </c>
      <c r="MH80">
        <f>$ER80</f>
        <v>0</v>
      </c>
      <c r="MI80">
        <f>DC80</f>
        <v>0</v>
      </c>
      <c r="MJ80">
        <f>CZ80</f>
        <v>0</v>
      </c>
      <c r="MK80" s="3">
        <f>IF(HdgVaerdiNbal=1,MJ80*Ppris,(MI80+MJ80)*Ppris)</f>
        <v>0</v>
      </c>
      <c r="ML80" s="3">
        <f>MK80*Z80</f>
        <v>0</v>
      </c>
      <c r="MN80">
        <f>LY80+ME80+MK80</f>
        <v>0</v>
      </c>
      <c r="MO80" s="3">
        <f>IF(Nbal!JY80&lt;&gt;"",Nbal!JY80,$MN80)</f>
        <v>0</v>
      </c>
      <c r="MP80" s="3">
        <f>MO80*Z80</f>
        <v>0</v>
      </c>
      <c r="MR80">
        <f>VLOOKUP($T80,Efgr,Data!$AE$53)*PlantevJust</f>
        <v>0</v>
      </c>
      <c r="MS80" s="3">
        <f>IF(Nbal!KE80&lt;&gt;"",Nbal!KE80,MR80)</f>
        <v>0</v>
      </c>
      <c r="MT80" s="3">
        <f>MS80*Z80</f>
        <v>0</v>
      </c>
      <c r="MV80">
        <f>VLOOKUP($T80,Efgr,Data!$AF$53)+$BR80*VLOOKUP($T80,Efgr,Data!$AL$53)</f>
        <v>0</v>
      </c>
      <c r="MW80" s="3">
        <f>IF(Nbal!KK80&lt;&gt;"",Nbal!KK80,MV80)</f>
        <v>0</v>
      </c>
      <c r="MX80" s="3">
        <f>MW80*Z80</f>
        <v>0</v>
      </c>
      <c r="MZ80">
        <f>LV80+MO80+MS80+MW80</f>
        <v>0</v>
      </c>
      <c r="NB80">
        <f>VLOOKUP($T80,Efgr,Data!$AU$53)*K80*MaskJust</f>
        <v>0</v>
      </c>
      <c r="NC80" s="3">
        <f>IF(Nbal!KQ80&lt;&gt;"",Nbal!KQ80,NB80)</f>
        <v>0</v>
      </c>
      <c r="ND80" s="3">
        <f>NC80*Z80</f>
        <v>0</v>
      </c>
      <c r="NF80">
        <f>VLOOKUP($T80,Efgr,Data!$AW$53)*Data!$K$268*K80*MaskJust</f>
        <v>0</v>
      </c>
      <c r="NG80" s="3">
        <f>IF(Nbal!KW80&lt;&gt;"",Nbal!KW80,NF80)</f>
        <v>0</v>
      </c>
      <c r="NH80" s="3">
        <f>NG80*Z80</f>
        <v>0</v>
      </c>
      <c r="NJ80">
        <f>VLOOKUP($T80,Efgr,Data!$AV$53)*Data!$K$269*MaskJust</f>
        <v>0</v>
      </c>
      <c r="NK80" s="3">
        <f>IF(Nbal!LC80&lt;&gt;"",Nbal!LC80,NJ80)</f>
        <v>0</v>
      </c>
      <c r="NL80" s="3">
        <f>NK80*Z80</f>
        <v>0</v>
      </c>
      <c r="NN80">
        <f>IF(C80=2,VLOOKUP($T80,Efgr,Data!$BC$53),0)</f>
        <v>0</v>
      </c>
      <c r="NO80">
        <f>IF(Nbal!LI80&lt;&gt;"",Nbal!LI80,$NN80)</f>
        <v>0</v>
      </c>
      <c r="NP80">
        <f>IF(C80=2,$NO80*Flytning/mmprgang+$NO80*Prisprmm,0)</f>
        <v>0</v>
      </c>
      <c r="NQ80" s="3">
        <f>IF(Nbal!LO80&lt;&gt;"",Nbal!LO80,$NP80)</f>
        <v>0</v>
      </c>
      <c r="NR80" s="3">
        <f>NQ80*Z80</f>
        <v>0</v>
      </c>
      <c r="NT80">
        <f>IF(VLOOKUP($T80,Efgr,Data!$AX$53)&gt;0,((1+BR80/VLOOKUP($T80,Efgr,Data!$AX$53))/2)*VLOOKUP($T80,Efgr,Data!$AY$53)*VLOOKUP($T80,Efgr,Data!$BA$53)+VLOOKUP($T80,Efgr,Data!$AZ$53),0)</f>
        <v>0</v>
      </c>
      <c r="NU80">
        <f>IF(VLOOKUP($T80,Efgr,Data!$AX$53)&gt;0,($BR80/VLOOKUP($T80,Efgr,Data!$AX$53))*VLOOKUP($T80,Efgr,Data!$BB$53)*VLOOKUP($T80,Efgr,Data!$BA$53),0)</f>
        <v>0</v>
      </c>
      <c r="NV80">
        <f>(NT80+NU80)*MaskJust</f>
        <v>0</v>
      </c>
      <c r="NW80" s="3">
        <f>IF(Nbal!LU80&lt;&gt;"",Nbal!LU80,NV80)</f>
        <v>0</v>
      </c>
      <c r="NX80" s="3">
        <f>NW80*Z80</f>
        <v>0</v>
      </c>
      <c r="NZ80">
        <f>IF($U80=2,Data!$K$304,IF($U80=3,Data!$K$305,0))*MaskJust</f>
        <v>0</v>
      </c>
      <c r="OA80" s="3">
        <f>IF(Nbal!MA80&lt;&gt;"",Nbal!MA80,NZ80)</f>
        <v>0</v>
      </c>
      <c r="OB80" s="3">
        <f>OA80*Z80</f>
        <v>0</v>
      </c>
      <c r="OD80">
        <f>IL80</f>
        <v>0</v>
      </c>
      <c r="OE80">
        <f>JW80+MZ80</f>
        <v>0</v>
      </c>
      <c r="OF80">
        <f>OD80-OE80</f>
        <v>0</v>
      </c>
      <c r="OG80">
        <f>OF80*Z80</f>
        <v>0</v>
      </c>
      <c r="OJ80">
        <f>VLOOKUP($O80,Afgr,Data!$BP$3)+VLOOKUP($P80,Efgr,Data!$AM$53)</f>
        <v>0</v>
      </c>
      <c r="OK80" s="3">
        <f>OJ80*Z80</f>
        <v>0</v>
      </c>
      <c r="OL80">
        <f>VLOOKUP($R80,Afgr,Data!$BP$3)+VLOOKUP($T80,Efgr,Data!$AM$53)</f>
        <v>0</v>
      </c>
      <c r="OM80" s="3">
        <f>OL80*Z80</f>
        <v>0</v>
      </c>
      <c r="OO80">
        <f>VLOOKUP($P80,Efgr,Data!$AN$53)</f>
        <v>0</v>
      </c>
      <c r="OP80">
        <f>VLOOKUP($O80,Afgr,Data!$BQ$3)</f>
        <v>0</v>
      </c>
      <c r="OQ80">
        <f>VLOOKUP($R80,Afgr,Data!$BR$3)</f>
        <v>1</v>
      </c>
      <c r="OR80">
        <f>OO80*OP80*OQ80</f>
        <v>0</v>
      </c>
      <c r="OS80" s="3">
        <f>OR80*Z80</f>
        <v>0</v>
      </c>
      <c r="OT80" s="3">
        <f>IF(Q80,1,0)*OS80</f>
        <v>0</v>
      </c>
      <c r="OV80">
        <f>VLOOKUP($T80,Efgr,Data!$AN$53)</f>
        <v>0</v>
      </c>
      <c r="OW80">
        <f>VLOOKUP($R80,Afgr,Data!$BQ$3)</f>
        <v>0</v>
      </c>
      <c r="OX80">
        <f>VLOOKUP($X80,Afgr,Data!$BR$3)</f>
        <v>1</v>
      </c>
      <c r="OY80">
        <f>OV80*OW80*OX80</f>
        <v>0</v>
      </c>
      <c r="OZ80" s="3">
        <f>OY80*Z80</f>
        <v>0</v>
      </c>
      <c r="PB80">
        <f>VLOOKUP($T80,Efgr,Data!$AO$53)</f>
        <v>0</v>
      </c>
      <c r="PC80">
        <f>VLOOKUP($O80,Afgr,Data!$BQ$3)</f>
        <v>0</v>
      </c>
      <c r="PD80">
        <f>VLOOKUP($R80,Afgr,Data!$BS$3)</f>
        <v>0</v>
      </c>
      <c r="PE80" s="3">
        <f>PB80*PC80*PD80*$Z80</f>
        <v>0</v>
      </c>
      <c r="PG80">
        <f>VLOOKUP($T80,Efgr,Data!$AO$53)</f>
        <v>0</v>
      </c>
      <c r="PH80">
        <f>VLOOKUP($R80,Afgr,Data!$BQ$3)</f>
        <v>0</v>
      </c>
      <c r="PI80">
        <f>VLOOKUP($X80,Afgr,Data!$BS$3)</f>
        <v>0</v>
      </c>
      <c r="PJ80" s="3">
        <f>PG80*PH80*PI80*$Z80</f>
        <v>0</v>
      </c>
      <c r="PK80" s="3"/>
      <c r="PL80" s="3">
        <f>VLOOKUP($O80,Afgr,Data!$BU$3)</f>
        <v>0</v>
      </c>
      <c r="PM80" s="3">
        <f>PL80*Z80</f>
        <v>0</v>
      </c>
      <c r="PN80" s="3">
        <f>VLOOKUP($R80,Afgr,Data!$BU$3)</f>
        <v>0</v>
      </c>
      <c r="PO80" s="3">
        <f>PN80*Z80</f>
        <v>0</v>
      </c>
      <c r="PQ80">
        <f>VLOOKUP(R80,Afgr,Data!$BX$3)+VLOOKUP(T80,Efgr,Data!$AQ$53)</f>
        <v>0</v>
      </c>
      <c r="PR80">
        <f>IF(PQ80&gt;0,Z80,0)</f>
        <v>0</v>
      </c>
      <c r="PT80">
        <f>VLOOKUP($O80,Afgr,Data!$BT$3)</f>
        <v>0</v>
      </c>
      <c r="PU80" s="3">
        <f>PT80*Z80</f>
        <v>0</v>
      </c>
      <c r="PV80">
        <f>VLOOKUP($R80,Afgr,Data!$BT$3)</f>
        <v>0</v>
      </c>
      <c r="PW80" s="3">
        <f>PV80*Z80</f>
        <v>0</v>
      </c>
      <c r="PY80">
        <f>VLOOKUP($R80,Afgr,Data!$BV$3)</f>
        <v>0</v>
      </c>
      <c r="PZ80">
        <f>PY80*Z80</f>
        <v>0</v>
      </c>
      <c r="QB80">
        <f>VLOOKUP($R80,Afgr,Data!$BW$3)</f>
        <v>0</v>
      </c>
      <c r="QC80">
        <f>QB80*Z80</f>
        <v>0</v>
      </c>
      <c r="QE80">
        <f>AM80*IF(VLOOKUP($R80,Afgr,Data!$BJ$3)&gt;0,1,0)</f>
        <v>0</v>
      </c>
      <c r="QF80">
        <f>QE80*Z80</f>
        <v>0</v>
      </c>
      <c r="QH80">
        <f>AM80*VLOOKUP(R80,Afgr,Data!$BK$3)</f>
        <v>0</v>
      </c>
      <c r="QI80">
        <f>Z80*QH80</f>
        <v>0</v>
      </c>
      <c r="QJ80">
        <f>$AM80*VLOOKUP($R80,Afgr,Data!$BL$3)+$BR80*VLOOKUP($T80,Efgr,Data!$AP$53)</f>
        <v>0</v>
      </c>
      <c r="QK80">
        <f>QJ80*Z80</f>
        <v>0</v>
      </c>
      <c r="QL80">
        <f>$AM80*VLOOKUP($R80,Afgr,Data!$BM$3)</f>
        <v>0</v>
      </c>
      <c r="QM80">
        <f>QL80*Z80</f>
        <v>0</v>
      </c>
      <c r="QN80">
        <f>$AM80*VLOOKUP($R80,Afgr,Data!$BN$3)</f>
        <v>0</v>
      </c>
      <c r="QO80">
        <f>QN80*Z80</f>
        <v>0</v>
      </c>
      <c r="QR80">
        <f>IF(VLOOKUP($R80,Afgr,Data!$DA$3)="Vårbyg",$AN80,0)*VLOOKUP($R80,Afgr,Data!$BJ$3)</f>
        <v>0</v>
      </c>
      <c r="QS80">
        <f>IF(VLOOKUP($R80,Afgr,Data!$DA$3)="Vinterbyg",$AN80,0)*VLOOKUP($R80,Afgr,Data!$BJ$3)</f>
        <v>0</v>
      </c>
      <c r="QT80">
        <f>IF(VLOOKUP($R80,Afgr,Data!$DA$3)="Havre",$AN80,0)*VLOOKUP($R80,Afgr,Data!$BJ$3)</f>
        <v>0</v>
      </c>
      <c r="QU80">
        <f>IF(VLOOKUP($R80,Afgr,Data!$DA$3)="Hvede",$AN80,0)*VLOOKUP($R80,Afgr,Data!$BJ$3)</f>
        <v>0</v>
      </c>
      <c r="QV80">
        <f>IF(VLOOKUP($R80,Afgr,Data!$DA$3)="Triticale",$AN80,0)*VLOOKUP($R80,Afgr,Data!$BJ$3)</f>
        <v>0</v>
      </c>
      <c r="QW80">
        <f>IF(VLOOKUP($R80,Afgr,Data!$DA$3)="Rug",$AN80,0)*VLOOKUP($R80,Afgr,Data!$BJ$3)</f>
        <v>0</v>
      </c>
      <c r="QX80">
        <f>IF(VLOOKUP($R80,Afgr,Data!$DA$3)="Majs",$AN80,0)*VLOOKUP($R80,Afgr,Data!$BJ$3)</f>
        <v>0</v>
      </c>
      <c r="RA80">
        <f>IF(OV80+PB80&gt;0,1,0)</f>
        <v>0</v>
      </c>
      <c r="RB80">
        <f>RA80*LW80</f>
        <v>0</v>
      </c>
      <c r="RC80">
        <f>RA80*MT80</f>
        <v>0</v>
      </c>
      <c r="RD80">
        <f>ND80</f>
        <v>0</v>
      </c>
      <c r="RE80">
        <f>RA80*OB80</f>
        <v>0</v>
      </c>
      <c r="RH80">
        <f>VLOOKUP(B80,Jordtype,Data!$Y$112+DenitNr-1)</f>
        <v>7.25</v>
      </c>
      <c r="RI80">
        <f>FF80*VLOOKUP(B80,Jordtype,Data!$AB$112+DenitNr-1)</f>
        <v>0</v>
      </c>
      <c r="RJ80">
        <f>((CJ80+CK80+CL80+Regn2!CO80*0.7)-(RR80+RT80))*VLOOKUP(B80,Jordtype,Data!$AE$112+DenitNr-1)</f>
        <v>0</v>
      </c>
      <c r="RK80">
        <f>0*VLOOKUP(B80,Jordtype,Data!$AE$112+DenitNr-1)</f>
        <v>0</v>
      </c>
      <c r="RL80">
        <f>Regn2!FD80*VLOOKUP(B80,Jordtype,Data!$AH$112+DenitNr-1)</f>
        <v>0</v>
      </c>
      <c r="RM80" s="3">
        <f>RH80+RI80+RJ80+RK80+RL80</f>
        <v>7.25</v>
      </c>
      <c r="RO80">
        <v>2</v>
      </c>
      <c r="RP80">
        <f>(FF80)*RO80*0.01</f>
        <v>0</v>
      </c>
      <c r="RQ80">
        <v>7</v>
      </c>
      <c r="RR80">
        <f>CE80*RQ80*0.01</f>
        <v>0</v>
      </c>
      <c r="RS80">
        <v>7</v>
      </c>
      <c r="RT80">
        <f>(Regn2!CF80+Regn2!CG80)*RS80*0.01</f>
        <v>0</v>
      </c>
      <c r="RW80">
        <f>VLOOKUP(R80,Afgr,Data!$EE$3)</f>
        <v>0</v>
      </c>
      <c r="RX80" s="3">
        <f>RP80+RR80+RT80+RV80+RW80</f>
        <v>0</v>
      </c>
    </row>
    <row r="82" spans="1:492" x14ac:dyDescent="0.25">
      <c r="A82" s="214">
        <f>Nbal!B82</f>
        <v>0</v>
      </c>
      <c r="B82">
        <v>6</v>
      </c>
      <c r="C82">
        <v>1</v>
      </c>
      <c r="D82">
        <f>IF(C82=1,VLOOKUP(B82,Jordtype,Data!$K$112),VLOOKUP(B82,Jordtype,Data!$L$112))</f>
        <v>9</v>
      </c>
      <c r="E82">
        <f>IF(C82=1,VLOOKUP(B82,Jordtype,Data!$M$112),VLOOKUP(B82,Jordtype,Data!$N$112))</f>
        <v>14</v>
      </c>
      <c r="F82">
        <f>IF(OR(B82=1,B82=3),0,IF(OR(B82=2,B82=4),1,IF(OR(B82=5,B82=6),2,3)))</f>
        <v>2</v>
      </c>
      <c r="G82">
        <f>IF(C82=1,VLOOKUP(B82,Jordtype,Data!$Q$112),VLOOKUP(B82,Jordtype,Data!$R$112))</f>
        <v>25</v>
      </c>
      <c r="H82">
        <f>IF(C82=1,VLOOKUP(B82,Jordtype,Data!$O$112),VLOOKUP(B82,Jordtype,Data!$P$112))</f>
        <v>19</v>
      </c>
      <c r="I82">
        <f>IF(B82&lt;5,0,1)</f>
        <v>1</v>
      </c>
      <c r="J82">
        <f>IF(B82&lt;5,PlojJB,1)</f>
        <v>1</v>
      </c>
      <c r="K82">
        <f>IF(B82&lt;5,SaaJB,1)</f>
        <v>1</v>
      </c>
      <c r="L82">
        <f>IF(C82=1,VLOOKUP(B82,Jordtype,Data!$S$112),VLOOKUP(B82,Jordtype,Data!$T$112))</f>
        <v>8</v>
      </c>
      <c r="M82">
        <f>IF(C82=1,VLOOKUP(B82,Jordtype,Data!$U$112),VLOOKUP(B82,Jordtype,Data!$V$112))</f>
        <v>13</v>
      </c>
      <c r="O82">
        <v>1</v>
      </c>
      <c r="P82">
        <v>1</v>
      </c>
      <c r="Q82" t="b">
        <v>0</v>
      </c>
      <c r="R82">
        <v>1</v>
      </c>
      <c r="S82">
        <v>1</v>
      </c>
      <c r="T82">
        <v>1</v>
      </c>
      <c r="U82">
        <v>1</v>
      </c>
      <c r="V82">
        <v>1</v>
      </c>
      <c r="X82">
        <v>1</v>
      </c>
      <c r="Z82">
        <f>Nbal!AG82</f>
        <v>0</v>
      </c>
      <c r="AA82">
        <v>1</v>
      </c>
      <c r="AB82">
        <f>VLOOKUP($R82,Afgr,G82)</f>
        <v>0</v>
      </c>
      <c r="AC82">
        <f>VLOOKUP($O82,Afgr,Data!$AI$3)*VLOOKUP(R82,Afgr,Data!$AJ$3)</f>
        <v>0</v>
      </c>
      <c r="AD82">
        <f>IF($Q82,0,VLOOKUP($P82,Efgr,(Data!$W$53+$V$6-1)))</f>
        <v>0</v>
      </c>
      <c r="AE82">
        <f>AB82-AC82-AD82</f>
        <v>0</v>
      </c>
      <c r="AF82">
        <f>AE82*Z82</f>
        <v>0</v>
      </c>
      <c r="AH82">
        <f>VLOOKUP(R82,Afgr,D82)</f>
        <v>0</v>
      </c>
      <c r="AI82">
        <f>VLOOKUP(O82,Afgr,Data!$AL$3)*VLOOKUP(R82,Afgr,E82)</f>
        <v>0</v>
      </c>
      <c r="AJ82">
        <f>VLOOKUP(P82,Efgr,(Data!$Y$53+I82))</f>
        <v>0</v>
      </c>
      <c r="AK82">
        <f>AH82+AI82+AJ82</f>
        <v>0</v>
      </c>
      <c r="AL82">
        <f>AH82+AI82+AJ82</f>
        <v>0</v>
      </c>
      <c r="AM82" s="3">
        <f>IF(Nbal!CK82&lt;&gt;"",Nbal!CK82,AL82)</f>
        <v>0</v>
      </c>
      <c r="AN82">
        <f>AM82*Z82</f>
        <v>0</v>
      </c>
      <c r="AO82">
        <f>VLOOKUP(R82,Afgr,3)</f>
        <v>0</v>
      </c>
      <c r="AP82">
        <f>IF(AO82="FE",VLOOKUP($R82,Afgr,Data!$AV$3),0)</f>
        <v>0</v>
      </c>
      <c r="AR82">
        <f>VLOOKUP(R82,Afgr,4)</f>
        <v>0</v>
      </c>
      <c r="AS82" s="3">
        <f>IF(Nbal!CW82&lt;&gt;"",Nbal!CW82,AR82)</f>
        <v>0</v>
      </c>
      <c r="AT82" s="3">
        <f>AM82*AS82</f>
        <v>0</v>
      </c>
      <c r="AU82" s="3">
        <f>AN82*AS82</f>
        <v>0</v>
      </c>
      <c r="AW82">
        <f>VLOOKUP(R82,Afgr,Data!$AN$3)</f>
        <v>0</v>
      </c>
      <c r="AX82" s="3">
        <f>IF(Nbal!DC82&lt;&gt;"",Nbal!DC82,AW82)</f>
        <v>0</v>
      </c>
      <c r="AY82" s="3">
        <f>AX82*Z82</f>
        <v>0</v>
      </c>
      <c r="BA82">
        <f>VLOOKUP(R82,Afgr,H82)</f>
        <v>0</v>
      </c>
      <c r="BB82">
        <f>IF(ISERROR(BA82*AM82/AK82),0,(BA82*AM82/AK82))</f>
        <v>0</v>
      </c>
      <c r="BC82" s="3">
        <f>IF(Nbal!DI82&lt;&gt;"",Nbal!DI82,BB82)</f>
        <v>0</v>
      </c>
      <c r="BD82">
        <f>BC82*Z82</f>
        <v>0</v>
      </c>
      <c r="BG82">
        <f>IF($S82=1,BC82,0)</f>
        <v>0</v>
      </c>
      <c r="BH82">
        <f>IF($S82=1,BD82,0)</f>
        <v>0</v>
      </c>
      <c r="BI82">
        <f>VLOOKUP(R82,Afgr,Data!$AM$3)</f>
        <v>0</v>
      </c>
      <c r="BJ82">
        <f>IF(Nbal!DR82&lt;&gt;"",Nbal!DR82,BI82)</f>
        <v>0</v>
      </c>
      <c r="BK82">
        <f>BG82*BJ82</f>
        <v>0</v>
      </c>
      <c r="BL82">
        <f>BH82*BJ82</f>
        <v>0</v>
      </c>
      <c r="BN82">
        <f>VLOOKUP($T82,Efgr,M82)</f>
        <v>0</v>
      </c>
      <c r="BO82">
        <f>BN82*Z82</f>
        <v>0</v>
      </c>
      <c r="BQ82">
        <f>VLOOKUP(T82,Efgr,NormudbKolonneNrEfgr1)</f>
        <v>0</v>
      </c>
      <c r="BR82" s="3">
        <f>IF(Nbal!FE82&lt;&gt;"",Nbal!FE82,BQ82)</f>
        <v>0</v>
      </c>
      <c r="BS82">
        <f>BR82*Z82</f>
        <v>0</v>
      </c>
      <c r="BT82" t="s">
        <v>37</v>
      </c>
      <c r="BU82">
        <f>BR82*Efterslaetpris</f>
        <v>0</v>
      </c>
      <c r="BV82">
        <f>BS82*Efterslaetpris</f>
        <v>0</v>
      </c>
      <c r="BW82">
        <f>VLOOKUP(T82,Efgr,Data!$AG$53)</f>
        <v>0</v>
      </c>
      <c r="BX82">
        <f>BR82*BW82</f>
        <v>0</v>
      </c>
      <c r="BZ82">
        <f>Nbal!AQ82</f>
        <v>0</v>
      </c>
      <c r="CA82" s="211">
        <f>Nbal!AT82</f>
        <v>0</v>
      </c>
      <c r="CB82" s="2">
        <f>Nbal!DZ82</f>
        <v>0</v>
      </c>
      <c r="CC82" s="211">
        <f>Nbal!AT82+Nbal!DZ82</f>
        <v>0</v>
      </c>
      <c r="CD82" s="211">
        <f>Nbal!AX82</f>
        <v>0</v>
      </c>
      <c r="CE82">
        <f>Nbal!BH82</f>
        <v>0</v>
      </c>
      <c r="CF82" s="211">
        <f>Nbal!BM82</f>
        <v>0</v>
      </c>
      <c r="CG82" s="2">
        <f>Nbal!EI82</f>
        <v>0</v>
      </c>
      <c r="CH82" s="211">
        <f>Nbal!BM82+Nbal!EI82</f>
        <v>0</v>
      </c>
      <c r="CI82" s="211">
        <f>Nbal!BW82</f>
        <v>0</v>
      </c>
      <c r="CJ82" s="211">
        <f>Nbal!BH82*Nbal!BJ82*0.01</f>
        <v>0</v>
      </c>
      <c r="CK82" s="211">
        <f>(Nbal!BM82*Nbal!BP82*0.01)</f>
        <v>0</v>
      </c>
      <c r="CL82" s="211">
        <f>(Nbal!EI82*Nbal!EL82*0.01)</f>
        <v>0</v>
      </c>
      <c r="CM82" s="211">
        <f>(Nbal!BM82*Nbal!BP82*0.01)+(Nbal!EI82*Nbal!EL82*0.01)</f>
        <v>0</v>
      </c>
      <c r="CN82" s="211">
        <f>Nbal!BW82*Nbal!BY82*0.01</f>
        <v>0</v>
      </c>
      <c r="CO82">
        <f>Nbal!BT82+Nbal!ER82</f>
        <v>0</v>
      </c>
      <c r="CQ82">
        <f>Nbal!BA82</f>
        <v>0</v>
      </c>
      <c r="CR82">
        <f>Nbal!EC82</f>
        <v>0</v>
      </c>
      <c r="CS82">
        <f>(CQ82+CR82)*Z82</f>
        <v>0</v>
      </c>
      <c r="CT82">
        <f>Nbal!CB82</f>
        <v>0</v>
      </c>
      <c r="CU82">
        <f>Nbal!EV82</f>
        <v>0</v>
      </c>
      <c r="CV82">
        <f>(CT82+CU82)*Z82</f>
        <v>0</v>
      </c>
      <c r="CW82">
        <f>Nbal!BA82+Nbal!CB82+Nbal!EC82+Nbal!EV82</f>
        <v>0</v>
      </c>
      <c r="CY82">
        <f>Nbal!BD82</f>
        <v>0</v>
      </c>
      <c r="CZ82">
        <f>Nbal!EF82</f>
        <v>0</v>
      </c>
      <c r="DA82">
        <f>(CY82+CZ82)*Z82</f>
        <v>0</v>
      </c>
      <c r="DB82">
        <f>Nbal!CE82</f>
        <v>0</v>
      </c>
      <c r="DC82">
        <f>Nbal!EY82</f>
        <v>0</v>
      </c>
      <c r="DD82">
        <f>(DB82+DC82)*Z82</f>
        <v>0</v>
      </c>
      <c r="DE82">
        <f>Nbal!BD82+Nbal!CE82+Nbal!EF82+Nbal!EY82</f>
        <v>0</v>
      </c>
      <c r="DG82">
        <f>VLOOKUP($R82,Afgr,Data!$AW$3)</f>
        <v>0</v>
      </c>
      <c r="DH82">
        <f>IF($AO82="FE",$AM82*$AP82*$DG82*0.01,$AM82*100*$DM82*0.01*$DG82*0.01)</f>
        <v>0</v>
      </c>
      <c r="DI82">
        <f>IF(VLOOKUP(R82,Afgr,Data!$BO$3)=1,DH82,0)*Z82</f>
        <v>0</v>
      </c>
      <c r="DJ82" s="12">
        <f>(BZ82+CC82+CJ82-AE82)*VLOOKUP($R82,Afgr,Data!$AX$3)</f>
        <v>0</v>
      </c>
      <c r="DK82">
        <f>DG82+DJ82</f>
        <v>0</v>
      </c>
      <c r="DL82">
        <f>IF(Nbal!CQ82&lt;&gt;"",Nbal!CQ82,DK82)</f>
        <v>0</v>
      </c>
      <c r="DM82">
        <f>VLOOKUP(R82,Afgr,Data!$AT$3)</f>
        <v>0</v>
      </c>
      <c r="DN82">
        <f>IF($AO82="FE",$AM82*$AP82*$DL82*0.01,$AM82*100*$DM82*0.01*DL82*0.01)</f>
        <v>0</v>
      </c>
      <c r="DO82">
        <f>IF(VLOOKUP(R82,Afgr,Data!$BO$3)=1,DN82,0)*Z82</f>
        <v>0</v>
      </c>
      <c r="DP82">
        <f>IF(ISERROR(DN82/VLOOKUP(R82,Afgr,Data!$AY$3)),0,DN82/VLOOKUP(R82,Afgr,Data!$AY$3))</f>
        <v>0</v>
      </c>
      <c r="DQ82">
        <f>DP82*Z82</f>
        <v>0</v>
      </c>
      <c r="DS82">
        <f>IF($AO82="FE",$AM82*$AP82*VLOOKUP($R82,Afgr,Data!$BC$3)*0.001,$AM82*100*$DM82*0.01*VLOOKUP($R82,Afgr,Data!$BC$3)*0.001)</f>
        <v>0</v>
      </c>
      <c r="DT82">
        <f>DS82*Z82</f>
        <v>0</v>
      </c>
      <c r="DV82">
        <f>IF($AO82="FE",$AM82*$AP82*VLOOKUP($R82,Afgr,Data!$BF$3)*0.001,$AM82*100*$DM82*0.01*VLOOKUP($R82,Afgr,Data!$BF$3)*0.001)</f>
        <v>0</v>
      </c>
      <c r="DW82">
        <f>DV82*Z82</f>
        <v>0</v>
      </c>
      <c r="DY82">
        <f>IF(ISERROR(VLOOKUP(R82,Afgr,Data!$AZ$3)*DL82/DG82),0,VLOOKUP(R82,Afgr,Data!$AZ$3)*DL82/DG82)</f>
        <v>0</v>
      </c>
      <c r="DZ82">
        <f>VLOOKUP(R82,Afgr,Data!$AU$3)</f>
        <v>0</v>
      </c>
      <c r="EA82">
        <f>IF($S82=1,$BC82*$DZ82*0.01*DY82*0.01,0)</f>
        <v>0</v>
      </c>
      <c r="EB82">
        <f>EA82/6.25</f>
        <v>0</v>
      </c>
      <c r="EC82">
        <f>EB82*Z82</f>
        <v>0</v>
      </c>
      <c r="EE82">
        <f>IF($S82=1,$BC82*$DZ82*0.01*VLOOKUP($R82,Afgr,Data!$BD$3)*0.001,0)</f>
        <v>0</v>
      </c>
      <c r="EF82">
        <f>EE82*Z82</f>
        <v>0</v>
      </c>
      <c r="EH82">
        <f>IF($S82=1,$BC82*$DZ82*0.01*VLOOKUP($R82,Afgr,Data!$BG$3)*0.001,0)</f>
        <v>0</v>
      </c>
      <c r="EI82">
        <f>EH82*Z82</f>
        <v>0</v>
      </c>
      <c r="EK82">
        <f>VLOOKUP(T82,Efgr,Data!$AI$53)</f>
        <v>0</v>
      </c>
      <c r="EL82">
        <f>BX82*EK82*0.01/6.25</f>
        <v>0</v>
      </c>
      <c r="EM82">
        <f>EL82*Z82</f>
        <v>0</v>
      </c>
      <c r="EO82">
        <f>$BX82*VLOOKUP($T82,Efgr,Data!$AJ$53)*0.001</f>
        <v>0</v>
      </c>
      <c r="EP82">
        <f>EO82*Z82</f>
        <v>0</v>
      </c>
      <c r="ER82">
        <f>$BX82*VLOOKUP($T82,Efgr,Data!$AK$53)*0.001</f>
        <v>0</v>
      </c>
      <c r="ES82">
        <f>ER82*Z82</f>
        <v>0</v>
      </c>
      <c r="EU82">
        <f>IF(VLOOKUP(R82,Afgr,Data!$DS$3)=1,DP82*VLOOKUP(R82,Afgr,(Data!$DT$3+EftervirkningUdb1))*VLOOKUP(R82,Afgr,Data!$DV$3),0)</f>
        <v>0</v>
      </c>
      <c r="EV82">
        <f>IF(VLOOKUP(R82,Afgr,Data!$DS$3)=2,VLOOKUP(R82,Afgr,Data!$DX$3),0)</f>
        <v>0</v>
      </c>
      <c r="EW82">
        <f>IF(VLOOKUP(R82,Afgr,Data!$DS$3)=3,$DP82*VLOOKUP($R82,Afgr,IF(Jordtype1&lt;5,Data!$DT$3,Data!$DU$3))*VLOOKUP($R82,Afgr,Data!$DV$3),0)</f>
        <v>0</v>
      </c>
      <c r="EX82">
        <f>IF(VLOOKUP(R82,Afgr,Data!$DS$3)=4,(1.232+0.00469*AM82*100+(0.000256*AM82*100+0.089)*60),0)</f>
        <v>0</v>
      </c>
      <c r="EY82" s="211">
        <f>BZ82+CA82+CJ82+CK82</f>
        <v>0</v>
      </c>
      <c r="EZ82">
        <f>IF(VLOOKUP($R82,Afgr,Data!$DS$3)=5,($AM82*0.02742-$AM82*0.0001*$EY82+$AM82*0.0000001111*$EY82*$EY82),0)</f>
        <v>0</v>
      </c>
      <c r="FA82" s="2">
        <f>CB82+CL82</f>
        <v>0</v>
      </c>
      <c r="FB82">
        <f>IF(VLOOKUP($T82,Efgr,Data!$BH$53)=5,($BR82*0.02742-$BR82*0.0001*$FA82+$BR82*0.0000001111*$FA82*$FA82),0)</f>
        <v>0</v>
      </c>
      <c r="FC82" s="3">
        <f>EU82+EV82+EW82+EX82+EZ82+FB82</f>
        <v>0</v>
      </c>
      <c r="FD82" s="3">
        <f>FC82*Z82</f>
        <v>0</v>
      </c>
      <c r="FF82" s="211">
        <f>BZ82+CC82</f>
        <v>0</v>
      </c>
      <c r="FG82" s="211">
        <f>FF82*Z82</f>
        <v>0</v>
      </c>
      <c r="FH82" s="211">
        <f>CE82+CH82+CO82</f>
        <v>0</v>
      </c>
      <c r="FI82" s="211">
        <f>FH82*Z82</f>
        <v>0</v>
      </c>
      <c r="FJ82">
        <f>VLOOKUP($R82,Afgr,Data!$DK$3)*VLOOKUP($R82,Afgr,Data!$AT$3)*0.01*VLOOKUP($R82,Afgr,Data!$AW$3)*0.01/6.25</f>
        <v>0</v>
      </c>
      <c r="FK82">
        <f>FJ82*Z82</f>
        <v>0</v>
      </c>
      <c r="FL82" s="4">
        <f>IF(R82&gt;1,Deposition,0)</f>
        <v>0</v>
      </c>
      <c r="FM82" s="4">
        <f>FL82*Z82</f>
        <v>0</v>
      </c>
      <c r="FN82">
        <f>FC82</f>
        <v>0</v>
      </c>
      <c r="FO82">
        <f>FN82*Z82</f>
        <v>0</v>
      </c>
      <c r="FP82" s="211">
        <f>SUM(FF82,FH82,FJ82,FL82,FN82)</f>
        <v>0</v>
      </c>
      <c r="FQ82">
        <f>DP82+EB82+EL82</f>
        <v>0</v>
      </c>
      <c r="FR82" s="3">
        <f>FP82-FQ82</f>
        <v>0</v>
      </c>
      <c r="FS82" s="19">
        <f>FP82*Z82</f>
        <v>0</v>
      </c>
      <c r="FT82" s="19">
        <f>FQ82*Z82</f>
        <v>0</v>
      </c>
      <c r="FU82" s="3">
        <f>FR82*Z82</f>
        <v>0</v>
      </c>
      <c r="FW82">
        <f>CW82</f>
        <v>0</v>
      </c>
      <c r="FX82">
        <f>FW82*Z82</f>
        <v>0</v>
      </c>
      <c r="FY82">
        <f>IX82+MB82</f>
        <v>0</v>
      </c>
      <c r="FZ82">
        <f>FY82*Z82</f>
        <v>0</v>
      </c>
      <c r="GA82">
        <f>FW82-FY82</f>
        <v>0</v>
      </c>
      <c r="GB82">
        <f>GA82*Z82</f>
        <v>0</v>
      </c>
      <c r="GD82">
        <f>DE82</f>
        <v>0</v>
      </c>
      <c r="GE82">
        <f>GD82*Z82</f>
        <v>0</v>
      </c>
      <c r="GF82">
        <f>JE82+MH82</f>
        <v>0</v>
      </c>
      <c r="GG82">
        <f>GF82*Z82</f>
        <v>0</v>
      </c>
      <c r="GH82">
        <f>GD82-GF82</f>
        <v>0</v>
      </c>
      <c r="GI82">
        <f>GH82*Z82</f>
        <v>0</v>
      </c>
      <c r="GK82">
        <f>AA82</f>
        <v>1</v>
      </c>
      <c r="GL82" s="211">
        <f>FF82+FH82+FN82</f>
        <v>0</v>
      </c>
      <c r="GM82" s="211" t="str">
        <f>IF(R82=1,"",IF(GK82=1,GL82,""))</f>
        <v/>
      </c>
      <c r="GN82" s="211" t="str">
        <f>IF(R82=1,"",IF(GK82=2,GL82,""))</f>
        <v/>
      </c>
      <c r="GO82" s="211" t="str">
        <f>IF(R82=1,"",IF(GK82=3,GL82,""))</f>
        <v/>
      </c>
      <c r="GP82" s="211" t="str">
        <f>IF(R82=1,"",IF(GK82=4,GL82,""))</f>
        <v/>
      </c>
      <c r="GQ82" s="149">
        <f>IF(OR(R82=1,VLOOKUP(R82,Afgr,Data!$BV$3)=1,VLOOKUP(R82,Afgr,Data!$BW$3)=1),0,IF(GK82=1,Nniveau1,IF(GK82=2,Nniveau2,IF(GK82=3,Nniveau3,IF(GK82=4,Nniveau4,GL82)))))</f>
        <v>0</v>
      </c>
      <c r="GR82" s="241">
        <v>0.32550000000000001</v>
      </c>
      <c r="GS82" s="6">
        <v>0</v>
      </c>
      <c r="GT82" s="149">
        <f>CC82+CM82</f>
        <v>0</v>
      </c>
      <c r="GU82" s="6">
        <f>$FN82</f>
        <v>0</v>
      </c>
      <c r="GV82" s="241">
        <v>0.25280000000000002</v>
      </c>
      <c r="GW82">
        <f>CO82</f>
        <v>0</v>
      </c>
      <c r="GX82" s="241">
        <v>0.376</v>
      </c>
      <c r="GY82" s="149">
        <f>CD82+CN82</f>
        <v>0</v>
      </c>
      <c r="GZ82" s="241">
        <f>IF(B82&gt;3,0.3539,1.0749)</f>
        <v>0.35389999999999999</v>
      </c>
      <c r="HA82" s="11">
        <f>$FQ82</f>
        <v>0</v>
      </c>
      <c r="HB82" s="241">
        <v>0.19359999999999999</v>
      </c>
      <c r="HC82" s="241">
        <f>VLOOKUP($R82,Afgr,Data!$DM$3)</f>
        <v>0</v>
      </c>
      <c r="HD82" s="24">
        <f>IF($HC82&gt;1,0,(VLOOKUP($X82,Afgr,Data!$DP$3)+IF(VLOOKUP($X82,Afgr,Data!$DP$3)=0,VLOOKUP($T82,Efgr,Data!$BI$53,0))))+IF(AND($HC82=7,VLOOKUP($X82,Afgr,Data!$DQ$3)=-2),-2,0)+IF(AND($HC82=6,VLOOKUP($T82,Efgr,Data!$BI$53)=2),8,0)</f>
        <v>0</v>
      </c>
      <c r="HE82" s="6" t="e">
        <f>VLOOKUP(SUM(HC82:HD82),Nlesafgr,3)</f>
        <v>#N/A</v>
      </c>
      <c r="HF82" s="7">
        <f>VLOOKUP($O82,Afgr,Data!$DN$3)</f>
        <v>0</v>
      </c>
      <c r="HG82" s="24">
        <f>IF(HF82&gt;1,0,VLOOKUP($R82,Afgr,Data!$DO$3)+IF(VLOOKUP($R82,Afgr,Data!$DO$3)=1,0,VLOOKUP($P82,Efgr,Data!$BJ$53)))</f>
        <v>0</v>
      </c>
      <c r="HH82" s="6" t="e">
        <f>VLOOKUP(SUM(HF82:HG82),Nlesforfrugt,3)</f>
        <v>#N/A</v>
      </c>
      <c r="HI82" s="241" t="e">
        <f>GR82*GQ82+GV82*(GT82+GU82)+GX82*GW82+GZ82*GY82-HB82*HA82+HE82+HH82</f>
        <v>#N/A</v>
      </c>
      <c r="HJ82" s="241">
        <f>Nlesafskaering</f>
        <v>59.6</v>
      </c>
      <c r="HK82" s="241">
        <f>Teknologi1</f>
        <v>2455</v>
      </c>
      <c r="HL82" s="6">
        <v>2001</v>
      </c>
      <c r="HM82" s="241">
        <f>Teknologi2</f>
        <v>1962.2</v>
      </c>
      <c r="HN82" s="241">
        <f>Tandel</f>
        <v>0.54659999999999997</v>
      </c>
      <c r="HO82" s="241" t="e">
        <f>IF(OR(HI82&gt;0,HI82=0),HJ82+HK82/(HL82-HM82),HJ82+HK82/(HL82-HM82)+HN82*HI82)</f>
        <v>#N/A</v>
      </c>
      <c r="HP82" s="241" t="e">
        <f>IF(HI82&gt;0,HI82,0.001)</f>
        <v>#N/A</v>
      </c>
      <c r="HQ82" s="241">
        <v>1.5020000000000001E-3</v>
      </c>
      <c r="HR82" s="24">
        <f>IF(R82=1,0,VLOOKUP(PostnrNbal,AfstromData,VLOOKUP($R82,Afgr,Data!$DL$3)+IF(Jordtype1&lt;7,Jordtype1,6),FALSE)-VLOOKUP(T82,Efgr,Data!$AA$53))</f>
        <v>0</v>
      </c>
      <c r="HS82" s="24">
        <f>IF(Nbal!GA82&lt;&gt;"",Nbal!GA82,Regn2!HR82)</f>
        <v>0</v>
      </c>
      <c r="HT82" s="241">
        <v>5.5400000000000002E-4</v>
      </c>
      <c r="HU82" s="24">
        <f>IF(R82=1,0,VLOOKUP(PostnrNbal,AfstromData,VLOOKUP($O82,Afgr,Data!$DL$3)+IF(B82&lt;7,B82,6),FALSE)-VLOOKUP(P82,Efgr,Data!$AA$53))</f>
        <v>0</v>
      </c>
      <c r="HV82" s="24">
        <f>IF(Nbal!FU82&lt;&gt;"",Nbal!FU82,Regn2!HU82)</f>
        <v>0</v>
      </c>
      <c r="HW82" s="241">
        <v>0.10639999999999999</v>
      </c>
      <c r="HX82" s="6">
        <f>VLOOKUP(B82,Jordtype,Data!$W$112)</f>
        <v>3</v>
      </c>
      <c r="HY82" s="241">
        <v>3.2500000000000001E-2</v>
      </c>
      <c r="HZ82" s="6">
        <f>VLOOKUP(B82,Jordtype,Data!$X$112)</f>
        <v>12</v>
      </c>
      <c r="IA82" s="241">
        <v>1.2453000000000001</v>
      </c>
      <c r="IB82" s="241">
        <f>IF(VLOOKUP(T82,Efgr,Data!$AO$53)=1,MlafgrNUdvask,0)</f>
        <v>0</v>
      </c>
      <c r="IC82" s="20">
        <f>IF(ISERROR((HO82+POWER(HP82,1.2))*(1-EXP(-HQ82*HS82))*EXP(-HT82*HV82)*EXP(-HW82*HX82)*EXP(-HY82*HZ82)*IA82),0,(HO82+POWER(HP82,1.2))*(1-EXP(-HQ82*HS82))*EXP(-HT82*HV82)*EXP(-HW82*HX82)*EXP(-HY82*HZ82)*IA82+IB82)</f>
        <v>0</v>
      </c>
      <c r="ID82">
        <f>IC82*Z82</f>
        <v>0</v>
      </c>
      <c r="IE82">
        <f>IF(Nbal!GF82&lt;&gt;"",Nbal!GF82,RetentionNbal)</f>
        <v>65</v>
      </c>
      <c r="IF82">
        <f>IC82*(100-IE82)*0.01</f>
        <v>0</v>
      </c>
      <c r="IG82">
        <f>IF82*Z82</f>
        <v>0</v>
      </c>
      <c r="IH82" s="2">
        <f>HS82*10000</f>
        <v>0</v>
      </c>
      <c r="II82" s="2">
        <f>IH82*Z82</f>
        <v>0</v>
      </c>
      <c r="IJ82">
        <f>IF(ISERROR(IC82*1000*1000/IH82),0,IC82*1000*1000/IH82)</f>
        <v>0</v>
      </c>
      <c r="IL82">
        <f>AT82+AX82+BK82+BU82</f>
        <v>0</v>
      </c>
      <c r="IO82">
        <f>VLOOKUP(R82,Afgr,Data!$AP$3)*UdsaedJust</f>
        <v>0</v>
      </c>
      <c r="IP82" s="3">
        <f>IF(Nbal!GN82&lt;&gt;"",Nbal!GN82,IO82)</f>
        <v>0</v>
      </c>
      <c r="IQ82" s="3">
        <f>IP82*Z82</f>
        <v>0</v>
      </c>
      <c r="IS82" s="3">
        <f>IF(HdgVaerdiNbal=1,(BZ82+CA82)*Npris,(BZ82+CA82+CJ82+CK82)*Npris)</f>
        <v>0</v>
      </c>
      <c r="IT82" s="3">
        <f>IS82*Z82</f>
        <v>0</v>
      </c>
      <c r="IV82">
        <f>VLOOKUP($R82,Afgr,Data!$BA$3)</f>
        <v>0</v>
      </c>
      <c r="IW82">
        <f>VLOOKUP($R82,Afgr,Data!$BB$3)</f>
        <v>0</v>
      </c>
      <c r="IX82">
        <f>$DS82+$EE82</f>
        <v>0</v>
      </c>
      <c r="IY82">
        <f>CT82</f>
        <v>0</v>
      </c>
      <c r="IZ82">
        <f>CQ82</f>
        <v>0</v>
      </c>
      <c r="JA82" s="3">
        <f>IF(HdgVaerdiNbal=1,(IZ82)*Ppris,(IY82+IZ82)*Ppris)</f>
        <v>0</v>
      </c>
      <c r="JB82" s="3">
        <f>JA82*Z82</f>
        <v>0</v>
      </c>
      <c r="JD82">
        <f>IF(AND(R82&gt;1,OR(Jordtype1=1,Jordtype1=3,Markvand1=2)),Kudvask,0)</f>
        <v>0</v>
      </c>
      <c r="JE82">
        <f>$DV82+$EH82</f>
        <v>0</v>
      </c>
      <c r="JF82">
        <f>DB82</f>
        <v>0</v>
      </c>
      <c r="JG82">
        <f>CY82</f>
        <v>0</v>
      </c>
      <c r="JH82" s="3">
        <f>IF(HdgVaerdiNbal=1,JG82*Kpris,(JF82+JG82)*Kpris)</f>
        <v>0</v>
      </c>
      <c r="JI82" s="3">
        <f>JH82*Z82</f>
        <v>0</v>
      </c>
      <c r="JK82">
        <f>IS82+JA82+JH82</f>
        <v>0</v>
      </c>
      <c r="JL82" s="3">
        <f>IF(Nbal!GT82&lt;&gt;"",Nbal!GT82,$JK82)</f>
        <v>0</v>
      </c>
      <c r="JM82" s="3">
        <f>JL82*Z82</f>
        <v>0</v>
      </c>
      <c r="JO82">
        <f>VLOOKUP(R82,Afgr,Data!$AQ$3)*PlantevJust</f>
        <v>0</v>
      </c>
      <c r="JP82" s="3">
        <f>IF(Nbal!GZ82&lt;&gt;"",Nbal!GZ82,JO82)</f>
        <v>0</v>
      </c>
      <c r="JQ82" s="3">
        <f>JP82*Z82</f>
        <v>0</v>
      </c>
      <c r="JS82">
        <f>VLOOKUP(R82,Afgr,Data!$AR$3)+AM82*VLOOKUP(R82,Afgr,Data!$BH$3)</f>
        <v>0</v>
      </c>
      <c r="JT82" s="3">
        <f>IF(Nbal!HF82&lt;&gt;"",Nbal!HF82,JS82)</f>
        <v>0</v>
      </c>
      <c r="JU82">
        <f>JT82*Z82</f>
        <v>0</v>
      </c>
      <c r="JW82">
        <f>IP82+JL82+JP82+JT82</f>
        <v>0</v>
      </c>
      <c r="JY82">
        <f>IF(VLOOKUP(R82,Afgr,Data!$BY$3)&gt;0,Data!$K$259*J82,0)</f>
        <v>0</v>
      </c>
      <c r="JZ82">
        <f>IF(VLOOKUP(R82,Afgr,Data!$BZ$3)&gt;0,Data!$K$260*J82,0)</f>
        <v>0</v>
      </c>
      <c r="KA82">
        <f>(JY82+JZ82)*MaskJust</f>
        <v>0</v>
      </c>
      <c r="KB82" s="3">
        <f>IF(Nbal!HL82&lt;&gt;"",Nbal!HL82,KA82)</f>
        <v>0</v>
      </c>
      <c r="KC82" s="3">
        <f>KB82*Z82</f>
        <v>0</v>
      </c>
      <c r="KE82">
        <f>IF(VLOOKUP(R82,Afgr,Data!$CA$3)&gt;0,VLOOKUP(R82,Afgr,Data!$CA$3)*Data!$K$261*K82,0)</f>
        <v>0</v>
      </c>
      <c r="KF82">
        <f>IF(VLOOKUP(R82,Afgr,Data!$CC$3)&gt;0,Data!$K$262*K82,0)</f>
        <v>0</v>
      </c>
      <c r="KG82">
        <f>IF(VLOOKUP(R82,Afgr,Data!$CD$3)&gt;0,VLOOKUP(R82,Afgr,Data!$CD$3)*Data!$K$263*K82,0)</f>
        <v>0</v>
      </c>
      <c r="KH82">
        <f>IF(VLOOKUP(R82,Afgr,Data!$CE$3)&gt;0,Data!$K$264*K82,0)</f>
        <v>0</v>
      </c>
      <c r="KI82">
        <f>IF(VLOOKUP(R82,Afgr,Data!$CF$3)&gt;0,Data!$K$265*K82,0)</f>
        <v>0</v>
      </c>
      <c r="KJ82">
        <f>IF(VLOOKUP(R82,Afgr,Data!$CV$3)&gt;0,Data!$K$266,0)</f>
        <v>0</v>
      </c>
      <c r="KK82">
        <f>IF(VLOOKUP(R82,Afgr,Data!$CG$3)&gt;0,Data!$K$267*K82,0)</f>
        <v>0</v>
      </c>
      <c r="KL82">
        <f>(KE82+KF82+KG82+KH82+KI82+KJ82+KK82)*MaskJust</f>
        <v>0</v>
      </c>
      <c r="KM82" s="3">
        <f>IF(Nbal!HR82&lt;&gt;"",Nbal!HR82,KL82)</f>
        <v>0</v>
      </c>
      <c r="KN82" s="3">
        <f>KM82*Z82</f>
        <v>0</v>
      </c>
      <c r="KP82">
        <f>IF(VLOOKUP(R82,Afgr,Data!$CJ$3)&gt;0,VLOOKUP(R82,Afgr,Data!$CJ$3)*Data!$K$268*K82,0)*MaskJust</f>
        <v>0</v>
      </c>
      <c r="KQ82" s="3">
        <f>IF(Nbal!HX82&lt;&gt;"",Nbal!HX82,KP82)</f>
        <v>0</v>
      </c>
      <c r="KR82" s="3">
        <f>KQ82*Z82</f>
        <v>0</v>
      </c>
      <c r="KT82">
        <f>IF(VLOOKUP(R82,Afgr,Data!$CI$3)&gt;0,VLOOKUP(R82,Afgr,Data!$CI$3)*Data!$K$269,0)*MaskJust</f>
        <v>0</v>
      </c>
      <c r="KU82" s="3">
        <f>IF(Nbal!ID82&lt;&gt;"",Nbal!ID82,KT82)</f>
        <v>0</v>
      </c>
      <c r="KV82" s="3">
        <f>KU82*Z82</f>
        <v>0</v>
      </c>
      <c r="KX82">
        <f>IF(C82=2,VLOOKUP($R82,Afgr,Data!$CY$3),0)</f>
        <v>0</v>
      </c>
      <c r="KY82">
        <f>IF(Nbal!IJ82&lt;&gt;"",Nbal!IJ82,$KX82)</f>
        <v>0</v>
      </c>
      <c r="KZ82">
        <f>IF(AND(R82&gt;1,C82=2),Vandmaskin+$KY82*Flytning/mmprgang+$KY82*Prisprmm,0)</f>
        <v>0</v>
      </c>
      <c r="LA82" s="3">
        <f>IF(Nbal!IP82&lt;&gt;"",Nbal!IP82,$KZ82)</f>
        <v>0</v>
      </c>
      <c r="LB82" s="3">
        <f>LA82*Z82</f>
        <v>0</v>
      </c>
      <c r="LD82">
        <f>IF(VLOOKUP($R82,Afgr,Data!$CK$3)&gt;0,((1+AM82/VLOOKUP($R82,Afgr,Data!$CK$3))/2)*VLOOKUP($R82,Afgr,Data!$CL$3)*VLOOKUP($R82,Afgr,Data!$CN$3)+VLOOKUP($R82,Afgr,Data!$CM$3),0)</f>
        <v>0</v>
      </c>
      <c r="LE82">
        <f>IF(VLOOKUP($R82,Afgr,Data!$CK$3)&gt;0,IF(AND($S82=2,$BA82&gt;0),Data!$K$271,0),0)</f>
        <v>0</v>
      </c>
      <c r="LF82">
        <f>IF(VLOOKUP($R82,Afgr,Data!$CK$3)&gt;0,(AM82/VLOOKUP($R82,Afgr,Data!$CK$3))*VLOOKUP($R82,Afgr,Data!$CO$3)*VLOOKUP($R82,Afgr,Data!$CN$3),0)</f>
        <v>0</v>
      </c>
      <c r="LG82">
        <f>(LD82+LE82+LF82)*MaskJust</f>
        <v>0</v>
      </c>
      <c r="LH82" s="3">
        <f>IF(Nbal!IV82&lt;&gt;"",Nbal!IV82,LG82)</f>
        <v>0</v>
      </c>
      <c r="LI82" s="3">
        <f>LH82*Z82</f>
        <v>0</v>
      </c>
      <c r="LJ82" s="3"/>
      <c r="LK82">
        <f>IF(AND($S82=1,VLOOKUP($R82,Afgr,Data!$CP$3)&gt;0),((1+$BC82/VLOOKUP($R82,Afgr,Data!$CP$3))/2)*VLOOKUP($R82,Afgr,Data!$CQ$3),0)</f>
        <v>0</v>
      </c>
      <c r="LL82">
        <f>IF(AND($S82=1,VLOOKUP($R82,Afgr,Data!$CP$3)&gt;0),($BC82/VLOOKUP($R82,Afgr,Data!$CP$3))*VLOOKUP($R82,Afgr,Data!$CR$3),0)</f>
        <v>0</v>
      </c>
      <c r="LM82">
        <f>(LK82+LL82)*MaskJust</f>
        <v>0</v>
      </c>
      <c r="LN82" s="3">
        <f>IF(Nbal!JB82&lt;&gt;"",Nbal!JB82,LM82)</f>
        <v>0</v>
      </c>
      <c r="LO82" s="3">
        <f>LN82*Z82</f>
        <v>0</v>
      </c>
      <c r="LQ82">
        <f>$AM82*VLOOKUP($R82,Afgr,Data!$CS$3)*IF($V82=1,VLOOKUP($R82,Afgr,Data!$CT$3),IF($V82=2,VLOOKUP($R82,Afgr,Data!$CU$3),0))</f>
        <v>0</v>
      </c>
      <c r="LR82" s="3">
        <f>IF(Nbal!JK82&lt;&gt;"",Nbal!JK82,LQ82)</f>
        <v>0</v>
      </c>
      <c r="LS82" s="3">
        <f>LR82*Z82</f>
        <v>0</v>
      </c>
      <c r="LU82">
        <f>VLOOKUP($T82,Efgr,Data!$AC$53)*UdsaedJust</f>
        <v>0</v>
      </c>
      <c r="LV82" s="3">
        <f>IF(Nbal!$JS82&lt;&gt;"",Nbal!$JS82,LU82)</f>
        <v>0</v>
      </c>
      <c r="LW82" s="3">
        <f>LV82*Z82</f>
        <v>0</v>
      </c>
      <c r="LY82" s="3">
        <f>IF(HdgVaerdiNbal=1,(CB82)*Npris,(CB82+CL82)*Npris)</f>
        <v>0</v>
      </c>
      <c r="LZ82" s="3">
        <f>LY82*Z82</f>
        <v>0</v>
      </c>
      <c r="MB82">
        <f>$EO82</f>
        <v>0</v>
      </c>
      <c r="MC82">
        <f>CU82</f>
        <v>0</v>
      </c>
      <c r="MD82">
        <f>CR82</f>
        <v>0</v>
      </c>
      <c r="ME82" s="3">
        <f>IF(HdgVaerdiNbal=1,MD82*Ppris,(MC82+MD82)*Ppris)</f>
        <v>0</v>
      </c>
      <c r="MF82" s="3">
        <f>ME82*Z82</f>
        <v>0</v>
      </c>
      <c r="MH82">
        <f>$ER82</f>
        <v>0</v>
      </c>
      <c r="MI82">
        <f>DC82</f>
        <v>0</v>
      </c>
      <c r="MJ82">
        <f>CZ82</f>
        <v>0</v>
      </c>
      <c r="MK82" s="3">
        <f>IF(HdgVaerdiNbal=1,MJ82*Ppris,(MI82+MJ82)*Ppris)</f>
        <v>0</v>
      </c>
      <c r="ML82" s="3">
        <f>MK82*Z82</f>
        <v>0</v>
      </c>
      <c r="MN82">
        <f>LY82+ME82+MK82</f>
        <v>0</v>
      </c>
      <c r="MO82" s="3">
        <f>IF(Nbal!JY82&lt;&gt;"",Nbal!JY82,$MN82)</f>
        <v>0</v>
      </c>
      <c r="MP82" s="3">
        <f>MO82*Z82</f>
        <v>0</v>
      </c>
      <c r="MR82">
        <f>VLOOKUP($T82,Efgr,Data!$AE$53)*PlantevJust</f>
        <v>0</v>
      </c>
      <c r="MS82" s="3">
        <f>IF(Nbal!KE82&lt;&gt;"",Nbal!KE82,MR82)</f>
        <v>0</v>
      </c>
      <c r="MT82" s="3">
        <f>MS82*Z82</f>
        <v>0</v>
      </c>
      <c r="MV82">
        <f>VLOOKUP($T82,Efgr,Data!$AF$53)+$BR82*VLOOKUP($T82,Efgr,Data!$AL$53)</f>
        <v>0</v>
      </c>
      <c r="MW82" s="3">
        <f>IF(Nbal!KK82&lt;&gt;"",Nbal!KK82,MV82)</f>
        <v>0</v>
      </c>
      <c r="MX82" s="3">
        <f>MW82*Z82</f>
        <v>0</v>
      </c>
      <c r="MZ82">
        <f>LV82+MO82+MS82+MW82</f>
        <v>0</v>
      </c>
      <c r="NB82">
        <f>VLOOKUP($T82,Efgr,Data!$AU$53)*K82*MaskJust</f>
        <v>0</v>
      </c>
      <c r="NC82" s="3">
        <f>IF(Nbal!KQ82&lt;&gt;"",Nbal!KQ82,NB82)</f>
        <v>0</v>
      </c>
      <c r="ND82" s="3">
        <f>NC82*Z82</f>
        <v>0</v>
      </c>
      <c r="NF82">
        <f>VLOOKUP($T82,Efgr,Data!$AW$53)*Data!$K$268*K82*MaskJust</f>
        <v>0</v>
      </c>
      <c r="NG82" s="3">
        <f>IF(Nbal!KW82&lt;&gt;"",Nbal!KW82,NF82)</f>
        <v>0</v>
      </c>
      <c r="NH82" s="3">
        <f>NG82*Z82</f>
        <v>0</v>
      </c>
      <c r="NJ82">
        <f>VLOOKUP($T82,Efgr,Data!$AV$53)*Data!$K$269*MaskJust</f>
        <v>0</v>
      </c>
      <c r="NK82" s="3">
        <f>IF(Nbal!LC82&lt;&gt;"",Nbal!LC82,NJ82)</f>
        <v>0</v>
      </c>
      <c r="NL82" s="3">
        <f>NK82*Z82</f>
        <v>0</v>
      </c>
      <c r="NN82">
        <f>IF(C82=2,VLOOKUP($T82,Efgr,Data!$BC$53),0)</f>
        <v>0</v>
      </c>
      <c r="NO82">
        <f>IF(Nbal!LI82&lt;&gt;"",Nbal!LI82,$NN82)</f>
        <v>0</v>
      </c>
      <c r="NP82">
        <f>IF(C82=2,$NO82*Flytning/mmprgang+$NO82*Prisprmm,0)</f>
        <v>0</v>
      </c>
      <c r="NQ82" s="3">
        <f>IF(Nbal!LO82&lt;&gt;"",Nbal!LO82,$NP82)</f>
        <v>0</v>
      </c>
      <c r="NR82" s="3">
        <f>NQ82*Z82</f>
        <v>0</v>
      </c>
      <c r="NT82">
        <f>IF(VLOOKUP($T82,Efgr,Data!$AX$53)&gt;0,((1+BR82/VLOOKUP($T82,Efgr,Data!$AX$53))/2)*VLOOKUP($T82,Efgr,Data!$AY$53)*VLOOKUP($T82,Efgr,Data!$BA$53)+VLOOKUP($T82,Efgr,Data!$AZ$53),0)</f>
        <v>0</v>
      </c>
      <c r="NU82">
        <f>IF(VLOOKUP($T82,Efgr,Data!$AX$53)&gt;0,($BR82/VLOOKUP($T82,Efgr,Data!$AX$53))*VLOOKUP($T82,Efgr,Data!$BB$53)*VLOOKUP($T82,Efgr,Data!$BA$53),0)</f>
        <v>0</v>
      </c>
      <c r="NV82">
        <f>(NT82+NU82)*MaskJust</f>
        <v>0</v>
      </c>
      <c r="NW82" s="3">
        <f>IF(Nbal!LU82&lt;&gt;"",Nbal!LU82,NV82)</f>
        <v>0</v>
      </c>
      <c r="NX82" s="3">
        <f>NW82*Z82</f>
        <v>0</v>
      </c>
      <c r="NZ82">
        <f>IF($U82=2,Data!$K$304,IF($U82=3,Data!$K$305,0))*MaskJust</f>
        <v>0</v>
      </c>
      <c r="OA82" s="3">
        <f>IF(Nbal!MA82&lt;&gt;"",Nbal!MA82,NZ82)</f>
        <v>0</v>
      </c>
      <c r="OB82" s="3">
        <f>OA82*Z82</f>
        <v>0</v>
      </c>
      <c r="OD82">
        <f>IL82</f>
        <v>0</v>
      </c>
      <c r="OE82">
        <f>JW82+MZ82</f>
        <v>0</v>
      </c>
      <c r="OF82">
        <f>OD82-OE82</f>
        <v>0</v>
      </c>
      <c r="OG82">
        <f>OF82*Z82</f>
        <v>0</v>
      </c>
      <c r="OJ82">
        <f>VLOOKUP($O82,Afgr,Data!$BP$3)+VLOOKUP($P82,Efgr,Data!$AM$53)</f>
        <v>0</v>
      </c>
      <c r="OK82" s="3">
        <f>OJ82*Z82</f>
        <v>0</v>
      </c>
      <c r="OL82">
        <f>VLOOKUP($R82,Afgr,Data!$BP$3)+VLOOKUP($T82,Efgr,Data!$AM$53)</f>
        <v>0</v>
      </c>
      <c r="OM82" s="3">
        <f>OL82*Z82</f>
        <v>0</v>
      </c>
      <c r="OO82">
        <f>VLOOKUP($P82,Efgr,Data!$AN$53)</f>
        <v>0</v>
      </c>
      <c r="OP82">
        <f>VLOOKUP($O82,Afgr,Data!$BQ$3)</f>
        <v>0</v>
      </c>
      <c r="OQ82">
        <f>VLOOKUP($R82,Afgr,Data!$BR$3)</f>
        <v>1</v>
      </c>
      <c r="OR82">
        <f>OO82*OP82*OQ82</f>
        <v>0</v>
      </c>
      <c r="OS82" s="3">
        <f>OR82*Z82</f>
        <v>0</v>
      </c>
      <c r="OT82" s="3">
        <f>IF(Q82,1,0)*OS82</f>
        <v>0</v>
      </c>
      <c r="OV82">
        <f>VLOOKUP($T82,Efgr,Data!$AN$53)</f>
        <v>0</v>
      </c>
      <c r="OW82">
        <f>VLOOKUP($R82,Afgr,Data!$BQ$3)</f>
        <v>0</v>
      </c>
      <c r="OX82">
        <f>VLOOKUP($X82,Afgr,Data!$BR$3)</f>
        <v>1</v>
      </c>
      <c r="OY82">
        <f>OV82*OW82*OX82</f>
        <v>0</v>
      </c>
      <c r="OZ82" s="3">
        <f>OY82*Z82</f>
        <v>0</v>
      </c>
      <c r="PB82">
        <f>VLOOKUP($T82,Efgr,Data!$AO$53)</f>
        <v>0</v>
      </c>
      <c r="PC82">
        <f>VLOOKUP($O82,Afgr,Data!$BQ$3)</f>
        <v>0</v>
      </c>
      <c r="PD82">
        <f>VLOOKUP($R82,Afgr,Data!$BS$3)</f>
        <v>0</v>
      </c>
      <c r="PE82" s="3">
        <f>PB82*PC82*PD82*$Z82</f>
        <v>0</v>
      </c>
      <c r="PG82">
        <f>VLOOKUP($T82,Efgr,Data!$AO$53)</f>
        <v>0</v>
      </c>
      <c r="PH82">
        <f>VLOOKUP($R82,Afgr,Data!$BQ$3)</f>
        <v>0</v>
      </c>
      <c r="PI82">
        <f>VLOOKUP($X82,Afgr,Data!$BS$3)</f>
        <v>0</v>
      </c>
      <c r="PJ82" s="3">
        <f>PG82*PH82*PI82*$Z82</f>
        <v>0</v>
      </c>
      <c r="PK82" s="3"/>
      <c r="PL82" s="3">
        <f>VLOOKUP($O82,Afgr,Data!$BU$3)</f>
        <v>0</v>
      </c>
      <c r="PM82" s="3">
        <f>PL82*Z82</f>
        <v>0</v>
      </c>
      <c r="PN82" s="3">
        <f>VLOOKUP($R82,Afgr,Data!$BU$3)</f>
        <v>0</v>
      </c>
      <c r="PO82" s="3">
        <f>PN82*Z82</f>
        <v>0</v>
      </c>
      <c r="PQ82">
        <f>VLOOKUP(R82,Afgr,Data!$BX$3)+VLOOKUP(T82,Efgr,Data!$AQ$53)</f>
        <v>0</v>
      </c>
      <c r="PR82">
        <f>IF(PQ82&gt;0,Z82,0)</f>
        <v>0</v>
      </c>
      <c r="PT82">
        <f>VLOOKUP($O82,Afgr,Data!$BT$3)</f>
        <v>0</v>
      </c>
      <c r="PU82" s="3">
        <f>PT82*Z82</f>
        <v>0</v>
      </c>
      <c r="PV82">
        <f>VLOOKUP($R82,Afgr,Data!$BT$3)</f>
        <v>0</v>
      </c>
      <c r="PW82" s="3">
        <f>PV82*Z82</f>
        <v>0</v>
      </c>
      <c r="PY82">
        <f>VLOOKUP($R82,Afgr,Data!$BV$3)</f>
        <v>0</v>
      </c>
      <c r="PZ82">
        <f>PY82*Z82</f>
        <v>0</v>
      </c>
      <c r="QB82">
        <f>VLOOKUP($R82,Afgr,Data!$BW$3)</f>
        <v>0</v>
      </c>
      <c r="QC82">
        <f>QB82*Z82</f>
        <v>0</v>
      </c>
      <c r="QE82">
        <f>AM82*IF(VLOOKUP($R82,Afgr,Data!$BJ$3)&gt;0,1,0)</f>
        <v>0</v>
      </c>
      <c r="QF82">
        <f>QE82*Z82</f>
        <v>0</v>
      </c>
      <c r="QH82">
        <f>AM82*VLOOKUP(R82,Afgr,Data!$BK$3)</f>
        <v>0</v>
      </c>
      <c r="QI82">
        <f>Z82*QH82</f>
        <v>0</v>
      </c>
      <c r="QJ82">
        <f>$AM82*VLOOKUP($R82,Afgr,Data!$BL$3)+$BR82*VLOOKUP($T82,Efgr,Data!$AP$53)</f>
        <v>0</v>
      </c>
      <c r="QK82">
        <f>QJ82*Z82</f>
        <v>0</v>
      </c>
      <c r="QL82">
        <f>$AM82*VLOOKUP($R82,Afgr,Data!$BM$3)</f>
        <v>0</v>
      </c>
      <c r="QM82">
        <f>QL82*Z82</f>
        <v>0</v>
      </c>
      <c r="QN82">
        <f>$AM82*VLOOKUP($R82,Afgr,Data!$BN$3)</f>
        <v>0</v>
      </c>
      <c r="QO82">
        <f>QN82*Z82</f>
        <v>0</v>
      </c>
      <c r="QR82">
        <f>IF(VLOOKUP($R82,Afgr,Data!$DA$3)="Vårbyg",$AN82,0)*VLOOKUP($R82,Afgr,Data!$BJ$3)</f>
        <v>0</v>
      </c>
      <c r="QS82">
        <f>IF(VLOOKUP($R82,Afgr,Data!$DA$3)="Vinterbyg",$AN82,0)*VLOOKUP($R82,Afgr,Data!$BJ$3)</f>
        <v>0</v>
      </c>
      <c r="QT82">
        <f>IF(VLOOKUP($R82,Afgr,Data!$DA$3)="Havre",$AN82,0)*VLOOKUP($R82,Afgr,Data!$BJ$3)</f>
        <v>0</v>
      </c>
      <c r="QU82">
        <f>IF(VLOOKUP($R82,Afgr,Data!$DA$3)="Hvede",$AN82,0)*VLOOKUP($R82,Afgr,Data!$BJ$3)</f>
        <v>0</v>
      </c>
      <c r="QV82">
        <f>IF(VLOOKUP($R82,Afgr,Data!$DA$3)="Triticale",$AN82,0)*VLOOKUP($R82,Afgr,Data!$BJ$3)</f>
        <v>0</v>
      </c>
      <c r="QW82">
        <f>IF(VLOOKUP($R82,Afgr,Data!$DA$3)="Rug",$AN82,0)*VLOOKUP($R82,Afgr,Data!$BJ$3)</f>
        <v>0</v>
      </c>
      <c r="QX82">
        <f>IF(VLOOKUP($R82,Afgr,Data!$DA$3)="Majs",$AN82,0)*VLOOKUP($R82,Afgr,Data!$BJ$3)</f>
        <v>0</v>
      </c>
      <c r="RA82">
        <f>IF(OV82+PB82&gt;0,1,0)</f>
        <v>0</v>
      </c>
      <c r="RB82">
        <f>RA82*LW82</f>
        <v>0</v>
      </c>
      <c r="RC82">
        <f>RA82*MT82</f>
        <v>0</v>
      </c>
      <c r="RD82">
        <f>ND82</f>
        <v>0</v>
      </c>
      <c r="RE82">
        <f>RA82*OB82</f>
        <v>0</v>
      </c>
      <c r="RH82">
        <f>VLOOKUP(B82,Jordtype,Data!$Y$112+DenitNr-1)</f>
        <v>7.25</v>
      </c>
      <c r="RI82">
        <f>FF82*VLOOKUP(B82,Jordtype,Data!$AB$112+DenitNr-1)</f>
        <v>0</v>
      </c>
      <c r="RJ82">
        <f>((CJ82+CK82+CL82+Regn2!CO82*0.7)-(RR82+RT82))*VLOOKUP(B82,Jordtype,Data!$AE$112+DenitNr-1)</f>
        <v>0</v>
      </c>
      <c r="RK82">
        <f>0*VLOOKUP(B82,Jordtype,Data!$AE$112+DenitNr-1)</f>
        <v>0</v>
      </c>
      <c r="RL82">
        <f>Regn2!FD82*VLOOKUP(B82,Jordtype,Data!$AH$112+DenitNr-1)</f>
        <v>0</v>
      </c>
      <c r="RM82" s="3">
        <f>RH82+RI82+RJ82+RK82+RL82</f>
        <v>7.25</v>
      </c>
      <c r="RO82">
        <v>2</v>
      </c>
      <c r="RP82">
        <f>(FF82)*RO82*0.01</f>
        <v>0</v>
      </c>
      <c r="RQ82">
        <v>7</v>
      </c>
      <c r="RR82">
        <f>CE82*RQ82*0.01</f>
        <v>0</v>
      </c>
      <c r="RS82">
        <v>7</v>
      </c>
      <c r="RT82">
        <f>(Regn2!CF82+Regn2!CG82)*RS82*0.01</f>
        <v>0</v>
      </c>
      <c r="RW82">
        <f>VLOOKUP(R82,Afgr,Data!$EE$3)</f>
        <v>0</v>
      </c>
      <c r="RX82" s="3">
        <f>RP82+RR82+RT82+RV82+RW82</f>
        <v>0</v>
      </c>
    </row>
    <row r="84" spans="1:492" x14ac:dyDescent="0.25">
      <c r="A84" s="214">
        <f>Nbal!B84</f>
        <v>0</v>
      </c>
      <c r="B84">
        <v>6</v>
      </c>
      <c r="C84">
        <v>1</v>
      </c>
      <c r="D84">
        <f>IF(C84=1,VLOOKUP(B84,Jordtype,Data!$K$112),VLOOKUP(B84,Jordtype,Data!$L$112))</f>
        <v>9</v>
      </c>
      <c r="E84">
        <f>IF(C84=1,VLOOKUP(B84,Jordtype,Data!$M$112),VLOOKUP(B84,Jordtype,Data!$N$112))</f>
        <v>14</v>
      </c>
      <c r="F84">
        <f>IF(OR(B84=1,B84=3),0,IF(OR(B84=2,B84=4),1,IF(OR(B84=5,B84=6),2,3)))</f>
        <v>2</v>
      </c>
      <c r="G84">
        <f>IF(C84=1,VLOOKUP(B84,Jordtype,Data!$Q$112),VLOOKUP(B84,Jordtype,Data!$R$112))</f>
        <v>25</v>
      </c>
      <c r="H84">
        <f>IF(C84=1,VLOOKUP(B84,Jordtype,Data!$O$112),VLOOKUP(B84,Jordtype,Data!$P$112))</f>
        <v>19</v>
      </c>
      <c r="I84">
        <f>IF(B84&lt;5,0,1)</f>
        <v>1</v>
      </c>
      <c r="J84">
        <f>IF(B84&lt;5,PlojJB,1)</f>
        <v>1</v>
      </c>
      <c r="K84">
        <f>IF(B84&lt;5,SaaJB,1)</f>
        <v>1</v>
      </c>
      <c r="L84">
        <f>IF(C84=1,VLOOKUP(B84,Jordtype,Data!$S$112),VLOOKUP(B84,Jordtype,Data!$T$112))</f>
        <v>8</v>
      </c>
      <c r="M84">
        <f>IF(C84=1,VLOOKUP(B84,Jordtype,Data!$U$112),VLOOKUP(B84,Jordtype,Data!$V$112))</f>
        <v>13</v>
      </c>
      <c r="O84">
        <v>1</v>
      </c>
      <c r="P84">
        <v>1</v>
      </c>
      <c r="Q84" t="b">
        <v>0</v>
      </c>
      <c r="R84">
        <v>1</v>
      </c>
      <c r="S84">
        <v>1</v>
      </c>
      <c r="T84">
        <v>1</v>
      </c>
      <c r="U84">
        <v>1</v>
      </c>
      <c r="V84">
        <v>1</v>
      </c>
      <c r="X84">
        <v>1</v>
      </c>
      <c r="Z84">
        <f>Nbal!AG84</f>
        <v>0</v>
      </c>
      <c r="AA84">
        <v>1</v>
      </c>
      <c r="AB84">
        <f>VLOOKUP($R84,Afgr,G84)</f>
        <v>0</v>
      </c>
      <c r="AC84">
        <f>VLOOKUP($O84,Afgr,Data!$AI$3)*VLOOKUP(R84,Afgr,Data!$AJ$3)</f>
        <v>0</v>
      </c>
      <c r="AD84">
        <f>IF($Q84,0,VLOOKUP($P84,Efgr,(Data!$W$53+$V$6-1)))</f>
        <v>0</v>
      </c>
      <c r="AE84">
        <f>AB84-AC84-AD84</f>
        <v>0</v>
      </c>
      <c r="AF84">
        <f>AE84*Z84</f>
        <v>0</v>
      </c>
      <c r="AH84">
        <f>VLOOKUP(R84,Afgr,D84)</f>
        <v>0</v>
      </c>
      <c r="AI84">
        <f>VLOOKUP(O84,Afgr,Data!$AL$3)*VLOOKUP(R84,Afgr,E84)</f>
        <v>0</v>
      </c>
      <c r="AJ84">
        <f>VLOOKUP(P84,Efgr,(Data!$Y$53+I84))</f>
        <v>0</v>
      </c>
      <c r="AK84">
        <f>AH84+AI84+AJ84</f>
        <v>0</v>
      </c>
      <c r="AL84">
        <f>AH84+AI84+AJ84</f>
        <v>0</v>
      </c>
      <c r="AM84" s="3">
        <f>IF(Nbal!CK84&lt;&gt;"",Nbal!CK84,AL84)</f>
        <v>0</v>
      </c>
      <c r="AN84">
        <f>AM84*Z84</f>
        <v>0</v>
      </c>
      <c r="AO84">
        <f>VLOOKUP(R84,Afgr,3)</f>
        <v>0</v>
      </c>
      <c r="AP84">
        <f>IF(AO84="FE",VLOOKUP($R84,Afgr,Data!$AV$3),0)</f>
        <v>0</v>
      </c>
      <c r="AR84">
        <f>VLOOKUP(R84,Afgr,4)</f>
        <v>0</v>
      </c>
      <c r="AS84" s="3">
        <f>IF(Nbal!CW84&lt;&gt;"",Nbal!CW84,AR84)</f>
        <v>0</v>
      </c>
      <c r="AT84" s="3">
        <f>AM84*AS84</f>
        <v>0</v>
      </c>
      <c r="AU84" s="3">
        <f>AN84*AS84</f>
        <v>0</v>
      </c>
      <c r="AW84">
        <f>VLOOKUP(R84,Afgr,Data!$AN$3)</f>
        <v>0</v>
      </c>
      <c r="AX84" s="3">
        <f>IF(Nbal!DC84&lt;&gt;"",Nbal!DC84,AW84)</f>
        <v>0</v>
      </c>
      <c r="AY84" s="3">
        <f>AX84*Z84</f>
        <v>0</v>
      </c>
      <c r="BA84">
        <f>VLOOKUP(R84,Afgr,H84)</f>
        <v>0</v>
      </c>
      <c r="BB84">
        <f>IF(ISERROR(BA84*AM84/AK84),0,(BA84*AM84/AK84))</f>
        <v>0</v>
      </c>
      <c r="BC84" s="3">
        <f>IF(Nbal!DI84&lt;&gt;"",Nbal!DI84,BB84)</f>
        <v>0</v>
      </c>
      <c r="BD84">
        <f>BC84*Z84</f>
        <v>0</v>
      </c>
      <c r="BG84">
        <f>IF($S84=1,BC84,0)</f>
        <v>0</v>
      </c>
      <c r="BH84">
        <f>IF($S84=1,BD84,0)</f>
        <v>0</v>
      </c>
      <c r="BI84">
        <f>VLOOKUP(R84,Afgr,Data!$AM$3)</f>
        <v>0</v>
      </c>
      <c r="BJ84">
        <f>IF(Nbal!DR84&lt;&gt;"",Nbal!DR84,BI84)</f>
        <v>0</v>
      </c>
      <c r="BK84">
        <f>BG84*BJ84</f>
        <v>0</v>
      </c>
      <c r="BL84">
        <f>BH84*BJ84</f>
        <v>0</v>
      </c>
      <c r="BN84">
        <f>VLOOKUP($T84,Efgr,M84)</f>
        <v>0</v>
      </c>
      <c r="BO84">
        <f>BN84*Z84</f>
        <v>0</v>
      </c>
      <c r="BQ84">
        <f>VLOOKUP(T84,Efgr,NormudbKolonneNrEfgr1)</f>
        <v>0</v>
      </c>
      <c r="BR84" s="3">
        <f>IF(Nbal!FE84&lt;&gt;"",Nbal!FE84,BQ84)</f>
        <v>0</v>
      </c>
      <c r="BS84">
        <f>BR84*Z84</f>
        <v>0</v>
      </c>
      <c r="BT84" t="s">
        <v>37</v>
      </c>
      <c r="BU84">
        <f>BR84*Efterslaetpris</f>
        <v>0</v>
      </c>
      <c r="BV84">
        <f>BS84*Efterslaetpris</f>
        <v>0</v>
      </c>
      <c r="BW84">
        <f>VLOOKUP(T84,Efgr,Data!$AG$53)</f>
        <v>0</v>
      </c>
      <c r="BX84">
        <f>BR84*BW84</f>
        <v>0</v>
      </c>
      <c r="BZ84">
        <f>Nbal!AQ84</f>
        <v>0</v>
      </c>
      <c r="CA84" s="211">
        <f>Nbal!AT84</f>
        <v>0</v>
      </c>
      <c r="CB84" s="2">
        <f>Nbal!DZ84</f>
        <v>0</v>
      </c>
      <c r="CC84" s="211">
        <f>Nbal!AT84+Nbal!DZ84</f>
        <v>0</v>
      </c>
      <c r="CD84" s="211">
        <f>Nbal!AX84</f>
        <v>0</v>
      </c>
      <c r="CE84">
        <f>Nbal!BH84</f>
        <v>0</v>
      </c>
      <c r="CF84" s="211">
        <f>Nbal!BM84</f>
        <v>0</v>
      </c>
      <c r="CG84" s="2">
        <f>Nbal!EI84</f>
        <v>0</v>
      </c>
      <c r="CH84" s="211">
        <f>Nbal!BM84+Nbal!EI84</f>
        <v>0</v>
      </c>
      <c r="CI84" s="211">
        <f>Nbal!BW84</f>
        <v>0</v>
      </c>
      <c r="CJ84" s="211">
        <f>Nbal!BH84*Nbal!BJ84*0.01</f>
        <v>0</v>
      </c>
      <c r="CK84" s="211">
        <f>(Nbal!BM84*Nbal!BP84*0.01)</f>
        <v>0</v>
      </c>
      <c r="CL84" s="211">
        <f>(Nbal!EI84*Nbal!EL84*0.01)</f>
        <v>0</v>
      </c>
      <c r="CM84" s="211">
        <f>(Nbal!BM84*Nbal!BP84*0.01)+(Nbal!EI84*Nbal!EL84*0.01)</f>
        <v>0</v>
      </c>
      <c r="CN84" s="211">
        <f>Nbal!BW84*Nbal!BY84*0.01</f>
        <v>0</v>
      </c>
      <c r="CO84">
        <f>Nbal!BT84+Nbal!ER84</f>
        <v>0</v>
      </c>
      <c r="CQ84">
        <f>Nbal!BA84</f>
        <v>0</v>
      </c>
      <c r="CR84">
        <f>Nbal!EC84</f>
        <v>0</v>
      </c>
      <c r="CS84">
        <f>(CQ84+CR84)*Z84</f>
        <v>0</v>
      </c>
      <c r="CT84">
        <f>Nbal!CB84</f>
        <v>0</v>
      </c>
      <c r="CU84">
        <f>Nbal!EV84</f>
        <v>0</v>
      </c>
      <c r="CV84">
        <f>(CT84+CU84)*Z84</f>
        <v>0</v>
      </c>
      <c r="CW84">
        <f>Nbal!BA84+Nbal!CB84+Nbal!EC84+Nbal!EV84</f>
        <v>0</v>
      </c>
      <c r="CY84">
        <f>Nbal!BD84</f>
        <v>0</v>
      </c>
      <c r="CZ84">
        <f>Nbal!EF84</f>
        <v>0</v>
      </c>
      <c r="DA84">
        <f>(CY84+CZ84)*Z84</f>
        <v>0</v>
      </c>
      <c r="DB84">
        <f>Nbal!CE84</f>
        <v>0</v>
      </c>
      <c r="DC84">
        <f>Nbal!EY84</f>
        <v>0</v>
      </c>
      <c r="DD84">
        <f>(DB84+DC84)*Z84</f>
        <v>0</v>
      </c>
      <c r="DE84">
        <f>Nbal!BD84+Nbal!CE84+Nbal!EF84+Nbal!EY84</f>
        <v>0</v>
      </c>
      <c r="DG84">
        <f>VLOOKUP($R84,Afgr,Data!$AW$3)</f>
        <v>0</v>
      </c>
      <c r="DH84">
        <f>IF($AO84="FE",$AM84*$AP84*$DG84*0.01,$AM84*100*$DM84*0.01*$DG84*0.01)</f>
        <v>0</v>
      </c>
      <c r="DI84">
        <f>IF(VLOOKUP(R84,Afgr,Data!$BO$3)=1,DH84,0)*Z84</f>
        <v>0</v>
      </c>
      <c r="DJ84" s="12">
        <f>(BZ84+CC84+CJ84-AE84)*VLOOKUP($R84,Afgr,Data!$AX$3)</f>
        <v>0</v>
      </c>
      <c r="DK84">
        <f>DG84+DJ84</f>
        <v>0</v>
      </c>
      <c r="DL84">
        <f>IF(Nbal!CQ84&lt;&gt;"",Nbal!CQ84,DK84)</f>
        <v>0</v>
      </c>
      <c r="DM84">
        <f>VLOOKUP(R84,Afgr,Data!$AT$3)</f>
        <v>0</v>
      </c>
      <c r="DN84">
        <f>IF($AO84="FE",$AM84*$AP84*$DL84*0.01,$AM84*100*$DM84*0.01*DL84*0.01)</f>
        <v>0</v>
      </c>
      <c r="DO84">
        <f>IF(VLOOKUP(R84,Afgr,Data!$BO$3)=1,DN84,0)*Z84</f>
        <v>0</v>
      </c>
      <c r="DP84">
        <f>IF(ISERROR(DN84/VLOOKUP(R84,Afgr,Data!$AY$3)),0,DN84/VLOOKUP(R84,Afgr,Data!$AY$3))</f>
        <v>0</v>
      </c>
      <c r="DQ84">
        <f>DP84*Z84</f>
        <v>0</v>
      </c>
      <c r="DS84">
        <f>IF($AO84="FE",$AM84*$AP84*VLOOKUP($R84,Afgr,Data!$BC$3)*0.001,$AM84*100*$DM84*0.01*VLOOKUP($R84,Afgr,Data!$BC$3)*0.001)</f>
        <v>0</v>
      </c>
      <c r="DT84">
        <f>DS84*Z84</f>
        <v>0</v>
      </c>
      <c r="DV84">
        <f>IF($AO84="FE",$AM84*$AP84*VLOOKUP($R84,Afgr,Data!$BF$3)*0.001,$AM84*100*$DM84*0.01*VLOOKUP($R84,Afgr,Data!$BF$3)*0.001)</f>
        <v>0</v>
      </c>
      <c r="DW84">
        <f>DV84*Z84</f>
        <v>0</v>
      </c>
      <c r="DY84">
        <f>IF(ISERROR(VLOOKUP(R84,Afgr,Data!$AZ$3)*DL84/DG84),0,VLOOKUP(R84,Afgr,Data!$AZ$3)*DL84/DG84)</f>
        <v>0</v>
      </c>
      <c r="DZ84">
        <f>VLOOKUP(R84,Afgr,Data!$AU$3)</f>
        <v>0</v>
      </c>
      <c r="EA84">
        <f>IF($S84=1,$BC84*$DZ84*0.01*DY84*0.01,0)</f>
        <v>0</v>
      </c>
      <c r="EB84">
        <f>EA84/6.25</f>
        <v>0</v>
      </c>
      <c r="EC84">
        <f>EB84*Z84</f>
        <v>0</v>
      </c>
      <c r="EE84">
        <f>IF($S84=1,$BC84*$DZ84*0.01*VLOOKUP($R84,Afgr,Data!$BD$3)*0.001,0)</f>
        <v>0</v>
      </c>
      <c r="EF84">
        <f>EE84*Z84</f>
        <v>0</v>
      </c>
      <c r="EH84">
        <f>IF($S84=1,$BC84*$DZ84*0.01*VLOOKUP($R84,Afgr,Data!$BG$3)*0.001,0)</f>
        <v>0</v>
      </c>
      <c r="EI84">
        <f>EH84*Z84</f>
        <v>0</v>
      </c>
      <c r="EK84">
        <f>VLOOKUP(T84,Efgr,Data!$AI$53)</f>
        <v>0</v>
      </c>
      <c r="EL84">
        <f>BX84*EK84*0.01/6.25</f>
        <v>0</v>
      </c>
      <c r="EM84">
        <f>EL84*Z84</f>
        <v>0</v>
      </c>
      <c r="EO84">
        <f>$BX84*VLOOKUP($T84,Efgr,Data!$AJ$53)*0.001</f>
        <v>0</v>
      </c>
      <c r="EP84">
        <f>EO84*Z84</f>
        <v>0</v>
      </c>
      <c r="ER84">
        <f>$BX84*VLOOKUP($T84,Efgr,Data!$AK$53)*0.001</f>
        <v>0</v>
      </c>
      <c r="ES84">
        <f>ER84*Z84</f>
        <v>0</v>
      </c>
      <c r="EU84">
        <f>IF(VLOOKUP(R84,Afgr,Data!$DS$3)=1,DP84*VLOOKUP(R84,Afgr,(Data!$DT$3+EftervirkningUdb1))*VLOOKUP(R84,Afgr,Data!$DV$3),0)</f>
        <v>0</v>
      </c>
      <c r="EV84">
        <f>IF(VLOOKUP(R84,Afgr,Data!$DS$3)=2,VLOOKUP(R84,Afgr,Data!$DX$3),0)</f>
        <v>0</v>
      </c>
      <c r="EW84">
        <f>IF(VLOOKUP(R84,Afgr,Data!$DS$3)=3,$DP84*VLOOKUP($R84,Afgr,IF(Jordtype1&lt;5,Data!$DT$3,Data!$DU$3))*VLOOKUP($R84,Afgr,Data!$DV$3),0)</f>
        <v>0</v>
      </c>
      <c r="EX84">
        <f>IF(VLOOKUP(R84,Afgr,Data!$DS$3)=4,(1.232+0.00469*AM84*100+(0.000256*AM84*100+0.089)*60),0)</f>
        <v>0</v>
      </c>
      <c r="EY84" s="211">
        <f>BZ84+CA84+CJ84+CK84</f>
        <v>0</v>
      </c>
      <c r="EZ84">
        <f>IF(VLOOKUP($R84,Afgr,Data!$DS$3)=5,($AM84*0.02742-$AM84*0.0001*$EY84+$AM84*0.0000001111*$EY84*$EY84),0)</f>
        <v>0</v>
      </c>
      <c r="FA84" s="2">
        <f>CB84+CL84</f>
        <v>0</v>
      </c>
      <c r="FB84">
        <f>IF(VLOOKUP($T84,Efgr,Data!$BH$53)=5,($BR84*0.02742-$BR84*0.0001*$FA84+$BR84*0.0000001111*$FA84*$FA84),0)</f>
        <v>0</v>
      </c>
      <c r="FC84" s="3">
        <f>EU84+EV84+EW84+EX84+EZ84+FB84</f>
        <v>0</v>
      </c>
      <c r="FD84" s="3">
        <f>FC84*Z84</f>
        <v>0</v>
      </c>
      <c r="FF84" s="211">
        <f>BZ84+CC84</f>
        <v>0</v>
      </c>
      <c r="FG84" s="211">
        <f>FF84*Z84</f>
        <v>0</v>
      </c>
      <c r="FH84" s="211">
        <f>CE84+CH84+CO84</f>
        <v>0</v>
      </c>
      <c r="FI84" s="211">
        <f>FH84*Z84</f>
        <v>0</v>
      </c>
      <c r="FJ84">
        <f>VLOOKUP($R84,Afgr,Data!$DK$3)*VLOOKUP($R84,Afgr,Data!$AT$3)*0.01*VLOOKUP($R84,Afgr,Data!$AW$3)*0.01/6.25</f>
        <v>0</v>
      </c>
      <c r="FK84">
        <f>FJ84*Z84</f>
        <v>0</v>
      </c>
      <c r="FL84" s="4">
        <f>IF(R84&gt;1,Deposition,0)</f>
        <v>0</v>
      </c>
      <c r="FM84" s="4">
        <f>FL84*Z84</f>
        <v>0</v>
      </c>
      <c r="FN84">
        <f>FC84</f>
        <v>0</v>
      </c>
      <c r="FO84">
        <f>FN84*Z84</f>
        <v>0</v>
      </c>
      <c r="FP84" s="211">
        <f>SUM(FF84,FH84,FJ84,FL84,FN84)</f>
        <v>0</v>
      </c>
      <c r="FQ84">
        <f>DP84+EB84+EL84</f>
        <v>0</v>
      </c>
      <c r="FR84" s="3">
        <f>FP84-FQ84</f>
        <v>0</v>
      </c>
      <c r="FS84" s="19">
        <f>FP84*Z84</f>
        <v>0</v>
      </c>
      <c r="FT84" s="19">
        <f>FQ84*Z84</f>
        <v>0</v>
      </c>
      <c r="FU84" s="3">
        <f>FR84*Z84</f>
        <v>0</v>
      </c>
      <c r="FW84">
        <f>CW84</f>
        <v>0</v>
      </c>
      <c r="FX84">
        <f>FW84*Z84</f>
        <v>0</v>
      </c>
      <c r="FY84">
        <f>IX84+MB84</f>
        <v>0</v>
      </c>
      <c r="FZ84">
        <f>FY84*Z84</f>
        <v>0</v>
      </c>
      <c r="GA84">
        <f>FW84-FY84</f>
        <v>0</v>
      </c>
      <c r="GB84">
        <f>GA84*Z84</f>
        <v>0</v>
      </c>
      <c r="GD84">
        <f>DE84</f>
        <v>0</v>
      </c>
      <c r="GE84">
        <f>GD84*Z84</f>
        <v>0</v>
      </c>
      <c r="GF84">
        <f>JE84+MH84</f>
        <v>0</v>
      </c>
      <c r="GG84">
        <f>GF84*Z84</f>
        <v>0</v>
      </c>
      <c r="GH84">
        <f>GD84-GF84</f>
        <v>0</v>
      </c>
      <c r="GI84">
        <f>GH84*Z84</f>
        <v>0</v>
      </c>
      <c r="GK84">
        <f>AA84</f>
        <v>1</v>
      </c>
      <c r="GL84" s="211">
        <f>FF84+FH84+FN84</f>
        <v>0</v>
      </c>
      <c r="GM84" s="211" t="str">
        <f>IF(R84=1,"",IF(GK84=1,GL84,""))</f>
        <v/>
      </c>
      <c r="GN84" s="211" t="str">
        <f>IF(R84=1,"",IF(GK84=2,GL84,""))</f>
        <v/>
      </c>
      <c r="GO84" s="211" t="str">
        <f>IF(R84=1,"",IF(GK84=3,GL84,""))</f>
        <v/>
      </c>
      <c r="GP84" s="211" t="str">
        <f>IF(R84=1,"",IF(GK84=4,GL84,""))</f>
        <v/>
      </c>
      <c r="GQ84" s="149">
        <f>IF(OR(R84=1,VLOOKUP(R84,Afgr,Data!$BV$3)=1,VLOOKUP(R84,Afgr,Data!$BW$3)=1),0,IF(GK84=1,Nniveau1,IF(GK84=2,Nniveau2,IF(GK84=3,Nniveau3,IF(GK84=4,Nniveau4,GL84)))))</f>
        <v>0</v>
      </c>
      <c r="GR84" s="241">
        <v>0.32550000000000001</v>
      </c>
      <c r="GS84" s="6">
        <v>0</v>
      </c>
      <c r="GT84" s="149">
        <f>CC84+CM84</f>
        <v>0</v>
      </c>
      <c r="GU84" s="6">
        <f>$FN84</f>
        <v>0</v>
      </c>
      <c r="GV84" s="241">
        <v>0.25280000000000002</v>
      </c>
      <c r="GW84">
        <f>CO84</f>
        <v>0</v>
      </c>
      <c r="GX84" s="241">
        <v>0.376</v>
      </c>
      <c r="GY84" s="149">
        <f>CD84+CN84</f>
        <v>0</v>
      </c>
      <c r="GZ84" s="241">
        <f>IF(B84&gt;3,0.3539,1.0749)</f>
        <v>0.35389999999999999</v>
      </c>
      <c r="HA84" s="11">
        <f>$FQ84</f>
        <v>0</v>
      </c>
      <c r="HB84" s="241">
        <v>0.19359999999999999</v>
      </c>
      <c r="HC84" s="241">
        <f>VLOOKUP($R84,Afgr,Data!$DM$3)</f>
        <v>0</v>
      </c>
      <c r="HD84" s="24">
        <f>IF($HC84&gt;1,0,(VLOOKUP($X84,Afgr,Data!$DP$3)+IF(VLOOKUP($X84,Afgr,Data!$DP$3)=0,VLOOKUP($T84,Efgr,Data!$BI$53,0))))+IF(AND($HC84=7,VLOOKUP($X84,Afgr,Data!$DQ$3)=-2),-2,0)+IF(AND($HC84=6,VLOOKUP($T84,Efgr,Data!$BI$53)=2),8,0)</f>
        <v>0</v>
      </c>
      <c r="HE84" s="6" t="e">
        <f>VLOOKUP(SUM(HC84:HD84),Nlesafgr,3)</f>
        <v>#N/A</v>
      </c>
      <c r="HF84" s="7">
        <f>VLOOKUP($O84,Afgr,Data!$DN$3)</f>
        <v>0</v>
      </c>
      <c r="HG84" s="24">
        <f>IF(HF84&gt;1,0,VLOOKUP($R84,Afgr,Data!$DO$3)+IF(VLOOKUP($R84,Afgr,Data!$DO$3)=1,0,VLOOKUP($P84,Efgr,Data!$BJ$53)))</f>
        <v>0</v>
      </c>
      <c r="HH84" s="6" t="e">
        <f>VLOOKUP(SUM(HF84:HG84),Nlesforfrugt,3)</f>
        <v>#N/A</v>
      </c>
      <c r="HI84" s="241" t="e">
        <f>GR84*GQ84+GV84*(GT84+GU84)+GX84*GW84+GZ84*GY84-HB84*HA84+HE84+HH84</f>
        <v>#N/A</v>
      </c>
      <c r="HJ84" s="241">
        <f>Nlesafskaering</f>
        <v>59.6</v>
      </c>
      <c r="HK84" s="241">
        <f>Teknologi1</f>
        <v>2455</v>
      </c>
      <c r="HL84" s="6">
        <v>2001</v>
      </c>
      <c r="HM84" s="241">
        <f>Teknologi2</f>
        <v>1962.2</v>
      </c>
      <c r="HN84" s="241">
        <f>Tandel</f>
        <v>0.54659999999999997</v>
      </c>
      <c r="HO84" s="241" t="e">
        <f>IF(OR(HI84&gt;0,HI84=0),HJ84+HK84/(HL84-HM84),HJ84+HK84/(HL84-HM84)+HN84*HI84)</f>
        <v>#N/A</v>
      </c>
      <c r="HP84" s="241" t="e">
        <f>IF(HI84&gt;0,HI84,0.001)</f>
        <v>#N/A</v>
      </c>
      <c r="HQ84" s="241">
        <v>1.5020000000000001E-3</v>
      </c>
      <c r="HR84" s="24">
        <f>IF(R84=1,0,VLOOKUP(PostnrNbal,AfstromData,VLOOKUP($R84,Afgr,Data!$DL$3)+IF(Jordtype1&lt;7,Jordtype1,6),FALSE)-VLOOKUP(T84,Efgr,Data!$AA$53))</f>
        <v>0</v>
      </c>
      <c r="HS84" s="24">
        <f>IF(Nbal!GA84&lt;&gt;"",Nbal!GA84,Regn2!HR84)</f>
        <v>0</v>
      </c>
      <c r="HT84" s="241">
        <v>5.5400000000000002E-4</v>
      </c>
      <c r="HU84" s="24">
        <f>IF(R84=1,0,VLOOKUP(PostnrNbal,AfstromData,VLOOKUP($O84,Afgr,Data!$DL$3)+IF(B84&lt;7,B84,6),FALSE)-VLOOKUP(P84,Efgr,Data!$AA$53))</f>
        <v>0</v>
      </c>
      <c r="HV84" s="24">
        <f>IF(Nbal!FU84&lt;&gt;"",Nbal!FU84,Regn2!HU84)</f>
        <v>0</v>
      </c>
      <c r="HW84" s="241">
        <v>0.10639999999999999</v>
      </c>
      <c r="HX84" s="6">
        <f>VLOOKUP(B84,Jordtype,Data!$W$112)</f>
        <v>3</v>
      </c>
      <c r="HY84" s="241">
        <v>3.2500000000000001E-2</v>
      </c>
      <c r="HZ84" s="6">
        <f>VLOOKUP(B84,Jordtype,Data!$X$112)</f>
        <v>12</v>
      </c>
      <c r="IA84" s="241">
        <v>1.2453000000000001</v>
      </c>
      <c r="IB84" s="241">
        <f>IF(VLOOKUP(T84,Efgr,Data!$AO$53)=1,MlafgrNUdvask,0)</f>
        <v>0</v>
      </c>
      <c r="IC84" s="20">
        <f>IF(ISERROR((HO84+POWER(HP84,1.2))*(1-EXP(-HQ84*HS84))*EXP(-HT84*HV84)*EXP(-HW84*HX84)*EXP(-HY84*HZ84)*IA84),0,(HO84+POWER(HP84,1.2))*(1-EXP(-HQ84*HS84))*EXP(-HT84*HV84)*EXP(-HW84*HX84)*EXP(-HY84*HZ84)*IA84+IB84)</f>
        <v>0</v>
      </c>
      <c r="ID84">
        <f>IC84*Z84</f>
        <v>0</v>
      </c>
      <c r="IE84">
        <f>IF(Nbal!GF84&lt;&gt;"",Nbal!GF84,RetentionNbal)</f>
        <v>65</v>
      </c>
      <c r="IF84">
        <f>IC84*(100-IE84)*0.01</f>
        <v>0</v>
      </c>
      <c r="IG84">
        <f>IF84*Z84</f>
        <v>0</v>
      </c>
      <c r="IH84" s="2">
        <f>HS84*10000</f>
        <v>0</v>
      </c>
      <c r="II84" s="2">
        <f>IH84*Z84</f>
        <v>0</v>
      </c>
      <c r="IJ84">
        <f>IF(ISERROR(IC84*1000*1000/IH84),0,IC84*1000*1000/IH84)</f>
        <v>0</v>
      </c>
      <c r="IL84">
        <f>AT84+AX84+BK84+BU84</f>
        <v>0</v>
      </c>
      <c r="IO84">
        <f>VLOOKUP(R84,Afgr,Data!$AP$3)*UdsaedJust</f>
        <v>0</v>
      </c>
      <c r="IP84" s="3">
        <f>IF(Nbal!GN84&lt;&gt;"",Nbal!GN84,IO84)</f>
        <v>0</v>
      </c>
      <c r="IQ84" s="3">
        <f>IP84*Z84</f>
        <v>0</v>
      </c>
      <c r="IS84" s="3">
        <f>IF(HdgVaerdiNbal=1,(BZ84+CA84)*Npris,(BZ84+CA84+CJ84+CK84)*Npris)</f>
        <v>0</v>
      </c>
      <c r="IT84" s="3">
        <f>IS84*Z84</f>
        <v>0</v>
      </c>
      <c r="IV84">
        <f>VLOOKUP($R84,Afgr,Data!$BA$3)</f>
        <v>0</v>
      </c>
      <c r="IW84">
        <f>VLOOKUP($R84,Afgr,Data!$BB$3)</f>
        <v>0</v>
      </c>
      <c r="IX84">
        <f>$DS84+$EE84</f>
        <v>0</v>
      </c>
      <c r="IY84">
        <f>CT84</f>
        <v>0</v>
      </c>
      <c r="IZ84">
        <f>CQ84</f>
        <v>0</v>
      </c>
      <c r="JA84" s="3">
        <f>IF(HdgVaerdiNbal=1,(IZ84)*Ppris,(IY84+IZ84)*Ppris)</f>
        <v>0</v>
      </c>
      <c r="JB84" s="3">
        <f>JA84*Z84</f>
        <v>0</v>
      </c>
      <c r="JD84">
        <f>IF(AND(R84&gt;1,OR(Jordtype1=1,Jordtype1=3,Markvand1=2)),Kudvask,0)</f>
        <v>0</v>
      </c>
      <c r="JE84">
        <f>$DV84+$EH84</f>
        <v>0</v>
      </c>
      <c r="JF84">
        <f>DB84</f>
        <v>0</v>
      </c>
      <c r="JG84">
        <f>CY84</f>
        <v>0</v>
      </c>
      <c r="JH84" s="3">
        <f>IF(HdgVaerdiNbal=1,JG84*Kpris,(JF84+JG84)*Kpris)</f>
        <v>0</v>
      </c>
      <c r="JI84" s="3">
        <f>JH84*Z84</f>
        <v>0</v>
      </c>
      <c r="JK84">
        <f>IS84+JA84+JH84</f>
        <v>0</v>
      </c>
      <c r="JL84" s="3">
        <f>IF(Nbal!GT84&lt;&gt;"",Nbal!GT84,$JK84)</f>
        <v>0</v>
      </c>
      <c r="JM84" s="3">
        <f>JL84*Z84</f>
        <v>0</v>
      </c>
      <c r="JO84">
        <f>VLOOKUP(R84,Afgr,Data!$AQ$3)*PlantevJust</f>
        <v>0</v>
      </c>
      <c r="JP84" s="3">
        <f>IF(Nbal!GZ84&lt;&gt;"",Nbal!GZ84,JO84)</f>
        <v>0</v>
      </c>
      <c r="JQ84" s="3">
        <f>JP84*Z84</f>
        <v>0</v>
      </c>
      <c r="JS84">
        <f>VLOOKUP(R84,Afgr,Data!$AR$3)+AM84*VLOOKUP(R84,Afgr,Data!$BH$3)</f>
        <v>0</v>
      </c>
      <c r="JT84" s="3">
        <f>IF(Nbal!HF84&lt;&gt;"",Nbal!HF84,JS84)</f>
        <v>0</v>
      </c>
      <c r="JU84">
        <f>JT84*Z84</f>
        <v>0</v>
      </c>
      <c r="JW84">
        <f>IP84+JL84+JP84+JT84</f>
        <v>0</v>
      </c>
      <c r="JY84">
        <f>IF(VLOOKUP(R84,Afgr,Data!$BY$3)&gt;0,Data!$K$259*J84,0)</f>
        <v>0</v>
      </c>
      <c r="JZ84">
        <f>IF(VLOOKUP(R84,Afgr,Data!$BZ$3)&gt;0,Data!$K$260*J84,0)</f>
        <v>0</v>
      </c>
      <c r="KA84">
        <f>(JY84+JZ84)*MaskJust</f>
        <v>0</v>
      </c>
      <c r="KB84" s="3">
        <f>IF(Nbal!HL84&lt;&gt;"",Nbal!HL84,KA84)</f>
        <v>0</v>
      </c>
      <c r="KC84" s="3">
        <f>KB84*Z84</f>
        <v>0</v>
      </c>
      <c r="KE84">
        <f>IF(VLOOKUP(R84,Afgr,Data!$CA$3)&gt;0,VLOOKUP(R84,Afgr,Data!$CA$3)*Data!$K$261*K84,0)</f>
        <v>0</v>
      </c>
      <c r="KF84">
        <f>IF(VLOOKUP(R84,Afgr,Data!$CC$3)&gt;0,Data!$K$262*K84,0)</f>
        <v>0</v>
      </c>
      <c r="KG84">
        <f>IF(VLOOKUP(R84,Afgr,Data!$CD$3)&gt;0,VLOOKUP(R84,Afgr,Data!$CD$3)*Data!$K$263*K84,0)</f>
        <v>0</v>
      </c>
      <c r="KH84">
        <f>IF(VLOOKUP(R84,Afgr,Data!$CE$3)&gt;0,Data!$K$264*K84,0)</f>
        <v>0</v>
      </c>
      <c r="KI84">
        <f>IF(VLOOKUP(R84,Afgr,Data!$CF$3)&gt;0,Data!$K$265*K84,0)</f>
        <v>0</v>
      </c>
      <c r="KJ84">
        <f>IF(VLOOKUP(R84,Afgr,Data!$CV$3)&gt;0,Data!$K$266,0)</f>
        <v>0</v>
      </c>
      <c r="KK84">
        <f>IF(VLOOKUP(R84,Afgr,Data!$CG$3)&gt;0,Data!$K$267*K84,0)</f>
        <v>0</v>
      </c>
      <c r="KL84">
        <f>(KE84+KF84+KG84+KH84+KI84+KJ84+KK84)*MaskJust</f>
        <v>0</v>
      </c>
      <c r="KM84" s="3">
        <f>IF(Nbal!HR84&lt;&gt;"",Nbal!HR84,KL84)</f>
        <v>0</v>
      </c>
      <c r="KN84" s="3">
        <f>KM84*Z84</f>
        <v>0</v>
      </c>
      <c r="KP84">
        <f>IF(VLOOKUP(R84,Afgr,Data!$CJ$3)&gt;0,VLOOKUP(R84,Afgr,Data!$CJ$3)*Data!$K$268*K84,0)*MaskJust</f>
        <v>0</v>
      </c>
      <c r="KQ84" s="3">
        <f>IF(Nbal!HX84&lt;&gt;"",Nbal!HX84,KP84)</f>
        <v>0</v>
      </c>
      <c r="KR84" s="3">
        <f>KQ84*Z84</f>
        <v>0</v>
      </c>
      <c r="KT84">
        <f>IF(VLOOKUP(R84,Afgr,Data!$CI$3)&gt;0,VLOOKUP(R84,Afgr,Data!$CI$3)*Data!$K$269,0)*MaskJust</f>
        <v>0</v>
      </c>
      <c r="KU84" s="3">
        <f>IF(Nbal!ID84&lt;&gt;"",Nbal!ID84,KT84)</f>
        <v>0</v>
      </c>
      <c r="KV84" s="3">
        <f>KU84*Z84</f>
        <v>0</v>
      </c>
      <c r="KX84">
        <f>IF(C84=2,VLOOKUP($R84,Afgr,Data!$CY$3),0)</f>
        <v>0</v>
      </c>
      <c r="KY84">
        <f>IF(Nbal!IJ84&lt;&gt;"",Nbal!IJ84,$KX84)</f>
        <v>0</v>
      </c>
      <c r="KZ84">
        <f>IF(AND(R84&gt;1,C84=2),Vandmaskin+$KY84*Flytning/mmprgang+$KY84*Prisprmm,0)</f>
        <v>0</v>
      </c>
      <c r="LA84" s="3">
        <f>IF(Nbal!IP84&lt;&gt;"",Nbal!IP84,$KZ84)</f>
        <v>0</v>
      </c>
      <c r="LB84" s="3">
        <f>LA84*Z84</f>
        <v>0</v>
      </c>
      <c r="LD84">
        <f>IF(VLOOKUP($R84,Afgr,Data!$CK$3)&gt;0,((1+AM84/VLOOKUP($R84,Afgr,Data!$CK$3))/2)*VLOOKUP($R84,Afgr,Data!$CL$3)*VLOOKUP($R84,Afgr,Data!$CN$3)+VLOOKUP($R84,Afgr,Data!$CM$3),0)</f>
        <v>0</v>
      </c>
      <c r="LE84">
        <f>IF(VLOOKUP($R84,Afgr,Data!$CK$3)&gt;0,IF(AND($S84=2,$BA84&gt;0),Data!$K$271,0),0)</f>
        <v>0</v>
      </c>
      <c r="LF84">
        <f>IF(VLOOKUP($R84,Afgr,Data!$CK$3)&gt;0,(AM84/VLOOKUP($R84,Afgr,Data!$CK$3))*VLOOKUP($R84,Afgr,Data!$CO$3)*VLOOKUP($R84,Afgr,Data!$CN$3),0)</f>
        <v>0</v>
      </c>
      <c r="LG84">
        <f>(LD84+LE84+LF84)*MaskJust</f>
        <v>0</v>
      </c>
      <c r="LH84" s="3">
        <f>IF(Nbal!IV84&lt;&gt;"",Nbal!IV84,LG84)</f>
        <v>0</v>
      </c>
      <c r="LI84" s="3">
        <f>LH84*Z84</f>
        <v>0</v>
      </c>
      <c r="LJ84" s="3"/>
      <c r="LK84">
        <f>IF(AND($S84=1,VLOOKUP($R84,Afgr,Data!$CP$3)&gt;0),((1+$BC84/VLOOKUP($R84,Afgr,Data!$CP$3))/2)*VLOOKUP($R84,Afgr,Data!$CQ$3),0)</f>
        <v>0</v>
      </c>
      <c r="LL84">
        <f>IF(AND($S84=1,VLOOKUP($R84,Afgr,Data!$CP$3)&gt;0),($BC84/VLOOKUP($R84,Afgr,Data!$CP$3))*VLOOKUP($R84,Afgr,Data!$CR$3),0)</f>
        <v>0</v>
      </c>
      <c r="LM84">
        <f>(LK84+LL84)*MaskJust</f>
        <v>0</v>
      </c>
      <c r="LN84" s="3">
        <f>IF(Nbal!JB84&lt;&gt;"",Nbal!JB84,LM84)</f>
        <v>0</v>
      </c>
      <c r="LO84" s="3">
        <f>LN84*Z84</f>
        <v>0</v>
      </c>
      <c r="LQ84">
        <f>$AM84*VLOOKUP($R84,Afgr,Data!$CS$3)*IF($V84=1,VLOOKUP($R84,Afgr,Data!$CT$3),IF($V84=2,VLOOKUP($R84,Afgr,Data!$CU$3),0))</f>
        <v>0</v>
      </c>
      <c r="LR84" s="3">
        <f>IF(Nbal!JK84&lt;&gt;"",Nbal!JK84,LQ84)</f>
        <v>0</v>
      </c>
      <c r="LS84" s="3">
        <f>LR84*Z84</f>
        <v>0</v>
      </c>
      <c r="LU84">
        <f>VLOOKUP($T84,Efgr,Data!$AC$53)*UdsaedJust</f>
        <v>0</v>
      </c>
      <c r="LV84" s="3">
        <f>IF(Nbal!$JS84&lt;&gt;"",Nbal!$JS84,LU84)</f>
        <v>0</v>
      </c>
      <c r="LW84" s="3">
        <f>LV84*Z84</f>
        <v>0</v>
      </c>
      <c r="LY84" s="3">
        <f>IF(HdgVaerdiNbal=1,(CB84)*Npris,(CB84+CL84)*Npris)</f>
        <v>0</v>
      </c>
      <c r="LZ84" s="3">
        <f>LY84*Z84</f>
        <v>0</v>
      </c>
      <c r="MB84">
        <f>$EO84</f>
        <v>0</v>
      </c>
      <c r="MC84">
        <f>CU84</f>
        <v>0</v>
      </c>
      <c r="MD84">
        <f>CR84</f>
        <v>0</v>
      </c>
      <c r="ME84" s="3">
        <f>IF(HdgVaerdiNbal=1,MD84*Ppris,(MC84+MD84)*Ppris)</f>
        <v>0</v>
      </c>
      <c r="MF84" s="3">
        <f>ME84*Z84</f>
        <v>0</v>
      </c>
      <c r="MH84">
        <f>$ER84</f>
        <v>0</v>
      </c>
      <c r="MI84">
        <f>DC84</f>
        <v>0</v>
      </c>
      <c r="MJ84">
        <f>CZ84</f>
        <v>0</v>
      </c>
      <c r="MK84" s="3">
        <f>IF(HdgVaerdiNbal=1,MJ84*Ppris,(MI84+MJ84)*Ppris)</f>
        <v>0</v>
      </c>
      <c r="ML84" s="3">
        <f>MK84*Z84</f>
        <v>0</v>
      </c>
      <c r="MN84">
        <f>LY84+ME84+MK84</f>
        <v>0</v>
      </c>
      <c r="MO84" s="3">
        <f>IF(Nbal!JY84&lt;&gt;"",Nbal!JY84,$MN84)</f>
        <v>0</v>
      </c>
      <c r="MP84" s="3">
        <f>MO84*Z84</f>
        <v>0</v>
      </c>
      <c r="MR84">
        <f>VLOOKUP($T84,Efgr,Data!$AE$53)*PlantevJust</f>
        <v>0</v>
      </c>
      <c r="MS84" s="3">
        <f>IF(Nbal!KE84&lt;&gt;"",Nbal!KE84,MR84)</f>
        <v>0</v>
      </c>
      <c r="MT84" s="3">
        <f>MS84*Z84</f>
        <v>0</v>
      </c>
      <c r="MV84">
        <f>VLOOKUP($T84,Efgr,Data!$AF$53)+$BR84*VLOOKUP($T84,Efgr,Data!$AL$53)</f>
        <v>0</v>
      </c>
      <c r="MW84" s="3">
        <f>IF(Nbal!KK84&lt;&gt;"",Nbal!KK84,MV84)</f>
        <v>0</v>
      </c>
      <c r="MX84" s="3">
        <f>MW84*Z84</f>
        <v>0</v>
      </c>
      <c r="MZ84">
        <f>LV84+MO84+MS84+MW84</f>
        <v>0</v>
      </c>
      <c r="NB84">
        <f>VLOOKUP($T84,Efgr,Data!$AU$53)*K84*MaskJust</f>
        <v>0</v>
      </c>
      <c r="NC84" s="3">
        <f>IF(Nbal!KQ84&lt;&gt;"",Nbal!KQ84,NB84)</f>
        <v>0</v>
      </c>
      <c r="ND84" s="3">
        <f>NC84*Z84</f>
        <v>0</v>
      </c>
      <c r="NF84">
        <f>VLOOKUP($T84,Efgr,Data!$AW$53)*Data!$K$268*K84*MaskJust</f>
        <v>0</v>
      </c>
      <c r="NG84" s="3">
        <f>IF(Nbal!KW84&lt;&gt;"",Nbal!KW84,NF84)</f>
        <v>0</v>
      </c>
      <c r="NH84" s="3">
        <f>NG84*Z84</f>
        <v>0</v>
      </c>
      <c r="NJ84">
        <f>VLOOKUP($T84,Efgr,Data!$AV$53)*Data!$K$269*MaskJust</f>
        <v>0</v>
      </c>
      <c r="NK84" s="3">
        <f>IF(Nbal!LC84&lt;&gt;"",Nbal!LC84,NJ84)</f>
        <v>0</v>
      </c>
      <c r="NL84" s="3">
        <f>NK84*Z84</f>
        <v>0</v>
      </c>
      <c r="NN84">
        <f>IF(C84=2,VLOOKUP($T84,Efgr,Data!$BC$53),0)</f>
        <v>0</v>
      </c>
      <c r="NO84">
        <f>IF(Nbal!LI84&lt;&gt;"",Nbal!LI84,$NN84)</f>
        <v>0</v>
      </c>
      <c r="NP84">
        <f>IF(C84=2,$NO84*Flytning/mmprgang+$NO84*Prisprmm,0)</f>
        <v>0</v>
      </c>
      <c r="NQ84" s="3">
        <f>IF(Nbal!LO84&lt;&gt;"",Nbal!LO84,$NP84)</f>
        <v>0</v>
      </c>
      <c r="NR84" s="3">
        <f>NQ84*Z84</f>
        <v>0</v>
      </c>
      <c r="NT84">
        <f>IF(VLOOKUP($T84,Efgr,Data!$AX$53)&gt;0,((1+BR84/VLOOKUP($T84,Efgr,Data!$AX$53))/2)*VLOOKUP($T84,Efgr,Data!$AY$53)*VLOOKUP($T84,Efgr,Data!$BA$53)+VLOOKUP($T84,Efgr,Data!$AZ$53),0)</f>
        <v>0</v>
      </c>
      <c r="NU84">
        <f>IF(VLOOKUP($T84,Efgr,Data!$AX$53)&gt;0,($BR84/VLOOKUP($T84,Efgr,Data!$AX$53))*VLOOKUP($T84,Efgr,Data!$BB$53)*VLOOKUP($T84,Efgr,Data!$BA$53),0)</f>
        <v>0</v>
      </c>
      <c r="NV84">
        <f>(NT84+NU84)*MaskJust</f>
        <v>0</v>
      </c>
      <c r="NW84" s="3">
        <f>IF(Nbal!LU84&lt;&gt;"",Nbal!LU84,NV84)</f>
        <v>0</v>
      </c>
      <c r="NX84" s="3">
        <f>NW84*Z84</f>
        <v>0</v>
      </c>
      <c r="NZ84">
        <f>IF($U84=2,Data!$K$304,IF($U84=3,Data!$K$305,0))*MaskJust</f>
        <v>0</v>
      </c>
      <c r="OA84" s="3">
        <f>IF(Nbal!MA84&lt;&gt;"",Nbal!MA84,NZ84)</f>
        <v>0</v>
      </c>
      <c r="OB84" s="3">
        <f>OA84*Z84</f>
        <v>0</v>
      </c>
      <c r="OD84">
        <f>IL84</f>
        <v>0</v>
      </c>
      <c r="OE84">
        <f>JW84+MZ84</f>
        <v>0</v>
      </c>
      <c r="OF84">
        <f>OD84-OE84</f>
        <v>0</v>
      </c>
      <c r="OG84">
        <f>OF84*Z84</f>
        <v>0</v>
      </c>
      <c r="OJ84">
        <f>VLOOKUP($O84,Afgr,Data!$BP$3)+VLOOKUP($P84,Efgr,Data!$AM$53)</f>
        <v>0</v>
      </c>
      <c r="OK84" s="3">
        <f>OJ84*Z84</f>
        <v>0</v>
      </c>
      <c r="OL84">
        <f>VLOOKUP($R84,Afgr,Data!$BP$3)+VLOOKUP($T84,Efgr,Data!$AM$53)</f>
        <v>0</v>
      </c>
      <c r="OM84" s="3">
        <f>OL84*Z84</f>
        <v>0</v>
      </c>
      <c r="OO84">
        <f>VLOOKUP($P84,Efgr,Data!$AN$53)</f>
        <v>0</v>
      </c>
      <c r="OP84">
        <f>VLOOKUP($O84,Afgr,Data!$BQ$3)</f>
        <v>0</v>
      </c>
      <c r="OQ84">
        <f>VLOOKUP($R84,Afgr,Data!$BR$3)</f>
        <v>1</v>
      </c>
      <c r="OR84">
        <f>OO84*OP84*OQ84</f>
        <v>0</v>
      </c>
      <c r="OS84" s="3">
        <f>OR84*Z84</f>
        <v>0</v>
      </c>
      <c r="OT84" s="3">
        <f>IF(Q84,1,0)*OS84</f>
        <v>0</v>
      </c>
      <c r="OV84">
        <f>VLOOKUP($T84,Efgr,Data!$AN$53)</f>
        <v>0</v>
      </c>
      <c r="OW84">
        <f>VLOOKUP($R84,Afgr,Data!$BQ$3)</f>
        <v>0</v>
      </c>
      <c r="OX84">
        <f>VLOOKUP($X84,Afgr,Data!$BR$3)</f>
        <v>1</v>
      </c>
      <c r="OY84">
        <f>OV84*OW84*OX84</f>
        <v>0</v>
      </c>
      <c r="OZ84" s="3">
        <f>OY84*Z84</f>
        <v>0</v>
      </c>
      <c r="PB84">
        <f>VLOOKUP($T84,Efgr,Data!$AO$53)</f>
        <v>0</v>
      </c>
      <c r="PC84">
        <f>VLOOKUP($O84,Afgr,Data!$BQ$3)</f>
        <v>0</v>
      </c>
      <c r="PD84">
        <f>VLOOKUP($R84,Afgr,Data!$BS$3)</f>
        <v>0</v>
      </c>
      <c r="PE84" s="3">
        <f>PB84*PC84*PD84*$Z84</f>
        <v>0</v>
      </c>
      <c r="PG84">
        <f>VLOOKUP($T84,Efgr,Data!$AO$53)</f>
        <v>0</v>
      </c>
      <c r="PH84">
        <f>VLOOKUP($R84,Afgr,Data!$BQ$3)</f>
        <v>0</v>
      </c>
      <c r="PI84">
        <f>VLOOKUP($X84,Afgr,Data!$BS$3)</f>
        <v>0</v>
      </c>
      <c r="PJ84" s="3">
        <f>PG84*PH84*PI84*$Z84</f>
        <v>0</v>
      </c>
      <c r="PK84" s="3"/>
      <c r="PL84" s="3">
        <f>VLOOKUP($O84,Afgr,Data!$BU$3)</f>
        <v>0</v>
      </c>
      <c r="PM84" s="3">
        <f>PL84*Z84</f>
        <v>0</v>
      </c>
      <c r="PN84" s="3">
        <f>VLOOKUP($R84,Afgr,Data!$BU$3)</f>
        <v>0</v>
      </c>
      <c r="PO84" s="3">
        <f>PN84*Z84</f>
        <v>0</v>
      </c>
      <c r="PQ84">
        <f>VLOOKUP(R84,Afgr,Data!$BX$3)+VLOOKUP(T84,Efgr,Data!$AQ$53)</f>
        <v>0</v>
      </c>
      <c r="PR84">
        <f>IF(PQ84&gt;0,Z84,0)</f>
        <v>0</v>
      </c>
      <c r="PT84">
        <f>VLOOKUP($O84,Afgr,Data!$BT$3)</f>
        <v>0</v>
      </c>
      <c r="PU84" s="3">
        <f>PT84*Z84</f>
        <v>0</v>
      </c>
      <c r="PV84">
        <f>VLOOKUP($R84,Afgr,Data!$BT$3)</f>
        <v>0</v>
      </c>
      <c r="PW84" s="3">
        <f>PV84*Z84</f>
        <v>0</v>
      </c>
      <c r="PY84">
        <f>VLOOKUP($R84,Afgr,Data!$BV$3)</f>
        <v>0</v>
      </c>
      <c r="PZ84">
        <f>PY84*Z84</f>
        <v>0</v>
      </c>
      <c r="QB84">
        <f>VLOOKUP($R84,Afgr,Data!$BW$3)</f>
        <v>0</v>
      </c>
      <c r="QC84">
        <f>QB84*Z84</f>
        <v>0</v>
      </c>
      <c r="QE84">
        <f>AM84*IF(VLOOKUP($R84,Afgr,Data!$BJ$3)&gt;0,1,0)</f>
        <v>0</v>
      </c>
      <c r="QF84">
        <f>QE84*Z84</f>
        <v>0</v>
      </c>
      <c r="QH84">
        <f>AM84*VLOOKUP(R84,Afgr,Data!$BK$3)</f>
        <v>0</v>
      </c>
      <c r="QI84">
        <f>Z84*QH84</f>
        <v>0</v>
      </c>
      <c r="QJ84">
        <f>$AM84*VLOOKUP($R84,Afgr,Data!$BL$3)+$BR84*VLOOKUP($T84,Efgr,Data!$AP$53)</f>
        <v>0</v>
      </c>
      <c r="QK84">
        <f>QJ84*Z84</f>
        <v>0</v>
      </c>
      <c r="QL84">
        <f>$AM84*VLOOKUP($R84,Afgr,Data!$BM$3)</f>
        <v>0</v>
      </c>
      <c r="QM84">
        <f>QL84*Z84</f>
        <v>0</v>
      </c>
      <c r="QN84">
        <f>$AM84*VLOOKUP($R84,Afgr,Data!$BN$3)</f>
        <v>0</v>
      </c>
      <c r="QO84">
        <f>QN84*Z84</f>
        <v>0</v>
      </c>
      <c r="QR84">
        <f>IF(VLOOKUP($R84,Afgr,Data!$DA$3)="Vårbyg",$AN84,0)*VLOOKUP($R84,Afgr,Data!$BJ$3)</f>
        <v>0</v>
      </c>
      <c r="QS84">
        <f>IF(VLOOKUP($R84,Afgr,Data!$DA$3)="Vinterbyg",$AN84,0)*VLOOKUP($R84,Afgr,Data!$BJ$3)</f>
        <v>0</v>
      </c>
      <c r="QT84">
        <f>IF(VLOOKUP($R84,Afgr,Data!$DA$3)="Havre",$AN84,0)*VLOOKUP($R84,Afgr,Data!$BJ$3)</f>
        <v>0</v>
      </c>
      <c r="QU84">
        <f>IF(VLOOKUP($R84,Afgr,Data!$DA$3)="Hvede",$AN84,0)*VLOOKUP($R84,Afgr,Data!$BJ$3)</f>
        <v>0</v>
      </c>
      <c r="QV84">
        <f>IF(VLOOKUP($R84,Afgr,Data!$DA$3)="Triticale",$AN84,0)*VLOOKUP($R84,Afgr,Data!$BJ$3)</f>
        <v>0</v>
      </c>
      <c r="QW84">
        <f>IF(VLOOKUP($R84,Afgr,Data!$DA$3)="Rug",$AN84,0)*VLOOKUP($R84,Afgr,Data!$BJ$3)</f>
        <v>0</v>
      </c>
      <c r="QX84">
        <f>IF(VLOOKUP($R84,Afgr,Data!$DA$3)="Majs",$AN84,0)*VLOOKUP($R84,Afgr,Data!$BJ$3)</f>
        <v>0</v>
      </c>
      <c r="RA84">
        <f>IF(OV84+PB84&gt;0,1,0)</f>
        <v>0</v>
      </c>
      <c r="RB84">
        <f>RA84*LW84</f>
        <v>0</v>
      </c>
      <c r="RC84">
        <f>RA84*MT84</f>
        <v>0</v>
      </c>
      <c r="RD84">
        <f>ND84</f>
        <v>0</v>
      </c>
      <c r="RE84">
        <f>RA84*OB84</f>
        <v>0</v>
      </c>
      <c r="RH84">
        <f>VLOOKUP(B84,Jordtype,Data!$Y$112+DenitNr-1)</f>
        <v>7.25</v>
      </c>
      <c r="RI84">
        <f>FF84*VLOOKUP(B84,Jordtype,Data!$AB$112+DenitNr-1)</f>
        <v>0</v>
      </c>
      <c r="RJ84">
        <f>((CJ84+CK84+CL84+Regn2!CO84*0.7)-(RR84+RT84))*VLOOKUP(B84,Jordtype,Data!$AE$112+DenitNr-1)</f>
        <v>0</v>
      </c>
      <c r="RK84">
        <f>0*VLOOKUP(B84,Jordtype,Data!$AE$112+DenitNr-1)</f>
        <v>0</v>
      </c>
      <c r="RL84">
        <f>Regn2!FD84*VLOOKUP(B84,Jordtype,Data!$AH$112+DenitNr-1)</f>
        <v>0</v>
      </c>
      <c r="RM84" s="3">
        <f>RH84+RI84+RJ84+RK84+RL84</f>
        <v>7.25</v>
      </c>
      <c r="RO84">
        <v>2</v>
      </c>
      <c r="RP84">
        <f>(FF84)*RO84*0.01</f>
        <v>0</v>
      </c>
      <c r="RQ84">
        <v>7</v>
      </c>
      <c r="RR84">
        <f>CE84*RQ84*0.01</f>
        <v>0</v>
      </c>
      <c r="RS84">
        <v>7</v>
      </c>
      <c r="RT84">
        <f>(Regn2!CF84+Regn2!CG84)*RS84*0.01</f>
        <v>0</v>
      </c>
      <c r="RW84">
        <f>VLOOKUP(R84,Afgr,Data!$EE$3)</f>
        <v>0</v>
      </c>
      <c r="RX84" s="3">
        <f>RP84+RR84+RT84+RV84+RW84</f>
        <v>0</v>
      </c>
    </row>
    <row r="86" spans="1:492" x14ac:dyDescent="0.25">
      <c r="A86" s="214">
        <f>Nbal!B86</f>
        <v>0</v>
      </c>
      <c r="B86">
        <v>6</v>
      </c>
      <c r="C86">
        <v>1</v>
      </c>
      <c r="D86">
        <f>IF(C86=1,VLOOKUP(B86,Jordtype,Data!$K$112),VLOOKUP(B86,Jordtype,Data!$L$112))</f>
        <v>9</v>
      </c>
      <c r="E86">
        <f>IF(C86=1,VLOOKUP(B86,Jordtype,Data!$M$112),VLOOKUP(B86,Jordtype,Data!$N$112))</f>
        <v>14</v>
      </c>
      <c r="F86">
        <f>IF(OR(B86=1,B86=3),0,IF(OR(B86=2,B86=4),1,IF(OR(B86=5,B86=6),2,3)))</f>
        <v>2</v>
      </c>
      <c r="G86">
        <f>IF(C86=1,VLOOKUP(B86,Jordtype,Data!$Q$112),VLOOKUP(B86,Jordtype,Data!$R$112))</f>
        <v>25</v>
      </c>
      <c r="H86">
        <f>IF(C86=1,VLOOKUP(B86,Jordtype,Data!$O$112),VLOOKUP(B86,Jordtype,Data!$P$112))</f>
        <v>19</v>
      </c>
      <c r="I86">
        <f>IF(B86&lt;5,0,1)</f>
        <v>1</v>
      </c>
      <c r="J86">
        <f>IF(B86&lt;5,PlojJB,1)</f>
        <v>1</v>
      </c>
      <c r="K86">
        <f>IF(B86&lt;5,SaaJB,1)</f>
        <v>1</v>
      </c>
      <c r="L86">
        <f>IF(C86=1,VLOOKUP(B86,Jordtype,Data!$S$112),VLOOKUP(B86,Jordtype,Data!$T$112))</f>
        <v>8</v>
      </c>
      <c r="M86">
        <f>IF(C86=1,VLOOKUP(B86,Jordtype,Data!$U$112),VLOOKUP(B86,Jordtype,Data!$V$112))</f>
        <v>13</v>
      </c>
      <c r="O86">
        <v>1</v>
      </c>
      <c r="P86">
        <v>1</v>
      </c>
      <c r="Q86" t="b">
        <v>0</v>
      </c>
      <c r="R86">
        <v>1</v>
      </c>
      <c r="S86">
        <v>1</v>
      </c>
      <c r="T86">
        <v>1</v>
      </c>
      <c r="U86">
        <v>1</v>
      </c>
      <c r="V86">
        <v>1</v>
      </c>
      <c r="X86">
        <v>1</v>
      </c>
      <c r="Z86">
        <f>Nbal!AG86</f>
        <v>0</v>
      </c>
      <c r="AA86">
        <v>1</v>
      </c>
      <c r="AB86">
        <f>VLOOKUP($R86,Afgr,G86)</f>
        <v>0</v>
      </c>
      <c r="AC86">
        <f>VLOOKUP($O86,Afgr,Data!$AI$3)*VLOOKUP(R86,Afgr,Data!$AJ$3)</f>
        <v>0</v>
      </c>
      <c r="AD86">
        <f>IF($Q86,0,VLOOKUP($P86,Efgr,(Data!$W$53+$V$6-1)))</f>
        <v>0</v>
      </c>
      <c r="AE86">
        <f>AB86-AC86-AD86</f>
        <v>0</v>
      </c>
      <c r="AF86">
        <f>AE86*Z86</f>
        <v>0</v>
      </c>
      <c r="AH86">
        <f>VLOOKUP(R86,Afgr,D86)</f>
        <v>0</v>
      </c>
      <c r="AI86">
        <f>VLOOKUP(O86,Afgr,Data!$AL$3)*VLOOKUP(R86,Afgr,E86)</f>
        <v>0</v>
      </c>
      <c r="AJ86">
        <f>VLOOKUP(P86,Efgr,(Data!$Y$53+I86))</f>
        <v>0</v>
      </c>
      <c r="AK86">
        <f>AH86+AI86+AJ86</f>
        <v>0</v>
      </c>
      <c r="AL86">
        <f>AH86+AI86+AJ86</f>
        <v>0</v>
      </c>
      <c r="AM86" s="3">
        <f>IF(Nbal!CK86&lt;&gt;"",Nbal!CK86,AL86)</f>
        <v>0</v>
      </c>
      <c r="AN86">
        <f>AM86*Z86</f>
        <v>0</v>
      </c>
      <c r="AO86">
        <f>VLOOKUP(R86,Afgr,3)</f>
        <v>0</v>
      </c>
      <c r="AP86">
        <f>IF(AO86="FE",VLOOKUP($R86,Afgr,Data!$AV$3),0)</f>
        <v>0</v>
      </c>
      <c r="AR86">
        <f>VLOOKUP(R86,Afgr,4)</f>
        <v>0</v>
      </c>
      <c r="AS86" s="3">
        <f>IF(Nbal!CW86&lt;&gt;"",Nbal!CW86,AR86)</f>
        <v>0</v>
      </c>
      <c r="AT86" s="3">
        <f>AM86*AS86</f>
        <v>0</v>
      </c>
      <c r="AU86" s="3">
        <f>AN86*AS86</f>
        <v>0</v>
      </c>
      <c r="AW86">
        <f>VLOOKUP(R86,Afgr,Data!$AN$3)</f>
        <v>0</v>
      </c>
      <c r="AX86" s="3">
        <f>IF(Nbal!DC86&lt;&gt;"",Nbal!DC86,AW86)</f>
        <v>0</v>
      </c>
      <c r="AY86" s="3">
        <f>AX86*Z86</f>
        <v>0</v>
      </c>
      <c r="BA86">
        <f>VLOOKUP(R86,Afgr,H86)</f>
        <v>0</v>
      </c>
      <c r="BB86">
        <f>IF(ISERROR(BA86*AM86/AK86),0,(BA86*AM86/AK86))</f>
        <v>0</v>
      </c>
      <c r="BC86" s="3">
        <f>IF(Nbal!DI86&lt;&gt;"",Nbal!DI86,BB86)</f>
        <v>0</v>
      </c>
      <c r="BD86">
        <f>BC86*Z86</f>
        <v>0</v>
      </c>
      <c r="BG86">
        <f>IF($S86=1,BC86,0)</f>
        <v>0</v>
      </c>
      <c r="BH86">
        <f>IF($S86=1,BD86,0)</f>
        <v>0</v>
      </c>
      <c r="BI86">
        <f>VLOOKUP(R86,Afgr,Data!$AM$3)</f>
        <v>0</v>
      </c>
      <c r="BJ86">
        <f>IF(Nbal!DR86&lt;&gt;"",Nbal!DR86,BI86)</f>
        <v>0</v>
      </c>
      <c r="BK86">
        <f>BG86*BJ86</f>
        <v>0</v>
      </c>
      <c r="BL86">
        <f>BH86*BJ86</f>
        <v>0</v>
      </c>
      <c r="BN86">
        <f>VLOOKUP($T86,Efgr,M86)</f>
        <v>0</v>
      </c>
      <c r="BO86">
        <f>BN86*Z86</f>
        <v>0</v>
      </c>
      <c r="BQ86">
        <f>VLOOKUP(T86,Efgr,NormudbKolonneNrEfgr1)</f>
        <v>0</v>
      </c>
      <c r="BR86" s="3">
        <f>IF(Nbal!FE86&lt;&gt;"",Nbal!FE86,BQ86)</f>
        <v>0</v>
      </c>
      <c r="BS86">
        <f>BR86*Z86</f>
        <v>0</v>
      </c>
      <c r="BT86" t="s">
        <v>37</v>
      </c>
      <c r="BU86">
        <f>BR86*Efterslaetpris</f>
        <v>0</v>
      </c>
      <c r="BV86">
        <f>BS86*Efterslaetpris</f>
        <v>0</v>
      </c>
      <c r="BW86">
        <f>VLOOKUP(T86,Efgr,Data!$AG$53)</f>
        <v>0</v>
      </c>
      <c r="BX86">
        <f>BR86*BW86</f>
        <v>0</v>
      </c>
      <c r="BZ86">
        <f>Nbal!AQ86</f>
        <v>0</v>
      </c>
      <c r="CA86" s="211">
        <f>Nbal!AT86</f>
        <v>0</v>
      </c>
      <c r="CB86" s="2">
        <f>Nbal!DZ86</f>
        <v>0</v>
      </c>
      <c r="CC86" s="211">
        <f>Nbal!AT86+Nbal!DZ86</f>
        <v>0</v>
      </c>
      <c r="CD86" s="211">
        <f>Nbal!AX86</f>
        <v>0</v>
      </c>
      <c r="CE86">
        <f>Nbal!BH86</f>
        <v>0</v>
      </c>
      <c r="CF86" s="211">
        <f>Nbal!BM86</f>
        <v>0</v>
      </c>
      <c r="CG86" s="2">
        <f>Nbal!EI86</f>
        <v>0</v>
      </c>
      <c r="CH86" s="211">
        <f>Nbal!BM86+Nbal!EI86</f>
        <v>0</v>
      </c>
      <c r="CI86" s="211">
        <f>Nbal!BW86</f>
        <v>0</v>
      </c>
      <c r="CJ86" s="211">
        <f>Nbal!BH86*Nbal!BJ86*0.01</f>
        <v>0</v>
      </c>
      <c r="CK86" s="211">
        <f>(Nbal!BM86*Nbal!BP86*0.01)</f>
        <v>0</v>
      </c>
      <c r="CL86" s="211">
        <f>(Nbal!EI86*Nbal!EL86*0.01)</f>
        <v>0</v>
      </c>
      <c r="CM86" s="211">
        <f>(Nbal!BM86*Nbal!BP86*0.01)+(Nbal!EI86*Nbal!EL86*0.01)</f>
        <v>0</v>
      </c>
      <c r="CN86" s="211">
        <f>Nbal!BW86*Nbal!BY86*0.01</f>
        <v>0</v>
      </c>
      <c r="CO86">
        <f>Nbal!BT86+Nbal!ER86</f>
        <v>0</v>
      </c>
      <c r="CQ86">
        <f>Nbal!BA86</f>
        <v>0</v>
      </c>
      <c r="CR86">
        <f>Nbal!EC86</f>
        <v>0</v>
      </c>
      <c r="CS86">
        <f>(CQ86+CR86)*Z86</f>
        <v>0</v>
      </c>
      <c r="CT86">
        <f>Nbal!CB86</f>
        <v>0</v>
      </c>
      <c r="CU86">
        <f>Nbal!EV86</f>
        <v>0</v>
      </c>
      <c r="CV86">
        <f>(CT86+CU86)*Z86</f>
        <v>0</v>
      </c>
      <c r="CW86">
        <f>Nbal!BA86+Nbal!CB86+Nbal!EC86+Nbal!EV86</f>
        <v>0</v>
      </c>
      <c r="CY86">
        <f>Nbal!BD86</f>
        <v>0</v>
      </c>
      <c r="CZ86">
        <f>Nbal!EF86</f>
        <v>0</v>
      </c>
      <c r="DA86">
        <f>(CY86+CZ86)*Z86</f>
        <v>0</v>
      </c>
      <c r="DB86">
        <f>Nbal!CE86</f>
        <v>0</v>
      </c>
      <c r="DC86">
        <f>Nbal!EY86</f>
        <v>0</v>
      </c>
      <c r="DD86">
        <f>(DB86+DC86)*Z86</f>
        <v>0</v>
      </c>
      <c r="DE86">
        <f>Nbal!BD86+Nbal!CE86+Nbal!EF86+Nbal!EY86</f>
        <v>0</v>
      </c>
      <c r="DG86">
        <f>VLOOKUP($R86,Afgr,Data!$AW$3)</f>
        <v>0</v>
      </c>
      <c r="DH86">
        <f>IF($AO86="FE",$AM86*$AP86*$DG86*0.01,$AM86*100*$DM86*0.01*$DG86*0.01)</f>
        <v>0</v>
      </c>
      <c r="DI86">
        <f>IF(VLOOKUP(R86,Afgr,Data!$BO$3)=1,DH86,0)*Z86</f>
        <v>0</v>
      </c>
      <c r="DJ86" s="12">
        <f>(BZ86+CC86+CJ86-AE86)*VLOOKUP($R86,Afgr,Data!$AX$3)</f>
        <v>0</v>
      </c>
      <c r="DK86">
        <f>DG86+DJ86</f>
        <v>0</v>
      </c>
      <c r="DL86">
        <f>IF(Nbal!CQ86&lt;&gt;"",Nbal!CQ86,DK86)</f>
        <v>0</v>
      </c>
      <c r="DM86">
        <f>VLOOKUP(R86,Afgr,Data!$AT$3)</f>
        <v>0</v>
      </c>
      <c r="DN86">
        <f>IF($AO86="FE",$AM86*$AP86*$DL86*0.01,$AM86*100*$DM86*0.01*DL86*0.01)</f>
        <v>0</v>
      </c>
      <c r="DO86">
        <f>IF(VLOOKUP(R86,Afgr,Data!$BO$3)=1,DN86,0)*Z86</f>
        <v>0</v>
      </c>
      <c r="DP86">
        <f>IF(ISERROR(DN86/VLOOKUP(R86,Afgr,Data!$AY$3)),0,DN86/VLOOKUP(R86,Afgr,Data!$AY$3))</f>
        <v>0</v>
      </c>
      <c r="DQ86">
        <f>DP86*Z86</f>
        <v>0</v>
      </c>
      <c r="DS86">
        <f>IF($AO86="FE",$AM86*$AP86*VLOOKUP($R86,Afgr,Data!$BC$3)*0.001,$AM86*100*$DM86*0.01*VLOOKUP($R86,Afgr,Data!$BC$3)*0.001)</f>
        <v>0</v>
      </c>
      <c r="DT86">
        <f>DS86*Z86</f>
        <v>0</v>
      </c>
      <c r="DV86">
        <f>IF($AO86="FE",$AM86*$AP86*VLOOKUP($R86,Afgr,Data!$BF$3)*0.001,$AM86*100*$DM86*0.01*VLOOKUP($R86,Afgr,Data!$BF$3)*0.001)</f>
        <v>0</v>
      </c>
      <c r="DW86">
        <f>DV86*Z86</f>
        <v>0</v>
      </c>
      <c r="DY86">
        <f>IF(ISERROR(VLOOKUP(R86,Afgr,Data!$AZ$3)*DL86/DG86),0,VLOOKUP(R86,Afgr,Data!$AZ$3)*DL86/DG86)</f>
        <v>0</v>
      </c>
      <c r="DZ86">
        <f>VLOOKUP(R86,Afgr,Data!$AU$3)</f>
        <v>0</v>
      </c>
      <c r="EA86">
        <f>IF($S86=1,$BC86*$DZ86*0.01*DY86*0.01,0)</f>
        <v>0</v>
      </c>
      <c r="EB86">
        <f>EA86/6.25</f>
        <v>0</v>
      </c>
      <c r="EC86">
        <f>EB86*Z86</f>
        <v>0</v>
      </c>
      <c r="EE86">
        <f>IF($S86=1,$BC86*$DZ86*0.01*VLOOKUP($R86,Afgr,Data!$BD$3)*0.001,0)</f>
        <v>0</v>
      </c>
      <c r="EF86">
        <f>EE86*Z86</f>
        <v>0</v>
      </c>
      <c r="EH86">
        <f>IF($S86=1,$BC86*$DZ86*0.01*VLOOKUP($R86,Afgr,Data!$BG$3)*0.001,0)</f>
        <v>0</v>
      </c>
      <c r="EI86">
        <f>EH86*Z86</f>
        <v>0</v>
      </c>
      <c r="EK86">
        <f>VLOOKUP(T86,Efgr,Data!$AI$53)</f>
        <v>0</v>
      </c>
      <c r="EL86">
        <f>BX86*EK86*0.01/6.25</f>
        <v>0</v>
      </c>
      <c r="EM86">
        <f>EL86*Z86</f>
        <v>0</v>
      </c>
      <c r="EO86">
        <f>$BX86*VLOOKUP($T86,Efgr,Data!$AJ$53)*0.001</f>
        <v>0</v>
      </c>
      <c r="EP86">
        <f>EO86*Z86</f>
        <v>0</v>
      </c>
      <c r="ER86">
        <f>$BX86*VLOOKUP($T86,Efgr,Data!$AK$53)*0.001</f>
        <v>0</v>
      </c>
      <c r="ES86">
        <f>ER86*Z86</f>
        <v>0</v>
      </c>
      <c r="EU86">
        <f>IF(VLOOKUP(R86,Afgr,Data!$DS$3)=1,DP86*VLOOKUP(R86,Afgr,(Data!$DT$3+EftervirkningUdb1))*VLOOKUP(R86,Afgr,Data!$DV$3),0)</f>
        <v>0</v>
      </c>
      <c r="EV86">
        <f>IF(VLOOKUP(R86,Afgr,Data!$DS$3)=2,VLOOKUP(R86,Afgr,Data!$DX$3),0)</f>
        <v>0</v>
      </c>
      <c r="EW86">
        <f>IF(VLOOKUP(R86,Afgr,Data!$DS$3)=3,$DP86*VLOOKUP($R86,Afgr,IF(Jordtype1&lt;5,Data!$DT$3,Data!$DU$3))*VLOOKUP($R86,Afgr,Data!$DV$3),0)</f>
        <v>0</v>
      </c>
      <c r="EX86">
        <f>IF(VLOOKUP(R86,Afgr,Data!$DS$3)=4,(1.232+0.00469*AM86*100+(0.000256*AM86*100+0.089)*60),0)</f>
        <v>0</v>
      </c>
      <c r="EY86" s="211">
        <f>BZ86+CA86+CJ86+CK86</f>
        <v>0</v>
      </c>
      <c r="EZ86">
        <f>IF(VLOOKUP($R86,Afgr,Data!$DS$3)=5,($AM86*0.02742-$AM86*0.0001*$EY86+$AM86*0.0000001111*$EY86*$EY86),0)</f>
        <v>0</v>
      </c>
      <c r="FA86" s="2">
        <f>CB86+CL86</f>
        <v>0</v>
      </c>
      <c r="FB86">
        <f>IF(VLOOKUP($T86,Efgr,Data!$BH$53)=5,($BR86*0.02742-$BR86*0.0001*$FA86+$BR86*0.0000001111*$FA86*$FA86),0)</f>
        <v>0</v>
      </c>
      <c r="FC86" s="3">
        <f>EU86+EV86+EW86+EX86+EZ86+FB86</f>
        <v>0</v>
      </c>
      <c r="FD86" s="3">
        <f>FC86*Z86</f>
        <v>0</v>
      </c>
      <c r="FF86" s="211">
        <f>BZ86+CC86</f>
        <v>0</v>
      </c>
      <c r="FG86" s="211">
        <f>FF86*Z86</f>
        <v>0</v>
      </c>
      <c r="FH86" s="211">
        <f>CE86+CH86+CO86</f>
        <v>0</v>
      </c>
      <c r="FI86" s="211">
        <f>FH86*Z86</f>
        <v>0</v>
      </c>
      <c r="FJ86">
        <f>VLOOKUP($R86,Afgr,Data!$DK$3)*VLOOKUP($R86,Afgr,Data!$AT$3)*0.01*VLOOKUP($R86,Afgr,Data!$AW$3)*0.01/6.25</f>
        <v>0</v>
      </c>
      <c r="FK86">
        <f>FJ86*Z86</f>
        <v>0</v>
      </c>
      <c r="FL86" s="4">
        <f>IF(R86&gt;1,Deposition,0)</f>
        <v>0</v>
      </c>
      <c r="FM86" s="4">
        <f>FL86*Z86</f>
        <v>0</v>
      </c>
      <c r="FN86">
        <f>FC86</f>
        <v>0</v>
      </c>
      <c r="FO86">
        <f>FN86*Z86</f>
        <v>0</v>
      </c>
      <c r="FP86" s="211">
        <f>SUM(FF86,FH86,FJ86,FL86,FN86)</f>
        <v>0</v>
      </c>
      <c r="FQ86">
        <f>DP86+EB86+EL86</f>
        <v>0</v>
      </c>
      <c r="FR86" s="3">
        <f>FP86-FQ86</f>
        <v>0</v>
      </c>
      <c r="FS86" s="19">
        <f>FP86*Z86</f>
        <v>0</v>
      </c>
      <c r="FT86" s="19">
        <f>FQ86*Z86</f>
        <v>0</v>
      </c>
      <c r="FU86" s="3">
        <f>FR86*Z86</f>
        <v>0</v>
      </c>
      <c r="FW86">
        <f>CW86</f>
        <v>0</v>
      </c>
      <c r="FX86">
        <f>FW86*Z86</f>
        <v>0</v>
      </c>
      <c r="FY86">
        <f>IX86+MB86</f>
        <v>0</v>
      </c>
      <c r="FZ86">
        <f>FY86*Z86</f>
        <v>0</v>
      </c>
      <c r="GA86">
        <f>FW86-FY86</f>
        <v>0</v>
      </c>
      <c r="GB86">
        <f>GA86*Z86</f>
        <v>0</v>
      </c>
      <c r="GD86">
        <f>DE86</f>
        <v>0</v>
      </c>
      <c r="GE86">
        <f>GD86*Z86</f>
        <v>0</v>
      </c>
      <c r="GF86">
        <f>JE86+MH86</f>
        <v>0</v>
      </c>
      <c r="GG86">
        <f>GF86*Z86</f>
        <v>0</v>
      </c>
      <c r="GH86">
        <f>GD86-GF86</f>
        <v>0</v>
      </c>
      <c r="GI86">
        <f>GH86*Z86</f>
        <v>0</v>
      </c>
      <c r="GK86">
        <f>AA86</f>
        <v>1</v>
      </c>
      <c r="GL86" s="211">
        <f>FF86+FH86+FN86</f>
        <v>0</v>
      </c>
      <c r="GM86" s="211" t="str">
        <f>IF(R86=1,"",IF(GK86=1,GL86,""))</f>
        <v/>
      </c>
      <c r="GN86" s="211" t="str">
        <f>IF(R86=1,"",IF(GK86=2,GL86,""))</f>
        <v/>
      </c>
      <c r="GO86" s="211" t="str">
        <f>IF(R86=1,"",IF(GK86=3,GL86,""))</f>
        <v/>
      </c>
      <c r="GP86" s="211" t="str">
        <f>IF(R86=1,"",IF(GK86=4,GL86,""))</f>
        <v/>
      </c>
      <c r="GQ86" s="149">
        <f>IF(OR(R86=1,VLOOKUP(R86,Afgr,Data!$BV$3)=1,VLOOKUP(R86,Afgr,Data!$BW$3)=1),0,IF(GK86=1,Nniveau1,IF(GK86=2,Nniveau2,IF(GK86=3,Nniveau3,IF(GK86=4,Nniveau4,GL86)))))</f>
        <v>0</v>
      </c>
      <c r="GR86" s="241">
        <v>0.32550000000000001</v>
      </c>
      <c r="GS86" s="6">
        <v>0</v>
      </c>
      <c r="GT86" s="149">
        <f>CC86+CM86</f>
        <v>0</v>
      </c>
      <c r="GU86" s="6">
        <f>$FN86</f>
        <v>0</v>
      </c>
      <c r="GV86" s="241">
        <v>0.25280000000000002</v>
      </c>
      <c r="GW86">
        <f>CO86</f>
        <v>0</v>
      </c>
      <c r="GX86" s="241">
        <v>0.376</v>
      </c>
      <c r="GY86" s="149">
        <f>CD86+CN86</f>
        <v>0</v>
      </c>
      <c r="GZ86" s="241">
        <f>IF(B86&gt;3,0.3539,1.0749)</f>
        <v>0.35389999999999999</v>
      </c>
      <c r="HA86" s="11">
        <f>$FQ86</f>
        <v>0</v>
      </c>
      <c r="HB86" s="241">
        <v>0.19359999999999999</v>
      </c>
      <c r="HC86" s="241">
        <f>VLOOKUP($R86,Afgr,Data!$DM$3)</f>
        <v>0</v>
      </c>
      <c r="HD86" s="24">
        <f>IF($HC86&gt;1,0,(VLOOKUP($X86,Afgr,Data!$DP$3)+IF(VLOOKUP($X86,Afgr,Data!$DP$3)=0,VLOOKUP($T86,Efgr,Data!$BI$53,0))))+IF(AND($HC86=7,VLOOKUP($X86,Afgr,Data!$DQ$3)=-2),-2,0)+IF(AND($HC86=6,VLOOKUP($T86,Efgr,Data!$BI$53)=2),8,0)</f>
        <v>0</v>
      </c>
      <c r="HE86" s="6" t="e">
        <f>VLOOKUP(SUM(HC86:HD86),Nlesafgr,3)</f>
        <v>#N/A</v>
      </c>
      <c r="HF86" s="7">
        <f>VLOOKUP($O86,Afgr,Data!$DN$3)</f>
        <v>0</v>
      </c>
      <c r="HG86" s="24">
        <f>IF(HF86&gt;1,0,VLOOKUP($R86,Afgr,Data!$DO$3)+IF(VLOOKUP($R86,Afgr,Data!$DO$3)=1,0,VLOOKUP($P86,Efgr,Data!$BJ$53)))</f>
        <v>0</v>
      </c>
      <c r="HH86" s="6" t="e">
        <f>VLOOKUP(SUM(HF86:HG86),Nlesforfrugt,3)</f>
        <v>#N/A</v>
      </c>
      <c r="HI86" s="241" t="e">
        <f>GR86*GQ86+GV86*(GT86+GU86)+GX86*GW86+GZ86*GY86-HB86*HA86+HE86+HH86</f>
        <v>#N/A</v>
      </c>
      <c r="HJ86" s="241">
        <f>Nlesafskaering</f>
        <v>59.6</v>
      </c>
      <c r="HK86" s="241">
        <f>Teknologi1</f>
        <v>2455</v>
      </c>
      <c r="HL86" s="6">
        <v>2001</v>
      </c>
      <c r="HM86" s="241">
        <f>Teknologi2</f>
        <v>1962.2</v>
      </c>
      <c r="HN86" s="241">
        <f>Tandel</f>
        <v>0.54659999999999997</v>
      </c>
      <c r="HO86" s="241" t="e">
        <f>IF(OR(HI86&gt;0,HI86=0),HJ86+HK86/(HL86-HM86),HJ86+HK86/(HL86-HM86)+HN86*HI86)</f>
        <v>#N/A</v>
      </c>
      <c r="HP86" s="241" t="e">
        <f>IF(HI86&gt;0,HI86,0.001)</f>
        <v>#N/A</v>
      </c>
      <c r="HQ86" s="241">
        <v>1.5020000000000001E-3</v>
      </c>
      <c r="HR86" s="24">
        <f>IF(R86=1,0,VLOOKUP(PostnrNbal,AfstromData,VLOOKUP($R86,Afgr,Data!$DL$3)+IF(Jordtype1&lt;7,Jordtype1,6),FALSE)-VLOOKUP(T86,Efgr,Data!$AA$53))</f>
        <v>0</v>
      </c>
      <c r="HS86" s="24">
        <f>IF(Nbal!GA86&lt;&gt;"",Nbal!GA86,Regn2!HR86)</f>
        <v>0</v>
      </c>
      <c r="HT86" s="241">
        <v>5.5400000000000002E-4</v>
      </c>
      <c r="HU86" s="24">
        <f>IF(R86=1,0,VLOOKUP(PostnrNbal,AfstromData,VLOOKUP($O86,Afgr,Data!$DL$3)+IF(B86&lt;7,B86,6),FALSE)-VLOOKUP(P86,Efgr,Data!$AA$53))</f>
        <v>0</v>
      </c>
      <c r="HV86" s="24">
        <f>IF(Nbal!FU86&lt;&gt;"",Nbal!FU86,Regn2!HU86)</f>
        <v>0</v>
      </c>
      <c r="HW86" s="241">
        <v>0.10639999999999999</v>
      </c>
      <c r="HX86" s="6">
        <f>VLOOKUP(B86,Jordtype,Data!$W$112)</f>
        <v>3</v>
      </c>
      <c r="HY86" s="241">
        <v>3.2500000000000001E-2</v>
      </c>
      <c r="HZ86" s="6">
        <f>VLOOKUP(B86,Jordtype,Data!$X$112)</f>
        <v>12</v>
      </c>
      <c r="IA86" s="241">
        <v>1.2453000000000001</v>
      </c>
      <c r="IB86" s="241">
        <f>IF(VLOOKUP(T86,Efgr,Data!$AO$53)=1,MlafgrNUdvask,0)</f>
        <v>0</v>
      </c>
      <c r="IC86" s="20">
        <f>IF(ISERROR((HO86+POWER(HP86,1.2))*(1-EXP(-HQ86*HS86))*EXP(-HT86*HV86)*EXP(-HW86*HX86)*EXP(-HY86*HZ86)*IA86),0,(HO86+POWER(HP86,1.2))*(1-EXP(-HQ86*HS86))*EXP(-HT86*HV86)*EXP(-HW86*HX86)*EXP(-HY86*HZ86)*IA86+IB86)</f>
        <v>0</v>
      </c>
      <c r="ID86">
        <f>IC86*Z86</f>
        <v>0</v>
      </c>
      <c r="IE86">
        <f>IF(Nbal!GF86&lt;&gt;"",Nbal!GF86,RetentionNbal)</f>
        <v>65</v>
      </c>
      <c r="IF86">
        <f>IC86*(100-IE86)*0.01</f>
        <v>0</v>
      </c>
      <c r="IG86">
        <f>IF86*Z86</f>
        <v>0</v>
      </c>
      <c r="IH86" s="2">
        <f>HS86*10000</f>
        <v>0</v>
      </c>
      <c r="II86" s="2">
        <f>IH86*Z86</f>
        <v>0</v>
      </c>
      <c r="IJ86">
        <f>IF(ISERROR(IC86*1000*1000/IH86),0,IC86*1000*1000/IH86)</f>
        <v>0</v>
      </c>
      <c r="IL86">
        <f>AT86+AX86+BK86+BU86</f>
        <v>0</v>
      </c>
      <c r="IO86">
        <f>VLOOKUP(R86,Afgr,Data!$AP$3)*UdsaedJust</f>
        <v>0</v>
      </c>
      <c r="IP86" s="3">
        <f>IF(Nbal!GN86&lt;&gt;"",Nbal!GN86,IO86)</f>
        <v>0</v>
      </c>
      <c r="IQ86" s="3">
        <f>IP86*Z86</f>
        <v>0</v>
      </c>
      <c r="IS86" s="3">
        <f>IF(HdgVaerdiNbal=1,(BZ86+CA86)*Npris,(BZ86+CA86+CJ86+CK86)*Npris)</f>
        <v>0</v>
      </c>
      <c r="IT86" s="3">
        <f>IS86*Z86</f>
        <v>0</v>
      </c>
      <c r="IV86">
        <f>VLOOKUP($R86,Afgr,Data!$BA$3)</f>
        <v>0</v>
      </c>
      <c r="IW86">
        <f>VLOOKUP($R86,Afgr,Data!$BB$3)</f>
        <v>0</v>
      </c>
      <c r="IX86">
        <f>$DS86+$EE86</f>
        <v>0</v>
      </c>
      <c r="IY86">
        <f>CT86</f>
        <v>0</v>
      </c>
      <c r="IZ86">
        <f>CQ86</f>
        <v>0</v>
      </c>
      <c r="JA86" s="3">
        <f>IF(HdgVaerdiNbal=1,(IZ86)*Ppris,(IY86+IZ86)*Ppris)</f>
        <v>0</v>
      </c>
      <c r="JB86" s="3">
        <f>JA86*Z86</f>
        <v>0</v>
      </c>
      <c r="JD86">
        <f>IF(AND(R86&gt;1,OR(Jordtype1=1,Jordtype1=3,Markvand1=2)),Kudvask,0)</f>
        <v>0</v>
      </c>
      <c r="JE86">
        <f>$DV86+$EH86</f>
        <v>0</v>
      </c>
      <c r="JF86">
        <f>DB86</f>
        <v>0</v>
      </c>
      <c r="JG86">
        <f>CY86</f>
        <v>0</v>
      </c>
      <c r="JH86" s="3">
        <f>IF(HdgVaerdiNbal=1,JG86*Kpris,(JF86+JG86)*Kpris)</f>
        <v>0</v>
      </c>
      <c r="JI86" s="3">
        <f>JH86*Z86</f>
        <v>0</v>
      </c>
      <c r="JK86">
        <f>IS86+JA86+JH86</f>
        <v>0</v>
      </c>
      <c r="JL86" s="3">
        <f>IF(Nbal!GT86&lt;&gt;"",Nbal!GT86,$JK86)</f>
        <v>0</v>
      </c>
      <c r="JM86" s="3">
        <f>JL86*Z86</f>
        <v>0</v>
      </c>
      <c r="JO86">
        <f>VLOOKUP(R86,Afgr,Data!$AQ$3)*PlantevJust</f>
        <v>0</v>
      </c>
      <c r="JP86" s="3">
        <f>IF(Nbal!GZ86&lt;&gt;"",Nbal!GZ86,JO86)</f>
        <v>0</v>
      </c>
      <c r="JQ86" s="3">
        <f>JP86*Z86</f>
        <v>0</v>
      </c>
      <c r="JS86">
        <f>VLOOKUP(R86,Afgr,Data!$AR$3)+AM86*VLOOKUP(R86,Afgr,Data!$BH$3)</f>
        <v>0</v>
      </c>
      <c r="JT86" s="3">
        <f>IF(Nbal!HF86&lt;&gt;"",Nbal!HF86,JS86)</f>
        <v>0</v>
      </c>
      <c r="JU86">
        <f>JT86*Z86</f>
        <v>0</v>
      </c>
      <c r="JW86">
        <f>IP86+JL86+JP86+JT86</f>
        <v>0</v>
      </c>
      <c r="JY86">
        <f>IF(VLOOKUP(R86,Afgr,Data!$BY$3)&gt;0,Data!$K$259*J86,0)</f>
        <v>0</v>
      </c>
      <c r="JZ86">
        <f>IF(VLOOKUP(R86,Afgr,Data!$BZ$3)&gt;0,Data!$K$260*J86,0)</f>
        <v>0</v>
      </c>
      <c r="KA86">
        <f>(JY86+JZ86)*MaskJust</f>
        <v>0</v>
      </c>
      <c r="KB86" s="3">
        <f>IF(Nbal!HL86&lt;&gt;"",Nbal!HL86,KA86)</f>
        <v>0</v>
      </c>
      <c r="KC86" s="3">
        <f>KB86*Z86</f>
        <v>0</v>
      </c>
      <c r="KE86">
        <f>IF(VLOOKUP(R86,Afgr,Data!$CA$3)&gt;0,VLOOKUP(R86,Afgr,Data!$CA$3)*Data!$K$261*K86,0)</f>
        <v>0</v>
      </c>
      <c r="KF86">
        <f>IF(VLOOKUP(R86,Afgr,Data!$CC$3)&gt;0,Data!$K$262*K86,0)</f>
        <v>0</v>
      </c>
      <c r="KG86">
        <f>IF(VLOOKUP(R86,Afgr,Data!$CD$3)&gt;0,VLOOKUP(R86,Afgr,Data!$CD$3)*Data!$K$263*K86,0)</f>
        <v>0</v>
      </c>
      <c r="KH86">
        <f>IF(VLOOKUP(R86,Afgr,Data!$CE$3)&gt;0,Data!$K$264*K86,0)</f>
        <v>0</v>
      </c>
      <c r="KI86">
        <f>IF(VLOOKUP(R86,Afgr,Data!$CF$3)&gt;0,Data!$K$265*K86,0)</f>
        <v>0</v>
      </c>
      <c r="KJ86">
        <f>IF(VLOOKUP(R86,Afgr,Data!$CV$3)&gt;0,Data!$K$266,0)</f>
        <v>0</v>
      </c>
      <c r="KK86">
        <f>IF(VLOOKUP(R86,Afgr,Data!$CG$3)&gt;0,Data!$K$267*K86,0)</f>
        <v>0</v>
      </c>
      <c r="KL86">
        <f>(KE86+KF86+KG86+KH86+KI86+KJ86+KK86)*MaskJust</f>
        <v>0</v>
      </c>
      <c r="KM86" s="3">
        <f>IF(Nbal!HR86&lt;&gt;"",Nbal!HR86,KL86)</f>
        <v>0</v>
      </c>
      <c r="KN86" s="3">
        <f>KM86*Z86</f>
        <v>0</v>
      </c>
      <c r="KP86">
        <f>IF(VLOOKUP(R86,Afgr,Data!$CJ$3)&gt;0,VLOOKUP(R86,Afgr,Data!$CJ$3)*Data!$K$268*K86,0)*MaskJust</f>
        <v>0</v>
      </c>
      <c r="KQ86" s="3">
        <f>IF(Nbal!HX86&lt;&gt;"",Nbal!HX86,KP86)</f>
        <v>0</v>
      </c>
      <c r="KR86" s="3">
        <f>KQ86*Z86</f>
        <v>0</v>
      </c>
      <c r="KT86">
        <f>IF(VLOOKUP(R86,Afgr,Data!$CI$3)&gt;0,VLOOKUP(R86,Afgr,Data!$CI$3)*Data!$K$269,0)*MaskJust</f>
        <v>0</v>
      </c>
      <c r="KU86" s="3">
        <f>IF(Nbal!ID86&lt;&gt;"",Nbal!ID86,KT86)</f>
        <v>0</v>
      </c>
      <c r="KV86" s="3">
        <f>KU86*Z86</f>
        <v>0</v>
      </c>
      <c r="KX86">
        <f>IF(C86=2,VLOOKUP($R86,Afgr,Data!$CY$3),0)</f>
        <v>0</v>
      </c>
      <c r="KY86">
        <f>IF(Nbal!IJ86&lt;&gt;"",Nbal!IJ86,$KX86)</f>
        <v>0</v>
      </c>
      <c r="KZ86">
        <f>IF(AND(R86&gt;1,C86=2),Vandmaskin+$KY86*Flytning/mmprgang+$KY86*Prisprmm,0)</f>
        <v>0</v>
      </c>
      <c r="LA86" s="3">
        <f>IF(Nbal!IP86&lt;&gt;"",Nbal!IP86,$KZ86)</f>
        <v>0</v>
      </c>
      <c r="LB86" s="3">
        <f>LA86*Z86</f>
        <v>0</v>
      </c>
      <c r="LD86">
        <f>IF(VLOOKUP($R86,Afgr,Data!$CK$3)&gt;0,((1+AM86/VLOOKUP($R86,Afgr,Data!$CK$3))/2)*VLOOKUP($R86,Afgr,Data!$CL$3)*VLOOKUP($R86,Afgr,Data!$CN$3)+VLOOKUP($R86,Afgr,Data!$CM$3),0)</f>
        <v>0</v>
      </c>
      <c r="LE86">
        <f>IF(VLOOKUP($R86,Afgr,Data!$CK$3)&gt;0,IF(AND($S86=2,$BA86&gt;0),Data!$K$271,0),0)</f>
        <v>0</v>
      </c>
      <c r="LF86">
        <f>IF(VLOOKUP($R86,Afgr,Data!$CK$3)&gt;0,(AM86/VLOOKUP($R86,Afgr,Data!$CK$3))*VLOOKUP($R86,Afgr,Data!$CO$3)*VLOOKUP($R86,Afgr,Data!$CN$3),0)</f>
        <v>0</v>
      </c>
      <c r="LG86">
        <f>(LD86+LE86+LF86)*MaskJust</f>
        <v>0</v>
      </c>
      <c r="LH86" s="3">
        <f>IF(Nbal!IV86&lt;&gt;"",Nbal!IV86,LG86)</f>
        <v>0</v>
      </c>
      <c r="LI86" s="3">
        <f>LH86*Z86</f>
        <v>0</v>
      </c>
      <c r="LJ86" s="3"/>
      <c r="LK86">
        <f>IF(AND($S86=1,VLOOKUP($R86,Afgr,Data!$CP$3)&gt;0),((1+$BC86/VLOOKUP($R86,Afgr,Data!$CP$3))/2)*VLOOKUP($R86,Afgr,Data!$CQ$3),0)</f>
        <v>0</v>
      </c>
      <c r="LL86">
        <f>IF(AND($S86=1,VLOOKUP($R86,Afgr,Data!$CP$3)&gt;0),($BC86/VLOOKUP($R86,Afgr,Data!$CP$3))*VLOOKUP($R86,Afgr,Data!$CR$3),0)</f>
        <v>0</v>
      </c>
      <c r="LM86">
        <f>(LK86+LL86)*MaskJust</f>
        <v>0</v>
      </c>
      <c r="LN86" s="3">
        <f>IF(Nbal!JB86&lt;&gt;"",Nbal!JB86,LM86)</f>
        <v>0</v>
      </c>
      <c r="LO86" s="3">
        <f>LN86*Z86</f>
        <v>0</v>
      </c>
      <c r="LQ86">
        <f>$AM86*VLOOKUP($R86,Afgr,Data!$CS$3)*IF($V86=1,VLOOKUP($R86,Afgr,Data!$CT$3),IF($V86=2,VLOOKUP($R86,Afgr,Data!$CU$3),0))</f>
        <v>0</v>
      </c>
      <c r="LR86" s="3">
        <f>IF(Nbal!JK86&lt;&gt;"",Nbal!JK86,LQ86)</f>
        <v>0</v>
      </c>
      <c r="LS86" s="3">
        <f>LR86*Z86</f>
        <v>0</v>
      </c>
      <c r="LU86">
        <f>VLOOKUP($T86,Efgr,Data!$AC$53)*UdsaedJust</f>
        <v>0</v>
      </c>
      <c r="LV86" s="3">
        <f>IF(Nbal!$JS86&lt;&gt;"",Nbal!$JS86,LU86)</f>
        <v>0</v>
      </c>
      <c r="LW86" s="3">
        <f>LV86*Z86</f>
        <v>0</v>
      </c>
      <c r="LY86" s="3">
        <f>IF(HdgVaerdiNbal=1,(CB86)*Npris,(CB86+CL86)*Npris)</f>
        <v>0</v>
      </c>
      <c r="LZ86" s="3">
        <f>LY86*Z86</f>
        <v>0</v>
      </c>
      <c r="MB86">
        <f>$EO86</f>
        <v>0</v>
      </c>
      <c r="MC86">
        <f>CU86</f>
        <v>0</v>
      </c>
      <c r="MD86">
        <f>CR86</f>
        <v>0</v>
      </c>
      <c r="ME86" s="3">
        <f>IF(HdgVaerdiNbal=1,MD86*Ppris,(MC86+MD86)*Ppris)</f>
        <v>0</v>
      </c>
      <c r="MF86" s="3">
        <f>ME86*Z86</f>
        <v>0</v>
      </c>
      <c r="MH86">
        <f>$ER86</f>
        <v>0</v>
      </c>
      <c r="MI86">
        <f>DC86</f>
        <v>0</v>
      </c>
      <c r="MJ86">
        <f>CZ86</f>
        <v>0</v>
      </c>
      <c r="MK86" s="3">
        <f>IF(HdgVaerdiNbal=1,MJ86*Ppris,(MI86+MJ86)*Ppris)</f>
        <v>0</v>
      </c>
      <c r="ML86" s="3">
        <f>MK86*Z86</f>
        <v>0</v>
      </c>
      <c r="MN86">
        <f>LY86+ME86+MK86</f>
        <v>0</v>
      </c>
      <c r="MO86" s="3">
        <f>IF(Nbal!JY86&lt;&gt;"",Nbal!JY86,$MN86)</f>
        <v>0</v>
      </c>
      <c r="MP86" s="3">
        <f>MO86*Z86</f>
        <v>0</v>
      </c>
      <c r="MR86">
        <f>VLOOKUP($T86,Efgr,Data!$AE$53)*PlantevJust</f>
        <v>0</v>
      </c>
      <c r="MS86" s="3">
        <f>IF(Nbal!KE86&lt;&gt;"",Nbal!KE86,MR86)</f>
        <v>0</v>
      </c>
      <c r="MT86" s="3">
        <f>MS86*Z86</f>
        <v>0</v>
      </c>
      <c r="MV86">
        <f>VLOOKUP($T86,Efgr,Data!$AF$53)+$BR86*VLOOKUP($T86,Efgr,Data!$AL$53)</f>
        <v>0</v>
      </c>
      <c r="MW86" s="3">
        <f>IF(Nbal!KK86&lt;&gt;"",Nbal!KK86,MV86)</f>
        <v>0</v>
      </c>
      <c r="MX86" s="3">
        <f>MW86*Z86</f>
        <v>0</v>
      </c>
      <c r="MZ86">
        <f>LV86+MO86+MS86+MW86</f>
        <v>0</v>
      </c>
      <c r="NB86">
        <f>VLOOKUP($T86,Efgr,Data!$AU$53)*K86*MaskJust</f>
        <v>0</v>
      </c>
      <c r="NC86" s="3">
        <f>IF(Nbal!KQ86&lt;&gt;"",Nbal!KQ86,NB86)</f>
        <v>0</v>
      </c>
      <c r="ND86" s="3">
        <f>NC86*Z86</f>
        <v>0</v>
      </c>
      <c r="NF86">
        <f>VLOOKUP($T86,Efgr,Data!$AW$53)*Data!$K$268*K86*MaskJust</f>
        <v>0</v>
      </c>
      <c r="NG86" s="3">
        <f>IF(Nbal!KW86&lt;&gt;"",Nbal!KW86,NF86)</f>
        <v>0</v>
      </c>
      <c r="NH86" s="3">
        <f>NG86*Z86</f>
        <v>0</v>
      </c>
      <c r="NJ86">
        <f>VLOOKUP($T86,Efgr,Data!$AV$53)*Data!$K$269*MaskJust</f>
        <v>0</v>
      </c>
      <c r="NK86" s="3">
        <f>IF(Nbal!LC86&lt;&gt;"",Nbal!LC86,NJ86)</f>
        <v>0</v>
      </c>
      <c r="NL86" s="3">
        <f>NK86*Z86</f>
        <v>0</v>
      </c>
      <c r="NN86">
        <f>IF(C86=2,VLOOKUP($T86,Efgr,Data!$BC$53),0)</f>
        <v>0</v>
      </c>
      <c r="NO86">
        <f>IF(Nbal!LI86&lt;&gt;"",Nbal!LI86,$NN86)</f>
        <v>0</v>
      </c>
      <c r="NP86">
        <f>IF(C86=2,$NO86*Flytning/mmprgang+$NO86*Prisprmm,0)</f>
        <v>0</v>
      </c>
      <c r="NQ86" s="3">
        <f>IF(Nbal!LO86&lt;&gt;"",Nbal!LO86,$NP86)</f>
        <v>0</v>
      </c>
      <c r="NR86" s="3">
        <f>NQ86*Z86</f>
        <v>0</v>
      </c>
      <c r="NT86">
        <f>IF(VLOOKUP($T86,Efgr,Data!$AX$53)&gt;0,((1+BR86/VLOOKUP($T86,Efgr,Data!$AX$53))/2)*VLOOKUP($T86,Efgr,Data!$AY$53)*VLOOKUP($T86,Efgr,Data!$BA$53)+VLOOKUP($T86,Efgr,Data!$AZ$53),0)</f>
        <v>0</v>
      </c>
      <c r="NU86">
        <f>IF(VLOOKUP($T86,Efgr,Data!$AX$53)&gt;0,($BR86/VLOOKUP($T86,Efgr,Data!$AX$53))*VLOOKUP($T86,Efgr,Data!$BB$53)*VLOOKUP($T86,Efgr,Data!$BA$53),0)</f>
        <v>0</v>
      </c>
      <c r="NV86">
        <f>(NT86+NU86)*MaskJust</f>
        <v>0</v>
      </c>
      <c r="NW86" s="3">
        <f>IF(Nbal!LU86&lt;&gt;"",Nbal!LU86,NV86)</f>
        <v>0</v>
      </c>
      <c r="NX86" s="3">
        <f>NW86*Z86</f>
        <v>0</v>
      </c>
      <c r="NZ86">
        <f>IF($U86=2,Data!$K$304,IF($U86=3,Data!$K$305,0))*MaskJust</f>
        <v>0</v>
      </c>
      <c r="OA86" s="3">
        <f>IF(Nbal!MA86&lt;&gt;"",Nbal!MA86,NZ86)</f>
        <v>0</v>
      </c>
      <c r="OB86" s="3">
        <f>OA86*Z86</f>
        <v>0</v>
      </c>
      <c r="OD86">
        <f>IL86</f>
        <v>0</v>
      </c>
      <c r="OE86">
        <f>JW86+MZ86</f>
        <v>0</v>
      </c>
      <c r="OF86">
        <f>OD86-OE86</f>
        <v>0</v>
      </c>
      <c r="OG86">
        <f>OF86*Z86</f>
        <v>0</v>
      </c>
      <c r="OJ86">
        <f>VLOOKUP($O86,Afgr,Data!$BP$3)+VLOOKUP($P86,Efgr,Data!$AM$53)</f>
        <v>0</v>
      </c>
      <c r="OK86" s="3">
        <f>OJ86*Z86</f>
        <v>0</v>
      </c>
      <c r="OL86">
        <f>VLOOKUP($R86,Afgr,Data!$BP$3)+VLOOKUP($T86,Efgr,Data!$AM$53)</f>
        <v>0</v>
      </c>
      <c r="OM86" s="3">
        <f>OL86*Z86</f>
        <v>0</v>
      </c>
      <c r="OO86">
        <f>VLOOKUP($P86,Efgr,Data!$AN$53)</f>
        <v>0</v>
      </c>
      <c r="OP86">
        <f>VLOOKUP($O86,Afgr,Data!$BQ$3)</f>
        <v>0</v>
      </c>
      <c r="OQ86">
        <f>VLOOKUP($R86,Afgr,Data!$BR$3)</f>
        <v>1</v>
      </c>
      <c r="OR86">
        <f>OO86*OP86*OQ86</f>
        <v>0</v>
      </c>
      <c r="OS86" s="3">
        <f>OR86*Z86</f>
        <v>0</v>
      </c>
      <c r="OT86" s="3">
        <f>IF(Q86,1,0)*OS86</f>
        <v>0</v>
      </c>
      <c r="OV86">
        <f>VLOOKUP($T86,Efgr,Data!$AN$53)</f>
        <v>0</v>
      </c>
      <c r="OW86">
        <f>VLOOKUP($R86,Afgr,Data!$BQ$3)</f>
        <v>0</v>
      </c>
      <c r="OX86">
        <f>VLOOKUP($X86,Afgr,Data!$BR$3)</f>
        <v>1</v>
      </c>
      <c r="OY86">
        <f>OV86*OW86*OX86</f>
        <v>0</v>
      </c>
      <c r="OZ86" s="3">
        <f>OY86*Z86</f>
        <v>0</v>
      </c>
      <c r="PB86">
        <f>VLOOKUP($T86,Efgr,Data!$AO$53)</f>
        <v>0</v>
      </c>
      <c r="PC86">
        <f>VLOOKUP($O86,Afgr,Data!$BQ$3)</f>
        <v>0</v>
      </c>
      <c r="PD86">
        <f>VLOOKUP($R86,Afgr,Data!$BS$3)</f>
        <v>0</v>
      </c>
      <c r="PE86" s="3">
        <f>PB86*PC86*PD86*$Z86</f>
        <v>0</v>
      </c>
      <c r="PG86">
        <f>VLOOKUP($T86,Efgr,Data!$AO$53)</f>
        <v>0</v>
      </c>
      <c r="PH86">
        <f>VLOOKUP($R86,Afgr,Data!$BQ$3)</f>
        <v>0</v>
      </c>
      <c r="PI86">
        <f>VLOOKUP($X86,Afgr,Data!$BS$3)</f>
        <v>0</v>
      </c>
      <c r="PJ86" s="3">
        <f>PG86*PH86*PI86*$Z86</f>
        <v>0</v>
      </c>
      <c r="PK86" s="3"/>
      <c r="PL86" s="3">
        <f>VLOOKUP($O86,Afgr,Data!$BU$3)</f>
        <v>0</v>
      </c>
      <c r="PM86" s="3">
        <f>PL86*Z86</f>
        <v>0</v>
      </c>
      <c r="PN86" s="3">
        <f>VLOOKUP($R86,Afgr,Data!$BU$3)</f>
        <v>0</v>
      </c>
      <c r="PO86" s="3">
        <f>PN86*Z86</f>
        <v>0</v>
      </c>
      <c r="PQ86">
        <f>VLOOKUP(R86,Afgr,Data!$BX$3)+VLOOKUP(T86,Efgr,Data!$AQ$53)</f>
        <v>0</v>
      </c>
      <c r="PR86">
        <f>IF(PQ86&gt;0,Z86,0)</f>
        <v>0</v>
      </c>
      <c r="PT86">
        <f>VLOOKUP($O86,Afgr,Data!$BT$3)</f>
        <v>0</v>
      </c>
      <c r="PU86" s="3">
        <f>PT86*Z86</f>
        <v>0</v>
      </c>
      <c r="PV86">
        <f>VLOOKUP($R86,Afgr,Data!$BT$3)</f>
        <v>0</v>
      </c>
      <c r="PW86" s="3">
        <f>PV86*Z86</f>
        <v>0</v>
      </c>
      <c r="PY86">
        <f>VLOOKUP($R86,Afgr,Data!$BV$3)</f>
        <v>0</v>
      </c>
      <c r="PZ86">
        <f>PY86*Z86</f>
        <v>0</v>
      </c>
      <c r="QB86">
        <f>VLOOKUP($R86,Afgr,Data!$BW$3)</f>
        <v>0</v>
      </c>
      <c r="QC86">
        <f>QB86*Z86</f>
        <v>0</v>
      </c>
      <c r="QE86">
        <f>AM86*IF(VLOOKUP($R86,Afgr,Data!$BJ$3)&gt;0,1,0)</f>
        <v>0</v>
      </c>
      <c r="QF86">
        <f>QE86*Z86</f>
        <v>0</v>
      </c>
      <c r="QH86">
        <f>AM86*VLOOKUP(R86,Afgr,Data!$BK$3)</f>
        <v>0</v>
      </c>
      <c r="QI86">
        <f>Z86*QH86</f>
        <v>0</v>
      </c>
      <c r="QJ86">
        <f>$AM86*VLOOKUP($R86,Afgr,Data!$BL$3)+$BR86*VLOOKUP($T86,Efgr,Data!$AP$53)</f>
        <v>0</v>
      </c>
      <c r="QK86">
        <f>QJ86*Z86</f>
        <v>0</v>
      </c>
      <c r="QL86">
        <f>$AM86*VLOOKUP($R86,Afgr,Data!$BM$3)</f>
        <v>0</v>
      </c>
      <c r="QM86">
        <f>QL86*Z86</f>
        <v>0</v>
      </c>
      <c r="QN86">
        <f>$AM86*VLOOKUP($R86,Afgr,Data!$BN$3)</f>
        <v>0</v>
      </c>
      <c r="QO86">
        <f>QN86*Z86</f>
        <v>0</v>
      </c>
      <c r="QR86">
        <f>IF(VLOOKUP($R86,Afgr,Data!$DA$3)="Vårbyg",$AN86,0)*VLOOKUP($R86,Afgr,Data!$BJ$3)</f>
        <v>0</v>
      </c>
      <c r="QS86">
        <f>IF(VLOOKUP($R86,Afgr,Data!$DA$3)="Vinterbyg",$AN86,0)*VLOOKUP($R86,Afgr,Data!$BJ$3)</f>
        <v>0</v>
      </c>
      <c r="QT86">
        <f>IF(VLOOKUP($R86,Afgr,Data!$DA$3)="Havre",$AN86,0)*VLOOKUP($R86,Afgr,Data!$BJ$3)</f>
        <v>0</v>
      </c>
      <c r="QU86">
        <f>IF(VLOOKUP($R86,Afgr,Data!$DA$3)="Hvede",$AN86,0)*VLOOKUP($R86,Afgr,Data!$BJ$3)</f>
        <v>0</v>
      </c>
      <c r="QV86">
        <f>IF(VLOOKUP($R86,Afgr,Data!$DA$3)="Triticale",$AN86,0)*VLOOKUP($R86,Afgr,Data!$BJ$3)</f>
        <v>0</v>
      </c>
      <c r="QW86">
        <f>IF(VLOOKUP($R86,Afgr,Data!$DA$3)="Rug",$AN86,0)*VLOOKUP($R86,Afgr,Data!$BJ$3)</f>
        <v>0</v>
      </c>
      <c r="QX86">
        <f>IF(VLOOKUP($R86,Afgr,Data!$DA$3)="Majs",$AN86,0)*VLOOKUP($R86,Afgr,Data!$BJ$3)</f>
        <v>0</v>
      </c>
      <c r="RA86">
        <f>IF(OV86+PB86&gt;0,1,0)</f>
        <v>0</v>
      </c>
      <c r="RB86">
        <f>RA86*LW86</f>
        <v>0</v>
      </c>
      <c r="RC86">
        <f>RA86*MT86</f>
        <v>0</v>
      </c>
      <c r="RD86">
        <f>ND86</f>
        <v>0</v>
      </c>
      <c r="RE86">
        <f>RA86*OB86</f>
        <v>0</v>
      </c>
      <c r="RH86">
        <f>VLOOKUP(B86,Jordtype,Data!$Y$112+DenitNr-1)</f>
        <v>7.25</v>
      </c>
      <c r="RI86">
        <f>FF86*VLOOKUP(B86,Jordtype,Data!$AB$112+DenitNr-1)</f>
        <v>0</v>
      </c>
      <c r="RJ86">
        <f>((CJ86+CK86+CL86+Regn2!CO86*0.7)-(RR86+RT86))*VLOOKUP(B86,Jordtype,Data!$AE$112+DenitNr-1)</f>
        <v>0</v>
      </c>
      <c r="RK86">
        <f>0*VLOOKUP(B86,Jordtype,Data!$AE$112+DenitNr-1)</f>
        <v>0</v>
      </c>
      <c r="RL86">
        <f>Regn2!FD86*VLOOKUP(B86,Jordtype,Data!$AH$112+DenitNr-1)</f>
        <v>0</v>
      </c>
      <c r="RM86" s="3">
        <f>RH86+RI86+RJ86+RK86+RL86</f>
        <v>7.25</v>
      </c>
      <c r="RO86">
        <v>2</v>
      </c>
      <c r="RP86">
        <f>(FF86)*RO86*0.01</f>
        <v>0</v>
      </c>
      <c r="RQ86">
        <v>7</v>
      </c>
      <c r="RR86">
        <f>CE86*RQ86*0.01</f>
        <v>0</v>
      </c>
      <c r="RS86">
        <v>7</v>
      </c>
      <c r="RT86">
        <f>(Regn2!CF86+Regn2!CG86)*RS86*0.01</f>
        <v>0</v>
      </c>
      <c r="RW86">
        <f>VLOOKUP(R86,Afgr,Data!$EE$3)</f>
        <v>0</v>
      </c>
      <c r="RX86" s="3">
        <f>RP86+RR86+RT86+RV86+RW86</f>
        <v>0</v>
      </c>
    </row>
    <row r="88" spans="1:492" x14ac:dyDescent="0.25">
      <c r="A88" s="214">
        <f>Nbal!B88</f>
        <v>0</v>
      </c>
      <c r="B88">
        <v>6</v>
      </c>
      <c r="C88">
        <v>1</v>
      </c>
      <c r="D88">
        <f>IF(C88=1,VLOOKUP(B88,Jordtype,Data!$K$112),VLOOKUP(B88,Jordtype,Data!$L$112))</f>
        <v>9</v>
      </c>
      <c r="E88">
        <f>IF(C88=1,VLOOKUP(B88,Jordtype,Data!$M$112),VLOOKUP(B88,Jordtype,Data!$N$112))</f>
        <v>14</v>
      </c>
      <c r="F88">
        <f>IF(OR(B88=1,B88=3),0,IF(OR(B88=2,B88=4),1,IF(OR(B88=5,B88=6),2,3)))</f>
        <v>2</v>
      </c>
      <c r="G88">
        <f>IF(C88=1,VLOOKUP(B88,Jordtype,Data!$Q$112),VLOOKUP(B88,Jordtype,Data!$R$112))</f>
        <v>25</v>
      </c>
      <c r="H88">
        <f>IF(C88=1,VLOOKUP(B88,Jordtype,Data!$O$112),VLOOKUP(B88,Jordtype,Data!$P$112))</f>
        <v>19</v>
      </c>
      <c r="I88">
        <f>IF(B88&lt;5,0,1)</f>
        <v>1</v>
      </c>
      <c r="J88">
        <f>IF(B88&lt;5,PlojJB,1)</f>
        <v>1</v>
      </c>
      <c r="K88">
        <f>IF(B88&lt;5,SaaJB,1)</f>
        <v>1</v>
      </c>
      <c r="L88">
        <f>IF(C88=1,VLOOKUP(B88,Jordtype,Data!$S$112),VLOOKUP(B88,Jordtype,Data!$T$112))</f>
        <v>8</v>
      </c>
      <c r="M88">
        <f>IF(C88=1,VLOOKUP(B88,Jordtype,Data!$U$112),VLOOKUP(B88,Jordtype,Data!$V$112))</f>
        <v>13</v>
      </c>
      <c r="O88">
        <v>1</v>
      </c>
      <c r="P88">
        <v>1</v>
      </c>
      <c r="Q88" t="b">
        <v>0</v>
      </c>
      <c r="R88">
        <v>1</v>
      </c>
      <c r="S88">
        <v>1</v>
      </c>
      <c r="T88">
        <v>1</v>
      </c>
      <c r="U88">
        <v>1</v>
      </c>
      <c r="V88">
        <v>1</v>
      </c>
      <c r="X88">
        <v>1</v>
      </c>
      <c r="Z88">
        <f>Nbal!AG88</f>
        <v>0</v>
      </c>
      <c r="AA88">
        <v>1</v>
      </c>
      <c r="AB88">
        <f>VLOOKUP($R88,Afgr,G88)</f>
        <v>0</v>
      </c>
      <c r="AC88">
        <f>VLOOKUP($O88,Afgr,Data!$AI$3)*VLOOKUP(R88,Afgr,Data!$AJ$3)</f>
        <v>0</v>
      </c>
      <c r="AD88">
        <f>IF($Q88,0,VLOOKUP($P88,Efgr,(Data!$W$53+$V$6-1)))</f>
        <v>0</v>
      </c>
      <c r="AE88">
        <f>AB88-AC88-AD88</f>
        <v>0</v>
      </c>
      <c r="AF88">
        <f>AE88*Z88</f>
        <v>0</v>
      </c>
      <c r="AH88">
        <f>VLOOKUP(R88,Afgr,D88)</f>
        <v>0</v>
      </c>
      <c r="AI88">
        <f>VLOOKUP(O88,Afgr,Data!$AL$3)*VLOOKUP(R88,Afgr,E88)</f>
        <v>0</v>
      </c>
      <c r="AJ88">
        <f>VLOOKUP(P88,Efgr,(Data!$Y$53+I88))</f>
        <v>0</v>
      </c>
      <c r="AK88">
        <f>AH88+AI88+AJ88</f>
        <v>0</v>
      </c>
      <c r="AL88">
        <f>AH88+AI88+AJ88</f>
        <v>0</v>
      </c>
      <c r="AM88" s="3">
        <f>IF(Nbal!CK88&lt;&gt;"",Nbal!CK88,AL88)</f>
        <v>0</v>
      </c>
      <c r="AN88">
        <f>AM88*Z88</f>
        <v>0</v>
      </c>
      <c r="AO88">
        <f>VLOOKUP(R88,Afgr,3)</f>
        <v>0</v>
      </c>
      <c r="AP88">
        <f>IF(AO88="FE",VLOOKUP($R88,Afgr,Data!$AV$3),0)</f>
        <v>0</v>
      </c>
      <c r="AR88">
        <f>VLOOKUP(R88,Afgr,4)</f>
        <v>0</v>
      </c>
      <c r="AS88" s="3">
        <f>IF(Nbal!CW88&lt;&gt;"",Nbal!CW88,AR88)</f>
        <v>0</v>
      </c>
      <c r="AT88" s="3">
        <f>AM88*AS88</f>
        <v>0</v>
      </c>
      <c r="AU88" s="3">
        <f>AN88*AS88</f>
        <v>0</v>
      </c>
      <c r="AW88">
        <f>VLOOKUP(R88,Afgr,Data!$AN$3)</f>
        <v>0</v>
      </c>
      <c r="AX88" s="3">
        <f>IF(Nbal!DC88&lt;&gt;"",Nbal!DC88,AW88)</f>
        <v>0</v>
      </c>
      <c r="AY88" s="3">
        <f>AX88*Z88</f>
        <v>0</v>
      </c>
      <c r="BA88">
        <f>VLOOKUP(R88,Afgr,H88)</f>
        <v>0</v>
      </c>
      <c r="BB88">
        <f>IF(ISERROR(BA88*AM88/AK88),0,(BA88*AM88/AK88))</f>
        <v>0</v>
      </c>
      <c r="BC88" s="3">
        <f>IF(Nbal!DI88&lt;&gt;"",Nbal!DI88,BB88)</f>
        <v>0</v>
      </c>
      <c r="BD88">
        <f>BC88*Z88</f>
        <v>0</v>
      </c>
      <c r="BG88">
        <f>IF($S88=1,BC88,0)</f>
        <v>0</v>
      </c>
      <c r="BH88">
        <f>IF($S88=1,BD88,0)</f>
        <v>0</v>
      </c>
      <c r="BI88">
        <f>VLOOKUP(R88,Afgr,Data!$AM$3)</f>
        <v>0</v>
      </c>
      <c r="BJ88">
        <f>IF(Nbal!DR88&lt;&gt;"",Nbal!DR88,BI88)</f>
        <v>0</v>
      </c>
      <c r="BK88">
        <f>BG88*BJ88</f>
        <v>0</v>
      </c>
      <c r="BL88">
        <f>BH88*BJ88</f>
        <v>0</v>
      </c>
      <c r="BN88">
        <f>VLOOKUP($T88,Efgr,M88)</f>
        <v>0</v>
      </c>
      <c r="BO88">
        <f>BN88*Z88</f>
        <v>0</v>
      </c>
      <c r="BQ88">
        <f>VLOOKUP(T88,Efgr,NormudbKolonneNrEfgr1)</f>
        <v>0</v>
      </c>
      <c r="BR88" s="3">
        <f>IF(Nbal!FE88&lt;&gt;"",Nbal!FE88,BQ88)</f>
        <v>0</v>
      </c>
      <c r="BS88">
        <f>BR88*Z88</f>
        <v>0</v>
      </c>
      <c r="BT88" t="s">
        <v>37</v>
      </c>
      <c r="BU88">
        <f>BR88*Efterslaetpris</f>
        <v>0</v>
      </c>
      <c r="BV88">
        <f>BS88*Efterslaetpris</f>
        <v>0</v>
      </c>
      <c r="BW88">
        <f>VLOOKUP(T88,Efgr,Data!$AG$53)</f>
        <v>0</v>
      </c>
      <c r="BX88">
        <f>BR88*BW88</f>
        <v>0</v>
      </c>
      <c r="BZ88">
        <f>Nbal!AQ88</f>
        <v>0</v>
      </c>
      <c r="CA88" s="211">
        <f>Nbal!AT88</f>
        <v>0</v>
      </c>
      <c r="CB88" s="2">
        <f>Nbal!DZ88</f>
        <v>0</v>
      </c>
      <c r="CC88" s="211">
        <f>Nbal!AT88+Nbal!DZ88</f>
        <v>0</v>
      </c>
      <c r="CD88" s="211">
        <f>Nbal!AX88</f>
        <v>0</v>
      </c>
      <c r="CE88">
        <f>Nbal!BH88</f>
        <v>0</v>
      </c>
      <c r="CF88" s="211">
        <f>Nbal!BM88</f>
        <v>0</v>
      </c>
      <c r="CG88" s="2">
        <f>Nbal!EI88</f>
        <v>0</v>
      </c>
      <c r="CH88" s="211">
        <f>Nbal!BM88+Nbal!EI88</f>
        <v>0</v>
      </c>
      <c r="CI88" s="211">
        <f>Nbal!BW88</f>
        <v>0</v>
      </c>
      <c r="CJ88" s="211">
        <f>Nbal!BH88*Nbal!BJ88*0.01</f>
        <v>0</v>
      </c>
      <c r="CK88" s="211">
        <f>(Nbal!BM88*Nbal!BP88*0.01)</f>
        <v>0</v>
      </c>
      <c r="CL88" s="211">
        <f>(Nbal!EI88*Nbal!EL88*0.01)</f>
        <v>0</v>
      </c>
      <c r="CM88" s="211">
        <f>(Nbal!BM88*Nbal!BP88*0.01)+(Nbal!EI88*Nbal!EL88*0.01)</f>
        <v>0</v>
      </c>
      <c r="CN88" s="211">
        <f>Nbal!BW88*Nbal!BY88*0.01</f>
        <v>0</v>
      </c>
      <c r="CO88">
        <f>Nbal!BT88+Nbal!ER88</f>
        <v>0</v>
      </c>
      <c r="CQ88">
        <f>Nbal!BA88</f>
        <v>0</v>
      </c>
      <c r="CR88">
        <f>Nbal!EC88</f>
        <v>0</v>
      </c>
      <c r="CS88">
        <f>(CQ88+CR88)*Z88</f>
        <v>0</v>
      </c>
      <c r="CT88">
        <f>Nbal!CB88</f>
        <v>0</v>
      </c>
      <c r="CU88">
        <f>Nbal!EV88</f>
        <v>0</v>
      </c>
      <c r="CV88">
        <f>(CT88+CU88)*Z88</f>
        <v>0</v>
      </c>
      <c r="CW88">
        <f>Nbal!BA88+Nbal!CB88+Nbal!EC88+Nbal!EV88</f>
        <v>0</v>
      </c>
      <c r="CY88">
        <f>Nbal!BD88</f>
        <v>0</v>
      </c>
      <c r="CZ88">
        <f>Nbal!EF88</f>
        <v>0</v>
      </c>
      <c r="DA88">
        <f>(CY88+CZ88)*Z88</f>
        <v>0</v>
      </c>
      <c r="DB88">
        <f>Nbal!CE88</f>
        <v>0</v>
      </c>
      <c r="DC88">
        <f>Nbal!EY88</f>
        <v>0</v>
      </c>
      <c r="DD88">
        <f>(DB88+DC88)*Z88</f>
        <v>0</v>
      </c>
      <c r="DE88">
        <f>Nbal!BD88+Nbal!CE88+Nbal!EF88+Nbal!EY88</f>
        <v>0</v>
      </c>
      <c r="DG88">
        <f>VLOOKUP($R88,Afgr,Data!$AW$3)</f>
        <v>0</v>
      </c>
      <c r="DH88">
        <f>IF($AO88="FE",$AM88*$AP88*$DG88*0.01,$AM88*100*$DM88*0.01*$DG88*0.01)</f>
        <v>0</v>
      </c>
      <c r="DI88">
        <f>IF(VLOOKUP(R88,Afgr,Data!$BO$3)=1,DH88,0)*Z88</f>
        <v>0</v>
      </c>
      <c r="DJ88" s="12">
        <f>(BZ88+CC88+CJ88-AE88)*VLOOKUP($R88,Afgr,Data!$AX$3)</f>
        <v>0</v>
      </c>
      <c r="DK88">
        <f>DG88+DJ88</f>
        <v>0</v>
      </c>
      <c r="DL88">
        <f>IF(Nbal!CQ88&lt;&gt;"",Nbal!CQ88,DK88)</f>
        <v>0</v>
      </c>
      <c r="DM88">
        <f>VLOOKUP(R88,Afgr,Data!$AT$3)</f>
        <v>0</v>
      </c>
      <c r="DN88">
        <f>IF($AO88="FE",$AM88*$AP88*$DL88*0.01,$AM88*100*$DM88*0.01*DL88*0.01)</f>
        <v>0</v>
      </c>
      <c r="DO88">
        <f>IF(VLOOKUP(R88,Afgr,Data!$BO$3)=1,DN88,0)*Z88</f>
        <v>0</v>
      </c>
      <c r="DP88">
        <f>IF(ISERROR(DN88/VLOOKUP(R88,Afgr,Data!$AY$3)),0,DN88/VLOOKUP(R88,Afgr,Data!$AY$3))</f>
        <v>0</v>
      </c>
      <c r="DQ88">
        <f>DP88*Z88</f>
        <v>0</v>
      </c>
      <c r="DS88">
        <f>IF($AO88="FE",$AM88*$AP88*VLOOKUP($R88,Afgr,Data!$BC$3)*0.001,$AM88*100*$DM88*0.01*VLOOKUP($R88,Afgr,Data!$BC$3)*0.001)</f>
        <v>0</v>
      </c>
      <c r="DT88">
        <f>DS88*Z88</f>
        <v>0</v>
      </c>
      <c r="DV88">
        <f>IF($AO88="FE",$AM88*$AP88*VLOOKUP($R88,Afgr,Data!$BF$3)*0.001,$AM88*100*$DM88*0.01*VLOOKUP($R88,Afgr,Data!$BF$3)*0.001)</f>
        <v>0</v>
      </c>
      <c r="DW88">
        <f>DV88*Z88</f>
        <v>0</v>
      </c>
      <c r="DY88">
        <f>IF(ISERROR(VLOOKUP(R88,Afgr,Data!$AZ$3)*DL88/DG88),0,VLOOKUP(R88,Afgr,Data!$AZ$3)*DL88/DG88)</f>
        <v>0</v>
      </c>
      <c r="DZ88">
        <f>VLOOKUP(R88,Afgr,Data!$AU$3)</f>
        <v>0</v>
      </c>
      <c r="EA88">
        <f>IF($S88=1,$BC88*$DZ88*0.01*DY88*0.01,0)</f>
        <v>0</v>
      </c>
      <c r="EB88">
        <f>EA88/6.25</f>
        <v>0</v>
      </c>
      <c r="EC88">
        <f>EB88*Z88</f>
        <v>0</v>
      </c>
      <c r="EE88">
        <f>IF($S88=1,$BC88*$DZ88*0.01*VLOOKUP($R88,Afgr,Data!$BD$3)*0.001,0)</f>
        <v>0</v>
      </c>
      <c r="EF88">
        <f>EE88*Z88</f>
        <v>0</v>
      </c>
      <c r="EH88">
        <f>IF($S88=1,$BC88*$DZ88*0.01*VLOOKUP($R88,Afgr,Data!$BG$3)*0.001,0)</f>
        <v>0</v>
      </c>
      <c r="EI88">
        <f>EH88*Z88</f>
        <v>0</v>
      </c>
      <c r="EK88">
        <f>VLOOKUP(T88,Efgr,Data!$AI$53)</f>
        <v>0</v>
      </c>
      <c r="EL88">
        <f>BX88*EK88*0.01/6.25</f>
        <v>0</v>
      </c>
      <c r="EM88">
        <f>EL88*Z88</f>
        <v>0</v>
      </c>
      <c r="EO88">
        <f>$BX88*VLOOKUP($T88,Efgr,Data!$AJ$53)*0.001</f>
        <v>0</v>
      </c>
      <c r="EP88">
        <f>EO88*Z88</f>
        <v>0</v>
      </c>
      <c r="ER88">
        <f>$BX88*VLOOKUP($T88,Efgr,Data!$AK$53)*0.001</f>
        <v>0</v>
      </c>
      <c r="ES88">
        <f>ER88*Z88</f>
        <v>0</v>
      </c>
      <c r="EU88">
        <f>IF(VLOOKUP(R88,Afgr,Data!$DS$3)=1,DP88*VLOOKUP(R88,Afgr,(Data!$DT$3+EftervirkningUdb1))*VLOOKUP(R88,Afgr,Data!$DV$3),0)</f>
        <v>0</v>
      </c>
      <c r="EV88">
        <f>IF(VLOOKUP(R88,Afgr,Data!$DS$3)=2,VLOOKUP(R88,Afgr,Data!$DX$3),0)</f>
        <v>0</v>
      </c>
      <c r="EW88">
        <f>IF(VLOOKUP(R88,Afgr,Data!$DS$3)=3,$DP88*VLOOKUP($R88,Afgr,IF(Jordtype1&lt;5,Data!$DT$3,Data!$DU$3))*VLOOKUP($R88,Afgr,Data!$DV$3),0)</f>
        <v>0</v>
      </c>
      <c r="EX88">
        <f>IF(VLOOKUP(R88,Afgr,Data!$DS$3)=4,(1.232+0.00469*AM88*100+(0.000256*AM88*100+0.089)*60),0)</f>
        <v>0</v>
      </c>
      <c r="EY88" s="211">
        <f>BZ88+CA88+CJ88+CK88</f>
        <v>0</v>
      </c>
      <c r="EZ88">
        <f>IF(VLOOKUP($R88,Afgr,Data!$DS$3)=5,($AM88*0.02742-$AM88*0.0001*$EY88+$AM88*0.0000001111*$EY88*$EY88),0)</f>
        <v>0</v>
      </c>
      <c r="FA88" s="2">
        <f>CB88+CL88</f>
        <v>0</v>
      </c>
      <c r="FB88">
        <f>IF(VLOOKUP($T88,Efgr,Data!$BH$53)=5,($BR88*0.02742-$BR88*0.0001*$FA88+$BR88*0.0000001111*$FA88*$FA88),0)</f>
        <v>0</v>
      </c>
      <c r="FC88" s="3">
        <f>EU88+EV88+EW88+EX88+EZ88+FB88</f>
        <v>0</v>
      </c>
      <c r="FD88" s="3">
        <f>FC88*Z88</f>
        <v>0</v>
      </c>
      <c r="FF88" s="211">
        <f>BZ88+CC88</f>
        <v>0</v>
      </c>
      <c r="FG88" s="211">
        <f>FF88*Z88</f>
        <v>0</v>
      </c>
      <c r="FH88" s="211">
        <f>CE88+CH88+CO88</f>
        <v>0</v>
      </c>
      <c r="FI88" s="211">
        <f>FH88*Z88</f>
        <v>0</v>
      </c>
      <c r="FJ88">
        <f>VLOOKUP($R88,Afgr,Data!$DK$3)*VLOOKUP($R88,Afgr,Data!$AT$3)*0.01*VLOOKUP($R88,Afgr,Data!$AW$3)*0.01/6.25</f>
        <v>0</v>
      </c>
      <c r="FK88">
        <f>FJ88*Z88</f>
        <v>0</v>
      </c>
      <c r="FL88" s="4">
        <f>IF(R88&gt;1,Deposition,0)</f>
        <v>0</v>
      </c>
      <c r="FM88" s="4">
        <f>FL88*Z88</f>
        <v>0</v>
      </c>
      <c r="FN88">
        <f>FC88</f>
        <v>0</v>
      </c>
      <c r="FO88">
        <f>FN88*Z88</f>
        <v>0</v>
      </c>
      <c r="FP88" s="211">
        <f>SUM(FF88,FH88,FJ88,FL88,FN88)</f>
        <v>0</v>
      </c>
      <c r="FQ88">
        <f>DP88+EB88+EL88</f>
        <v>0</v>
      </c>
      <c r="FR88" s="3">
        <f>FP88-FQ88</f>
        <v>0</v>
      </c>
      <c r="FS88" s="19">
        <f>FP88*Z88</f>
        <v>0</v>
      </c>
      <c r="FT88" s="19">
        <f>FQ88*Z88</f>
        <v>0</v>
      </c>
      <c r="FU88" s="3">
        <f>FR88*Z88</f>
        <v>0</v>
      </c>
      <c r="FW88">
        <f>CW88</f>
        <v>0</v>
      </c>
      <c r="FX88">
        <f>FW88*Z88</f>
        <v>0</v>
      </c>
      <c r="FY88">
        <f>IX88+MB88</f>
        <v>0</v>
      </c>
      <c r="FZ88">
        <f>FY88*Z88</f>
        <v>0</v>
      </c>
      <c r="GA88">
        <f>FW88-FY88</f>
        <v>0</v>
      </c>
      <c r="GB88">
        <f>GA88*Z88</f>
        <v>0</v>
      </c>
      <c r="GD88">
        <f>DE88</f>
        <v>0</v>
      </c>
      <c r="GE88">
        <f>GD88*Z88</f>
        <v>0</v>
      </c>
      <c r="GF88">
        <f>JE88+MH88</f>
        <v>0</v>
      </c>
      <c r="GG88">
        <f>GF88*Z88</f>
        <v>0</v>
      </c>
      <c r="GH88">
        <f>GD88-GF88</f>
        <v>0</v>
      </c>
      <c r="GI88">
        <f>GH88*Z88</f>
        <v>0</v>
      </c>
      <c r="GK88">
        <f>AA88</f>
        <v>1</v>
      </c>
      <c r="GL88" s="211">
        <f>FF88+FH88+FN88</f>
        <v>0</v>
      </c>
      <c r="GM88" s="211" t="str">
        <f>IF(R88=1,"",IF(GK88=1,GL88,""))</f>
        <v/>
      </c>
      <c r="GN88" s="211" t="str">
        <f>IF(R88=1,"",IF(GK88=2,GL88,""))</f>
        <v/>
      </c>
      <c r="GO88" s="211" t="str">
        <f>IF(R88=1,"",IF(GK88=3,GL88,""))</f>
        <v/>
      </c>
      <c r="GP88" s="211" t="str">
        <f>IF(R88=1,"",IF(GK88=4,GL88,""))</f>
        <v/>
      </c>
      <c r="GQ88" s="149">
        <f>IF(OR(R88=1,VLOOKUP(R88,Afgr,Data!$BV$3)=1,VLOOKUP(R88,Afgr,Data!$BW$3)=1),0,IF(GK88=1,Nniveau1,IF(GK88=2,Nniveau2,IF(GK88=3,Nniveau3,IF(GK88=4,Nniveau4,GL88)))))</f>
        <v>0</v>
      </c>
      <c r="GR88" s="241">
        <v>0.32550000000000001</v>
      </c>
      <c r="GS88" s="6">
        <v>0</v>
      </c>
      <c r="GT88" s="149">
        <f>CC88+CM88</f>
        <v>0</v>
      </c>
      <c r="GU88" s="6">
        <f>$FN88</f>
        <v>0</v>
      </c>
      <c r="GV88" s="241">
        <v>0.25280000000000002</v>
      </c>
      <c r="GW88">
        <f>CO88</f>
        <v>0</v>
      </c>
      <c r="GX88" s="241">
        <v>0.376</v>
      </c>
      <c r="GY88" s="149">
        <f>CD88+CN88</f>
        <v>0</v>
      </c>
      <c r="GZ88" s="241">
        <f>IF(B88&gt;3,0.3539,1.0749)</f>
        <v>0.35389999999999999</v>
      </c>
      <c r="HA88" s="11">
        <f>$FQ88</f>
        <v>0</v>
      </c>
      <c r="HB88" s="241">
        <v>0.19359999999999999</v>
      </c>
      <c r="HC88" s="241">
        <f>VLOOKUP($R88,Afgr,Data!$DM$3)</f>
        <v>0</v>
      </c>
      <c r="HD88" s="24">
        <f>IF($HC88&gt;1,0,(VLOOKUP($X88,Afgr,Data!$DP$3)+IF(VLOOKUP($X88,Afgr,Data!$DP$3)=0,VLOOKUP($T88,Efgr,Data!$BI$53,0))))+IF(AND($HC88=7,VLOOKUP($X88,Afgr,Data!$DQ$3)=-2),-2,0)+IF(AND($HC88=6,VLOOKUP($T88,Efgr,Data!$BI$53)=2),8,0)</f>
        <v>0</v>
      </c>
      <c r="HE88" s="6" t="e">
        <f>VLOOKUP(SUM(HC88:HD88),Nlesafgr,3)</f>
        <v>#N/A</v>
      </c>
      <c r="HF88" s="7">
        <f>VLOOKUP($O88,Afgr,Data!$DN$3)</f>
        <v>0</v>
      </c>
      <c r="HG88" s="24">
        <f>IF(HF88&gt;1,0,VLOOKUP($R88,Afgr,Data!$DO$3)+IF(VLOOKUP($R88,Afgr,Data!$DO$3)=1,0,VLOOKUP($P88,Efgr,Data!$BJ$53)))</f>
        <v>0</v>
      </c>
      <c r="HH88" s="6" t="e">
        <f>VLOOKUP(SUM(HF88:HG88),Nlesforfrugt,3)</f>
        <v>#N/A</v>
      </c>
      <c r="HI88" s="241" t="e">
        <f>GR88*GQ88+GV88*(GT88+GU88)+GX88*GW88+GZ88*GY88-HB88*HA88+HE88+HH88</f>
        <v>#N/A</v>
      </c>
      <c r="HJ88" s="241">
        <f>Nlesafskaering</f>
        <v>59.6</v>
      </c>
      <c r="HK88" s="241">
        <f>Teknologi1</f>
        <v>2455</v>
      </c>
      <c r="HL88" s="6">
        <v>2001</v>
      </c>
      <c r="HM88" s="241">
        <f>Teknologi2</f>
        <v>1962.2</v>
      </c>
      <c r="HN88" s="241">
        <f>Tandel</f>
        <v>0.54659999999999997</v>
      </c>
      <c r="HO88" s="241" t="e">
        <f>IF(OR(HI88&gt;0,HI88=0),HJ88+HK88/(HL88-HM88),HJ88+HK88/(HL88-HM88)+HN88*HI88)</f>
        <v>#N/A</v>
      </c>
      <c r="HP88" s="241" t="e">
        <f>IF(HI88&gt;0,HI88,0.001)</f>
        <v>#N/A</v>
      </c>
      <c r="HQ88" s="241">
        <v>1.5020000000000001E-3</v>
      </c>
      <c r="HR88" s="24">
        <f>IF(R88=1,0,VLOOKUP(PostnrNbal,AfstromData,VLOOKUP($R88,Afgr,Data!$DL$3)+IF(Jordtype1&lt;7,Jordtype1,6),FALSE)-VLOOKUP(T88,Efgr,Data!$AA$53))</f>
        <v>0</v>
      </c>
      <c r="HS88" s="24">
        <f>IF(Nbal!GA88&lt;&gt;"",Nbal!GA88,Regn2!HR88)</f>
        <v>0</v>
      </c>
      <c r="HT88" s="241">
        <v>5.5400000000000002E-4</v>
      </c>
      <c r="HU88" s="24">
        <f>IF(R88=1,0,VLOOKUP(PostnrNbal,AfstromData,VLOOKUP($O88,Afgr,Data!$DL$3)+IF(B88&lt;7,B88,6),FALSE)-VLOOKUP(P88,Efgr,Data!$AA$53))</f>
        <v>0</v>
      </c>
      <c r="HV88" s="24">
        <f>IF(Nbal!FU88&lt;&gt;"",Nbal!FU88,Regn2!HU88)</f>
        <v>0</v>
      </c>
      <c r="HW88" s="241">
        <v>0.10639999999999999</v>
      </c>
      <c r="HX88" s="6">
        <f>VLOOKUP(B88,Jordtype,Data!$W$112)</f>
        <v>3</v>
      </c>
      <c r="HY88" s="241">
        <v>3.2500000000000001E-2</v>
      </c>
      <c r="HZ88" s="6">
        <f>VLOOKUP(B88,Jordtype,Data!$X$112)</f>
        <v>12</v>
      </c>
      <c r="IA88" s="241">
        <v>1.2453000000000001</v>
      </c>
      <c r="IB88" s="241">
        <f>IF(VLOOKUP(T88,Efgr,Data!$AO$53)=1,MlafgrNUdvask,0)</f>
        <v>0</v>
      </c>
      <c r="IC88" s="20">
        <f>IF(ISERROR((HO88+POWER(HP88,1.2))*(1-EXP(-HQ88*HS88))*EXP(-HT88*HV88)*EXP(-HW88*HX88)*EXP(-HY88*HZ88)*IA88),0,(HO88+POWER(HP88,1.2))*(1-EXP(-HQ88*HS88))*EXP(-HT88*HV88)*EXP(-HW88*HX88)*EXP(-HY88*HZ88)*IA88+IB88)</f>
        <v>0</v>
      </c>
      <c r="ID88">
        <f>IC88*Z88</f>
        <v>0</v>
      </c>
      <c r="IE88">
        <f>IF(Nbal!GF88&lt;&gt;"",Nbal!GF88,RetentionNbal)</f>
        <v>65</v>
      </c>
      <c r="IF88">
        <f>IC88*(100-IE88)*0.01</f>
        <v>0</v>
      </c>
      <c r="IG88">
        <f>IF88*Z88</f>
        <v>0</v>
      </c>
      <c r="IH88" s="2">
        <f>HS88*10000</f>
        <v>0</v>
      </c>
      <c r="II88" s="2">
        <f>IH88*Z88</f>
        <v>0</v>
      </c>
      <c r="IJ88">
        <f>IF(ISERROR(IC88*1000*1000/IH88),0,IC88*1000*1000/IH88)</f>
        <v>0</v>
      </c>
      <c r="IL88">
        <f>AT88+AX88+BK88+BU88</f>
        <v>0</v>
      </c>
      <c r="IO88">
        <f>VLOOKUP(R88,Afgr,Data!$AP$3)*UdsaedJust</f>
        <v>0</v>
      </c>
      <c r="IP88" s="3">
        <f>IF(Nbal!GN88&lt;&gt;"",Nbal!GN88,IO88)</f>
        <v>0</v>
      </c>
      <c r="IQ88" s="3">
        <f>IP88*Z88</f>
        <v>0</v>
      </c>
      <c r="IS88" s="3">
        <f>IF(HdgVaerdiNbal=1,(BZ88+CA88)*Npris,(BZ88+CA88+CJ88+CK88)*Npris)</f>
        <v>0</v>
      </c>
      <c r="IT88" s="3">
        <f>IS88*Z88</f>
        <v>0</v>
      </c>
      <c r="IV88">
        <f>VLOOKUP($R88,Afgr,Data!$BA$3)</f>
        <v>0</v>
      </c>
      <c r="IW88">
        <f>VLOOKUP($R88,Afgr,Data!$BB$3)</f>
        <v>0</v>
      </c>
      <c r="IX88">
        <f>$DS88+$EE88</f>
        <v>0</v>
      </c>
      <c r="IY88">
        <f>CT88</f>
        <v>0</v>
      </c>
      <c r="IZ88">
        <f>CQ88</f>
        <v>0</v>
      </c>
      <c r="JA88" s="3">
        <f>IF(HdgVaerdiNbal=1,(IZ88)*Ppris,(IY88+IZ88)*Ppris)</f>
        <v>0</v>
      </c>
      <c r="JB88" s="3">
        <f>JA88*Z88</f>
        <v>0</v>
      </c>
      <c r="JD88">
        <f>IF(AND(R88&gt;1,OR(Jordtype1=1,Jordtype1=3,Markvand1=2)),Kudvask,0)</f>
        <v>0</v>
      </c>
      <c r="JE88">
        <f>$DV88+$EH88</f>
        <v>0</v>
      </c>
      <c r="JF88">
        <f>DB88</f>
        <v>0</v>
      </c>
      <c r="JG88">
        <f>CY88</f>
        <v>0</v>
      </c>
      <c r="JH88" s="3">
        <f>IF(HdgVaerdiNbal=1,JG88*Kpris,(JF88+JG88)*Kpris)</f>
        <v>0</v>
      </c>
      <c r="JI88" s="3">
        <f>JH88*Z88</f>
        <v>0</v>
      </c>
      <c r="JK88">
        <f>IS88+JA88+JH88</f>
        <v>0</v>
      </c>
      <c r="JL88" s="3">
        <f>IF(Nbal!GT88&lt;&gt;"",Nbal!GT88,$JK88)</f>
        <v>0</v>
      </c>
      <c r="JM88" s="3">
        <f>JL88*Z88</f>
        <v>0</v>
      </c>
      <c r="JO88">
        <f>VLOOKUP(R88,Afgr,Data!$AQ$3)*PlantevJust</f>
        <v>0</v>
      </c>
      <c r="JP88" s="3">
        <f>IF(Nbal!GZ88&lt;&gt;"",Nbal!GZ88,JO88)</f>
        <v>0</v>
      </c>
      <c r="JQ88" s="3">
        <f>JP88*Z88</f>
        <v>0</v>
      </c>
      <c r="JS88">
        <f>VLOOKUP(R88,Afgr,Data!$AR$3)+AM88*VLOOKUP(R88,Afgr,Data!$BH$3)</f>
        <v>0</v>
      </c>
      <c r="JT88" s="3">
        <f>IF(Nbal!HF88&lt;&gt;"",Nbal!HF88,JS88)</f>
        <v>0</v>
      </c>
      <c r="JU88">
        <f>JT88*Z88</f>
        <v>0</v>
      </c>
      <c r="JW88">
        <f>IP88+JL88+JP88+JT88</f>
        <v>0</v>
      </c>
      <c r="JY88">
        <f>IF(VLOOKUP(R88,Afgr,Data!$BY$3)&gt;0,Data!$K$259*J88,0)</f>
        <v>0</v>
      </c>
      <c r="JZ88">
        <f>IF(VLOOKUP(R88,Afgr,Data!$BZ$3)&gt;0,Data!$K$260*J88,0)</f>
        <v>0</v>
      </c>
      <c r="KA88">
        <f>(JY88+JZ88)*MaskJust</f>
        <v>0</v>
      </c>
      <c r="KB88" s="3">
        <f>IF(Nbal!HL88&lt;&gt;"",Nbal!HL88,KA88)</f>
        <v>0</v>
      </c>
      <c r="KC88" s="3">
        <f>KB88*Z88</f>
        <v>0</v>
      </c>
      <c r="KE88">
        <f>IF(VLOOKUP(R88,Afgr,Data!$CA$3)&gt;0,VLOOKUP(R88,Afgr,Data!$CA$3)*Data!$K$261*K88,0)</f>
        <v>0</v>
      </c>
      <c r="KF88">
        <f>IF(VLOOKUP(R88,Afgr,Data!$CC$3)&gt;0,Data!$K$262*K88,0)</f>
        <v>0</v>
      </c>
      <c r="KG88">
        <f>IF(VLOOKUP(R88,Afgr,Data!$CD$3)&gt;0,VLOOKUP(R88,Afgr,Data!$CD$3)*Data!$K$263*K88,0)</f>
        <v>0</v>
      </c>
      <c r="KH88">
        <f>IF(VLOOKUP(R88,Afgr,Data!$CE$3)&gt;0,Data!$K$264*K88,0)</f>
        <v>0</v>
      </c>
      <c r="KI88">
        <f>IF(VLOOKUP(R88,Afgr,Data!$CF$3)&gt;0,Data!$K$265*K88,0)</f>
        <v>0</v>
      </c>
      <c r="KJ88">
        <f>IF(VLOOKUP(R88,Afgr,Data!$CV$3)&gt;0,Data!$K$266,0)</f>
        <v>0</v>
      </c>
      <c r="KK88">
        <f>IF(VLOOKUP(R88,Afgr,Data!$CG$3)&gt;0,Data!$K$267*K88,0)</f>
        <v>0</v>
      </c>
      <c r="KL88">
        <f>(KE88+KF88+KG88+KH88+KI88+KJ88+KK88)*MaskJust</f>
        <v>0</v>
      </c>
      <c r="KM88" s="3">
        <f>IF(Nbal!HR88&lt;&gt;"",Nbal!HR88,KL88)</f>
        <v>0</v>
      </c>
      <c r="KN88" s="3">
        <f>KM88*Z88</f>
        <v>0</v>
      </c>
      <c r="KP88">
        <f>IF(VLOOKUP(R88,Afgr,Data!$CJ$3)&gt;0,VLOOKUP(R88,Afgr,Data!$CJ$3)*Data!$K$268*K88,0)*MaskJust</f>
        <v>0</v>
      </c>
      <c r="KQ88" s="3">
        <f>IF(Nbal!HX88&lt;&gt;"",Nbal!HX88,KP88)</f>
        <v>0</v>
      </c>
      <c r="KR88" s="3">
        <f>KQ88*Z88</f>
        <v>0</v>
      </c>
      <c r="KT88">
        <f>IF(VLOOKUP(R88,Afgr,Data!$CI$3)&gt;0,VLOOKUP(R88,Afgr,Data!$CI$3)*Data!$K$269,0)*MaskJust</f>
        <v>0</v>
      </c>
      <c r="KU88" s="3">
        <f>IF(Nbal!ID88&lt;&gt;"",Nbal!ID88,KT88)</f>
        <v>0</v>
      </c>
      <c r="KV88" s="3">
        <f>KU88*Z88</f>
        <v>0</v>
      </c>
      <c r="KX88">
        <f>IF(C88=2,VLOOKUP($R88,Afgr,Data!$CY$3),0)</f>
        <v>0</v>
      </c>
      <c r="KY88">
        <f>IF(Nbal!IJ88&lt;&gt;"",Nbal!IJ88,$KX88)</f>
        <v>0</v>
      </c>
      <c r="KZ88">
        <f>IF(AND(R88&gt;1,C88=2),Vandmaskin+$KY88*Flytning/mmprgang+$KY88*Prisprmm,0)</f>
        <v>0</v>
      </c>
      <c r="LA88" s="3">
        <f>IF(Nbal!IP88&lt;&gt;"",Nbal!IP88,$KZ88)</f>
        <v>0</v>
      </c>
      <c r="LB88" s="3">
        <f>LA88*Z88</f>
        <v>0</v>
      </c>
      <c r="LD88">
        <f>IF(VLOOKUP($R88,Afgr,Data!$CK$3)&gt;0,((1+AM88/VLOOKUP($R88,Afgr,Data!$CK$3))/2)*VLOOKUP($R88,Afgr,Data!$CL$3)*VLOOKUP($R88,Afgr,Data!$CN$3)+VLOOKUP($R88,Afgr,Data!$CM$3),0)</f>
        <v>0</v>
      </c>
      <c r="LE88">
        <f>IF(VLOOKUP($R88,Afgr,Data!$CK$3)&gt;0,IF(AND($S88=2,$BA88&gt;0),Data!$K$271,0),0)</f>
        <v>0</v>
      </c>
      <c r="LF88">
        <f>IF(VLOOKUP($R88,Afgr,Data!$CK$3)&gt;0,(AM88/VLOOKUP($R88,Afgr,Data!$CK$3))*VLOOKUP($R88,Afgr,Data!$CO$3)*VLOOKUP($R88,Afgr,Data!$CN$3),0)</f>
        <v>0</v>
      </c>
      <c r="LG88">
        <f>(LD88+LE88+LF88)*MaskJust</f>
        <v>0</v>
      </c>
      <c r="LH88" s="3">
        <f>IF(Nbal!IV88&lt;&gt;"",Nbal!IV88,LG88)</f>
        <v>0</v>
      </c>
      <c r="LI88" s="3">
        <f>LH88*Z88</f>
        <v>0</v>
      </c>
      <c r="LJ88" s="3"/>
      <c r="LK88">
        <f>IF(AND($S88=1,VLOOKUP($R88,Afgr,Data!$CP$3)&gt;0),((1+$BC88/VLOOKUP($R88,Afgr,Data!$CP$3))/2)*VLOOKUP($R88,Afgr,Data!$CQ$3),0)</f>
        <v>0</v>
      </c>
      <c r="LL88">
        <f>IF(AND($S88=1,VLOOKUP($R88,Afgr,Data!$CP$3)&gt;0),($BC88/VLOOKUP($R88,Afgr,Data!$CP$3))*VLOOKUP($R88,Afgr,Data!$CR$3),0)</f>
        <v>0</v>
      </c>
      <c r="LM88">
        <f>(LK88+LL88)*MaskJust</f>
        <v>0</v>
      </c>
      <c r="LN88" s="3">
        <f>IF(Nbal!JB88&lt;&gt;"",Nbal!JB88,LM88)</f>
        <v>0</v>
      </c>
      <c r="LO88" s="3">
        <f>LN88*Z88</f>
        <v>0</v>
      </c>
      <c r="LQ88">
        <f>$AM88*VLOOKUP($R88,Afgr,Data!$CS$3)*IF($V88=1,VLOOKUP($R88,Afgr,Data!$CT$3),IF($V88=2,VLOOKUP($R88,Afgr,Data!$CU$3),0))</f>
        <v>0</v>
      </c>
      <c r="LR88" s="3">
        <f>IF(Nbal!JK88&lt;&gt;"",Nbal!JK88,LQ88)</f>
        <v>0</v>
      </c>
      <c r="LS88" s="3">
        <f>LR88*Z88</f>
        <v>0</v>
      </c>
      <c r="LU88">
        <f>VLOOKUP($T88,Efgr,Data!$AC$53)*UdsaedJust</f>
        <v>0</v>
      </c>
      <c r="LV88" s="3">
        <f>IF(Nbal!$JS88&lt;&gt;"",Nbal!$JS88,LU88)</f>
        <v>0</v>
      </c>
      <c r="LW88" s="3">
        <f>LV88*Z88</f>
        <v>0</v>
      </c>
      <c r="LY88" s="3">
        <f>IF(HdgVaerdiNbal=1,(CB88)*Npris,(CB88+CL88)*Npris)</f>
        <v>0</v>
      </c>
      <c r="LZ88" s="3">
        <f>LY88*Z88</f>
        <v>0</v>
      </c>
      <c r="MB88">
        <f>$EO88</f>
        <v>0</v>
      </c>
      <c r="MC88">
        <f>CU88</f>
        <v>0</v>
      </c>
      <c r="MD88">
        <f>CR88</f>
        <v>0</v>
      </c>
      <c r="ME88" s="3">
        <f>IF(HdgVaerdiNbal=1,MD88*Ppris,(MC88+MD88)*Ppris)</f>
        <v>0</v>
      </c>
      <c r="MF88" s="3">
        <f>ME88*Z88</f>
        <v>0</v>
      </c>
      <c r="MH88">
        <f>$ER88</f>
        <v>0</v>
      </c>
      <c r="MI88">
        <f>DC88</f>
        <v>0</v>
      </c>
      <c r="MJ88">
        <f>CZ88</f>
        <v>0</v>
      </c>
      <c r="MK88" s="3">
        <f>IF(HdgVaerdiNbal=1,MJ88*Ppris,(MI88+MJ88)*Ppris)</f>
        <v>0</v>
      </c>
      <c r="ML88" s="3">
        <f>MK88*Z88</f>
        <v>0</v>
      </c>
      <c r="MN88">
        <f>LY88+ME88+MK88</f>
        <v>0</v>
      </c>
      <c r="MO88" s="3">
        <f>IF(Nbal!JY88&lt;&gt;"",Nbal!JY88,$MN88)</f>
        <v>0</v>
      </c>
      <c r="MP88" s="3">
        <f>MO88*Z88</f>
        <v>0</v>
      </c>
      <c r="MR88">
        <f>VLOOKUP($T88,Efgr,Data!$AE$53)*PlantevJust</f>
        <v>0</v>
      </c>
      <c r="MS88" s="3">
        <f>IF(Nbal!KE88&lt;&gt;"",Nbal!KE88,MR88)</f>
        <v>0</v>
      </c>
      <c r="MT88" s="3">
        <f>MS88*Z88</f>
        <v>0</v>
      </c>
      <c r="MV88">
        <f>VLOOKUP($T88,Efgr,Data!$AF$53)+$BR88*VLOOKUP($T88,Efgr,Data!$AL$53)</f>
        <v>0</v>
      </c>
      <c r="MW88" s="3">
        <f>IF(Nbal!KK88&lt;&gt;"",Nbal!KK88,MV88)</f>
        <v>0</v>
      </c>
      <c r="MX88" s="3">
        <f>MW88*Z88</f>
        <v>0</v>
      </c>
      <c r="MZ88">
        <f>LV88+MO88+MS88+MW88</f>
        <v>0</v>
      </c>
      <c r="NB88">
        <f>VLOOKUP($T88,Efgr,Data!$AU$53)*K88*MaskJust</f>
        <v>0</v>
      </c>
      <c r="NC88" s="3">
        <f>IF(Nbal!KQ88&lt;&gt;"",Nbal!KQ88,NB88)</f>
        <v>0</v>
      </c>
      <c r="ND88" s="3">
        <f>NC88*Z88</f>
        <v>0</v>
      </c>
      <c r="NF88">
        <f>VLOOKUP($T88,Efgr,Data!$AW$53)*Data!$K$268*K88*MaskJust</f>
        <v>0</v>
      </c>
      <c r="NG88" s="3">
        <f>IF(Nbal!KW88&lt;&gt;"",Nbal!KW88,NF88)</f>
        <v>0</v>
      </c>
      <c r="NH88" s="3">
        <f>NG88*Z88</f>
        <v>0</v>
      </c>
      <c r="NJ88">
        <f>VLOOKUP($T88,Efgr,Data!$AV$53)*Data!$K$269*MaskJust</f>
        <v>0</v>
      </c>
      <c r="NK88" s="3">
        <f>IF(Nbal!LC88&lt;&gt;"",Nbal!LC88,NJ88)</f>
        <v>0</v>
      </c>
      <c r="NL88" s="3">
        <f>NK88*Z88</f>
        <v>0</v>
      </c>
      <c r="NN88">
        <f>IF(C88=2,VLOOKUP($T88,Efgr,Data!$BC$53),0)</f>
        <v>0</v>
      </c>
      <c r="NO88">
        <f>IF(Nbal!LI88&lt;&gt;"",Nbal!LI88,$NN88)</f>
        <v>0</v>
      </c>
      <c r="NP88">
        <f>IF(C88=2,$NO88*Flytning/mmprgang+$NO88*Prisprmm,0)</f>
        <v>0</v>
      </c>
      <c r="NQ88" s="3">
        <f>IF(Nbal!LO88&lt;&gt;"",Nbal!LO88,$NP88)</f>
        <v>0</v>
      </c>
      <c r="NR88" s="3">
        <f>NQ88*Z88</f>
        <v>0</v>
      </c>
      <c r="NT88">
        <f>IF(VLOOKUP($T88,Efgr,Data!$AX$53)&gt;0,((1+BR88/VLOOKUP($T88,Efgr,Data!$AX$53))/2)*VLOOKUP($T88,Efgr,Data!$AY$53)*VLOOKUP($T88,Efgr,Data!$BA$53)+VLOOKUP($T88,Efgr,Data!$AZ$53),0)</f>
        <v>0</v>
      </c>
      <c r="NU88">
        <f>IF(VLOOKUP($T88,Efgr,Data!$AX$53)&gt;0,($BR88/VLOOKUP($T88,Efgr,Data!$AX$53))*VLOOKUP($T88,Efgr,Data!$BB$53)*VLOOKUP($T88,Efgr,Data!$BA$53),0)</f>
        <v>0</v>
      </c>
      <c r="NV88">
        <f>(NT88+NU88)*MaskJust</f>
        <v>0</v>
      </c>
      <c r="NW88" s="3">
        <f>IF(Nbal!LU88&lt;&gt;"",Nbal!LU88,NV88)</f>
        <v>0</v>
      </c>
      <c r="NX88" s="3">
        <f>NW88*Z88</f>
        <v>0</v>
      </c>
      <c r="NZ88">
        <f>IF($U88=2,Data!$K$304,IF($U88=3,Data!$K$305,0))*MaskJust</f>
        <v>0</v>
      </c>
      <c r="OA88" s="3">
        <f>IF(Nbal!MA88&lt;&gt;"",Nbal!MA88,NZ88)</f>
        <v>0</v>
      </c>
      <c r="OB88" s="3">
        <f>OA88*Z88</f>
        <v>0</v>
      </c>
      <c r="OD88">
        <f>IL88</f>
        <v>0</v>
      </c>
      <c r="OE88">
        <f>JW88+MZ88</f>
        <v>0</v>
      </c>
      <c r="OF88">
        <f>OD88-OE88</f>
        <v>0</v>
      </c>
      <c r="OG88">
        <f>OF88*Z88</f>
        <v>0</v>
      </c>
      <c r="OJ88">
        <f>VLOOKUP($O88,Afgr,Data!$BP$3)+VLOOKUP($P88,Efgr,Data!$AM$53)</f>
        <v>0</v>
      </c>
      <c r="OK88" s="3">
        <f>OJ88*Z88</f>
        <v>0</v>
      </c>
      <c r="OL88">
        <f>VLOOKUP($R88,Afgr,Data!$BP$3)+VLOOKUP($T88,Efgr,Data!$AM$53)</f>
        <v>0</v>
      </c>
      <c r="OM88" s="3">
        <f>OL88*Z88</f>
        <v>0</v>
      </c>
      <c r="OO88">
        <f>VLOOKUP($P88,Efgr,Data!$AN$53)</f>
        <v>0</v>
      </c>
      <c r="OP88">
        <f>VLOOKUP($O88,Afgr,Data!$BQ$3)</f>
        <v>0</v>
      </c>
      <c r="OQ88">
        <f>VLOOKUP($R88,Afgr,Data!$BR$3)</f>
        <v>1</v>
      </c>
      <c r="OR88">
        <f>OO88*OP88*OQ88</f>
        <v>0</v>
      </c>
      <c r="OS88" s="3">
        <f>OR88*Z88</f>
        <v>0</v>
      </c>
      <c r="OT88" s="3">
        <f>IF(Q88,1,0)*OS88</f>
        <v>0</v>
      </c>
      <c r="OV88">
        <f>VLOOKUP($T88,Efgr,Data!$AN$53)</f>
        <v>0</v>
      </c>
      <c r="OW88">
        <f>VLOOKUP($R88,Afgr,Data!$BQ$3)</f>
        <v>0</v>
      </c>
      <c r="OX88">
        <f>VLOOKUP($X88,Afgr,Data!$BR$3)</f>
        <v>1</v>
      </c>
      <c r="OY88">
        <f>OV88*OW88*OX88</f>
        <v>0</v>
      </c>
      <c r="OZ88" s="3">
        <f>OY88*Z88</f>
        <v>0</v>
      </c>
      <c r="PB88">
        <f>VLOOKUP($T88,Efgr,Data!$AO$53)</f>
        <v>0</v>
      </c>
      <c r="PC88">
        <f>VLOOKUP($O88,Afgr,Data!$BQ$3)</f>
        <v>0</v>
      </c>
      <c r="PD88">
        <f>VLOOKUP($R88,Afgr,Data!$BS$3)</f>
        <v>0</v>
      </c>
      <c r="PE88" s="3">
        <f>PB88*PC88*PD88*$Z88</f>
        <v>0</v>
      </c>
      <c r="PG88">
        <f>VLOOKUP($T88,Efgr,Data!$AO$53)</f>
        <v>0</v>
      </c>
      <c r="PH88">
        <f>VLOOKUP($R88,Afgr,Data!$BQ$3)</f>
        <v>0</v>
      </c>
      <c r="PI88">
        <f>VLOOKUP($X88,Afgr,Data!$BS$3)</f>
        <v>0</v>
      </c>
      <c r="PJ88" s="3">
        <f>PG88*PH88*PI88*$Z88</f>
        <v>0</v>
      </c>
      <c r="PK88" s="3"/>
      <c r="PL88" s="3">
        <f>VLOOKUP($O88,Afgr,Data!$BU$3)</f>
        <v>0</v>
      </c>
      <c r="PM88" s="3">
        <f>PL88*Z88</f>
        <v>0</v>
      </c>
      <c r="PN88" s="3">
        <f>VLOOKUP($R88,Afgr,Data!$BU$3)</f>
        <v>0</v>
      </c>
      <c r="PO88" s="3">
        <f>PN88*Z88</f>
        <v>0</v>
      </c>
      <c r="PQ88">
        <f>VLOOKUP(R88,Afgr,Data!$BX$3)+VLOOKUP(T88,Efgr,Data!$AQ$53)</f>
        <v>0</v>
      </c>
      <c r="PR88">
        <f>IF(PQ88&gt;0,Z88,0)</f>
        <v>0</v>
      </c>
      <c r="PT88">
        <f>VLOOKUP($O88,Afgr,Data!$BT$3)</f>
        <v>0</v>
      </c>
      <c r="PU88" s="3">
        <f>PT88*Z88</f>
        <v>0</v>
      </c>
      <c r="PV88">
        <f>VLOOKUP($R88,Afgr,Data!$BT$3)</f>
        <v>0</v>
      </c>
      <c r="PW88" s="3">
        <f>PV88*Z88</f>
        <v>0</v>
      </c>
      <c r="PY88">
        <f>VLOOKUP($R88,Afgr,Data!$BV$3)</f>
        <v>0</v>
      </c>
      <c r="PZ88">
        <f>PY88*Z88</f>
        <v>0</v>
      </c>
      <c r="QB88">
        <f>VLOOKUP($R88,Afgr,Data!$BW$3)</f>
        <v>0</v>
      </c>
      <c r="QC88">
        <f>QB88*Z88</f>
        <v>0</v>
      </c>
      <c r="QE88">
        <f>AM88*IF(VLOOKUP($R88,Afgr,Data!$BJ$3)&gt;0,1,0)</f>
        <v>0</v>
      </c>
      <c r="QF88">
        <f>QE88*Z88</f>
        <v>0</v>
      </c>
      <c r="QH88">
        <f>AM88*VLOOKUP(R88,Afgr,Data!$BK$3)</f>
        <v>0</v>
      </c>
      <c r="QI88">
        <f>Z88*QH88</f>
        <v>0</v>
      </c>
      <c r="QJ88">
        <f>$AM88*VLOOKUP($R88,Afgr,Data!$BL$3)+$BR88*VLOOKUP($T88,Efgr,Data!$AP$53)</f>
        <v>0</v>
      </c>
      <c r="QK88">
        <f>QJ88*Z88</f>
        <v>0</v>
      </c>
      <c r="QL88">
        <f>$AM88*VLOOKUP($R88,Afgr,Data!$BM$3)</f>
        <v>0</v>
      </c>
      <c r="QM88">
        <f>QL88*Z88</f>
        <v>0</v>
      </c>
      <c r="QN88">
        <f>$AM88*VLOOKUP($R88,Afgr,Data!$BN$3)</f>
        <v>0</v>
      </c>
      <c r="QO88">
        <f>QN88*Z88</f>
        <v>0</v>
      </c>
      <c r="QR88">
        <f>IF(VLOOKUP($R88,Afgr,Data!$DA$3)="Vårbyg",$AN88,0)*VLOOKUP($R88,Afgr,Data!$BJ$3)</f>
        <v>0</v>
      </c>
      <c r="QS88">
        <f>IF(VLOOKUP($R88,Afgr,Data!$DA$3)="Vinterbyg",$AN88,0)*VLOOKUP($R88,Afgr,Data!$BJ$3)</f>
        <v>0</v>
      </c>
      <c r="QT88">
        <f>IF(VLOOKUP($R88,Afgr,Data!$DA$3)="Havre",$AN88,0)*VLOOKUP($R88,Afgr,Data!$BJ$3)</f>
        <v>0</v>
      </c>
      <c r="QU88">
        <f>IF(VLOOKUP($R88,Afgr,Data!$DA$3)="Hvede",$AN88,0)*VLOOKUP($R88,Afgr,Data!$BJ$3)</f>
        <v>0</v>
      </c>
      <c r="QV88">
        <f>IF(VLOOKUP($R88,Afgr,Data!$DA$3)="Triticale",$AN88,0)*VLOOKUP($R88,Afgr,Data!$BJ$3)</f>
        <v>0</v>
      </c>
      <c r="QW88">
        <f>IF(VLOOKUP($R88,Afgr,Data!$DA$3)="Rug",$AN88,0)*VLOOKUP($R88,Afgr,Data!$BJ$3)</f>
        <v>0</v>
      </c>
      <c r="QX88">
        <f>IF(VLOOKUP($R88,Afgr,Data!$DA$3)="Majs",$AN88,0)*VLOOKUP($R88,Afgr,Data!$BJ$3)</f>
        <v>0</v>
      </c>
      <c r="RA88">
        <f>IF(OV88+PB88&gt;0,1,0)</f>
        <v>0</v>
      </c>
      <c r="RB88">
        <f>RA88*LW88</f>
        <v>0</v>
      </c>
      <c r="RC88">
        <f>RA88*MT88</f>
        <v>0</v>
      </c>
      <c r="RD88">
        <f>ND88</f>
        <v>0</v>
      </c>
      <c r="RE88">
        <f>RA88*OB88</f>
        <v>0</v>
      </c>
      <c r="RH88">
        <f>VLOOKUP(B88,Jordtype,Data!$Y$112+DenitNr-1)</f>
        <v>7.25</v>
      </c>
      <c r="RI88">
        <f>FF88*VLOOKUP(B88,Jordtype,Data!$AB$112+DenitNr-1)</f>
        <v>0</v>
      </c>
      <c r="RJ88">
        <f>((CJ88+CK88+CL88+Regn2!CO88*0.7)-(RR88+RT88))*VLOOKUP(B88,Jordtype,Data!$AE$112+DenitNr-1)</f>
        <v>0</v>
      </c>
      <c r="RK88">
        <f>0*VLOOKUP(B88,Jordtype,Data!$AE$112+DenitNr-1)</f>
        <v>0</v>
      </c>
      <c r="RL88">
        <f>Regn2!FD88*VLOOKUP(B88,Jordtype,Data!$AH$112+DenitNr-1)</f>
        <v>0</v>
      </c>
      <c r="RM88" s="3">
        <f>RH88+RI88+RJ88+RK88+RL88</f>
        <v>7.25</v>
      </c>
      <c r="RO88">
        <v>2</v>
      </c>
      <c r="RP88">
        <f>(FF88)*RO88*0.01</f>
        <v>0</v>
      </c>
      <c r="RQ88">
        <v>7</v>
      </c>
      <c r="RR88">
        <f>CE88*RQ88*0.01</f>
        <v>0</v>
      </c>
      <c r="RS88">
        <v>7</v>
      </c>
      <c r="RT88">
        <f>(Regn2!CF88+Regn2!CG88)*RS88*0.01</f>
        <v>0</v>
      </c>
      <c r="RW88">
        <f>VLOOKUP(R88,Afgr,Data!$EE$3)</f>
        <v>0</v>
      </c>
      <c r="RX88" s="3">
        <f>RP88+RR88+RT88+RV88+RW88</f>
        <v>0</v>
      </c>
    </row>
    <row r="90" spans="1:492" x14ac:dyDescent="0.25">
      <c r="A90" s="214">
        <f>Nbal!B90</f>
        <v>0</v>
      </c>
      <c r="B90">
        <v>6</v>
      </c>
      <c r="C90">
        <v>1</v>
      </c>
      <c r="D90">
        <f>IF(C90=1,VLOOKUP(B90,Jordtype,Data!$K$112),VLOOKUP(B90,Jordtype,Data!$L$112))</f>
        <v>9</v>
      </c>
      <c r="E90">
        <f>IF(C90=1,VLOOKUP(B90,Jordtype,Data!$M$112),VLOOKUP(B90,Jordtype,Data!$N$112))</f>
        <v>14</v>
      </c>
      <c r="F90">
        <f>IF(OR(B90=1,B90=3),0,IF(OR(B90=2,B90=4),1,IF(OR(B90=5,B90=6),2,3)))</f>
        <v>2</v>
      </c>
      <c r="G90">
        <f>IF(C90=1,VLOOKUP(B90,Jordtype,Data!$Q$112),VLOOKUP(B90,Jordtype,Data!$R$112))</f>
        <v>25</v>
      </c>
      <c r="H90">
        <f>IF(C90=1,VLOOKUP(B90,Jordtype,Data!$O$112),VLOOKUP(B90,Jordtype,Data!$P$112))</f>
        <v>19</v>
      </c>
      <c r="I90">
        <f>IF(B90&lt;5,0,1)</f>
        <v>1</v>
      </c>
      <c r="J90">
        <f>IF(B90&lt;5,PlojJB,1)</f>
        <v>1</v>
      </c>
      <c r="K90">
        <f>IF(B90&lt;5,SaaJB,1)</f>
        <v>1</v>
      </c>
      <c r="L90">
        <f>IF(C90=1,VLOOKUP(B90,Jordtype,Data!$S$112),VLOOKUP(B90,Jordtype,Data!$T$112))</f>
        <v>8</v>
      </c>
      <c r="M90">
        <f>IF(C90=1,VLOOKUP(B90,Jordtype,Data!$U$112),VLOOKUP(B90,Jordtype,Data!$V$112))</f>
        <v>13</v>
      </c>
      <c r="O90">
        <v>1</v>
      </c>
      <c r="P90">
        <v>1</v>
      </c>
      <c r="Q90" t="b">
        <v>0</v>
      </c>
      <c r="R90">
        <v>1</v>
      </c>
      <c r="S90">
        <v>1</v>
      </c>
      <c r="T90">
        <v>1</v>
      </c>
      <c r="U90">
        <v>1</v>
      </c>
      <c r="V90">
        <v>1</v>
      </c>
      <c r="X90">
        <v>1</v>
      </c>
      <c r="Z90">
        <f>Nbal!AG90</f>
        <v>0</v>
      </c>
      <c r="AA90">
        <v>1</v>
      </c>
      <c r="AB90">
        <f>VLOOKUP($R90,Afgr,G90)</f>
        <v>0</v>
      </c>
      <c r="AC90">
        <f>VLOOKUP($O90,Afgr,Data!$AI$3)*VLOOKUP(R90,Afgr,Data!$AJ$3)</f>
        <v>0</v>
      </c>
      <c r="AD90">
        <f>IF($Q90,0,VLOOKUP($P90,Efgr,(Data!$W$53+$V$6-1)))</f>
        <v>0</v>
      </c>
      <c r="AE90">
        <f>AB90-AC90-AD90</f>
        <v>0</v>
      </c>
      <c r="AF90">
        <f>AE90*Z90</f>
        <v>0</v>
      </c>
      <c r="AH90">
        <f>VLOOKUP(R90,Afgr,D90)</f>
        <v>0</v>
      </c>
      <c r="AI90">
        <f>VLOOKUP(O90,Afgr,Data!$AL$3)*VLOOKUP(R90,Afgr,E90)</f>
        <v>0</v>
      </c>
      <c r="AJ90">
        <f>VLOOKUP(P90,Efgr,(Data!$Y$53+I90))</f>
        <v>0</v>
      </c>
      <c r="AK90">
        <f>AH90+AI90+AJ90</f>
        <v>0</v>
      </c>
      <c r="AL90">
        <f>AH90+AI90+AJ90</f>
        <v>0</v>
      </c>
      <c r="AM90" s="3">
        <f>IF(Nbal!CK90&lt;&gt;"",Nbal!CK90,AL90)</f>
        <v>0</v>
      </c>
      <c r="AN90">
        <f>AM90*Z90</f>
        <v>0</v>
      </c>
      <c r="AO90">
        <f>VLOOKUP(R90,Afgr,3)</f>
        <v>0</v>
      </c>
      <c r="AP90">
        <f>IF(AO90="FE",VLOOKUP($R90,Afgr,Data!$AV$3),0)</f>
        <v>0</v>
      </c>
      <c r="AR90">
        <f>VLOOKUP(R90,Afgr,4)</f>
        <v>0</v>
      </c>
      <c r="AS90" s="3">
        <f>IF(Nbal!CW90&lt;&gt;"",Nbal!CW90,AR90)</f>
        <v>0</v>
      </c>
      <c r="AT90" s="3">
        <f>AM90*AS90</f>
        <v>0</v>
      </c>
      <c r="AU90" s="3">
        <f>AN90*AS90</f>
        <v>0</v>
      </c>
      <c r="AW90">
        <f>VLOOKUP(R90,Afgr,Data!$AN$3)</f>
        <v>0</v>
      </c>
      <c r="AX90" s="3">
        <f>IF(Nbal!DC90&lt;&gt;"",Nbal!DC90,AW90)</f>
        <v>0</v>
      </c>
      <c r="AY90" s="3">
        <f>AX90*Z90</f>
        <v>0</v>
      </c>
      <c r="BA90">
        <f>VLOOKUP(R90,Afgr,H90)</f>
        <v>0</v>
      </c>
      <c r="BB90">
        <f>IF(ISERROR(BA90*AM90/AK90),0,(BA90*AM90/AK90))</f>
        <v>0</v>
      </c>
      <c r="BC90" s="3">
        <f>IF(Nbal!DI90&lt;&gt;"",Nbal!DI90,BB90)</f>
        <v>0</v>
      </c>
      <c r="BD90">
        <f>BC90*Z90</f>
        <v>0</v>
      </c>
      <c r="BG90">
        <f>IF($S90=1,BC90,0)</f>
        <v>0</v>
      </c>
      <c r="BH90">
        <f>IF($S90=1,BD90,0)</f>
        <v>0</v>
      </c>
      <c r="BI90">
        <f>VLOOKUP(R90,Afgr,Data!$AM$3)</f>
        <v>0</v>
      </c>
      <c r="BJ90">
        <f>IF(Nbal!DR90&lt;&gt;"",Nbal!DR90,BI90)</f>
        <v>0</v>
      </c>
      <c r="BK90">
        <f>BG90*BJ90</f>
        <v>0</v>
      </c>
      <c r="BL90">
        <f>BH90*BJ90</f>
        <v>0</v>
      </c>
      <c r="BN90">
        <f>VLOOKUP($T90,Efgr,M90)</f>
        <v>0</v>
      </c>
      <c r="BO90">
        <f>BN90*Z90</f>
        <v>0</v>
      </c>
      <c r="BQ90">
        <f>VLOOKUP(T90,Efgr,NormudbKolonneNrEfgr1)</f>
        <v>0</v>
      </c>
      <c r="BR90" s="3">
        <f>IF(Nbal!FE90&lt;&gt;"",Nbal!FE90,BQ90)</f>
        <v>0</v>
      </c>
      <c r="BS90">
        <f>BR90*Z90</f>
        <v>0</v>
      </c>
      <c r="BT90" t="s">
        <v>37</v>
      </c>
      <c r="BU90">
        <f>BR90*Efterslaetpris</f>
        <v>0</v>
      </c>
      <c r="BV90">
        <f>BS90*Efterslaetpris</f>
        <v>0</v>
      </c>
      <c r="BW90">
        <f>VLOOKUP(T90,Efgr,Data!$AG$53)</f>
        <v>0</v>
      </c>
      <c r="BX90">
        <f>BR90*BW90</f>
        <v>0</v>
      </c>
      <c r="BZ90">
        <f>Nbal!AQ90</f>
        <v>0</v>
      </c>
      <c r="CA90" s="211">
        <f>Nbal!AT90</f>
        <v>0</v>
      </c>
      <c r="CB90" s="2">
        <f>Nbal!DZ90</f>
        <v>0</v>
      </c>
      <c r="CC90" s="211">
        <f>Nbal!AT90+Nbal!DZ90</f>
        <v>0</v>
      </c>
      <c r="CD90" s="211">
        <f>Nbal!AX90</f>
        <v>0</v>
      </c>
      <c r="CE90">
        <f>Nbal!BH90</f>
        <v>0</v>
      </c>
      <c r="CF90" s="211">
        <f>Nbal!BM90</f>
        <v>0</v>
      </c>
      <c r="CG90" s="2">
        <f>Nbal!EI90</f>
        <v>0</v>
      </c>
      <c r="CH90" s="211">
        <f>Nbal!BM90+Nbal!EI90</f>
        <v>0</v>
      </c>
      <c r="CI90" s="211">
        <f>Nbal!BW90</f>
        <v>0</v>
      </c>
      <c r="CJ90" s="211">
        <f>Nbal!BH90*Nbal!BJ90*0.01</f>
        <v>0</v>
      </c>
      <c r="CK90" s="211">
        <f>(Nbal!BM90*Nbal!BP90*0.01)</f>
        <v>0</v>
      </c>
      <c r="CL90" s="211">
        <f>(Nbal!EI90*Nbal!EL90*0.01)</f>
        <v>0</v>
      </c>
      <c r="CM90" s="211">
        <f>(Nbal!BM90*Nbal!BP90*0.01)+(Nbal!EI90*Nbal!EL90*0.01)</f>
        <v>0</v>
      </c>
      <c r="CN90" s="211">
        <f>Nbal!BW90*Nbal!BY90*0.01</f>
        <v>0</v>
      </c>
      <c r="CO90">
        <f>Nbal!BT90+Nbal!ER90</f>
        <v>0</v>
      </c>
      <c r="CQ90">
        <f>Nbal!BA90</f>
        <v>0</v>
      </c>
      <c r="CR90">
        <f>Nbal!EC90</f>
        <v>0</v>
      </c>
      <c r="CS90">
        <f>(CQ90+CR90)*Z90</f>
        <v>0</v>
      </c>
      <c r="CT90">
        <f>Nbal!CB90</f>
        <v>0</v>
      </c>
      <c r="CU90">
        <f>Nbal!EV90</f>
        <v>0</v>
      </c>
      <c r="CV90">
        <f>(CT90+CU90)*Z90</f>
        <v>0</v>
      </c>
      <c r="CW90">
        <f>Nbal!BA90+Nbal!CB90+Nbal!EC90+Nbal!EV90</f>
        <v>0</v>
      </c>
      <c r="CY90">
        <f>Nbal!BD90</f>
        <v>0</v>
      </c>
      <c r="CZ90">
        <f>Nbal!EF90</f>
        <v>0</v>
      </c>
      <c r="DA90">
        <f>(CY90+CZ90)*Z90</f>
        <v>0</v>
      </c>
      <c r="DB90">
        <f>Nbal!CE90</f>
        <v>0</v>
      </c>
      <c r="DC90">
        <f>Nbal!EY90</f>
        <v>0</v>
      </c>
      <c r="DD90">
        <f>(DB90+DC90)*Z90</f>
        <v>0</v>
      </c>
      <c r="DE90">
        <f>Nbal!BD90+Nbal!CE90+Nbal!EF90+Nbal!EY90</f>
        <v>0</v>
      </c>
      <c r="DG90">
        <f>VLOOKUP($R90,Afgr,Data!$AW$3)</f>
        <v>0</v>
      </c>
      <c r="DH90">
        <f>IF($AO90="FE",$AM90*$AP90*$DG90*0.01,$AM90*100*$DM90*0.01*$DG90*0.01)</f>
        <v>0</v>
      </c>
      <c r="DI90">
        <f>IF(VLOOKUP(R90,Afgr,Data!$BO$3)=1,DH90,0)*Z90</f>
        <v>0</v>
      </c>
      <c r="DJ90" s="12">
        <f>(BZ90+CC90+CJ90-AE90)*VLOOKUP($R90,Afgr,Data!$AX$3)</f>
        <v>0</v>
      </c>
      <c r="DK90">
        <f>DG90+DJ90</f>
        <v>0</v>
      </c>
      <c r="DL90">
        <f>IF(Nbal!CQ90&lt;&gt;"",Nbal!CQ90,DK90)</f>
        <v>0</v>
      </c>
      <c r="DM90">
        <f>VLOOKUP(R90,Afgr,Data!$AT$3)</f>
        <v>0</v>
      </c>
      <c r="DN90">
        <f>IF($AO90="FE",$AM90*$AP90*$DL90*0.01,$AM90*100*$DM90*0.01*DL90*0.01)</f>
        <v>0</v>
      </c>
      <c r="DO90">
        <f>IF(VLOOKUP(R90,Afgr,Data!$BO$3)=1,DN90,0)*Z90</f>
        <v>0</v>
      </c>
      <c r="DP90">
        <f>IF(ISERROR(DN90/VLOOKUP(R90,Afgr,Data!$AY$3)),0,DN90/VLOOKUP(R90,Afgr,Data!$AY$3))</f>
        <v>0</v>
      </c>
      <c r="DQ90">
        <f>DP90*Z90</f>
        <v>0</v>
      </c>
      <c r="DS90">
        <f>IF($AO90="FE",$AM90*$AP90*VLOOKUP($R90,Afgr,Data!$BC$3)*0.001,$AM90*100*$DM90*0.01*VLOOKUP($R90,Afgr,Data!$BC$3)*0.001)</f>
        <v>0</v>
      </c>
      <c r="DT90">
        <f>DS90*Z90</f>
        <v>0</v>
      </c>
      <c r="DV90">
        <f>IF($AO90="FE",$AM90*$AP90*VLOOKUP($R90,Afgr,Data!$BF$3)*0.001,$AM90*100*$DM90*0.01*VLOOKUP($R90,Afgr,Data!$BF$3)*0.001)</f>
        <v>0</v>
      </c>
      <c r="DW90">
        <f>DV90*Z90</f>
        <v>0</v>
      </c>
      <c r="DY90">
        <f>IF(ISERROR(VLOOKUP(R90,Afgr,Data!$AZ$3)*DL90/DG90),0,VLOOKUP(R90,Afgr,Data!$AZ$3)*DL90/DG90)</f>
        <v>0</v>
      </c>
      <c r="DZ90">
        <f>VLOOKUP(R90,Afgr,Data!$AU$3)</f>
        <v>0</v>
      </c>
      <c r="EA90">
        <f>IF($S90=1,$BC90*$DZ90*0.01*DY90*0.01,0)</f>
        <v>0</v>
      </c>
      <c r="EB90">
        <f>EA90/6.25</f>
        <v>0</v>
      </c>
      <c r="EC90">
        <f>EB90*Z90</f>
        <v>0</v>
      </c>
      <c r="EE90">
        <f>IF($S90=1,$BC90*$DZ90*0.01*VLOOKUP($R90,Afgr,Data!$BD$3)*0.001,0)</f>
        <v>0</v>
      </c>
      <c r="EF90">
        <f>EE90*Z90</f>
        <v>0</v>
      </c>
      <c r="EH90">
        <f>IF($S90=1,$BC90*$DZ90*0.01*VLOOKUP($R90,Afgr,Data!$BG$3)*0.001,0)</f>
        <v>0</v>
      </c>
      <c r="EI90">
        <f>EH90*Z90</f>
        <v>0</v>
      </c>
      <c r="EK90">
        <f>VLOOKUP(T90,Efgr,Data!$AI$53)</f>
        <v>0</v>
      </c>
      <c r="EL90">
        <f>BX90*EK90*0.01/6.25</f>
        <v>0</v>
      </c>
      <c r="EM90">
        <f>EL90*Z90</f>
        <v>0</v>
      </c>
      <c r="EO90">
        <f>$BX90*VLOOKUP($T90,Efgr,Data!$AJ$53)*0.001</f>
        <v>0</v>
      </c>
      <c r="EP90">
        <f>EO90*Z90</f>
        <v>0</v>
      </c>
      <c r="ER90">
        <f>$BX90*VLOOKUP($T90,Efgr,Data!$AK$53)*0.001</f>
        <v>0</v>
      </c>
      <c r="ES90">
        <f>ER90*Z90</f>
        <v>0</v>
      </c>
      <c r="EU90">
        <f>IF(VLOOKUP(R90,Afgr,Data!$DS$3)=1,DP90*VLOOKUP(R90,Afgr,(Data!$DT$3+EftervirkningUdb1))*VLOOKUP(R90,Afgr,Data!$DV$3),0)</f>
        <v>0</v>
      </c>
      <c r="EV90">
        <f>IF(VLOOKUP(R90,Afgr,Data!$DS$3)=2,VLOOKUP(R90,Afgr,Data!$DX$3),0)</f>
        <v>0</v>
      </c>
      <c r="EW90">
        <f>IF(VLOOKUP(R90,Afgr,Data!$DS$3)=3,$DP90*VLOOKUP($R90,Afgr,IF(Jordtype1&lt;5,Data!$DT$3,Data!$DU$3))*VLOOKUP($R90,Afgr,Data!$DV$3),0)</f>
        <v>0</v>
      </c>
      <c r="EX90">
        <f>IF(VLOOKUP(R90,Afgr,Data!$DS$3)=4,(1.232+0.00469*AM90*100+(0.000256*AM90*100+0.089)*60),0)</f>
        <v>0</v>
      </c>
      <c r="EY90" s="211">
        <f>BZ90+CA90+CJ90+CK90</f>
        <v>0</v>
      </c>
      <c r="EZ90">
        <f>IF(VLOOKUP($R90,Afgr,Data!$DS$3)=5,($AM90*0.02742-$AM90*0.0001*$EY90+$AM90*0.0000001111*$EY90*$EY90),0)</f>
        <v>0</v>
      </c>
      <c r="FA90" s="2">
        <f>CB90+CL90</f>
        <v>0</v>
      </c>
      <c r="FB90">
        <f>IF(VLOOKUP($T90,Efgr,Data!$BH$53)=5,($BR90*0.02742-$BR90*0.0001*$FA90+$BR90*0.0000001111*$FA90*$FA90),0)</f>
        <v>0</v>
      </c>
      <c r="FC90" s="3">
        <f>EU90+EV90+EW90+EX90+EZ90+FB90</f>
        <v>0</v>
      </c>
      <c r="FD90" s="3">
        <f>FC90*Z90</f>
        <v>0</v>
      </c>
      <c r="FF90" s="211">
        <f>BZ90+CC90</f>
        <v>0</v>
      </c>
      <c r="FG90" s="211">
        <f>FF90*Z90</f>
        <v>0</v>
      </c>
      <c r="FH90" s="211">
        <f>CE90+CH90+CO90</f>
        <v>0</v>
      </c>
      <c r="FI90" s="211">
        <f>FH90*Z90</f>
        <v>0</v>
      </c>
      <c r="FJ90">
        <f>VLOOKUP($R90,Afgr,Data!$DK$3)*VLOOKUP($R90,Afgr,Data!$AT$3)*0.01*VLOOKUP($R90,Afgr,Data!$AW$3)*0.01/6.25</f>
        <v>0</v>
      </c>
      <c r="FK90">
        <f>FJ90*Z90</f>
        <v>0</v>
      </c>
      <c r="FL90" s="4">
        <f>IF(R90&gt;1,Deposition,0)</f>
        <v>0</v>
      </c>
      <c r="FM90" s="4">
        <f>FL90*Z90</f>
        <v>0</v>
      </c>
      <c r="FN90">
        <f>FC90</f>
        <v>0</v>
      </c>
      <c r="FO90">
        <f>FN90*Z90</f>
        <v>0</v>
      </c>
      <c r="FP90" s="211">
        <f>SUM(FF90,FH90,FJ90,FL90,FN90)</f>
        <v>0</v>
      </c>
      <c r="FQ90">
        <f>DP90+EB90+EL90</f>
        <v>0</v>
      </c>
      <c r="FR90" s="3">
        <f>FP90-FQ90</f>
        <v>0</v>
      </c>
      <c r="FS90" s="19">
        <f>FP90*Z90</f>
        <v>0</v>
      </c>
      <c r="FT90" s="19">
        <f>FQ90*Z90</f>
        <v>0</v>
      </c>
      <c r="FU90" s="3">
        <f>FR90*Z90</f>
        <v>0</v>
      </c>
      <c r="FW90">
        <f>CW90</f>
        <v>0</v>
      </c>
      <c r="FX90">
        <f>FW90*Z90</f>
        <v>0</v>
      </c>
      <c r="FY90">
        <f>IX90+MB90</f>
        <v>0</v>
      </c>
      <c r="FZ90">
        <f>FY90*Z90</f>
        <v>0</v>
      </c>
      <c r="GA90">
        <f>FW90-FY90</f>
        <v>0</v>
      </c>
      <c r="GB90">
        <f>GA90*Z90</f>
        <v>0</v>
      </c>
      <c r="GD90">
        <f>DE90</f>
        <v>0</v>
      </c>
      <c r="GE90">
        <f>GD90*Z90</f>
        <v>0</v>
      </c>
      <c r="GF90">
        <f>JE90+MH90</f>
        <v>0</v>
      </c>
      <c r="GG90">
        <f>GF90*Z90</f>
        <v>0</v>
      </c>
      <c r="GH90">
        <f>GD90-GF90</f>
        <v>0</v>
      </c>
      <c r="GI90">
        <f>GH90*Z90</f>
        <v>0</v>
      </c>
      <c r="GK90">
        <f>AA90</f>
        <v>1</v>
      </c>
      <c r="GL90" s="211">
        <f>FF90+FH90+FN90</f>
        <v>0</v>
      </c>
      <c r="GM90" s="211" t="str">
        <f>IF(R90=1,"",IF(GK90=1,GL90,""))</f>
        <v/>
      </c>
      <c r="GN90" s="211" t="str">
        <f>IF(R90=1,"",IF(GK90=2,GL90,""))</f>
        <v/>
      </c>
      <c r="GO90" s="211" t="str">
        <f>IF(R90=1,"",IF(GK90=3,GL90,""))</f>
        <v/>
      </c>
      <c r="GP90" s="211" t="str">
        <f>IF(R90=1,"",IF(GK90=4,GL90,""))</f>
        <v/>
      </c>
      <c r="GQ90" s="149">
        <f>IF(OR(R90=1,VLOOKUP(R90,Afgr,Data!$BV$3)=1,VLOOKUP(R90,Afgr,Data!$BW$3)=1),0,IF(GK90=1,Nniveau1,IF(GK90=2,Nniveau2,IF(GK90=3,Nniveau3,IF(GK90=4,Nniveau4,GL90)))))</f>
        <v>0</v>
      </c>
      <c r="GR90" s="241">
        <v>0.32550000000000001</v>
      </c>
      <c r="GS90" s="6">
        <v>0</v>
      </c>
      <c r="GT90" s="149">
        <f>CC90+CM90</f>
        <v>0</v>
      </c>
      <c r="GU90" s="6">
        <f>$FN90</f>
        <v>0</v>
      </c>
      <c r="GV90" s="241">
        <v>0.25280000000000002</v>
      </c>
      <c r="GW90">
        <f>CO90</f>
        <v>0</v>
      </c>
      <c r="GX90" s="241">
        <v>0.376</v>
      </c>
      <c r="GY90" s="149">
        <f>CD90+CN90</f>
        <v>0</v>
      </c>
      <c r="GZ90" s="241">
        <f>IF(B90&gt;3,0.3539,1.0749)</f>
        <v>0.35389999999999999</v>
      </c>
      <c r="HA90" s="11">
        <f>$FQ90</f>
        <v>0</v>
      </c>
      <c r="HB90" s="241">
        <v>0.19359999999999999</v>
      </c>
      <c r="HC90" s="241">
        <f>VLOOKUP($R90,Afgr,Data!$DM$3)</f>
        <v>0</v>
      </c>
      <c r="HD90" s="24">
        <f>IF($HC90&gt;1,0,(VLOOKUP($X90,Afgr,Data!$DP$3)+IF(VLOOKUP($X90,Afgr,Data!$DP$3)=0,VLOOKUP($T90,Efgr,Data!$BI$53,0))))+IF(AND($HC90=7,VLOOKUP($X90,Afgr,Data!$DQ$3)=-2),-2,0)+IF(AND($HC90=6,VLOOKUP($T90,Efgr,Data!$BI$53)=2),8,0)</f>
        <v>0</v>
      </c>
      <c r="HE90" s="6" t="e">
        <f>VLOOKUP(SUM(HC90:HD90),Nlesafgr,3)</f>
        <v>#N/A</v>
      </c>
      <c r="HF90" s="7">
        <f>VLOOKUP($O90,Afgr,Data!$DN$3)</f>
        <v>0</v>
      </c>
      <c r="HG90" s="24">
        <f>IF(HF90&gt;1,0,VLOOKUP($R90,Afgr,Data!$DO$3)+IF(VLOOKUP($R90,Afgr,Data!$DO$3)=1,0,VLOOKUP($P90,Efgr,Data!$BJ$53)))</f>
        <v>0</v>
      </c>
      <c r="HH90" s="6" t="e">
        <f>VLOOKUP(SUM(HF90:HG90),Nlesforfrugt,3)</f>
        <v>#N/A</v>
      </c>
      <c r="HI90" s="241" t="e">
        <f>GR90*GQ90+GV90*(GT90+GU90)+GX90*GW90+GZ90*GY90-HB90*HA90+HE90+HH90</f>
        <v>#N/A</v>
      </c>
      <c r="HJ90" s="241">
        <f>Nlesafskaering</f>
        <v>59.6</v>
      </c>
      <c r="HK90" s="241">
        <f>Teknologi1</f>
        <v>2455</v>
      </c>
      <c r="HL90" s="6">
        <v>2001</v>
      </c>
      <c r="HM90" s="241">
        <f>Teknologi2</f>
        <v>1962.2</v>
      </c>
      <c r="HN90" s="241">
        <f>Tandel</f>
        <v>0.54659999999999997</v>
      </c>
      <c r="HO90" s="241" t="e">
        <f>IF(OR(HI90&gt;0,HI90=0),HJ90+HK90/(HL90-HM90),HJ90+HK90/(HL90-HM90)+HN90*HI90)</f>
        <v>#N/A</v>
      </c>
      <c r="HP90" s="241" t="e">
        <f>IF(HI90&gt;0,HI90,0.001)</f>
        <v>#N/A</v>
      </c>
      <c r="HQ90" s="241">
        <v>1.5020000000000001E-3</v>
      </c>
      <c r="HR90" s="24">
        <f>IF(R90=1,0,VLOOKUP(PostnrNbal,AfstromData,VLOOKUP($R90,Afgr,Data!$DL$3)+IF(Jordtype1&lt;7,Jordtype1,6),FALSE)-VLOOKUP(T90,Efgr,Data!$AA$53))</f>
        <v>0</v>
      </c>
      <c r="HS90" s="24">
        <f>IF(Nbal!GA90&lt;&gt;"",Nbal!GA90,Regn2!HR90)</f>
        <v>0</v>
      </c>
      <c r="HT90" s="241">
        <v>5.5400000000000002E-4</v>
      </c>
      <c r="HU90" s="24">
        <f>IF(R90=1,0,VLOOKUP(PostnrNbal,AfstromData,VLOOKUP($O90,Afgr,Data!$DL$3)+IF(B90&lt;7,B90,6),FALSE)-VLOOKUP(P90,Efgr,Data!$AA$53))</f>
        <v>0</v>
      </c>
      <c r="HV90" s="24">
        <f>IF(Nbal!FU90&lt;&gt;"",Nbal!FU90,Regn2!HU90)</f>
        <v>0</v>
      </c>
      <c r="HW90" s="241">
        <v>0.10639999999999999</v>
      </c>
      <c r="HX90" s="6">
        <f>VLOOKUP(B90,Jordtype,Data!$W$112)</f>
        <v>3</v>
      </c>
      <c r="HY90" s="241">
        <v>3.2500000000000001E-2</v>
      </c>
      <c r="HZ90" s="6">
        <f>VLOOKUP(B90,Jordtype,Data!$X$112)</f>
        <v>12</v>
      </c>
      <c r="IA90" s="241">
        <v>1.2453000000000001</v>
      </c>
      <c r="IB90" s="241">
        <f>IF(VLOOKUP(T90,Efgr,Data!$AO$53)=1,MlafgrNUdvask,0)</f>
        <v>0</v>
      </c>
      <c r="IC90" s="20">
        <f>IF(ISERROR((HO90+POWER(HP90,1.2))*(1-EXP(-HQ90*HS90))*EXP(-HT90*HV90)*EXP(-HW90*HX90)*EXP(-HY90*HZ90)*IA90),0,(HO90+POWER(HP90,1.2))*(1-EXP(-HQ90*HS90))*EXP(-HT90*HV90)*EXP(-HW90*HX90)*EXP(-HY90*HZ90)*IA90+IB90)</f>
        <v>0</v>
      </c>
      <c r="ID90">
        <f>IC90*Z90</f>
        <v>0</v>
      </c>
      <c r="IE90">
        <f>IF(Nbal!GF90&lt;&gt;"",Nbal!GF90,RetentionNbal)</f>
        <v>65</v>
      </c>
      <c r="IF90">
        <f>IC90*(100-IE90)*0.01</f>
        <v>0</v>
      </c>
      <c r="IG90">
        <f>IF90*Z90</f>
        <v>0</v>
      </c>
      <c r="IH90" s="2">
        <f>HS90*10000</f>
        <v>0</v>
      </c>
      <c r="II90" s="2">
        <f>IH90*Z90</f>
        <v>0</v>
      </c>
      <c r="IJ90">
        <f>IF(ISERROR(IC90*1000*1000/IH90),0,IC90*1000*1000/IH90)</f>
        <v>0</v>
      </c>
      <c r="IL90">
        <f>AT90+AX90+BK90+BU90</f>
        <v>0</v>
      </c>
      <c r="IO90">
        <f>VLOOKUP(R90,Afgr,Data!$AP$3)*UdsaedJust</f>
        <v>0</v>
      </c>
      <c r="IP90" s="3">
        <f>IF(Nbal!GN90&lt;&gt;"",Nbal!GN90,IO90)</f>
        <v>0</v>
      </c>
      <c r="IQ90" s="3">
        <f>IP90*Z90</f>
        <v>0</v>
      </c>
      <c r="IS90" s="3">
        <f>IF(HdgVaerdiNbal=1,(BZ90+CA90)*Npris,(BZ90+CA90+CJ90+CK90)*Npris)</f>
        <v>0</v>
      </c>
      <c r="IT90" s="3">
        <f>IS90*Z90</f>
        <v>0</v>
      </c>
      <c r="IV90">
        <f>VLOOKUP($R90,Afgr,Data!$BA$3)</f>
        <v>0</v>
      </c>
      <c r="IW90">
        <f>VLOOKUP($R90,Afgr,Data!$BB$3)</f>
        <v>0</v>
      </c>
      <c r="IX90">
        <f>$DS90+$EE90</f>
        <v>0</v>
      </c>
      <c r="IY90">
        <f>CT90</f>
        <v>0</v>
      </c>
      <c r="IZ90">
        <f>CQ90</f>
        <v>0</v>
      </c>
      <c r="JA90" s="3">
        <f>IF(HdgVaerdiNbal=1,(IZ90)*Ppris,(IY90+IZ90)*Ppris)</f>
        <v>0</v>
      </c>
      <c r="JB90" s="3">
        <f>JA90*Z90</f>
        <v>0</v>
      </c>
      <c r="JD90">
        <f>IF(AND(R90&gt;1,OR(Jordtype1=1,Jordtype1=3,Markvand1=2)),Kudvask,0)</f>
        <v>0</v>
      </c>
      <c r="JE90">
        <f>$DV90+$EH90</f>
        <v>0</v>
      </c>
      <c r="JF90">
        <f>DB90</f>
        <v>0</v>
      </c>
      <c r="JG90">
        <f>CY90</f>
        <v>0</v>
      </c>
      <c r="JH90" s="3">
        <f>IF(HdgVaerdiNbal=1,JG90*Kpris,(JF90+JG90)*Kpris)</f>
        <v>0</v>
      </c>
      <c r="JI90" s="3">
        <f>JH90*Z90</f>
        <v>0</v>
      </c>
      <c r="JK90">
        <f>IS90+JA90+JH90</f>
        <v>0</v>
      </c>
      <c r="JL90" s="3">
        <f>IF(Nbal!GT90&lt;&gt;"",Nbal!GT90,$JK90)</f>
        <v>0</v>
      </c>
      <c r="JM90" s="3">
        <f>JL90*Z90</f>
        <v>0</v>
      </c>
      <c r="JO90">
        <f>VLOOKUP(R90,Afgr,Data!$AQ$3)*PlantevJust</f>
        <v>0</v>
      </c>
      <c r="JP90" s="3">
        <f>IF(Nbal!GZ90&lt;&gt;"",Nbal!GZ90,JO90)</f>
        <v>0</v>
      </c>
      <c r="JQ90" s="3">
        <f>JP90*Z90</f>
        <v>0</v>
      </c>
      <c r="JS90">
        <f>VLOOKUP(R90,Afgr,Data!$AR$3)+AM90*VLOOKUP(R90,Afgr,Data!$BH$3)</f>
        <v>0</v>
      </c>
      <c r="JT90" s="3">
        <f>IF(Nbal!HF90&lt;&gt;"",Nbal!HF90,JS90)</f>
        <v>0</v>
      </c>
      <c r="JU90">
        <f>JT90*Z90</f>
        <v>0</v>
      </c>
      <c r="JW90">
        <f>IP90+JL90+JP90+JT90</f>
        <v>0</v>
      </c>
      <c r="JY90">
        <f>IF(VLOOKUP(R90,Afgr,Data!$BY$3)&gt;0,Data!$K$259*J90,0)</f>
        <v>0</v>
      </c>
      <c r="JZ90">
        <f>IF(VLOOKUP(R90,Afgr,Data!$BZ$3)&gt;0,Data!$K$260*J90,0)</f>
        <v>0</v>
      </c>
      <c r="KA90">
        <f>(JY90+JZ90)*MaskJust</f>
        <v>0</v>
      </c>
      <c r="KB90" s="3">
        <f>IF(Nbal!HL90&lt;&gt;"",Nbal!HL90,KA90)</f>
        <v>0</v>
      </c>
      <c r="KC90" s="3">
        <f>KB90*Z90</f>
        <v>0</v>
      </c>
      <c r="KE90">
        <f>IF(VLOOKUP(R90,Afgr,Data!$CA$3)&gt;0,VLOOKUP(R90,Afgr,Data!$CA$3)*Data!$K$261*K90,0)</f>
        <v>0</v>
      </c>
      <c r="KF90">
        <f>IF(VLOOKUP(R90,Afgr,Data!$CC$3)&gt;0,Data!$K$262*K90,0)</f>
        <v>0</v>
      </c>
      <c r="KG90">
        <f>IF(VLOOKUP(R90,Afgr,Data!$CD$3)&gt;0,VLOOKUP(R90,Afgr,Data!$CD$3)*Data!$K$263*K90,0)</f>
        <v>0</v>
      </c>
      <c r="KH90">
        <f>IF(VLOOKUP(R90,Afgr,Data!$CE$3)&gt;0,Data!$K$264*K90,0)</f>
        <v>0</v>
      </c>
      <c r="KI90">
        <f>IF(VLOOKUP(R90,Afgr,Data!$CF$3)&gt;0,Data!$K$265*K90,0)</f>
        <v>0</v>
      </c>
      <c r="KJ90">
        <f>IF(VLOOKUP(R90,Afgr,Data!$CV$3)&gt;0,Data!$K$266,0)</f>
        <v>0</v>
      </c>
      <c r="KK90">
        <f>IF(VLOOKUP(R90,Afgr,Data!$CG$3)&gt;0,Data!$K$267*K90,0)</f>
        <v>0</v>
      </c>
      <c r="KL90">
        <f>(KE90+KF90+KG90+KH90+KI90+KJ90+KK90)*MaskJust</f>
        <v>0</v>
      </c>
      <c r="KM90" s="3">
        <f>IF(Nbal!HR90&lt;&gt;"",Nbal!HR90,KL90)</f>
        <v>0</v>
      </c>
      <c r="KN90" s="3">
        <f>KM90*Z90</f>
        <v>0</v>
      </c>
      <c r="KP90">
        <f>IF(VLOOKUP(R90,Afgr,Data!$CJ$3)&gt;0,VLOOKUP(R90,Afgr,Data!$CJ$3)*Data!$K$268*K90,0)*MaskJust</f>
        <v>0</v>
      </c>
      <c r="KQ90" s="3">
        <f>IF(Nbal!HX90&lt;&gt;"",Nbal!HX90,KP90)</f>
        <v>0</v>
      </c>
      <c r="KR90" s="3">
        <f>KQ90*Z90</f>
        <v>0</v>
      </c>
      <c r="KT90">
        <f>IF(VLOOKUP(R90,Afgr,Data!$CI$3)&gt;0,VLOOKUP(R90,Afgr,Data!$CI$3)*Data!$K$269,0)*MaskJust</f>
        <v>0</v>
      </c>
      <c r="KU90" s="3">
        <f>IF(Nbal!ID90&lt;&gt;"",Nbal!ID90,KT90)</f>
        <v>0</v>
      </c>
      <c r="KV90" s="3">
        <f>KU90*Z90</f>
        <v>0</v>
      </c>
      <c r="KX90">
        <f>IF(C90=2,VLOOKUP($R90,Afgr,Data!$CY$3),0)</f>
        <v>0</v>
      </c>
      <c r="KY90">
        <f>IF(Nbal!IJ90&lt;&gt;"",Nbal!IJ90,$KX90)</f>
        <v>0</v>
      </c>
      <c r="KZ90">
        <f>IF(AND(R90&gt;1,C90=2),Vandmaskin+$KY90*Flytning/mmprgang+$KY90*Prisprmm,0)</f>
        <v>0</v>
      </c>
      <c r="LA90" s="3">
        <f>IF(Nbal!IP90&lt;&gt;"",Nbal!IP90,$KZ90)</f>
        <v>0</v>
      </c>
      <c r="LB90" s="3">
        <f>LA90*Z90</f>
        <v>0</v>
      </c>
      <c r="LD90">
        <f>IF(VLOOKUP($R90,Afgr,Data!$CK$3)&gt;0,((1+AM90/VLOOKUP($R90,Afgr,Data!$CK$3))/2)*VLOOKUP($R90,Afgr,Data!$CL$3)*VLOOKUP($R90,Afgr,Data!$CN$3)+VLOOKUP($R90,Afgr,Data!$CM$3),0)</f>
        <v>0</v>
      </c>
      <c r="LE90">
        <f>IF(VLOOKUP($R90,Afgr,Data!$CK$3)&gt;0,IF(AND($S90=2,$BA90&gt;0),Data!$K$271,0),0)</f>
        <v>0</v>
      </c>
      <c r="LF90">
        <f>IF(VLOOKUP($R90,Afgr,Data!$CK$3)&gt;0,(AM90/VLOOKUP($R90,Afgr,Data!$CK$3))*VLOOKUP($R90,Afgr,Data!$CO$3)*VLOOKUP($R90,Afgr,Data!$CN$3),0)</f>
        <v>0</v>
      </c>
      <c r="LG90">
        <f>(LD90+LE90+LF90)*MaskJust</f>
        <v>0</v>
      </c>
      <c r="LH90" s="3">
        <f>IF(Nbal!IV90&lt;&gt;"",Nbal!IV90,LG90)</f>
        <v>0</v>
      </c>
      <c r="LI90" s="3">
        <f>LH90*Z90</f>
        <v>0</v>
      </c>
      <c r="LJ90" s="3"/>
      <c r="LK90">
        <f>IF(AND($S90=1,VLOOKUP($R90,Afgr,Data!$CP$3)&gt;0),((1+$BC90/VLOOKUP($R90,Afgr,Data!$CP$3))/2)*VLOOKUP($R90,Afgr,Data!$CQ$3),0)</f>
        <v>0</v>
      </c>
      <c r="LL90">
        <f>IF(AND($S90=1,VLOOKUP($R90,Afgr,Data!$CP$3)&gt;0),($BC90/VLOOKUP($R90,Afgr,Data!$CP$3))*VLOOKUP($R90,Afgr,Data!$CR$3),0)</f>
        <v>0</v>
      </c>
      <c r="LM90">
        <f>(LK90+LL90)*MaskJust</f>
        <v>0</v>
      </c>
      <c r="LN90" s="3">
        <f>IF(Nbal!JB90&lt;&gt;"",Nbal!JB90,LM90)</f>
        <v>0</v>
      </c>
      <c r="LO90" s="3">
        <f>LN90*Z90</f>
        <v>0</v>
      </c>
      <c r="LQ90">
        <f>$AM90*VLOOKUP($R90,Afgr,Data!$CS$3)*IF($V90=1,VLOOKUP($R90,Afgr,Data!$CT$3),IF($V90=2,VLOOKUP($R90,Afgr,Data!$CU$3),0))</f>
        <v>0</v>
      </c>
      <c r="LR90" s="3">
        <f>IF(Nbal!JK90&lt;&gt;"",Nbal!JK90,LQ90)</f>
        <v>0</v>
      </c>
      <c r="LS90" s="3">
        <f>LR90*Z90</f>
        <v>0</v>
      </c>
      <c r="LU90">
        <f>VLOOKUP($T90,Efgr,Data!$AC$53)*UdsaedJust</f>
        <v>0</v>
      </c>
      <c r="LV90" s="3">
        <f>IF(Nbal!$JS90&lt;&gt;"",Nbal!$JS90,LU90)</f>
        <v>0</v>
      </c>
      <c r="LW90" s="3">
        <f>LV90*Z90</f>
        <v>0</v>
      </c>
      <c r="LY90" s="3">
        <f>IF(HdgVaerdiNbal=1,(CB90)*Npris,(CB90+CL90)*Npris)</f>
        <v>0</v>
      </c>
      <c r="LZ90" s="3">
        <f>LY90*Z90</f>
        <v>0</v>
      </c>
      <c r="MB90">
        <f>$EO90</f>
        <v>0</v>
      </c>
      <c r="MC90">
        <f>CU90</f>
        <v>0</v>
      </c>
      <c r="MD90">
        <f>CR90</f>
        <v>0</v>
      </c>
      <c r="ME90" s="3">
        <f>IF(HdgVaerdiNbal=1,MD90*Ppris,(MC90+MD90)*Ppris)</f>
        <v>0</v>
      </c>
      <c r="MF90" s="3">
        <f>ME90*Z90</f>
        <v>0</v>
      </c>
      <c r="MH90">
        <f>$ER90</f>
        <v>0</v>
      </c>
      <c r="MI90">
        <f>DC90</f>
        <v>0</v>
      </c>
      <c r="MJ90">
        <f>CZ90</f>
        <v>0</v>
      </c>
      <c r="MK90" s="3">
        <f>IF(HdgVaerdiNbal=1,MJ90*Ppris,(MI90+MJ90)*Ppris)</f>
        <v>0</v>
      </c>
      <c r="ML90" s="3">
        <f>MK90*Z90</f>
        <v>0</v>
      </c>
      <c r="MN90">
        <f>LY90+ME90+MK90</f>
        <v>0</v>
      </c>
      <c r="MO90" s="3">
        <f>IF(Nbal!JY90&lt;&gt;"",Nbal!JY90,$MN90)</f>
        <v>0</v>
      </c>
      <c r="MP90" s="3">
        <f>MO90*Z90</f>
        <v>0</v>
      </c>
      <c r="MR90">
        <f>VLOOKUP($T90,Efgr,Data!$AE$53)*PlantevJust</f>
        <v>0</v>
      </c>
      <c r="MS90" s="3">
        <f>IF(Nbal!KE90&lt;&gt;"",Nbal!KE90,MR90)</f>
        <v>0</v>
      </c>
      <c r="MT90" s="3">
        <f>MS90*Z90</f>
        <v>0</v>
      </c>
      <c r="MV90">
        <f>VLOOKUP($T90,Efgr,Data!$AF$53)+$BR90*VLOOKUP($T90,Efgr,Data!$AL$53)</f>
        <v>0</v>
      </c>
      <c r="MW90" s="3">
        <f>IF(Nbal!KK90&lt;&gt;"",Nbal!KK90,MV90)</f>
        <v>0</v>
      </c>
      <c r="MX90" s="3">
        <f>MW90*Z90</f>
        <v>0</v>
      </c>
      <c r="MZ90">
        <f>LV90+MO90+MS90+MW90</f>
        <v>0</v>
      </c>
      <c r="NB90">
        <f>VLOOKUP($T90,Efgr,Data!$AU$53)*K90*MaskJust</f>
        <v>0</v>
      </c>
      <c r="NC90" s="3">
        <f>IF(Nbal!KQ90&lt;&gt;"",Nbal!KQ90,NB90)</f>
        <v>0</v>
      </c>
      <c r="ND90" s="3">
        <f>NC90*Z90</f>
        <v>0</v>
      </c>
      <c r="NF90">
        <f>VLOOKUP($T90,Efgr,Data!$AW$53)*Data!$K$268*K90*MaskJust</f>
        <v>0</v>
      </c>
      <c r="NG90" s="3">
        <f>IF(Nbal!KW90&lt;&gt;"",Nbal!KW90,NF90)</f>
        <v>0</v>
      </c>
      <c r="NH90" s="3">
        <f>NG90*Z90</f>
        <v>0</v>
      </c>
      <c r="NJ90">
        <f>VLOOKUP($T90,Efgr,Data!$AV$53)*Data!$K$269*MaskJust</f>
        <v>0</v>
      </c>
      <c r="NK90" s="3">
        <f>IF(Nbal!LC90&lt;&gt;"",Nbal!LC90,NJ90)</f>
        <v>0</v>
      </c>
      <c r="NL90" s="3">
        <f>NK90*Z90</f>
        <v>0</v>
      </c>
      <c r="NN90">
        <f>IF(C90=2,VLOOKUP($T90,Efgr,Data!$BC$53),0)</f>
        <v>0</v>
      </c>
      <c r="NO90">
        <f>IF(Nbal!LI90&lt;&gt;"",Nbal!LI90,$NN90)</f>
        <v>0</v>
      </c>
      <c r="NP90">
        <f>IF(C90=2,$NO90*Flytning/mmprgang+$NO90*Prisprmm,0)</f>
        <v>0</v>
      </c>
      <c r="NQ90" s="3">
        <f>IF(Nbal!LO90&lt;&gt;"",Nbal!LO90,$NP90)</f>
        <v>0</v>
      </c>
      <c r="NR90" s="3">
        <f>NQ90*Z90</f>
        <v>0</v>
      </c>
      <c r="NT90">
        <f>IF(VLOOKUP($T90,Efgr,Data!$AX$53)&gt;0,((1+BR90/VLOOKUP($T90,Efgr,Data!$AX$53))/2)*VLOOKUP($T90,Efgr,Data!$AY$53)*VLOOKUP($T90,Efgr,Data!$BA$53)+VLOOKUP($T90,Efgr,Data!$AZ$53),0)</f>
        <v>0</v>
      </c>
      <c r="NU90">
        <f>IF(VLOOKUP($T90,Efgr,Data!$AX$53)&gt;0,($BR90/VLOOKUP($T90,Efgr,Data!$AX$53))*VLOOKUP($T90,Efgr,Data!$BB$53)*VLOOKUP($T90,Efgr,Data!$BA$53),0)</f>
        <v>0</v>
      </c>
      <c r="NV90">
        <f>(NT90+NU90)*MaskJust</f>
        <v>0</v>
      </c>
      <c r="NW90" s="3">
        <f>IF(Nbal!LU90&lt;&gt;"",Nbal!LU90,NV90)</f>
        <v>0</v>
      </c>
      <c r="NX90" s="3">
        <f>NW90*Z90</f>
        <v>0</v>
      </c>
      <c r="NZ90">
        <f>IF($U90=2,Data!$K$304,IF($U90=3,Data!$K$305,0))*MaskJust</f>
        <v>0</v>
      </c>
      <c r="OA90" s="3">
        <f>IF(Nbal!MA90&lt;&gt;"",Nbal!MA90,NZ90)</f>
        <v>0</v>
      </c>
      <c r="OB90" s="3">
        <f>OA90*Z90</f>
        <v>0</v>
      </c>
      <c r="OD90">
        <f>IL90</f>
        <v>0</v>
      </c>
      <c r="OE90">
        <f>JW90+MZ90</f>
        <v>0</v>
      </c>
      <c r="OF90">
        <f>OD90-OE90</f>
        <v>0</v>
      </c>
      <c r="OG90">
        <f>OF90*Z90</f>
        <v>0</v>
      </c>
      <c r="OJ90">
        <f>VLOOKUP($O90,Afgr,Data!$BP$3)+VLOOKUP($P90,Efgr,Data!$AM$53)</f>
        <v>0</v>
      </c>
      <c r="OK90" s="3">
        <f>OJ90*Z90</f>
        <v>0</v>
      </c>
      <c r="OL90">
        <f>VLOOKUP($R90,Afgr,Data!$BP$3)+VLOOKUP($T90,Efgr,Data!$AM$53)</f>
        <v>0</v>
      </c>
      <c r="OM90" s="3">
        <f>OL90*Z90</f>
        <v>0</v>
      </c>
      <c r="OO90">
        <f>VLOOKUP($P90,Efgr,Data!$AN$53)</f>
        <v>0</v>
      </c>
      <c r="OP90">
        <f>VLOOKUP($O90,Afgr,Data!$BQ$3)</f>
        <v>0</v>
      </c>
      <c r="OQ90">
        <f>VLOOKUP($R90,Afgr,Data!$BR$3)</f>
        <v>1</v>
      </c>
      <c r="OR90">
        <f>OO90*OP90*OQ90</f>
        <v>0</v>
      </c>
      <c r="OS90" s="3">
        <f>OR90*Z90</f>
        <v>0</v>
      </c>
      <c r="OT90" s="3">
        <f>IF(Q90,1,0)*OS90</f>
        <v>0</v>
      </c>
      <c r="OV90">
        <f>VLOOKUP($T90,Efgr,Data!$AN$53)</f>
        <v>0</v>
      </c>
      <c r="OW90">
        <f>VLOOKUP($R90,Afgr,Data!$BQ$3)</f>
        <v>0</v>
      </c>
      <c r="OX90">
        <f>VLOOKUP($X90,Afgr,Data!$BR$3)</f>
        <v>1</v>
      </c>
      <c r="OY90">
        <f>OV90*OW90*OX90</f>
        <v>0</v>
      </c>
      <c r="OZ90" s="3">
        <f>OY90*Z90</f>
        <v>0</v>
      </c>
      <c r="PB90">
        <f>VLOOKUP($T90,Efgr,Data!$AO$53)</f>
        <v>0</v>
      </c>
      <c r="PC90">
        <f>VLOOKUP($O90,Afgr,Data!$BQ$3)</f>
        <v>0</v>
      </c>
      <c r="PD90">
        <f>VLOOKUP($R90,Afgr,Data!$BS$3)</f>
        <v>0</v>
      </c>
      <c r="PE90" s="3">
        <f>PB90*PC90*PD90*$Z90</f>
        <v>0</v>
      </c>
      <c r="PG90">
        <f>VLOOKUP($T90,Efgr,Data!$AO$53)</f>
        <v>0</v>
      </c>
      <c r="PH90">
        <f>VLOOKUP($R90,Afgr,Data!$BQ$3)</f>
        <v>0</v>
      </c>
      <c r="PI90">
        <f>VLOOKUP($X90,Afgr,Data!$BS$3)</f>
        <v>0</v>
      </c>
      <c r="PJ90" s="3">
        <f>PG90*PH90*PI90*$Z90</f>
        <v>0</v>
      </c>
      <c r="PK90" s="3"/>
      <c r="PL90" s="3">
        <f>VLOOKUP($O90,Afgr,Data!$BU$3)</f>
        <v>0</v>
      </c>
      <c r="PM90" s="3">
        <f>PL90*Z90</f>
        <v>0</v>
      </c>
      <c r="PN90" s="3">
        <f>VLOOKUP($R90,Afgr,Data!$BU$3)</f>
        <v>0</v>
      </c>
      <c r="PO90" s="3">
        <f>PN90*Z90</f>
        <v>0</v>
      </c>
      <c r="PQ90">
        <f>VLOOKUP(R90,Afgr,Data!$BX$3)+VLOOKUP(T90,Efgr,Data!$AQ$53)</f>
        <v>0</v>
      </c>
      <c r="PR90">
        <f>IF(PQ90&gt;0,Z90,0)</f>
        <v>0</v>
      </c>
      <c r="PT90">
        <f>VLOOKUP($O90,Afgr,Data!$BT$3)</f>
        <v>0</v>
      </c>
      <c r="PU90" s="3">
        <f>PT90*Z90</f>
        <v>0</v>
      </c>
      <c r="PV90">
        <f>VLOOKUP($R90,Afgr,Data!$BT$3)</f>
        <v>0</v>
      </c>
      <c r="PW90" s="3">
        <f>PV90*Z90</f>
        <v>0</v>
      </c>
      <c r="PY90">
        <f>VLOOKUP($R90,Afgr,Data!$BV$3)</f>
        <v>0</v>
      </c>
      <c r="PZ90">
        <f>PY90*Z90</f>
        <v>0</v>
      </c>
      <c r="QB90">
        <f>VLOOKUP($R90,Afgr,Data!$BW$3)</f>
        <v>0</v>
      </c>
      <c r="QC90">
        <f>QB90*Z90</f>
        <v>0</v>
      </c>
      <c r="QE90">
        <f>AM90*IF(VLOOKUP($R90,Afgr,Data!$BJ$3)&gt;0,1,0)</f>
        <v>0</v>
      </c>
      <c r="QF90">
        <f>QE90*Z90</f>
        <v>0</v>
      </c>
      <c r="QH90">
        <f>AM90*VLOOKUP(R90,Afgr,Data!$BK$3)</f>
        <v>0</v>
      </c>
      <c r="QI90">
        <f>Z90*QH90</f>
        <v>0</v>
      </c>
      <c r="QJ90">
        <f>$AM90*VLOOKUP($R90,Afgr,Data!$BL$3)+$BR90*VLOOKUP($T90,Efgr,Data!$AP$53)</f>
        <v>0</v>
      </c>
      <c r="QK90">
        <f>QJ90*Z90</f>
        <v>0</v>
      </c>
      <c r="QL90">
        <f>$AM90*VLOOKUP($R90,Afgr,Data!$BM$3)</f>
        <v>0</v>
      </c>
      <c r="QM90">
        <f>QL90*Z90</f>
        <v>0</v>
      </c>
      <c r="QN90">
        <f>$AM90*VLOOKUP($R90,Afgr,Data!$BN$3)</f>
        <v>0</v>
      </c>
      <c r="QO90">
        <f>QN90*Z90</f>
        <v>0</v>
      </c>
      <c r="QR90">
        <f>IF(VLOOKUP($R90,Afgr,Data!$DA$3)="Vårbyg",$AN90,0)*VLOOKUP($R90,Afgr,Data!$BJ$3)</f>
        <v>0</v>
      </c>
      <c r="QS90">
        <f>IF(VLOOKUP($R90,Afgr,Data!$DA$3)="Vinterbyg",$AN90,0)*VLOOKUP($R90,Afgr,Data!$BJ$3)</f>
        <v>0</v>
      </c>
      <c r="QT90">
        <f>IF(VLOOKUP($R90,Afgr,Data!$DA$3)="Havre",$AN90,0)*VLOOKUP($R90,Afgr,Data!$BJ$3)</f>
        <v>0</v>
      </c>
      <c r="QU90">
        <f>IF(VLOOKUP($R90,Afgr,Data!$DA$3)="Hvede",$AN90,0)*VLOOKUP($R90,Afgr,Data!$BJ$3)</f>
        <v>0</v>
      </c>
      <c r="QV90">
        <f>IF(VLOOKUP($R90,Afgr,Data!$DA$3)="Triticale",$AN90,0)*VLOOKUP($R90,Afgr,Data!$BJ$3)</f>
        <v>0</v>
      </c>
      <c r="QW90">
        <f>IF(VLOOKUP($R90,Afgr,Data!$DA$3)="Rug",$AN90,0)*VLOOKUP($R90,Afgr,Data!$BJ$3)</f>
        <v>0</v>
      </c>
      <c r="QX90">
        <f>IF(VLOOKUP($R90,Afgr,Data!$DA$3)="Majs",$AN90,0)*VLOOKUP($R90,Afgr,Data!$BJ$3)</f>
        <v>0</v>
      </c>
      <c r="RA90">
        <f>IF(OV90+PB90&gt;0,1,0)</f>
        <v>0</v>
      </c>
      <c r="RB90">
        <f>RA90*LW90</f>
        <v>0</v>
      </c>
      <c r="RC90">
        <f>RA90*MT90</f>
        <v>0</v>
      </c>
      <c r="RD90">
        <f>ND90</f>
        <v>0</v>
      </c>
      <c r="RE90">
        <f>RA90*OB90</f>
        <v>0</v>
      </c>
      <c r="RH90">
        <f>VLOOKUP(B90,Jordtype,Data!$Y$112+DenitNr-1)</f>
        <v>7.25</v>
      </c>
      <c r="RI90">
        <f>FF90*VLOOKUP(B90,Jordtype,Data!$AB$112+DenitNr-1)</f>
        <v>0</v>
      </c>
      <c r="RJ90">
        <f>((CJ90+CK90+CL90+Regn2!CO90*0.7)-(RR90+RT90))*VLOOKUP(B90,Jordtype,Data!$AE$112+DenitNr-1)</f>
        <v>0</v>
      </c>
      <c r="RK90">
        <f>0*VLOOKUP(B90,Jordtype,Data!$AE$112+DenitNr-1)</f>
        <v>0</v>
      </c>
      <c r="RL90">
        <f>Regn2!FD90*VLOOKUP(B90,Jordtype,Data!$AH$112+DenitNr-1)</f>
        <v>0</v>
      </c>
      <c r="RM90" s="3">
        <f>RH90+RI90+RJ90+RK90+RL90</f>
        <v>7.25</v>
      </c>
      <c r="RO90">
        <v>2</v>
      </c>
      <c r="RP90">
        <f>(FF90)*RO90*0.01</f>
        <v>0</v>
      </c>
      <c r="RQ90">
        <v>7</v>
      </c>
      <c r="RR90">
        <f>CE90*RQ90*0.01</f>
        <v>0</v>
      </c>
      <c r="RS90">
        <v>7</v>
      </c>
      <c r="RT90">
        <f>(Regn2!CF90+Regn2!CG90)*RS90*0.01</f>
        <v>0</v>
      </c>
      <c r="RW90">
        <f>VLOOKUP(R90,Afgr,Data!$EE$3)</f>
        <v>0</v>
      </c>
      <c r="RX90" s="3">
        <f>RP90+RR90+RT90+RV90+RW90</f>
        <v>0</v>
      </c>
    </row>
    <row r="92" spans="1:492" x14ac:dyDescent="0.25">
      <c r="A92" s="214">
        <f>Nbal!B92</f>
        <v>0</v>
      </c>
      <c r="B92">
        <v>6</v>
      </c>
      <c r="C92">
        <v>1</v>
      </c>
      <c r="D92">
        <f>IF(C92=1,VLOOKUP(B92,Jordtype,Data!$K$112),VLOOKUP(B92,Jordtype,Data!$L$112))</f>
        <v>9</v>
      </c>
      <c r="E92">
        <f>IF(C92=1,VLOOKUP(B92,Jordtype,Data!$M$112),VLOOKUP(B92,Jordtype,Data!$N$112))</f>
        <v>14</v>
      </c>
      <c r="F92">
        <f>IF(OR(B92=1,B92=3),0,IF(OR(B92=2,B92=4),1,IF(OR(B92=5,B92=6),2,3)))</f>
        <v>2</v>
      </c>
      <c r="G92">
        <f>IF(C92=1,VLOOKUP(B92,Jordtype,Data!$Q$112),VLOOKUP(B92,Jordtype,Data!$R$112))</f>
        <v>25</v>
      </c>
      <c r="H92">
        <f>IF(C92=1,VLOOKUP(B92,Jordtype,Data!$O$112),VLOOKUP(B92,Jordtype,Data!$P$112))</f>
        <v>19</v>
      </c>
      <c r="I92">
        <f>IF(B92&lt;5,0,1)</f>
        <v>1</v>
      </c>
      <c r="J92">
        <f>IF(B92&lt;5,PlojJB,1)</f>
        <v>1</v>
      </c>
      <c r="K92">
        <f>IF(B92&lt;5,SaaJB,1)</f>
        <v>1</v>
      </c>
      <c r="L92">
        <f>IF(C92=1,VLOOKUP(B92,Jordtype,Data!$S$112),VLOOKUP(B92,Jordtype,Data!$T$112))</f>
        <v>8</v>
      </c>
      <c r="M92">
        <f>IF(C92=1,VLOOKUP(B92,Jordtype,Data!$U$112),VLOOKUP(B92,Jordtype,Data!$V$112))</f>
        <v>13</v>
      </c>
      <c r="O92">
        <v>1</v>
      </c>
      <c r="P92">
        <v>1</v>
      </c>
      <c r="Q92" t="b">
        <v>0</v>
      </c>
      <c r="R92">
        <v>1</v>
      </c>
      <c r="S92">
        <v>1</v>
      </c>
      <c r="T92">
        <v>1</v>
      </c>
      <c r="U92">
        <v>1</v>
      </c>
      <c r="V92">
        <v>1</v>
      </c>
      <c r="X92">
        <v>1</v>
      </c>
      <c r="Z92">
        <f>Nbal!AG92</f>
        <v>0</v>
      </c>
      <c r="AA92">
        <v>1</v>
      </c>
      <c r="AB92">
        <f>VLOOKUP($R92,Afgr,G92)</f>
        <v>0</v>
      </c>
      <c r="AC92">
        <f>VLOOKUP($O92,Afgr,Data!$AI$3)*VLOOKUP(R92,Afgr,Data!$AJ$3)</f>
        <v>0</v>
      </c>
      <c r="AD92">
        <f>IF($Q92,0,VLOOKUP($P92,Efgr,(Data!$W$53+$V$6-1)))</f>
        <v>0</v>
      </c>
      <c r="AE92">
        <f>AB92-AC92-AD92</f>
        <v>0</v>
      </c>
      <c r="AF92">
        <f>AE92*Z92</f>
        <v>0</v>
      </c>
      <c r="AH92">
        <f>VLOOKUP(R92,Afgr,D92)</f>
        <v>0</v>
      </c>
      <c r="AI92">
        <f>VLOOKUP(O92,Afgr,Data!$AL$3)*VLOOKUP(R92,Afgr,E92)</f>
        <v>0</v>
      </c>
      <c r="AJ92">
        <f>VLOOKUP(P92,Efgr,(Data!$Y$53+I92))</f>
        <v>0</v>
      </c>
      <c r="AK92">
        <f>AH92+AI92+AJ92</f>
        <v>0</v>
      </c>
      <c r="AL92">
        <f>AH92+AI92+AJ92</f>
        <v>0</v>
      </c>
      <c r="AM92" s="3">
        <f>IF(Nbal!CK92&lt;&gt;"",Nbal!CK92,AL92)</f>
        <v>0</v>
      </c>
      <c r="AN92">
        <f>AM92*Z92</f>
        <v>0</v>
      </c>
      <c r="AO92">
        <f>VLOOKUP(R92,Afgr,3)</f>
        <v>0</v>
      </c>
      <c r="AP92">
        <f>IF(AO92="FE",VLOOKUP($R92,Afgr,Data!$AV$3),0)</f>
        <v>0</v>
      </c>
      <c r="AR92">
        <f>VLOOKUP(R92,Afgr,4)</f>
        <v>0</v>
      </c>
      <c r="AS92" s="3">
        <f>IF(Nbal!CW92&lt;&gt;"",Nbal!CW92,AR92)</f>
        <v>0</v>
      </c>
      <c r="AT92" s="3">
        <f>AM92*AS92</f>
        <v>0</v>
      </c>
      <c r="AU92" s="3">
        <f>AN92*AS92</f>
        <v>0</v>
      </c>
      <c r="AW92">
        <f>VLOOKUP(R92,Afgr,Data!$AN$3)</f>
        <v>0</v>
      </c>
      <c r="AX92" s="3">
        <f>IF(Nbal!DC92&lt;&gt;"",Nbal!DC92,AW92)</f>
        <v>0</v>
      </c>
      <c r="AY92" s="3">
        <f>AX92*Z92</f>
        <v>0</v>
      </c>
      <c r="BA92">
        <f>VLOOKUP(R92,Afgr,H92)</f>
        <v>0</v>
      </c>
      <c r="BB92">
        <f>IF(ISERROR(BA92*AM92/AK92),0,(BA92*AM92/AK92))</f>
        <v>0</v>
      </c>
      <c r="BC92" s="3">
        <f>IF(Nbal!DI92&lt;&gt;"",Nbal!DI92,BB92)</f>
        <v>0</v>
      </c>
      <c r="BD92">
        <f>BC92*Z92</f>
        <v>0</v>
      </c>
      <c r="BG92">
        <f>IF($S92=1,BC92,0)</f>
        <v>0</v>
      </c>
      <c r="BH92">
        <f>IF($S92=1,BD92,0)</f>
        <v>0</v>
      </c>
      <c r="BI92">
        <f>VLOOKUP(R92,Afgr,Data!$AM$3)</f>
        <v>0</v>
      </c>
      <c r="BJ92">
        <f>IF(Nbal!DR92&lt;&gt;"",Nbal!DR92,BI92)</f>
        <v>0</v>
      </c>
      <c r="BK92">
        <f>BG92*BJ92</f>
        <v>0</v>
      </c>
      <c r="BL92">
        <f>BH92*BJ92</f>
        <v>0</v>
      </c>
      <c r="BN92">
        <f>VLOOKUP($T92,Efgr,M92)</f>
        <v>0</v>
      </c>
      <c r="BO92">
        <f>BN92*Z92</f>
        <v>0</v>
      </c>
      <c r="BQ92">
        <f>VLOOKUP(T92,Efgr,NormudbKolonneNrEfgr1)</f>
        <v>0</v>
      </c>
      <c r="BR92" s="3">
        <f>IF(Nbal!FE92&lt;&gt;"",Nbal!FE92,BQ92)</f>
        <v>0</v>
      </c>
      <c r="BS92">
        <f>BR92*Z92</f>
        <v>0</v>
      </c>
      <c r="BT92" t="s">
        <v>37</v>
      </c>
      <c r="BU92">
        <f>BR92*Efterslaetpris</f>
        <v>0</v>
      </c>
      <c r="BV92">
        <f>BS92*Efterslaetpris</f>
        <v>0</v>
      </c>
      <c r="BW92">
        <f>VLOOKUP(T92,Efgr,Data!$AG$53)</f>
        <v>0</v>
      </c>
      <c r="BX92">
        <f>BR92*BW92</f>
        <v>0</v>
      </c>
      <c r="BZ92">
        <f>Nbal!AQ92</f>
        <v>0</v>
      </c>
      <c r="CA92" s="211">
        <f>Nbal!AT92</f>
        <v>0</v>
      </c>
      <c r="CB92" s="2">
        <f>Nbal!DZ92</f>
        <v>0</v>
      </c>
      <c r="CC92" s="211">
        <f>Nbal!AT92+Nbal!DZ92</f>
        <v>0</v>
      </c>
      <c r="CD92" s="211">
        <f>Nbal!AX92</f>
        <v>0</v>
      </c>
      <c r="CE92">
        <f>Nbal!BH92</f>
        <v>0</v>
      </c>
      <c r="CF92" s="211">
        <f>Nbal!BM92</f>
        <v>0</v>
      </c>
      <c r="CG92" s="2">
        <f>Nbal!EI92</f>
        <v>0</v>
      </c>
      <c r="CH92" s="211">
        <f>Nbal!BM92+Nbal!EI92</f>
        <v>0</v>
      </c>
      <c r="CI92" s="211">
        <f>Nbal!BW92</f>
        <v>0</v>
      </c>
      <c r="CJ92" s="211">
        <f>Nbal!BH92*Nbal!BJ92*0.01</f>
        <v>0</v>
      </c>
      <c r="CK92" s="211">
        <f>(Nbal!BM92*Nbal!BP92*0.01)</f>
        <v>0</v>
      </c>
      <c r="CL92" s="211">
        <f>(Nbal!EI92*Nbal!EL92*0.01)</f>
        <v>0</v>
      </c>
      <c r="CM92" s="211">
        <f>(Nbal!BM92*Nbal!BP92*0.01)+(Nbal!EI92*Nbal!EL92*0.01)</f>
        <v>0</v>
      </c>
      <c r="CN92" s="211">
        <f>Nbal!BW92*Nbal!BY92*0.01</f>
        <v>0</v>
      </c>
      <c r="CO92">
        <f>Nbal!BT92+Nbal!ER92</f>
        <v>0</v>
      </c>
      <c r="CQ92">
        <f>Nbal!BA92</f>
        <v>0</v>
      </c>
      <c r="CR92">
        <f>Nbal!EC92</f>
        <v>0</v>
      </c>
      <c r="CS92">
        <f>(CQ92+CR92)*Z92</f>
        <v>0</v>
      </c>
      <c r="CT92">
        <f>Nbal!CB92</f>
        <v>0</v>
      </c>
      <c r="CU92">
        <f>Nbal!EV92</f>
        <v>0</v>
      </c>
      <c r="CV92">
        <f>(CT92+CU92)*Z92</f>
        <v>0</v>
      </c>
      <c r="CW92">
        <f>Nbal!BA92+Nbal!CB92+Nbal!EC92+Nbal!EV92</f>
        <v>0</v>
      </c>
      <c r="CY92">
        <f>Nbal!BD92</f>
        <v>0</v>
      </c>
      <c r="CZ92">
        <f>Nbal!EF92</f>
        <v>0</v>
      </c>
      <c r="DA92">
        <f>(CY92+CZ92)*Z92</f>
        <v>0</v>
      </c>
      <c r="DB92">
        <f>Nbal!CE92</f>
        <v>0</v>
      </c>
      <c r="DC92">
        <f>Nbal!EY92</f>
        <v>0</v>
      </c>
      <c r="DD92">
        <f>(DB92+DC92)*Z92</f>
        <v>0</v>
      </c>
      <c r="DE92">
        <f>Nbal!BD92+Nbal!CE92+Nbal!EF92+Nbal!EY92</f>
        <v>0</v>
      </c>
      <c r="DG92">
        <f>VLOOKUP($R92,Afgr,Data!$AW$3)</f>
        <v>0</v>
      </c>
      <c r="DH92">
        <f>IF($AO92="FE",$AM92*$AP92*$DG92*0.01,$AM92*100*$DM92*0.01*$DG92*0.01)</f>
        <v>0</v>
      </c>
      <c r="DI92">
        <f>IF(VLOOKUP(R92,Afgr,Data!$BO$3)=1,DH92,0)*Z92</f>
        <v>0</v>
      </c>
      <c r="DJ92" s="12">
        <f>(BZ92+CC92+CJ92-AE92)*VLOOKUP($R92,Afgr,Data!$AX$3)</f>
        <v>0</v>
      </c>
      <c r="DK92">
        <f>DG92+DJ92</f>
        <v>0</v>
      </c>
      <c r="DL92">
        <f>IF(Nbal!CQ92&lt;&gt;"",Nbal!CQ92,DK92)</f>
        <v>0</v>
      </c>
      <c r="DM92">
        <f>VLOOKUP(R92,Afgr,Data!$AT$3)</f>
        <v>0</v>
      </c>
      <c r="DN92">
        <f>IF($AO92="FE",$AM92*$AP92*$DL92*0.01,$AM92*100*$DM92*0.01*DL92*0.01)</f>
        <v>0</v>
      </c>
      <c r="DO92">
        <f>IF(VLOOKUP(R92,Afgr,Data!$BO$3)=1,DN92,0)*Z92</f>
        <v>0</v>
      </c>
      <c r="DP92">
        <f>IF(ISERROR(DN92/VLOOKUP(R92,Afgr,Data!$AY$3)),0,DN92/VLOOKUP(R92,Afgr,Data!$AY$3))</f>
        <v>0</v>
      </c>
      <c r="DQ92">
        <f>DP92*Z92</f>
        <v>0</v>
      </c>
      <c r="DS92">
        <f>IF($AO92="FE",$AM92*$AP92*VLOOKUP($R92,Afgr,Data!$BC$3)*0.001,$AM92*100*$DM92*0.01*VLOOKUP($R92,Afgr,Data!$BC$3)*0.001)</f>
        <v>0</v>
      </c>
      <c r="DT92">
        <f>DS92*Z92</f>
        <v>0</v>
      </c>
      <c r="DV92">
        <f>IF($AO92="FE",$AM92*$AP92*VLOOKUP($R92,Afgr,Data!$BF$3)*0.001,$AM92*100*$DM92*0.01*VLOOKUP($R92,Afgr,Data!$BF$3)*0.001)</f>
        <v>0</v>
      </c>
      <c r="DW92">
        <f>DV92*Z92</f>
        <v>0</v>
      </c>
      <c r="DY92">
        <f>IF(ISERROR(VLOOKUP(R92,Afgr,Data!$AZ$3)*DL92/DG92),0,VLOOKUP(R92,Afgr,Data!$AZ$3)*DL92/DG92)</f>
        <v>0</v>
      </c>
      <c r="DZ92">
        <f>VLOOKUP(R92,Afgr,Data!$AU$3)</f>
        <v>0</v>
      </c>
      <c r="EA92">
        <f>IF($S92=1,$BC92*$DZ92*0.01*DY92*0.01,0)</f>
        <v>0</v>
      </c>
      <c r="EB92">
        <f>EA92/6.25</f>
        <v>0</v>
      </c>
      <c r="EC92">
        <f>EB92*Z92</f>
        <v>0</v>
      </c>
      <c r="EE92">
        <f>IF($S92=1,$BC92*$DZ92*0.01*VLOOKUP($R92,Afgr,Data!$BD$3)*0.001,0)</f>
        <v>0</v>
      </c>
      <c r="EF92">
        <f>EE92*Z92</f>
        <v>0</v>
      </c>
      <c r="EH92">
        <f>IF($S92=1,$BC92*$DZ92*0.01*VLOOKUP($R92,Afgr,Data!$BG$3)*0.001,0)</f>
        <v>0</v>
      </c>
      <c r="EI92">
        <f>EH92*Z92</f>
        <v>0</v>
      </c>
      <c r="EK92">
        <f>VLOOKUP(T92,Efgr,Data!$AI$53)</f>
        <v>0</v>
      </c>
      <c r="EL92">
        <f>BX92*EK92*0.01/6.25</f>
        <v>0</v>
      </c>
      <c r="EM92">
        <f>EL92*Z92</f>
        <v>0</v>
      </c>
      <c r="EO92">
        <f>$BX92*VLOOKUP($T92,Efgr,Data!$AJ$53)*0.001</f>
        <v>0</v>
      </c>
      <c r="EP92">
        <f>EO92*Z92</f>
        <v>0</v>
      </c>
      <c r="ER92">
        <f>$BX92*VLOOKUP($T92,Efgr,Data!$AK$53)*0.001</f>
        <v>0</v>
      </c>
      <c r="ES92">
        <f>ER92*Z92</f>
        <v>0</v>
      </c>
      <c r="EU92">
        <f>IF(VLOOKUP(R92,Afgr,Data!$DS$3)=1,DP92*VLOOKUP(R92,Afgr,(Data!$DT$3+EftervirkningUdb1))*VLOOKUP(R92,Afgr,Data!$DV$3),0)</f>
        <v>0</v>
      </c>
      <c r="EV92">
        <f>IF(VLOOKUP(R92,Afgr,Data!$DS$3)=2,VLOOKUP(R92,Afgr,Data!$DX$3),0)</f>
        <v>0</v>
      </c>
      <c r="EW92">
        <f>IF(VLOOKUP(R92,Afgr,Data!$DS$3)=3,$DP92*VLOOKUP($R92,Afgr,IF(Jordtype1&lt;5,Data!$DT$3,Data!$DU$3))*VLOOKUP($R92,Afgr,Data!$DV$3),0)</f>
        <v>0</v>
      </c>
      <c r="EX92">
        <f>IF(VLOOKUP(R92,Afgr,Data!$DS$3)=4,(1.232+0.00469*AM92*100+(0.000256*AM92*100+0.089)*60),0)</f>
        <v>0</v>
      </c>
      <c r="EY92" s="211">
        <f>BZ92+CA92+CJ92+CK92</f>
        <v>0</v>
      </c>
      <c r="EZ92">
        <f>IF(VLOOKUP($R92,Afgr,Data!$DS$3)=5,($AM92*0.02742-$AM92*0.0001*$EY92+$AM92*0.0000001111*$EY92*$EY92),0)</f>
        <v>0</v>
      </c>
      <c r="FA92" s="2">
        <f>CB92+CL92</f>
        <v>0</v>
      </c>
      <c r="FB92">
        <f>IF(VLOOKUP($T92,Efgr,Data!$BH$53)=5,($BR92*0.02742-$BR92*0.0001*$FA92+$BR92*0.0000001111*$FA92*$FA92),0)</f>
        <v>0</v>
      </c>
      <c r="FC92" s="3">
        <f>EU92+EV92+EW92+EX92+EZ92+FB92</f>
        <v>0</v>
      </c>
      <c r="FD92" s="3">
        <f>FC92*Z92</f>
        <v>0</v>
      </c>
      <c r="FF92" s="211">
        <f>BZ92+CC92</f>
        <v>0</v>
      </c>
      <c r="FG92" s="211">
        <f>FF92*Z92</f>
        <v>0</v>
      </c>
      <c r="FH92" s="211">
        <f>CE92+CH92+CO92</f>
        <v>0</v>
      </c>
      <c r="FI92" s="211">
        <f>FH92*Z92</f>
        <v>0</v>
      </c>
      <c r="FJ92">
        <f>VLOOKUP($R92,Afgr,Data!$DK$3)*VLOOKUP($R92,Afgr,Data!$AT$3)*0.01*VLOOKUP($R92,Afgr,Data!$AW$3)*0.01/6.25</f>
        <v>0</v>
      </c>
      <c r="FK92">
        <f>FJ92*Z92</f>
        <v>0</v>
      </c>
      <c r="FL92" s="4">
        <f>IF(R92&gt;1,Deposition,0)</f>
        <v>0</v>
      </c>
      <c r="FM92" s="4">
        <f>FL92*Z92</f>
        <v>0</v>
      </c>
      <c r="FN92">
        <f>FC92</f>
        <v>0</v>
      </c>
      <c r="FO92">
        <f>FN92*Z92</f>
        <v>0</v>
      </c>
      <c r="FP92" s="211">
        <f>SUM(FF92,FH92,FJ92,FL92,FN92)</f>
        <v>0</v>
      </c>
      <c r="FQ92">
        <f>DP92+EB92+EL92</f>
        <v>0</v>
      </c>
      <c r="FR92" s="3">
        <f>FP92-FQ92</f>
        <v>0</v>
      </c>
      <c r="FS92" s="19">
        <f>FP92*Z92</f>
        <v>0</v>
      </c>
      <c r="FT92" s="19">
        <f>FQ92*Z92</f>
        <v>0</v>
      </c>
      <c r="FU92" s="3">
        <f>FR92*Z92</f>
        <v>0</v>
      </c>
      <c r="FW92">
        <f>CW92</f>
        <v>0</v>
      </c>
      <c r="FX92">
        <f>FW92*Z92</f>
        <v>0</v>
      </c>
      <c r="FY92">
        <f>IX92+MB92</f>
        <v>0</v>
      </c>
      <c r="FZ92">
        <f>FY92*Z92</f>
        <v>0</v>
      </c>
      <c r="GA92">
        <f>FW92-FY92</f>
        <v>0</v>
      </c>
      <c r="GB92">
        <f>GA92*Z92</f>
        <v>0</v>
      </c>
      <c r="GD92">
        <f>DE92</f>
        <v>0</v>
      </c>
      <c r="GE92">
        <f>GD92*Z92</f>
        <v>0</v>
      </c>
      <c r="GF92">
        <f>JE92+MH92</f>
        <v>0</v>
      </c>
      <c r="GG92">
        <f>GF92*Z92</f>
        <v>0</v>
      </c>
      <c r="GH92">
        <f>GD92-GF92</f>
        <v>0</v>
      </c>
      <c r="GI92">
        <f>GH92*Z92</f>
        <v>0</v>
      </c>
      <c r="GK92">
        <f>AA92</f>
        <v>1</v>
      </c>
      <c r="GL92" s="211">
        <f>FF92+FH92+FN92</f>
        <v>0</v>
      </c>
      <c r="GM92" s="211" t="str">
        <f>IF(R92=1,"",IF(GK92=1,GL92,""))</f>
        <v/>
      </c>
      <c r="GN92" s="211" t="str">
        <f>IF(R92=1,"",IF(GK92=2,GL92,""))</f>
        <v/>
      </c>
      <c r="GO92" s="211" t="str">
        <f>IF(R92=1,"",IF(GK92=3,GL92,""))</f>
        <v/>
      </c>
      <c r="GP92" s="211" t="str">
        <f>IF(R92=1,"",IF(GK92=4,GL92,""))</f>
        <v/>
      </c>
      <c r="GQ92" s="149">
        <f>IF(OR(R92=1,VLOOKUP(R92,Afgr,Data!$BV$3)=1,VLOOKUP(R92,Afgr,Data!$BW$3)=1),0,IF(GK92=1,Nniveau1,IF(GK92=2,Nniveau2,IF(GK92=3,Nniveau3,IF(GK92=4,Nniveau4,GL92)))))</f>
        <v>0</v>
      </c>
      <c r="GR92" s="241">
        <v>0.32550000000000001</v>
      </c>
      <c r="GS92" s="6">
        <v>0</v>
      </c>
      <c r="GT92" s="149">
        <f>CC92+CM92</f>
        <v>0</v>
      </c>
      <c r="GU92" s="6">
        <f>$FN92</f>
        <v>0</v>
      </c>
      <c r="GV92" s="241">
        <v>0.25280000000000002</v>
      </c>
      <c r="GW92">
        <f>CO92</f>
        <v>0</v>
      </c>
      <c r="GX92" s="241">
        <v>0.376</v>
      </c>
      <c r="GY92" s="149">
        <f>CD92+CN92</f>
        <v>0</v>
      </c>
      <c r="GZ92" s="241">
        <f>IF(B92&gt;3,0.3539,1.0749)</f>
        <v>0.35389999999999999</v>
      </c>
      <c r="HA92" s="11">
        <f>$FQ92</f>
        <v>0</v>
      </c>
      <c r="HB92" s="241">
        <v>0.19359999999999999</v>
      </c>
      <c r="HC92" s="241">
        <f>VLOOKUP($R92,Afgr,Data!$DM$3)</f>
        <v>0</v>
      </c>
      <c r="HD92" s="24">
        <f>IF($HC92&gt;1,0,(VLOOKUP($X92,Afgr,Data!$DP$3)+IF(VLOOKUP($X92,Afgr,Data!$DP$3)=0,VLOOKUP($T92,Efgr,Data!$BI$53,0))))+IF(AND($HC92=7,VLOOKUP($X92,Afgr,Data!$DQ$3)=-2),-2,0)+IF(AND($HC92=6,VLOOKUP($T92,Efgr,Data!$BI$53)=2),8,0)</f>
        <v>0</v>
      </c>
      <c r="HE92" s="6" t="e">
        <f>VLOOKUP(SUM(HC92:HD92),Nlesafgr,3)</f>
        <v>#N/A</v>
      </c>
      <c r="HF92" s="7">
        <f>VLOOKUP($O92,Afgr,Data!$DN$3)</f>
        <v>0</v>
      </c>
      <c r="HG92" s="24">
        <f>IF(HF92&gt;1,0,VLOOKUP($R92,Afgr,Data!$DO$3)+IF(VLOOKUP($R92,Afgr,Data!$DO$3)=1,0,VLOOKUP($P92,Efgr,Data!$BJ$53)))</f>
        <v>0</v>
      </c>
      <c r="HH92" s="6" t="e">
        <f>VLOOKUP(SUM(HF92:HG92),Nlesforfrugt,3)</f>
        <v>#N/A</v>
      </c>
      <c r="HI92" s="241" t="e">
        <f>GR92*GQ92+GV92*(GT92+GU92)+GX92*GW92+GZ92*GY92-HB92*HA92+HE92+HH92</f>
        <v>#N/A</v>
      </c>
      <c r="HJ92" s="241">
        <f>Nlesafskaering</f>
        <v>59.6</v>
      </c>
      <c r="HK92" s="241">
        <f>Teknologi1</f>
        <v>2455</v>
      </c>
      <c r="HL92" s="6">
        <v>2001</v>
      </c>
      <c r="HM92" s="241">
        <f>Teknologi2</f>
        <v>1962.2</v>
      </c>
      <c r="HN92" s="241">
        <f>Tandel</f>
        <v>0.54659999999999997</v>
      </c>
      <c r="HO92" s="241" t="e">
        <f>IF(OR(HI92&gt;0,HI92=0),HJ92+HK92/(HL92-HM92),HJ92+HK92/(HL92-HM92)+HN92*HI92)</f>
        <v>#N/A</v>
      </c>
      <c r="HP92" s="241" t="e">
        <f>IF(HI92&gt;0,HI92,0.001)</f>
        <v>#N/A</v>
      </c>
      <c r="HQ92" s="241">
        <v>1.5020000000000001E-3</v>
      </c>
      <c r="HR92" s="24">
        <f>IF(R92=1,0,VLOOKUP(PostnrNbal,AfstromData,VLOOKUP($R92,Afgr,Data!$DL$3)+IF(Jordtype1&lt;7,Jordtype1,6),FALSE)-VLOOKUP(T92,Efgr,Data!$AA$53))</f>
        <v>0</v>
      </c>
      <c r="HS92" s="24">
        <f>IF(Nbal!GA92&lt;&gt;"",Nbal!GA92,Regn2!HR92)</f>
        <v>0</v>
      </c>
      <c r="HT92" s="241">
        <v>5.5400000000000002E-4</v>
      </c>
      <c r="HU92" s="24">
        <f>IF(R92=1,0,VLOOKUP(PostnrNbal,AfstromData,VLOOKUP($O92,Afgr,Data!$DL$3)+IF(B92&lt;7,B92,6),FALSE)-VLOOKUP(P92,Efgr,Data!$AA$53))</f>
        <v>0</v>
      </c>
      <c r="HV92" s="24">
        <f>IF(Nbal!FU92&lt;&gt;"",Nbal!FU92,Regn2!HU92)</f>
        <v>0</v>
      </c>
      <c r="HW92" s="241">
        <v>0.10639999999999999</v>
      </c>
      <c r="HX92" s="6">
        <f>VLOOKUP(B92,Jordtype,Data!$W$112)</f>
        <v>3</v>
      </c>
      <c r="HY92" s="241">
        <v>3.2500000000000001E-2</v>
      </c>
      <c r="HZ92" s="6">
        <f>VLOOKUP(B92,Jordtype,Data!$X$112)</f>
        <v>12</v>
      </c>
      <c r="IA92" s="241">
        <v>1.2453000000000001</v>
      </c>
      <c r="IB92" s="241">
        <f>IF(VLOOKUP(T92,Efgr,Data!$AO$53)=1,MlafgrNUdvask,0)</f>
        <v>0</v>
      </c>
      <c r="IC92" s="20">
        <f>IF(ISERROR((HO92+POWER(HP92,1.2))*(1-EXP(-HQ92*HS92))*EXP(-HT92*HV92)*EXP(-HW92*HX92)*EXP(-HY92*HZ92)*IA92),0,(HO92+POWER(HP92,1.2))*(1-EXP(-HQ92*HS92))*EXP(-HT92*HV92)*EXP(-HW92*HX92)*EXP(-HY92*HZ92)*IA92+IB92)</f>
        <v>0</v>
      </c>
      <c r="ID92">
        <f>IC92*Z92</f>
        <v>0</v>
      </c>
      <c r="IE92">
        <f>IF(Nbal!GF92&lt;&gt;"",Nbal!GF92,RetentionNbal)</f>
        <v>65</v>
      </c>
      <c r="IF92">
        <f>IC92*(100-IE92)*0.01</f>
        <v>0</v>
      </c>
      <c r="IG92">
        <f>IF92*Z92</f>
        <v>0</v>
      </c>
      <c r="IH92" s="2">
        <f>HS92*10000</f>
        <v>0</v>
      </c>
      <c r="II92" s="2">
        <f>IH92*Z92</f>
        <v>0</v>
      </c>
      <c r="IJ92">
        <f>IF(ISERROR(IC92*1000*1000/IH92),0,IC92*1000*1000/IH92)</f>
        <v>0</v>
      </c>
      <c r="IL92">
        <f>AT92+AX92+BK92+BU92</f>
        <v>0</v>
      </c>
      <c r="IO92">
        <f>VLOOKUP(R92,Afgr,Data!$AP$3)*UdsaedJust</f>
        <v>0</v>
      </c>
      <c r="IP92" s="3">
        <f>IF(Nbal!GN92&lt;&gt;"",Nbal!GN92,IO92)</f>
        <v>0</v>
      </c>
      <c r="IQ92" s="3">
        <f>IP92*Z92</f>
        <v>0</v>
      </c>
      <c r="IS92" s="3">
        <f>IF(HdgVaerdiNbal=1,(BZ92+CA92)*Npris,(BZ92+CA92+CJ92+CK92)*Npris)</f>
        <v>0</v>
      </c>
      <c r="IT92" s="3">
        <f>IS92*Z92</f>
        <v>0</v>
      </c>
      <c r="IV92">
        <f>VLOOKUP($R92,Afgr,Data!$BA$3)</f>
        <v>0</v>
      </c>
      <c r="IW92">
        <f>VLOOKUP($R92,Afgr,Data!$BB$3)</f>
        <v>0</v>
      </c>
      <c r="IX92">
        <f>$DS92+$EE92</f>
        <v>0</v>
      </c>
      <c r="IY92">
        <f>CT92</f>
        <v>0</v>
      </c>
      <c r="IZ92">
        <f>CQ92</f>
        <v>0</v>
      </c>
      <c r="JA92" s="3">
        <f>IF(HdgVaerdiNbal=1,(IZ92)*Ppris,(IY92+IZ92)*Ppris)</f>
        <v>0</v>
      </c>
      <c r="JB92" s="3">
        <f>JA92*Z92</f>
        <v>0</v>
      </c>
      <c r="JD92">
        <f>IF(AND(R92&gt;1,OR(Jordtype1=1,Jordtype1=3,Markvand1=2)),Kudvask,0)</f>
        <v>0</v>
      </c>
      <c r="JE92">
        <f>$DV92+$EH92</f>
        <v>0</v>
      </c>
      <c r="JF92">
        <f>DB92</f>
        <v>0</v>
      </c>
      <c r="JG92">
        <f>CY92</f>
        <v>0</v>
      </c>
      <c r="JH92" s="3">
        <f>IF(HdgVaerdiNbal=1,JG92*Kpris,(JF92+JG92)*Kpris)</f>
        <v>0</v>
      </c>
      <c r="JI92" s="3">
        <f>JH92*Z92</f>
        <v>0</v>
      </c>
      <c r="JK92">
        <f>IS92+JA92+JH92</f>
        <v>0</v>
      </c>
      <c r="JL92" s="3">
        <f>IF(Nbal!GT92&lt;&gt;"",Nbal!GT92,$JK92)</f>
        <v>0</v>
      </c>
      <c r="JM92" s="3">
        <f>JL92*Z92</f>
        <v>0</v>
      </c>
      <c r="JO92">
        <f>VLOOKUP(R92,Afgr,Data!$AQ$3)*PlantevJust</f>
        <v>0</v>
      </c>
      <c r="JP92" s="3">
        <f>IF(Nbal!GZ92&lt;&gt;"",Nbal!GZ92,JO92)</f>
        <v>0</v>
      </c>
      <c r="JQ92" s="3">
        <f>JP92*Z92</f>
        <v>0</v>
      </c>
      <c r="JS92">
        <f>VLOOKUP(R92,Afgr,Data!$AR$3)+AM92*VLOOKUP(R92,Afgr,Data!$BH$3)</f>
        <v>0</v>
      </c>
      <c r="JT92" s="3">
        <f>IF(Nbal!HF92&lt;&gt;"",Nbal!HF92,JS92)</f>
        <v>0</v>
      </c>
      <c r="JU92">
        <f>JT92*Z92</f>
        <v>0</v>
      </c>
      <c r="JW92">
        <f>IP92+JL92+JP92+JT92</f>
        <v>0</v>
      </c>
      <c r="JY92">
        <f>IF(VLOOKUP(R92,Afgr,Data!$BY$3)&gt;0,Data!$K$259*J92,0)</f>
        <v>0</v>
      </c>
      <c r="JZ92">
        <f>IF(VLOOKUP(R92,Afgr,Data!$BZ$3)&gt;0,Data!$K$260*J92,0)</f>
        <v>0</v>
      </c>
      <c r="KA92">
        <f>(JY92+JZ92)*MaskJust</f>
        <v>0</v>
      </c>
      <c r="KB92" s="3">
        <f>IF(Nbal!HL92&lt;&gt;"",Nbal!HL92,KA92)</f>
        <v>0</v>
      </c>
      <c r="KC92" s="3">
        <f>KB92*Z92</f>
        <v>0</v>
      </c>
      <c r="KE92">
        <f>IF(VLOOKUP(R92,Afgr,Data!$CA$3)&gt;0,VLOOKUP(R92,Afgr,Data!$CA$3)*Data!$K$261*K92,0)</f>
        <v>0</v>
      </c>
      <c r="KF92">
        <f>IF(VLOOKUP(R92,Afgr,Data!$CC$3)&gt;0,Data!$K$262*K92,0)</f>
        <v>0</v>
      </c>
      <c r="KG92">
        <f>IF(VLOOKUP(R92,Afgr,Data!$CD$3)&gt;0,VLOOKUP(R92,Afgr,Data!$CD$3)*Data!$K$263*K92,0)</f>
        <v>0</v>
      </c>
      <c r="KH92">
        <f>IF(VLOOKUP(R92,Afgr,Data!$CE$3)&gt;0,Data!$K$264*K92,0)</f>
        <v>0</v>
      </c>
      <c r="KI92">
        <f>IF(VLOOKUP(R92,Afgr,Data!$CF$3)&gt;0,Data!$K$265*K92,0)</f>
        <v>0</v>
      </c>
      <c r="KJ92">
        <f>IF(VLOOKUP(R92,Afgr,Data!$CV$3)&gt;0,Data!$K$266,0)</f>
        <v>0</v>
      </c>
      <c r="KK92">
        <f>IF(VLOOKUP(R92,Afgr,Data!$CG$3)&gt;0,Data!$K$267*K92,0)</f>
        <v>0</v>
      </c>
      <c r="KL92">
        <f>(KE92+KF92+KG92+KH92+KI92+KJ92+KK92)*MaskJust</f>
        <v>0</v>
      </c>
      <c r="KM92" s="3">
        <f>IF(Nbal!HR92&lt;&gt;"",Nbal!HR92,KL92)</f>
        <v>0</v>
      </c>
      <c r="KN92" s="3">
        <f>KM92*Z92</f>
        <v>0</v>
      </c>
      <c r="KP92">
        <f>IF(VLOOKUP(R92,Afgr,Data!$CJ$3)&gt;0,VLOOKUP(R92,Afgr,Data!$CJ$3)*Data!$K$268*K92,0)*MaskJust</f>
        <v>0</v>
      </c>
      <c r="KQ92" s="3">
        <f>IF(Nbal!HX92&lt;&gt;"",Nbal!HX92,KP92)</f>
        <v>0</v>
      </c>
      <c r="KR92" s="3">
        <f>KQ92*Z92</f>
        <v>0</v>
      </c>
      <c r="KT92">
        <f>IF(VLOOKUP(R92,Afgr,Data!$CI$3)&gt;0,VLOOKUP(R92,Afgr,Data!$CI$3)*Data!$K$269,0)*MaskJust</f>
        <v>0</v>
      </c>
      <c r="KU92" s="3">
        <f>IF(Nbal!ID92&lt;&gt;"",Nbal!ID92,KT92)</f>
        <v>0</v>
      </c>
      <c r="KV92" s="3">
        <f>KU92*Z92</f>
        <v>0</v>
      </c>
      <c r="KX92">
        <f>IF(C92=2,VLOOKUP($R92,Afgr,Data!$CY$3),0)</f>
        <v>0</v>
      </c>
      <c r="KY92">
        <f>IF(Nbal!IJ92&lt;&gt;"",Nbal!IJ92,$KX92)</f>
        <v>0</v>
      </c>
      <c r="KZ92">
        <f>IF(AND(R92&gt;1,C92=2),Vandmaskin+$KY92*Flytning/mmprgang+$KY92*Prisprmm,0)</f>
        <v>0</v>
      </c>
      <c r="LA92" s="3">
        <f>IF(Nbal!IP92&lt;&gt;"",Nbal!IP92,$KZ92)</f>
        <v>0</v>
      </c>
      <c r="LB92" s="3">
        <f>LA92*Z92</f>
        <v>0</v>
      </c>
      <c r="LD92">
        <f>IF(VLOOKUP($R92,Afgr,Data!$CK$3)&gt;0,((1+AM92/VLOOKUP($R92,Afgr,Data!$CK$3))/2)*VLOOKUP($R92,Afgr,Data!$CL$3)*VLOOKUP($R92,Afgr,Data!$CN$3)+VLOOKUP($R92,Afgr,Data!$CM$3),0)</f>
        <v>0</v>
      </c>
      <c r="LE92">
        <f>IF(VLOOKUP($R92,Afgr,Data!$CK$3)&gt;0,IF(AND($S92=2,$BA92&gt;0),Data!$K$271,0),0)</f>
        <v>0</v>
      </c>
      <c r="LF92">
        <f>IF(VLOOKUP($R92,Afgr,Data!$CK$3)&gt;0,(AM92/VLOOKUP($R92,Afgr,Data!$CK$3))*VLOOKUP($R92,Afgr,Data!$CO$3)*VLOOKUP($R92,Afgr,Data!$CN$3),0)</f>
        <v>0</v>
      </c>
      <c r="LG92">
        <f>(LD92+LE92+LF92)*MaskJust</f>
        <v>0</v>
      </c>
      <c r="LH92" s="3">
        <f>IF(Nbal!IV92&lt;&gt;"",Nbal!IV92,LG92)</f>
        <v>0</v>
      </c>
      <c r="LI92" s="3">
        <f>LH92*Z92</f>
        <v>0</v>
      </c>
      <c r="LJ92" s="3"/>
      <c r="LK92">
        <f>IF(AND($S92=1,VLOOKUP($R92,Afgr,Data!$CP$3)&gt;0),((1+$BC92/VLOOKUP($R92,Afgr,Data!$CP$3))/2)*VLOOKUP($R92,Afgr,Data!$CQ$3),0)</f>
        <v>0</v>
      </c>
      <c r="LL92">
        <f>IF(AND($S92=1,VLOOKUP($R92,Afgr,Data!$CP$3)&gt;0),($BC92/VLOOKUP($R92,Afgr,Data!$CP$3))*VLOOKUP($R92,Afgr,Data!$CR$3),0)</f>
        <v>0</v>
      </c>
      <c r="LM92">
        <f>(LK92+LL92)*MaskJust</f>
        <v>0</v>
      </c>
      <c r="LN92" s="3">
        <f>IF(Nbal!JB92&lt;&gt;"",Nbal!JB92,LM92)</f>
        <v>0</v>
      </c>
      <c r="LO92" s="3">
        <f>LN92*Z92</f>
        <v>0</v>
      </c>
      <c r="LQ92">
        <f>$AM92*VLOOKUP($R92,Afgr,Data!$CS$3)*IF($V92=1,VLOOKUP($R92,Afgr,Data!$CT$3),IF($V92=2,VLOOKUP($R92,Afgr,Data!$CU$3),0))</f>
        <v>0</v>
      </c>
      <c r="LR92" s="3">
        <f>IF(Nbal!JK92&lt;&gt;"",Nbal!JK92,LQ92)</f>
        <v>0</v>
      </c>
      <c r="LS92" s="3">
        <f>LR92*Z92</f>
        <v>0</v>
      </c>
      <c r="LU92">
        <f>VLOOKUP($T92,Efgr,Data!$AC$53)*UdsaedJust</f>
        <v>0</v>
      </c>
      <c r="LV92" s="3">
        <f>IF(Nbal!$JS92&lt;&gt;"",Nbal!$JS92,LU92)</f>
        <v>0</v>
      </c>
      <c r="LW92" s="3">
        <f>LV92*Z92</f>
        <v>0</v>
      </c>
      <c r="LY92" s="3">
        <f>IF(HdgVaerdiNbal=1,(CB92)*Npris,(CB92+CL92)*Npris)</f>
        <v>0</v>
      </c>
      <c r="LZ92" s="3">
        <f>LY92*Z92</f>
        <v>0</v>
      </c>
      <c r="MB92">
        <f>$EO92</f>
        <v>0</v>
      </c>
      <c r="MC92">
        <f>CU92</f>
        <v>0</v>
      </c>
      <c r="MD92">
        <f>CR92</f>
        <v>0</v>
      </c>
      <c r="ME92" s="3">
        <f>IF(HdgVaerdiNbal=1,MD92*Ppris,(MC92+MD92)*Ppris)</f>
        <v>0</v>
      </c>
      <c r="MF92" s="3">
        <f>ME92*Z92</f>
        <v>0</v>
      </c>
      <c r="MH92">
        <f>$ER92</f>
        <v>0</v>
      </c>
      <c r="MI92">
        <f>DC92</f>
        <v>0</v>
      </c>
      <c r="MJ92">
        <f>CZ92</f>
        <v>0</v>
      </c>
      <c r="MK92" s="3">
        <f>IF(HdgVaerdiNbal=1,MJ92*Ppris,(MI92+MJ92)*Ppris)</f>
        <v>0</v>
      </c>
      <c r="ML92" s="3">
        <f>MK92*Z92</f>
        <v>0</v>
      </c>
      <c r="MN92">
        <f>LY92+ME92+MK92</f>
        <v>0</v>
      </c>
      <c r="MO92" s="3">
        <f>IF(Nbal!JY92&lt;&gt;"",Nbal!JY92,$MN92)</f>
        <v>0</v>
      </c>
      <c r="MP92" s="3">
        <f>MO92*Z92</f>
        <v>0</v>
      </c>
      <c r="MR92">
        <f>VLOOKUP($T92,Efgr,Data!$AE$53)*PlantevJust</f>
        <v>0</v>
      </c>
      <c r="MS92" s="3">
        <f>IF(Nbal!KE92&lt;&gt;"",Nbal!KE92,MR92)</f>
        <v>0</v>
      </c>
      <c r="MT92" s="3">
        <f>MS92*Z92</f>
        <v>0</v>
      </c>
      <c r="MV92">
        <f>VLOOKUP($T92,Efgr,Data!$AF$53)+$BR92*VLOOKUP($T92,Efgr,Data!$AL$53)</f>
        <v>0</v>
      </c>
      <c r="MW92" s="3">
        <f>IF(Nbal!KK92&lt;&gt;"",Nbal!KK92,MV92)</f>
        <v>0</v>
      </c>
      <c r="MX92" s="3">
        <f>MW92*Z92</f>
        <v>0</v>
      </c>
      <c r="MZ92">
        <f>LV92+MO92+MS92+MW92</f>
        <v>0</v>
      </c>
      <c r="NB92">
        <f>VLOOKUP($T92,Efgr,Data!$AU$53)*K92*MaskJust</f>
        <v>0</v>
      </c>
      <c r="NC92" s="3">
        <f>IF(Nbal!KQ92&lt;&gt;"",Nbal!KQ92,NB92)</f>
        <v>0</v>
      </c>
      <c r="ND92" s="3">
        <f>NC92*Z92</f>
        <v>0</v>
      </c>
      <c r="NF92">
        <f>VLOOKUP($T92,Efgr,Data!$AW$53)*Data!$K$268*K92*MaskJust</f>
        <v>0</v>
      </c>
      <c r="NG92" s="3">
        <f>IF(Nbal!KW92&lt;&gt;"",Nbal!KW92,NF92)</f>
        <v>0</v>
      </c>
      <c r="NH92" s="3">
        <f>NG92*Z92</f>
        <v>0</v>
      </c>
      <c r="NJ92">
        <f>VLOOKUP($T92,Efgr,Data!$AV$53)*Data!$K$269*MaskJust</f>
        <v>0</v>
      </c>
      <c r="NK92" s="3">
        <f>IF(Nbal!LC92&lt;&gt;"",Nbal!LC92,NJ92)</f>
        <v>0</v>
      </c>
      <c r="NL92" s="3">
        <f>NK92*Z92</f>
        <v>0</v>
      </c>
      <c r="NN92">
        <f>IF(C92=2,VLOOKUP($T92,Efgr,Data!$BC$53),0)</f>
        <v>0</v>
      </c>
      <c r="NO92">
        <f>IF(Nbal!LI92&lt;&gt;"",Nbal!LI92,$NN92)</f>
        <v>0</v>
      </c>
      <c r="NP92">
        <f>IF(C92=2,$NO92*Flytning/mmprgang+$NO92*Prisprmm,0)</f>
        <v>0</v>
      </c>
      <c r="NQ92" s="3">
        <f>IF(Nbal!LO92&lt;&gt;"",Nbal!LO92,$NP92)</f>
        <v>0</v>
      </c>
      <c r="NR92" s="3">
        <f>NQ92*Z92</f>
        <v>0</v>
      </c>
      <c r="NT92">
        <f>IF(VLOOKUP($T92,Efgr,Data!$AX$53)&gt;0,((1+BR92/VLOOKUP($T92,Efgr,Data!$AX$53))/2)*VLOOKUP($T92,Efgr,Data!$AY$53)*VLOOKUP($T92,Efgr,Data!$BA$53)+VLOOKUP($T92,Efgr,Data!$AZ$53),0)</f>
        <v>0</v>
      </c>
      <c r="NU92">
        <f>IF(VLOOKUP($T92,Efgr,Data!$AX$53)&gt;0,($BR92/VLOOKUP($T92,Efgr,Data!$AX$53))*VLOOKUP($T92,Efgr,Data!$BB$53)*VLOOKUP($T92,Efgr,Data!$BA$53),0)</f>
        <v>0</v>
      </c>
      <c r="NV92">
        <f>(NT92+NU92)*MaskJust</f>
        <v>0</v>
      </c>
      <c r="NW92" s="3">
        <f>IF(Nbal!LU92&lt;&gt;"",Nbal!LU92,NV92)</f>
        <v>0</v>
      </c>
      <c r="NX92" s="3">
        <f>NW92*Z92</f>
        <v>0</v>
      </c>
      <c r="NZ92">
        <f>IF($U92=2,Data!$K$304,IF($U92=3,Data!$K$305,0))*MaskJust</f>
        <v>0</v>
      </c>
      <c r="OA92" s="3">
        <f>IF(Nbal!MA92&lt;&gt;"",Nbal!MA92,NZ92)</f>
        <v>0</v>
      </c>
      <c r="OB92" s="3">
        <f>OA92*Z92</f>
        <v>0</v>
      </c>
      <c r="OD92">
        <f>IL92</f>
        <v>0</v>
      </c>
      <c r="OE92">
        <f>JW92+MZ92</f>
        <v>0</v>
      </c>
      <c r="OF92">
        <f>OD92-OE92</f>
        <v>0</v>
      </c>
      <c r="OG92">
        <f>OF92*Z92</f>
        <v>0</v>
      </c>
      <c r="OJ92">
        <f>VLOOKUP($O92,Afgr,Data!$BP$3)+VLOOKUP($P92,Efgr,Data!$AM$53)</f>
        <v>0</v>
      </c>
      <c r="OK92" s="3">
        <f>OJ92*Z92</f>
        <v>0</v>
      </c>
      <c r="OL92">
        <f>VLOOKUP($R92,Afgr,Data!$BP$3)+VLOOKUP($T92,Efgr,Data!$AM$53)</f>
        <v>0</v>
      </c>
      <c r="OM92" s="3">
        <f>OL92*Z92</f>
        <v>0</v>
      </c>
      <c r="OO92">
        <f>VLOOKUP($P92,Efgr,Data!$AN$53)</f>
        <v>0</v>
      </c>
      <c r="OP92">
        <f>VLOOKUP($O92,Afgr,Data!$BQ$3)</f>
        <v>0</v>
      </c>
      <c r="OQ92">
        <f>VLOOKUP($R92,Afgr,Data!$BR$3)</f>
        <v>1</v>
      </c>
      <c r="OR92">
        <f>OO92*OP92*OQ92</f>
        <v>0</v>
      </c>
      <c r="OS92" s="3">
        <f>OR92*Z92</f>
        <v>0</v>
      </c>
      <c r="OT92" s="3">
        <f>IF(Q92,1,0)*OS92</f>
        <v>0</v>
      </c>
      <c r="OV92">
        <f>VLOOKUP($T92,Efgr,Data!$AN$53)</f>
        <v>0</v>
      </c>
      <c r="OW92">
        <f>VLOOKUP($R92,Afgr,Data!$BQ$3)</f>
        <v>0</v>
      </c>
      <c r="OX92">
        <f>VLOOKUP($X92,Afgr,Data!$BR$3)</f>
        <v>1</v>
      </c>
      <c r="OY92">
        <f>OV92*OW92*OX92</f>
        <v>0</v>
      </c>
      <c r="OZ92" s="3">
        <f>OY92*Z92</f>
        <v>0</v>
      </c>
      <c r="PB92">
        <f>VLOOKUP($T92,Efgr,Data!$AO$53)</f>
        <v>0</v>
      </c>
      <c r="PC92">
        <f>VLOOKUP($O92,Afgr,Data!$BQ$3)</f>
        <v>0</v>
      </c>
      <c r="PD92">
        <f>VLOOKUP($R92,Afgr,Data!$BS$3)</f>
        <v>0</v>
      </c>
      <c r="PE92" s="3">
        <f>PB92*PC92*PD92*$Z92</f>
        <v>0</v>
      </c>
      <c r="PG92">
        <f>VLOOKUP($T92,Efgr,Data!$AO$53)</f>
        <v>0</v>
      </c>
      <c r="PH92">
        <f>VLOOKUP($R92,Afgr,Data!$BQ$3)</f>
        <v>0</v>
      </c>
      <c r="PI92">
        <f>VLOOKUP($X92,Afgr,Data!$BS$3)</f>
        <v>0</v>
      </c>
      <c r="PJ92" s="3">
        <f>PG92*PH92*PI92*$Z92</f>
        <v>0</v>
      </c>
      <c r="PK92" s="3"/>
      <c r="PL92" s="3">
        <f>VLOOKUP($O92,Afgr,Data!$BU$3)</f>
        <v>0</v>
      </c>
      <c r="PM92" s="3">
        <f>PL92*Z92</f>
        <v>0</v>
      </c>
      <c r="PN92" s="3">
        <f>VLOOKUP($R92,Afgr,Data!$BU$3)</f>
        <v>0</v>
      </c>
      <c r="PO92" s="3">
        <f>PN92*Z92</f>
        <v>0</v>
      </c>
      <c r="PQ92">
        <f>VLOOKUP(R92,Afgr,Data!$BX$3)+VLOOKUP(T92,Efgr,Data!$AQ$53)</f>
        <v>0</v>
      </c>
      <c r="PR92">
        <f>IF(PQ92&gt;0,Z92,0)</f>
        <v>0</v>
      </c>
      <c r="PT92">
        <f>VLOOKUP($O92,Afgr,Data!$BT$3)</f>
        <v>0</v>
      </c>
      <c r="PU92" s="3">
        <f>PT92*Z92</f>
        <v>0</v>
      </c>
      <c r="PV92">
        <f>VLOOKUP($R92,Afgr,Data!$BT$3)</f>
        <v>0</v>
      </c>
      <c r="PW92" s="3">
        <f>PV92*Z92</f>
        <v>0</v>
      </c>
      <c r="PY92">
        <f>VLOOKUP($R92,Afgr,Data!$BV$3)</f>
        <v>0</v>
      </c>
      <c r="PZ92">
        <f>PY92*Z92</f>
        <v>0</v>
      </c>
      <c r="QB92">
        <f>VLOOKUP($R92,Afgr,Data!$BW$3)</f>
        <v>0</v>
      </c>
      <c r="QC92">
        <f>QB92*Z92</f>
        <v>0</v>
      </c>
      <c r="QE92">
        <f>AM92*IF(VLOOKUP($R92,Afgr,Data!$BJ$3)&gt;0,1,0)</f>
        <v>0</v>
      </c>
      <c r="QF92">
        <f>QE92*Z92</f>
        <v>0</v>
      </c>
      <c r="QH92">
        <f>AM92*VLOOKUP(R92,Afgr,Data!$BK$3)</f>
        <v>0</v>
      </c>
      <c r="QI92">
        <f>Z92*QH92</f>
        <v>0</v>
      </c>
      <c r="QJ92">
        <f>$AM92*VLOOKUP($R92,Afgr,Data!$BL$3)+$BR92*VLOOKUP($T92,Efgr,Data!$AP$53)</f>
        <v>0</v>
      </c>
      <c r="QK92">
        <f>QJ92*Z92</f>
        <v>0</v>
      </c>
      <c r="QL92">
        <f>$AM92*VLOOKUP($R92,Afgr,Data!$BM$3)</f>
        <v>0</v>
      </c>
      <c r="QM92">
        <f>QL92*Z92</f>
        <v>0</v>
      </c>
      <c r="QN92">
        <f>$AM92*VLOOKUP($R92,Afgr,Data!$BN$3)</f>
        <v>0</v>
      </c>
      <c r="QO92">
        <f>QN92*Z92</f>
        <v>0</v>
      </c>
      <c r="QR92">
        <f>IF(VLOOKUP($R92,Afgr,Data!$DA$3)="Vårbyg",$AN92,0)*VLOOKUP($R92,Afgr,Data!$BJ$3)</f>
        <v>0</v>
      </c>
      <c r="QS92">
        <f>IF(VLOOKUP($R92,Afgr,Data!$DA$3)="Vinterbyg",$AN92,0)*VLOOKUP($R92,Afgr,Data!$BJ$3)</f>
        <v>0</v>
      </c>
      <c r="QT92">
        <f>IF(VLOOKUP($R92,Afgr,Data!$DA$3)="Havre",$AN92,0)*VLOOKUP($R92,Afgr,Data!$BJ$3)</f>
        <v>0</v>
      </c>
      <c r="QU92">
        <f>IF(VLOOKUP($R92,Afgr,Data!$DA$3)="Hvede",$AN92,0)*VLOOKUP($R92,Afgr,Data!$BJ$3)</f>
        <v>0</v>
      </c>
      <c r="QV92">
        <f>IF(VLOOKUP($R92,Afgr,Data!$DA$3)="Triticale",$AN92,0)*VLOOKUP($R92,Afgr,Data!$BJ$3)</f>
        <v>0</v>
      </c>
      <c r="QW92">
        <f>IF(VLOOKUP($R92,Afgr,Data!$DA$3)="Rug",$AN92,0)*VLOOKUP($R92,Afgr,Data!$BJ$3)</f>
        <v>0</v>
      </c>
      <c r="QX92">
        <f>IF(VLOOKUP($R92,Afgr,Data!$DA$3)="Majs",$AN92,0)*VLOOKUP($R92,Afgr,Data!$BJ$3)</f>
        <v>0</v>
      </c>
      <c r="RA92">
        <f>IF(OV92+PB92&gt;0,1,0)</f>
        <v>0</v>
      </c>
      <c r="RB92">
        <f>RA92*LW92</f>
        <v>0</v>
      </c>
      <c r="RC92">
        <f>RA92*MT92</f>
        <v>0</v>
      </c>
      <c r="RD92">
        <f>ND92</f>
        <v>0</v>
      </c>
      <c r="RE92">
        <f>RA92*OB92</f>
        <v>0</v>
      </c>
      <c r="RH92">
        <f>VLOOKUP(B92,Jordtype,Data!$Y$112+DenitNr-1)</f>
        <v>7.25</v>
      </c>
      <c r="RI92">
        <f>FF92*VLOOKUP(B92,Jordtype,Data!$AB$112+DenitNr-1)</f>
        <v>0</v>
      </c>
      <c r="RJ92">
        <f>((CJ92+CK92+CL92+Regn2!CO92*0.7)-(RR92+RT92))*VLOOKUP(B92,Jordtype,Data!$AE$112+DenitNr-1)</f>
        <v>0</v>
      </c>
      <c r="RK92">
        <f>0*VLOOKUP(B92,Jordtype,Data!$AE$112+DenitNr-1)</f>
        <v>0</v>
      </c>
      <c r="RL92">
        <f>Regn2!FD92*VLOOKUP(B92,Jordtype,Data!$AH$112+DenitNr-1)</f>
        <v>0</v>
      </c>
      <c r="RM92" s="3">
        <f>RH92+RI92+RJ92+RK92+RL92</f>
        <v>7.25</v>
      </c>
      <c r="RO92">
        <v>2</v>
      </c>
      <c r="RP92">
        <f>(FF92)*RO92*0.01</f>
        <v>0</v>
      </c>
      <c r="RQ92">
        <v>7</v>
      </c>
      <c r="RR92">
        <f>CE92*RQ92*0.01</f>
        <v>0</v>
      </c>
      <c r="RS92">
        <v>7</v>
      </c>
      <c r="RT92">
        <f>(Regn2!CF92+Regn2!CG92)*RS92*0.01</f>
        <v>0</v>
      </c>
      <c r="RW92">
        <f>VLOOKUP(R92,Afgr,Data!$EE$3)</f>
        <v>0</v>
      </c>
      <c r="RX92" s="3">
        <f>RP92+RR92+RT92+RV92+RW92</f>
        <v>0</v>
      </c>
    </row>
    <row r="94" spans="1:492" x14ac:dyDescent="0.25">
      <c r="A94" s="214">
        <f>Nbal!B94</f>
        <v>0</v>
      </c>
      <c r="B94">
        <v>6</v>
      </c>
      <c r="C94">
        <v>1</v>
      </c>
      <c r="D94">
        <f>IF(C94=1,VLOOKUP(B94,Jordtype,Data!$K$112),VLOOKUP(B94,Jordtype,Data!$L$112))</f>
        <v>9</v>
      </c>
      <c r="E94">
        <f>IF(C94=1,VLOOKUP(B94,Jordtype,Data!$M$112),VLOOKUP(B94,Jordtype,Data!$N$112))</f>
        <v>14</v>
      </c>
      <c r="F94">
        <f>IF(OR(B94=1,B94=3),0,IF(OR(B94=2,B94=4),1,IF(OR(B94=5,B94=6),2,3)))</f>
        <v>2</v>
      </c>
      <c r="G94">
        <f>IF(C94=1,VLOOKUP(B94,Jordtype,Data!$Q$112),VLOOKUP(B94,Jordtype,Data!$R$112))</f>
        <v>25</v>
      </c>
      <c r="H94">
        <f>IF(C94=1,VLOOKUP(B94,Jordtype,Data!$O$112),VLOOKUP(B94,Jordtype,Data!$P$112))</f>
        <v>19</v>
      </c>
      <c r="I94">
        <f>IF(B94&lt;5,0,1)</f>
        <v>1</v>
      </c>
      <c r="J94">
        <f>IF(B94&lt;5,PlojJB,1)</f>
        <v>1</v>
      </c>
      <c r="K94">
        <f>IF(B94&lt;5,SaaJB,1)</f>
        <v>1</v>
      </c>
      <c r="L94">
        <f>IF(C94=1,VLOOKUP(B94,Jordtype,Data!$S$112),VLOOKUP(B94,Jordtype,Data!$T$112))</f>
        <v>8</v>
      </c>
      <c r="M94">
        <f>IF(C94=1,VLOOKUP(B94,Jordtype,Data!$U$112),VLOOKUP(B94,Jordtype,Data!$V$112))</f>
        <v>13</v>
      </c>
      <c r="O94">
        <v>1</v>
      </c>
      <c r="P94">
        <v>1</v>
      </c>
      <c r="Q94" t="b">
        <v>0</v>
      </c>
      <c r="R94">
        <v>1</v>
      </c>
      <c r="S94">
        <v>1</v>
      </c>
      <c r="T94">
        <v>1</v>
      </c>
      <c r="U94">
        <v>1</v>
      </c>
      <c r="V94">
        <v>1</v>
      </c>
      <c r="X94">
        <v>1</v>
      </c>
      <c r="Z94">
        <f>Nbal!AG94</f>
        <v>0</v>
      </c>
      <c r="AA94">
        <v>1</v>
      </c>
      <c r="AB94">
        <f>VLOOKUP($R94,Afgr,G94)</f>
        <v>0</v>
      </c>
      <c r="AC94">
        <f>VLOOKUP($O94,Afgr,Data!$AI$3)*VLOOKUP(R94,Afgr,Data!$AJ$3)</f>
        <v>0</v>
      </c>
      <c r="AD94">
        <f>IF($Q94,0,VLOOKUP($P94,Efgr,(Data!$W$53+$V$6-1)))</f>
        <v>0</v>
      </c>
      <c r="AE94">
        <f>AB94-AC94-AD94</f>
        <v>0</v>
      </c>
      <c r="AF94">
        <f>AE94*Z94</f>
        <v>0</v>
      </c>
      <c r="AH94">
        <f>VLOOKUP(R94,Afgr,D94)</f>
        <v>0</v>
      </c>
      <c r="AI94">
        <f>VLOOKUP(O94,Afgr,Data!$AL$3)*VLOOKUP(R94,Afgr,E94)</f>
        <v>0</v>
      </c>
      <c r="AJ94">
        <f>VLOOKUP(P94,Efgr,(Data!$Y$53+I94))</f>
        <v>0</v>
      </c>
      <c r="AK94">
        <f>AH94+AI94+AJ94</f>
        <v>0</v>
      </c>
      <c r="AL94">
        <f>AH94+AI94+AJ94</f>
        <v>0</v>
      </c>
      <c r="AM94" s="3">
        <f>IF(Nbal!CK94&lt;&gt;"",Nbal!CK94,AL94)</f>
        <v>0</v>
      </c>
      <c r="AN94">
        <f>AM94*Z94</f>
        <v>0</v>
      </c>
      <c r="AO94">
        <f>VLOOKUP(R94,Afgr,3)</f>
        <v>0</v>
      </c>
      <c r="AP94">
        <f>IF(AO94="FE",VLOOKUP($R94,Afgr,Data!$AV$3),0)</f>
        <v>0</v>
      </c>
      <c r="AR94">
        <f>VLOOKUP(R94,Afgr,4)</f>
        <v>0</v>
      </c>
      <c r="AS94" s="3">
        <f>IF(Nbal!CW94&lt;&gt;"",Nbal!CW94,AR94)</f>
        <v>0</v>
      </c>
      <c r="AT94" s="3">
        <f>AM94*AS94</f>
        <v>0</v>
      </c>
      <c r="AU94" s="3">
        <f>AN94*AS94</f>
        <v>0</v>
      </c>
      <c r="AW94">
        <f>VLOOKUP(R94,Afgr,Data!$AN$3)</f>
        <v>0</v>
      </c>
      <c r="AX94" s="3">
        <f>IF(Nbal!DC94&lt;&gt;"",Nbal!DC94,AW94)</f>
        <v>0</v>
      </c>
      <c r="AY94" s="3">
        <f>AX94*Z94</f>
        <v>0</v>
      </c>
      <c r="BA94">
        <f>VLOOKUP(R94,Afgr,H94)</f>
        <v>0</v>
      </c>
      <c r="BB94">
        <f>IF(ISERROR(BA94*AM94/AK94),0,(BA94*AM94/AK94))</f>
        <v>0</v>
      </c>
      <c r="BC94" s="3">
        <f>IF(Nbal!DI94&lt;&gt;"",Nbal!DI94,BB94)</f>
        <v>0</v>
      </c>
      <c r="BD94">
        <f>BC94*Z94</f>
        <v>0</v>
      </c>
      <c r="BG94">
        <f>IF($S94=1,BC94,0)</f>
        <v>0</v>
      </c>
      <c r="BH94">
        <f>IF($S94=1,BD94,0)</f>
        <v>0</v>
      </c>
      <c r="BI94">
        <f>VLOOKUP(R94,Afgr,Data!$AM$3)</f>
        <v>0</v>
      </c>
      <c r="BJ94">
        <f>IF(Nbal!DR94&lt;&gt;"",Nbal!DR94,BI94)</f>
        <v>0</v>
      </c>
      <c r="BK94">
        <f>BG94*BJ94</f>
        <v>0</v>
      </c>
      <c r="BL94">
        <f>BH94*BJ94</f>
        <v>0</v>
      </c>
      <c r="BN94">
        <f>VLOOKUP($T94,Efgr,M94)</f>
        <v>0</v>
      </c>
      <c r="BO94">
        <f>BN94*Z94</f>
        <v>0</v>
      </c>
      <c r="BQ94">
        <f>VLOOKUP(T94,Efgr,NormudbKolonneNrEfgr1)</f>
        <v>0</v>
      </c>
      <c r="BR94" s="3">
        <f>IF(Nbal!FE94&lt;&gt;"",Nbal!FE94,BQ94)</f>
        <v>0</v>
      </c>
      <c r="BS94">
        <f>BR94*Z94</f>
        <v>0</v>
      </c>
      <c r="BT94" t="s">
        <v>37</v>
      </c>
      <c r="BU94">
        <f>BR94*Efterslaetpris</f>
        <v>0</v>
      </c>
      <c r="BV94">
        <f>BS94*Efterslaetpris</f>
        <v>0</v>
      </c>
      <c r="BW94">
        <f>VLOOKUP(T94,Efgr,Data!$AG$53)</f>
        <v>0</v>
      </c>
      <c r="BX94">
        <f>BR94*BW94</f>
        <v>0</v>
      </c>
      <c r="BZ94">
        <f>Nbal!AQ94</f>
        <v>0</v>
      </c>
      <c r="CA94" s="211">
        <f>Nbal!AT94</f>
        <v>0</v>
      </c>
      <c r="CB94" s="2">
        <f>Nbal!DZ94</f>
        <v>0</v>
      </c>
      <c r="CC94" s="211">
        <f>Nbal!AT94+Nbal!DZ94</f>
        <v>0</v>
      </c>
      <c r="CD94" s="211">
        <f>Nbal!AX94</f>
        <v>0</v>
      </c>
      <c r="CE94">
        <f>Nbal!BH94</f>
        <v>0</v>
      </c>
      <c r="CF94" s="211">
        <f>Nbal!BM94</f>
        <v>0</v>
      </c>
      <c r="CG94" s="2">
        <f>Nbal!EI94</f>
        <v>0</v>
      </c>
      <c r="CH94" s="211">
        <f>Nbal!BM94+Nbal!EI94</f>
        <v>0</v>
      </c>
      <c r="CI94" s="211">
        <f>Nbal!BW94</f>
        <v>0</v>
      </c>
      <c r="CJ94" s="211">
        <f>Nbal!BH94*Nbal!BJ94*0.01</f>
        <v>0</v>
      </c>
      <c r="CK94" s="211">
        <f>(Nbal!BM94*Nbal!BP94*0.01)</f>
        <v>0</v>
      </c>
      <c r="CL94" s="211">
        <f>(Nbal!EI94*Nbal!EL94*0.01)</f>
        <v>0</v>
      </c>
      <c r="CM94" s="211">
        <f>(Nbal!BM94*Nbal!BP94*0.01)+(Nbal!EI94*Nbal!EL94*0.01)</f>
        <v>0</v>
      </c>
      <c r="CN94" s="211">
        <f>Nbal!BW94*Nbal!BY94*0.01</f>
        <v>0</v>
      </c>
      <c r="CO94">
        <f>Nbal!BT94+Nbal!ER94</f>
        <v>0</v>
      </c>
      <c r="CQ94">
        <f>Nbal!BA94</f>
        <v>0</v>
      </c>
      <c r="CR94">
        <f>Nbal!EC94</f>
        <v>0</v>
      </c>
      <c r="CS94">
        <f>(CQ94+CR94)*Z94</f>
        <v>0</v>
      </c>
      <c r="CT94">
        <f>Nbal!CB94</f>
        <v>0</v>
      </c>
      <c r="CU94">
        <f>Nbal!EV94</f>
        <v>0</v>
      </c>
      <c r="CV94">
        <f>(CT94+CU94)*Z94</f>
        <v>0</v>
      </c>
      <c r="CW94">
        <f>Nbal!BA94+Nbal!CB94+Nbal!EC94+Nbal!EV94</f>
        <v>0</v>
      </c>
      <c r="CY94">
        <f>Nbal!BD94</f>
        <v>0</v>
      </c>
      <c r="CZ94">
        <f>Nbal!EF94</f>
        <v>0</v>
      </c>
      <c r="DA94">
        <f>(CY94+CZ94)*Z94</f>
        <v>0</v>
      </c>
      <c r="DB94">
        <f>Nbal!CE94</f>
        <v>0</v>
      </c>
      <c r="DC94">
        <f>Nbal!EY94</f>
        <v>0</v>
      </c>
      <c r="DD94">
        <f>(DB94+DC94)*Z94</f>
        <v>0</v>
      </c>
      <c r="DE94">
        <f>Nbal!BD94+Nbal!CE94+Nbal!EF94+Nbal!EY94</f>
        <v>0</v>
      </c>
      <c r="DG94">
        <f>VLOOKUP($R94,Afgr,Data!$AW$3)</f>
        <v>0</v>
      </c>
      <c r="DH94">
        <f>IF($AO94="FE",$AM94*$AP94*$DG94*0.01,$AM94*100*$DM94*0.01*$DG94*0.01)</f>
        <v>0</v>
      </c>
      <c r="DI94">
        <f>IF(VLOOKUP(R94,Afgr,Data!$BO$3)=1,DH94,0)*Z94</f>
        <v>0</v>
      </c>
      <c r="DJ94" s="12">
        <f>(BZ94+CC94+CJ94-AE94)*VLOOKUP($R94,Afgr,Data!$AX$3)</f>
        <v>0</v>
      </c>
      <c r="DK94">
        <f>DG94+DJ94</f>
        <v>0</v>
      </c>
      <c r="DL94">
        <f>IF(Nbal!CQ94&lt;&gt;"",Nbal!CQ94,DK94)</f>
        <v>0</v>
      </c>
      <c r="DM94">
        <f>VLOOKUP(R94,Afgr,Data!$AT$3)</f>
        <v>0</v>
      </c>
      <c r="DN94">
        <f>IF($AO94="FE",$AM94*$AP94*$DL94*0.01,$AM94*100*$DM94*0.01*DL94*0.01)</f>
        <v>0</v>
      </c>
      <c r="DO94">
        <f>IF(VLOOKUP(R94,Afgr,Data!$BO$3)=1,DN94,0)*Z94</f>
        <v>0</v>
      </c>
      <c r="DP94">
        <f>IF(ISERROR(DN94/VLOOKUP(R94,Afgr,Data!$AY$3)),0,DN94/VLOOKUP(R94,Afgr,Data!$AY$3))</f>
        <v>0</v>
      </c>
      <c r="DQ94">
        <f>DP94*Z94</f>
        <v>0</v>
      </c>
      <c r="DS94">
        <f>IF($AO94="FE",$AM94*$AP94*VLOOKUP($R94,Afgr,Data!$BC$3)*0.001,$AM94*100*$DM94*0.01*VLOOKUP($R94,Afgr,Data!$BC$3)*0.001)</f>
        <v>0</v>
      </c>
      <c r="DT94">
        <f>DS94*Z94</f>
        <v>0</v>
      </c>
      <c r="DV94">
        <f>IF($AO94="FE",$AM94*$AP94*VLOOKUP($R94,Afgr,Data!$BF$3)*0.001,$AM94*100*$DM94*0.01*VLOOKUP($R94,Afgr,Data!$BF$3)*0.001)</f>
        <v>0</v>
      </c>
      <c r="DW94">
        <f>DV94*Z94</f>
        <v>0</v>
      </c>
      <c r="DY94">
        <f>IF(ISERROR(VLOOKUP(R94,Afgr,Data!$AZ$3)*DL94/DG94),0,VLOOKUP(R94,Afgr,Data!$AZ$3)*DL94/DG94)</f>
        <v>0</v>
      </c>
      <c r="DZ94">
        <f>VLOOKUP(R94,Afgr,Data!$AU$3)</f>
        <v>0</v>
      </c>
      <c r="EA94">
        <f>IF($S94=1,$BC94*$DZ94*0.01*DY94*0.01,0)</f>
        <v>0</v>
      </c>
      <c r="EB94">
        <f>EA94/6.25</f>
        <v>0</v>
      </c>
      <c r="EC94">
        <f>EB94*Z94</f>
        <v>0</v>
      </c>
      <c r="EE94">
        <f>IF($S94=1,$BC94*$DZ94*0.01*VLOOKUP($R94,Afgr,Data!$BD$3)*0.001,0)</f>
        <v>0</v>
      </c>
      <c r="EF94">
        <f>EE94*Z94</f>
        <v>0</v>
      </c>
      <c r="EH94">
        <f>IF($S94=1,$BC94*$DZ94*0.01*VLOOKUP($R94,Afgr,Data!$BG$3)*0.001,0)</f>
        <v>0</v>
      </c>
      <c r="EI94">
        <f>EH94*Z94</f>
        <v>0</v>
      </c>
      <c r="EK94">
        <f>VLOOKUP(T94,Efgr,Data!$AI$53)</f>
        <v>0</v>
      </c>
      <c r="EL94">
        <f>BX94*EK94*0.01/6.25</f>
        <v>0</v>
      </c>
      <c r="EM94">
        <f>EL94*Z94</f>
        <v>0</v>
      </c>
      <c r="EO94">
        <f>$BX94*VLOOKUP($T94,Efgr,Data!$AJ$53)*0.001</f>
        <v>0</v>
      </c>
      <c r="EP94">
        <f>EO94*Z94</f>
        <v>0</v>
      </c>
      <c r="ER94">
        <f>$BX94*VLOOKUP($T94,Efgr,Data!$AK$53)*0.001</f>
        <v>0</v>
      </c>
      <c r="ES94">
        <f>ER94*Z94</f>
        <v>0</v>
      </c>
      <c r="EU94">
        <f>IF(VLOOKUP(R94,Afgr,Data!$DS$3)=1,DP94*VLOOKUP(R94,Afgr,(Data!$DT$3+EftervirkningUdb1))*VLOOKUP(R94,Afgr,Data!$DV$3),0)</f>
        <v>0</v>
      </c>
      <c r="EV94">
        <f>IF(VLOOKUP(R94,Afgr,Data!$DS$3)=2,VLOOKUP(R94,Afgr,Data!$DX$3),0)</f>
        <v>0</v>
      </c>
      <c r="EW94">
        <f>IF(VLOOKUP(R94,Afgr,Data!$DS$3)=3,$DP94*VLOOKUP($R94,Afgr,IF(Jordtype1&lt;5,Data!$DT$3,Data!$DU$3))*VLOOKUP($R94,Afgr,Data!$DV$3),0)</f>
        <v>0</v>
      </c>
      <c r="EX94">
        <f>IF(VLOOKUP(R94,Afgr,Data!$DS$3)=4,(1.232+0.00469*AM94*100+(0.000256*AM94*100+0.089)*60),0)</f>
        <v>0</v>
      </c>
      <c r="EY94" s="211">
        <f>BZ94+CA94+CJ94+CK94</f>
        <v>0</v>
      </c>
      <c r="EZ94">
        <f>IF(VLOOKUP($R94,Afgr,Data!$DS$3)=5,($AM94*0.02742-$AM94*0.0001*$EY94+$AM94*0.0000001111*$EY94*$EY94),0)</f>
        <v>0</v>
      </c>
      <c r="FA94" s="2">
        <f>CB94+CL94</f>
        <v>0</v>
      </c>
      <c r="FB94">
        <f>IF(VLOOKUP($T94,Efgr,Data!$BH$53)=5,($BR94*0.02742-$BR94*0.0001*$FA94+$BR94*0.0000001111*$FA94*$FA94),0)</f>
        <v>0</v>
      </c>
      <c r="FC94" s="3">
        <f>EU94+EV94+EW94+EX94+EZ94+FB94</f>
        <v>0</v>
      </c>
      <c r="FD94" s="3">
        <f>FC94*Z94</f>
        <v>0</v>
      </c>
      <c r="FF94" s="211">
        <f>BZ94+CC94</f>
        <v>0</v>
      </c>
      <c r="FG94" s="211">
        <f>FF94*Z94</f>
        <v>0</v>
      </c>
      <c r="FH94" s="211">
        <f>CE94+CH94+CO94</f>
        <v>0</v>
      </c>
      <c r="FI94" s="211">
        <f>FH94*Z94</f>
        <v>0</v>
      </c>
      <c r="FJ94">
        <f>VLOOKUP($R94,Afgr,Data!$DK$3)*VLOOKUP($R94,Afgr,Data!$AT$3)*0.01*VLOOKUP($R94,Afgr,Data!$AW$3)*0.01/6.25</f>
        <v>0</v>
      </c>
      <c r="FK94">
        <f>FJ94*Z94</f>
        <v>0</v>
      </c>
      <c r="FL94" s="4">
        <f>IF(R94&gt;1,Deposition,0)</f>
        <v>0</v>
      </c>
      <c r="FM94" s="4">
        <f>FL94*Z94</f>
        <v>0</v>
      </c>
      <c r="FN94">
        <f>FC94</f>
        <v>0</v>
      </c>
      <c r="FO94">
        <f>FN94*Z94</f>
        <v>0</v>
      </c>
      <c r="FP94" s="211">
        <f>SUM(FF94,FH94,FJ94,FL94,FN94)</f>
        <v>0</v>
      </c>
      <c r="FQ94">
        <f>DP94+EB94+EL94</f>
        <v>0</v>
      </c>
      <c r="FR94" s="3">
        <f>FP94-FQ94</f>
        <v>0</v>
      </c>
      <c r="FS94" s="19">
        <f>FP94*Z94</f>
        <v>0</v>
      </c>
      <c r="FT94" s="19">
        <f>FQ94*Z94</f>
        <v>0</v>
      </c>
      <c r="FU94" s="3">
        <f>FR94*Z94</f>
        <v>0</v>
      </c>
      <c r="FW94">
        <f>CW94</f>
        <v>0</v>
      </c>
      <c r="FX94">
        <f>FW94*Z94</f>
        <v>0</v>
      </c>
      <c r="FY94">
        <f>IX94+MB94</f>
        <v>0</v>
      </c>
      <c r="FZ94">
        <f>FY94*Z94</f>
        <v>0</v>
      </c>
      <c r="GA94">
        <f>FW94-FY94</f>
        <v>0</v>
      </c>
      <c r="GB94">
        <f>GA94*Z94</f>
        <v>0</v>
      </c>
      <c r="GD94">
        <f>DE94</f>
        <v>0</v>
      </c>
      <c r="GE94">
        <f>GD94*Z94</f>
        <v>0</v>
      </c>
      <c r="GF94">
        <f>JE94+MH94</f>
        <v>0</v>
      </c>
      <c r="GG94">
        <f>GF94*Z94</f>
        <v>0</v>
      </c>
      <c r="GH94">
        <f>GD94-GF94</f>
        <v>0</v>
      </c>
      <c r="GI94">
        <f>GH94*Z94</f>
        <v>0</v>
      </c>
      <c r="GK94">
        <f>AA94</f>
        <v>1</v>
      </c>
      <c r="GL94" s="211">
        <f>FF94+FH94+FN94</f>
        <v>0</v>
      </c>
      <c r="GM94" s="211" t="str">
        <f>IF(R94=1,"",IF(GK94=1,GL94,""))</f>
        <v/>
      </c>
      <c r="GN94" s="211" t="str">
        <f>IF(R94=1,"",IF(GK94=2,GL94,""))</f>
        <v/>
      </c>
      <c r="GO94" s="211" t="str">
        <f>IF(R94=1,"",IF(GK94=3,GL94,""))</f>
        <v/>
      </c>
      <c r="GP94" s="211" t="str">
        <f>IF(R94=1,"",IF(GK94=4,GL94,""))</f>
        <v/>
      </c>
      <c r="GQ94" s="149">
        <f>IF(OR(R94=1,VLOOKUP(R94,Afgr,Data!$BV$3)=1,VLOOKUP(R94,Afgr,Data!$BW$3)=1),0,IF(GK94=1,Nniveau1,IF(GK94=2,Nniveau2,IF(GK94=3,Nniveau3,IF(GK94=4,Nniveau4,GL94)))))</f>
        <v>0</v>
      </c>
      <c r="GR94" s="241">
        <v>0.32550000000000001</v>
      </c>
      <c r="GS94" s="6">
        <v>0</v>
      </c>
      <c r="GT94" s="149">
        <f>CC94+CM94</f>
        <v>0</v>
      </c>
      <c r="GU94" s="6">
        <f>$FN94</f>
        <v>0</v>
      </c>
      <c r="GV94" s="241">
        <v>0.25280000000000002</v>
      </c>
      <c r="GW94">
        <f>CO94</f>
        <v>0</v>
      </c>
      <c r="GX94" s="241">
        <v>0.376</v>
      </c>
      <c r="GY94" s="149">
        <f>CD94+CN94</f>
        <v>0</v>
      </c>
      <c r="GZ94" s="241">
        <f>IF(B94&gt;3,0.3539,1.0749)</f>
        <v>0.35389999999999999</v>
      </c>
      <c r="HA94" s="11">
        <f>$FQ94</f>
        <v>0</v>
      </c>
      <c r="HB94" s="241">
        <v>0.19359999999999999</v>
      </c>
      <c r="HC94" s="241">
        <f>VLOOKUP($R94,Afgr,Data!$DM$3)</f>
        <v>0</v>
      </c>
      <c r="HD94" s="24">
        <f>IF($HC94&gt;1,0,(VLOOKUP($X94,Afgr,Data!$DP$3)+IF(VLOOKUP($X94,Afgr,Data!$DP$3)=0,VLOOKUP($T94,Efgr,Data!$BI$53,0))))+IF(AND($HC94=7,VLOOKUP($X94,Afgr,Data!$DQ$3)=-2),-2,0)+IF(AND($HC94=6,VLOOKUP($T94,Efgr,Data!$BI$53)=2),8,0)</f>
        <v>0</v>
      </c>
      <c r="HE94" s="6" t="e">
        <f>VLOOKUP(SUM(HC94:HD94),Nlesafgr,3)</f>
        <v>#N/A</v>
      </c>
      <c r="HF94" s="7">
        <f>VLOOKUP($O94,Afgr,Data!$DN$3)</f>
        <v>0</v>
      </c>
      <c r="HG94" s="24">
        <f>IF(HF94&gt;1,0,VLOOKUP($R94,Afgr,Data!$DO$3)+IF(VLOOKUP($R94,Afgr,Data!$DO$3)=1,0,VLOOKUP($P94,Efgr,Data!$BJ$53)))</f>
        <v>0</v>
      </c>
      <c r="HH94" s="6" t="e">
        <f>VLOOKUP(SUM(HF94:HG94),Nlesforfrugt,3)</f>
        <v>#N/A</v>
      </c>
      <c r="HI94" s="241" t="e">
        <f>GR94*GQ94+GV94*(GT94+GU94)+GX94*GW94+GZ94*GY94-HB94*HA94+HE94+HH94</f>
        <v>#N/A</v>
      </c>
      <c r="HJ94" s="241">
        <f>Nlesafskaering</f>
        <v>59.6</v>
      </c>
      <c r="HK94" s="241">
        <f>Teknologi1</f>
        <v>2455</v>
      </c>
      <c r="HL94" s="6">
        <v>2001</v>
      </c>
      <c r="HM94" s="241">
        <f>Teknologi2</f>
        <v>1962.2</v>
      </c>
      <c r="HN94" s="241">
        <f>Tandel</f>
        <v>0.54659999999999997</v>
      </c>
      <c r="HO94" s="241" t="e">
        <f>IF(OR(HI94&gt;0,HI94=0),HJ94+HK94/(HL94-HM94),HJ94+HK94/(HL94-HM94)+HN94*HI94)</f>
        <v>#N/A</v>
      </c>
      <c r="HP94" s="241" t="e">
        <f>IF(HI94&gt;0,HI94,0.001)</f>
        <v>#N/A</v>
      </c>
      <c r="HQ94" s="241">
        <v>1.5020000000000001E-3</v>
      </c>
      <c r="HR94" s="24">
        <f>IF(R94=1,0,VLOOKUP(PostnrNbal,AfstromData,VLOOKUP($R94,Afgr,Data!$DL$3)+IF(Jordtype1&lt;7,Jordtype1,6),FALSE)-VLOOKUP(T94,Efgr,Data!$AA$53))</f>
        <v>0</v>
      </c>
      <c r="HS94" s="24">
        <f>IF(Nbal!GA94&lt;&gt;"",Nbal!GA94,Regn2!HR94)</f>
        <v>0</v>
      </c>
      <c r="HT94" s="241">
        <v>5.5400000000000002E-4</v>
      </c>
      <c r="HU94" s="24">
        <f>IF(R94=1,0,VLOOKUP(PostnrNbal,AfstromData,VLOOKUP($O94,Afgr,Data!$DL$3)+IF(B94&lt;7,B94,6),FALSE)-VLOOKUP(P94,Efgr,Data!$AA$53))</f>
        <v>0</v>
      </c>
      <c r="HV94" s="24">
        <f>IF(Nbal!FU94&lt;&gt;"",Nbal!FU94,Regn2!HU94)</f>
        <v>0</v>
      </c>
      <c r="HW94" s="241">
        <v>0.10639999999999999</v>
      </c>
      <c r="HX94" s="6">
        <f>VLOOKUP(B94,Jordtype,Data!$W$112)</f>
        <v>3</v>
      </c>
      <c r="HY94" s="241">
        <v>3.2500000000000001E-2</v>
      </c>
      <c r="HZ94" s="6">
        <f>VLOOKUP(B94,Jordtype,Data!$X$112)</f>
        <v>12</v>
      </c>
      <c r="IA94" s="241">
        <v>1.2453000000000001</v>
      </c>
      <c r="IB94" s="241">
        <f>IF(VLOOKUP(T94,Efgr,Data!$AO$53)=1,MlafgrNUdvask,0)</f>
        <v>0</v>
      </c>
      <c r="IC94" s="20">
        <f>IF(ISERROR((HO94+POWER(HP94,1.2))*(1-EXP(-HQ94*HS94))*EXP(-HT94*HV94)*EXP(-HW94*HX94)*EXP(-HY94*HZ94)*IA94),0,(HO94+POWER(HP94,1.2))*(1-EXP(-HQ94*HS94))*EXP(-HT94*HV94)*EXP(-HW94*HX94)*EXP(-HY94*HZ94)*IA94+IB94)</f>
        <v>0</v>
      </c>
      <c r="ID94">
        <f>IC94*Z94</f>
        <v>0</v>
      </c>
      <c r="IE94">
        <f>IF(Nbal!GF94&lt;&gt;"",Nbal!GF94,RetentionNbal)</f>
        <v>65</v>
      </c>
      <c r="IF94">
        <f>IC94*(100-IE94)*0.01</f>
        <v>0</v>
      </c>
      <c r="IG94">
        <f>IF94*Z94</f>
        <v>0</v>
      </c>
      <c r="IH94" s="2">
        <f>HS94*10000</f>
        <v>0</v>
      </c>
      <c r="II94" s="2">
        <f>IH94*Z94</f>
        <v>0</v>
      </c>
      <c r="IJ94">
        <f>IF(ISERROR(IC94*1000*1000/IH94),0,IC94*1000*1000/IH94)</f>
        <v>0</v>
      </c>
      <c r="IL94">
        <f>AT94+AX94+BK94+BU94</f>
        <v>0</v>
      </c>
      <c r="IO94">
        <f>VLOOKUP(R94,Afgr,Data!$AP$3)*UdsaedJust</f>
        <v>0</v>
      </c>
      <c r="IP94" s="3">
        <f>IF(Nbal!GN94&lt;&gt;"",Nbal!GN94,IO94)</f>
        <v>0</v>
      </c>
      <c r="IQ94" s="3">
        <f>IP94*Z94</f>
        <v>0</v>
      </c>
      <c r="IS94" s="3">
        <f>IF(HdgVaerdiNbal=1,(BZ94+CA94)*Npris,(BZ94+CA94+CJ94+CK94)*Npris)</f>
        <v>0</v>
      </c>
      <c r="IT94" s="3">
        <f>IS94*Z94</f>
        <v>0</v>
      </c>
      <c r="IV94">
        <f>VLOOKUP($R94,Afgr,Data!$BA$3)</f>
        <v>0</v>
      </c>
      <c r="IW94">
        <f>VLOOKUP($R94,Afgr,Data!$BB$3)</f>
        <v>0</v>
      </c>
      <c r="IX94">
        <f>$DS94+$EE94</f>
        <v>0</v>
      </c>
      <c r="IY94">
        <f>CT94</f>
        <v>0</v>
      </c>
      <c r="IZ94">
        <f>CQ94</f>
        <v>0</v>
      </c>
      <c r="JA94" s="3">
        <f>IF(HdgVaerdiNbal=1,(IZ94)*Ppris,(IY94+IZ94)*Ppris)</f>
        <v>0</v>
      </c>
      <c r="JB94" s="3">
        <f>JA94*Z94</f>
        <v>0</v>
      </c>
      <c r="JD94">
        <f>IF(AND(R94&gt;1,OR(Jordtype1=1,Jordtype1=3,Markvand1=2)),Kudvask,0)</f>
        <v>0</v>
      </c>
      <c r="JE94">
        <f>$DV94+$EH94</f>
        <v>0</v>
      </c>
      <c r="JF94">
        <f>DB94</f>
        <v>0</v>
      </c>
      <c r="JG94">
        <f>CY94</f>
        <v>0</v>
      </c>
      <c r="JH94" s="3">
        <f>IF(HdgVaerdiNbal=1,JG94*Kpris,(JF94+JG94)*Kpris)</f>
        <v>0</v>
      </c>
      <c r="JI94" s="3">
        <f>JH94*Z94</f>
        <v>0</v>
      </c>
      <c r="JK94">
        <f>IS94+JA94+JH94</f>
        <v>0</v>
      </c>
      <c r="JL94" s="3">
        <f>IF(Nbal!GT94&lt;&gt;"",Nbal!GT94,$JK94)</f>
        <v>0</v>
      </c>
      <c r="JM94" s="3">
        <f>JL94*Z94</f>
        <v>0</v>
      </c>
      <c r="JO94">
        <f>VLOOKUP(R94,Afgr,Data!$AQ$3)*PlantevJust</f>
        <v>0</v>
      </c>
      <c r="JP94" s="3">
        <f>IF(Nbal!GZ94&lt;&gt;"",Nbal!GZ94,JO94)</f>
        <v>0</v>
      </c>
      <c r="JQ94" s="3">
        <f>JP94*Z94</f>
        <v>0</v>
      </c>
      <c r="JS94">
        <f>VLOOKUP(R94,Afgr,Data!$AR$3)+AM94*VLOOKUP(R94,Afgr,Data!$BH$3)</f>
        <v>0</v>
      </c>
      <c r="JT94" s="3">
        <f>IF(Nbal!HF94&lt;&gt;"",Nbal!HF94,JS94)</f>
        <v>0</v>
      </c>
      <c r="JU94">
        <f>JT94*Z94</f>
        <v>0</v>
      </c>
      <c r="JW94">
        <f>IP94+JL94+JP94+JT94</f>
        <v>0</v>
      </c>
      <c r="JY94">
        <f>IF(VLOOKUP(R94,Afgr,Data!$BY$3)&gt;0,Data!$K$259*J94,0)</f>
        <v>0</v>
      </c>
      <c r="JZ94">
        <f>IF(VLOOKUP(R94,Afgr,Data!$BZ$3)&gt;0,Data!$K$260*J94,0)</f>
        <v>0</v>
      </c>
      <c r="KA94">
        <f>(JY94+JZ94)*MaskJust</f>
        <v>0</v>
      </c>
      <c r="KB94" s="3">
        <f>IF(Nbal!HL94&lt;&gt;"",Nbal!HL94,KA94)</f>
        <v>0</v>
      </c>
      <c r="KC94" s="3">
        <f>KB94*Z94</f>
        <v>0</v>
      </c>
      <c r="KE94">
        <f>IF(VLOOKUP(R94,Afgr,Data!$CA$3)&gt;0,VLOOKUP(R94,Afgr,Data!$CA$3)*Data!$K$261*K94,0)</f>
        <v>0</v>
      </c>
      <c r="KF94">
        <f>IF(VLOOKUP(R94,Afgr,Data!$CC$3)&gt;0,Data!$K$262*K94,0)</f>
        <v>0</v>
      </c>
      <c r="KG94">
        <f>IF(VLOOKUP(R94,Afgr,Data!$CD$3)&gt;0,VLOOKUP(R94,Afgr,Data!$CD$3)*Data!$K$263*K94,0)</f>
        <v>0</v>
      </c>
      <c r="KH94">
        <f>IF(VLOOKUP(R94,Afgr,Data!$CE$3)&gt;0,Data!$K$264*K94,0)</f>
        <v>0</v>
      </c>
      <c r="KI94">
        <f>IF(VLOOKUP(R94,Afgr,Data!$CF$3)&gt;0,Data!$K$265*K94,0)</f>
        <v>0</v>
      </c>
      <c r="KJ94">
        <f>IF(VLOOKUP(R94,Afgr,Data!$CV$3)&gt;0,Data!$K$266,0)</f>
        <v>0</v>
      </c>
      <c r="KK94">
        <f>IF(VLOOKUP(R94,Afgr,Data!$CG$3)&gt;0,Data!$K$267*K94,0)</f>
        <v>0</v>
      </c>
      <c r="KL94">
        <f>(KE94+KF94+KG94+KH94+KI94+KJ94+KK94)*MaskJust</f>
        <v>0</v>
      </c>
      <c r="KM94" s="3">
        <f>IF(Nbal!HR94&lt;&gt;"",Nbal!HR94,KL94)</f>
        <v>0</v>
      </c>
      <c r="KN94" s="3">
        <f>KM94*Z94</f>
        <v>0</v>
      </c>
      <c r="KP94">
        <f>IF(VLOOKUP(R94,Afgr,Data!$CJ$3)&gt;0,VLOOKUP(R94,Afgr,Data!$CJ$3)*Data!$K$268*K94,0)*MaskJust</f>
        <v>0</v>
      </c>
      <c r="KQ94" s="3">
        <f>IF(Nbal!HX94&lt;&gt;"",Nbal!HX94,KP94)</f>
        <v>0</v>
      </c>
      <c r="KR94" s="3">
        <f>KQ94*Z94</f>
        <v>0</v>
      </c>
      <c r="KT94">
        <f>IF(VLOOKUP(R94,Afgr,Data!$CI$3)&gt;0,VLOOKUP(R94,Afgr,Data!$CI$3)*Data!$K$269,0)*MaskJust</f>
        <v>0</v>
      </c>
      <c r="KU94" s="3">
        <f>IF(Nbal!ID94&lt;&gt;"",Nbal!ID94,KT94)</f>
        <v>0</v>
      </c>
      <c r="KV94" s="3">
        <f>KU94*Z94</f>
        <v>0</v>
      </c>
      <c r="KX94">
        <f>IF(C94=2,VLOOKUP($R94,Afgr,Data!$CY$3),0)</f>
        <v>0</v>
      </c>
      <c r="KY94">
        <f>IF(Nbal!IJ94&lt;&gt;"",Nbal!IJ94,$KX94)</f>
        <v>0</v>
      </c>
      <c r="KZ94">
        <f>IF(AND(R94&gt;1,C94=2),Vandmaskin+$KY94*Flytning/mmprgang+$KY94*Prisprmm,0)</f>
        <v>0</v>
      </c>
      <c r="LA94" s="3">
        <f>IF(Nbal!IP94&lt;&gt;"",Nbal!IP94,$KZ94)</f>
        <v>0</v>
      </c>
      <c r="LB94" s="3">
        <f>LA94*Z94</f>
        <v>0</v>
      </c>
      <c r="LD94">
        <f>IF(VLOOKUP($R94,Afgr,Data!$CK$3)&gt;0,((1+AM94/VLOOKUP($R94,Afgr,Data!$CK$3))/2)*VLOOKUP($R94,Afgr,Data!$CL$3)*VLOOKUP($R94,Afgr,Data!$CN$3)+VLOOKUP($R94,Afgr,Data!$CM$3),0)</f>
        <v>0</v>
      </c>
      <c r="LE94">
        <f>IF(VLOOKUP($R94,Afgr,Data!$CK$3)&gt;0,IF(AND($S94=2,$BA94&gt;0),Data!$K$271,0),0)</f>
        <v>0</v>
      </c>
      <c r="LF94">
        <f>IF(VLOOKUP($R94,Afgr,Data!$CK$3)&gt;0,(AM94/VLOOKUP($R94,Afgr,Data!$CK$3))*VLOOKUP($R94,Afgr,Data!$CO$3)*VLOOKUP($R94,Afgr,Data!$CN$3),0)</f>
        <v>0</v>
      </c>
      <c r="LG94">
        <f>(LD94+LE94+LF94)*MaskJust</f>
        <v>0</v>
      </c>
      <c r="LH94" s="3">
        <f>IF(Nbal!IV94&lt;&gt;"",Nbal!IV94,LG94)</f>
        <v>0</v>
      </c>
      <c r="LI94" s="3">
        <f>LH94*Z94</f>
        <v>0</v>
      </c>
      <c r="LJ94" s="3"/>
      <c r="LK94">
        <f>IF(AND($S94=1,VLOOKUP($R94,Afgr,Data!$CP$3)&gt;0),((1+$BC94/VLOOKUP($R94,Afgr,Data!$CP$3))/2)*VLOOKUP($R94,Afgr,Data!$CQ$3),0)</f>
        <v>0</v>
      </c>
      <c r="LL94">
        <f>IF(AND($S94=1,VLOOKUP($R94,Afgr,Data!$CP$3)&gt;0),($BC94/VLOOKUP($R94,Afgr,Data!$CP$3))*VLOOKUP($R94,Afgr,Data!$CR$3),0)</f>
        <v>0</v>
      </c>
      <c r="LM94">
        <f>(LK94+LL94)*MaskJust</f>
        <v>0</v>
      </c>
      <c r="LN94" s="3">
        <f>IF(Nbal!JB94&lt;&gt;"",Nbal!JB94,LM94)</f>
        <v>0</v>
      </c>
      <c r="LO94" s="3">
        <f>LN94*Z94</f>
        <v>0</v>
      </c>
      <c r="LQ94">
        <f>$AM94*VLOOKUP($R94,Afgr,Data!$CS$3)*IF($V94=1,VLOOKUP($R94,Afgr,Data!$CT$3),IF($V94=2,VLOOKUP($R94,Afgr,Data!$CU$3),0))</f>
        <v>0</v>
      </c>
      <c r="LR94" s="3">
        <f>IF(Nbal!JK94&lt;&gt;"",Nbal!JK94,LQ94)</f>
        <v>0</v>
      </c>
      <c r="LS94" s="3">
        <f>LR94*Z94</f>
        <v>0</v>
      </c>
      <c r="LU94">
        <f>VLOOKUP($T94,Efgr,Data!$AC$53)*UdsaedJust</f>
        <v>0</v>
      </c>
      <c r="LV94" s="3">
        <f>IF(Nbal!$JS94&lt;&gt;"",Nbal!$JS94,LU94)</f>
        <v>0</v>
      </c>
      <c r="LW94" s="3">
        <f>LV94*Z94</f>
        <v>0</v>
      </c>
      <c r="LY94" s="3">
        <f>IF(HdgVaerdiNbal=1,(CB94)*Npris,(CB94+CL94)*Npris)</f>
        <v>0</v>
      </c>
      <c r="LZ94" s="3">
        <f>LY94*Z94</f>
        <v>0</v>
      </c>
      <c r="MB94">
        <f>$EO94</f>
        <v>0</v>
      </c>
      <c r="MC94">
        <f>CU94</f>
        <v>0</v>
      </c>
      <c r="MD94">
        <f>CR94</f>
        <v>0</v>
      </c>
      <c r="ME94" s="3">
        <f>IF(HdgVaerdiNbal=1,MD94*Ppris,(MC94+MD94)*Ppris)</f>
        <v>0</v>
      </c>
      <c r="MF94" s="3">
        <f>ME94*Z94</f>
        <v>0</v>
      </c>
      <c r="MH94">
        <f>$ER94</f>
        <v>0</v>
      </c>
      <c r="MI94">
        <f>DC94</f>
        <v>0</v>
      </c>
      <c r="MJ94">
        <f>CZ94</f>
        <v>0</v>
      </c>
      <c r="MK94" s="3">
        <f>IF(HdgVaerdiNbal=1,MJ94*Ppris,(MI94+MJ94)*Ppris)</f>
        <v>0</v>
      </c>
      <c r="ML94" s="3">
        <f>MK94*Z94</f>
        <v>0</v>
      </c>
      <c r="MN94">
        <f>LY94+ME94+MK94</f>
        <v>0</v>
      </c>
      <c r="MO94" s="3">
        <f>IF(Nbal!JY94&lt;&gt;"",Nbal!JY94,$MN94)</f>
        <v>0</v>
      </c>
      <c r="MP94" s="3">
        <f>MO94*Z94</f>
        <v>0</v>
      </c>
      <c r="MR94">
        <f>VLOOKUP($T94,Efgr,Data!$AE$53)*PlantevJust</f>
        <v>0</v>
      </c>
      <c r="MS94" s="3">
        <f>IF(Nbal!KE94&lt;&gt;"",Nbal!KE94,MR94)</f>
        <v>0</v>
      </c>
      <c r="MT94" s="3">
        <f>MS94*Z94</f>
        <v>0</v>
      </c>
      <c r="MV94">
        <f>VLOOKUP($T94,Efgr,Data!$AF$53)+$BR94*VLOOKUP($T94,Efgr,Data!$AL$53)</f>
        <v>0</v>
      </c>
      <c r="MW94" s="3">
        <f>IF(Nbal!KK94&lt;&gt;"",Nbal!KK94,MV94)</f>
        <v>0</v>
      </c>
      <c r="MX94" s="3">
        <f>MW94*Z94</f>
        <v>0</v>
      </c>
      <c r="MZ94">
        <f>LV94+MO94+MS94+MW94</f>
        <v>0</v>
      </c>
      <c r="NB94">
        <f>VLOOKUP($T94,Efgr,Data!$AU$53)*K94*MaskJust</f>
        <v>0</v>
      </c>
      <c r="NC94" s="3">
        <f>IF(Nbal!KQ94&lt;&gt;"",Nbal!KQ94,NB94)</f>
        <v>0</v>
      </c>
      <c r="ND94" s="3">
        <f>NC94*Z94</f>
        <v>0</v>
      </c>
      <c r="NF94">
        <f>VLOOKUP($T94,Efgr,Data!$AW$53)*Data!$K$268*K94*MaskJust</f>
        <v>0</v>
      </c>
      <c r="NG94" s="3">
        <f>IF(Nbal!KW94&lt;&gt;"",Nbal!KW94,NF94)</f>
        <v>0</v>
      </c>
      <c r="NH94" s="3">
        <f>NG94*Z94</f>
        <v>0</v>
      </c>
      <c r="NJ94">
        <f>VLOOKUP($T94,Efgr,Data!$AV$53)*Data!$K$269*MaskJust</f>
        <v>0</v>
      </c>
      <c r="NK94" s="3">
        <f>IF(Nbal!LC94&lt;&gt;"",Nbal!LC94,NJ94)</f>
        <v>0</v>
      </c>
      <c r="NL94" s="3">
        <f>NK94*Z94</f>
        <v>0</v>
      </c>
      <c r="NN94">
        <f>IF(C94=2,VLOOKUP($T94,Efgr,Data!$BC$53),0)</f>
        <v>0</v>
      </c>
      <c r="NO94">
        <f>IF(Nbal!LI94&lt;&gt;"",Nbal!LI94,$NN94)</f>
        <v>0</v>
      </c>
      <c r="NP94">
        <f>IF(C94=2,$NO94*Flytning/mmprgang+$NO94*Prisprmm,0)</f>
        <v>0</v>
      </c>
      <c r="NQ94" s="3">
        <f>IF(Nbal!LO94&lt;&gt;"",Nbal!LO94,$NP94)</f>
        <v>0</v>
      </c>
      <c r="NR94" s="3">
        <f>NQ94*Z94</f>
        <v>0</v>
      </c>
      <c r="NT94">
        <f>IF(VLOOKUP($T94,Efgr,Data!$AX$53)&gt;0,((1+BR94/VLOOKUP($T94,Efgr,Data!$AX$53))/2)*VLOOKUP($T94,Efgr,Data!$AY$53)*VLOOKUP($T94,Efgr,Data!$BA$53)+VLOOKUP($T94,Efgr,Data!$AZ$53),0)</f>
        <v>0</v>
      </c>
      <c r="NU94">
        <f>IF(VLOOKUP($T94,Efgr,Data!$AX$53)&gt;0,($BR94/VLOOKUP($T94,Efgr,Data!$AX$53))*VLOOKUP($T94,Efgr,Data!$BB$53)*VLOOKUP($T94,Efgr,Data!$BA$53),0)</f>
        <v>0</v>
      </c>
      <c r="NV94">
        <f>(NT94+NU94)*MaskJust</f>
        <v>0</v>
      </c>
      <c r="NW94" s="3">
        <f>IF(Nbal!LU94&lt;&gt;"",Nbal!LU94,NV94)</f>
        <v>0</v>
      </c>
      <c r="NX94" s="3">
        <f>NW94*Z94</f>
        <v>0</v>
      </c>
      <c r="NZ94">
        <f>IF($U94=2,Data!$K$304,IF($U94=3,Data!$K$305,0))*MaskJust</f>
        <v>0</v>
      </c>
      <c r="OA94" s="3">
        <f>IF(Nbal!MA94&lt;&gt;"",Nbal!MA94,NZ94)</f>
        <v>0</v>
      </c>
      <c r="OB94" s="3">
        <f>OA94*Z94</f>
        <v>0</v>
      </c>
      <c r="OD94">
        <f>IL94</f>
        <v>0</v>
      </c>
      <c r="OE94">
        <f>JW94+MZ94</f>
        <v>0</v>
      </c>
      <c r="OF94">
        <f>OD94-OE94</f>
        <v>0</v>
      </c>
      <c r="OG94">
        <f>OF94*Z94</f>
        <v>0</v>
      </c>
      <c r="OJ94">
        <f>VLOOKUP($O94,Afgr,Data!$BP$3)+VLOOKUP($P94,Efgr,Data!$AM$53)</f>
        <v>0</v>
      </c>
      <c r="OK94" s="3">
        <f>OJ94*Z94</f>
        <v>0</v>
      </c>
      <c r="OL94">
        <f>VLOOKUP($R94,Afgr,Data!$BP$3)+VLOOKUP($T94,Efgr,Data!$AM$53)</f>
        <v>0</v>
      </c>
      <c r="OM94" s="3">
        <f>OL94*Z94</f>
        <v>0</v>
      </c>
      <c r="OO94">
        <f>VLOOKUP($P94,Efgr,Data!$AN$53)</f>
        <v>0</v>
      </c>
      <c r="OP94">
        <f>VLOOKUP($O94,Afgr,Data!$BQ$3)</f>
        <v>0</v>
      </c>
      <c r="OQ94">
        <f>VLOOKUP($R94,Afgr,Data!$BR$3)</f>
        <v>1</v>
      </c>
      <c r="OR94">
        <f>OO94*OP94*OQ94</f>
        <v>0</v>
      </c>
      <c r="OS94" s="3">
        <f>OR94*Z94</f>
        <v>0</v>
      </c>
      <c r="OT94" s="3">
        <f>IF(Q94,1,0)*OS94</f>
        <v>0</v>
      </c>
      <c r="OV94">
        <f>VLOOKUP($T94,Efgr,Data!$AN$53)</f>
        <v>0</v>
      </c>
      <c r="OW94">
        <f>VLOOKUP($R94,Afgr,Data!$BQ$3)</f>
        <v>0</v>
      </c>
      <c r="OX94">
        <f>VLOOKUP($X94,Afgr,Data!$BR$3)</f>
        <v>1</v>
      </c>
      <c r="OY94">
        <f>OV94*OW94*OX94</f>
        <v>0</v>
      </c>
      <c r="OZ94" s="3">
        <f>OY94*Z94</f>
        <v>0</v>
      </c>
      <c r="PB94">
        <f>VLOOKUP($T94,Efgr,Data!$AO$53)</f>
        <v>0</v>
      </c>
      <c r="PC94">
        <f>VLOOKUP($O94,Afgr,Data!$BQ$3)</f>
        <v>0</v>
      </c>
      <c r="PD94">
        <f>VLOOKUP($R94,Afgr,Data!$BS$3)</f>
        <v>0</v>
      </c>
      <c r="PE94" s="3">
        <f>PB94*PC94*PD94*$Z94</f>
        <v>0</v>
      </c>
      <c r="PG94">
        <f>VLOOKUP($T94,Efgr,Data!$AO$53)</f>
        <v>0</v>
      </c>
      <c r="PH94">
        <f>VLOOKUP($R94,Afgr,Data!$BQ$3)</f>
        <v>0</v>
      </c>
      <c r="PI94">
        <f>VLOOKUP($X94,Afgr,Data!$BS$3)</f>
        <v>0</v>
      </c>
      <c r="PJ94" s="3">
        <f>PG94*PH94*PI94*$Z94</f>
        <v>0</v>
      </c>
      <c r="PK94" s="3"/>
      <c r="PL94" s="3">
        <f>VLOOKUP($O94,Afgr,Data!$BU$3)</f>
        <v>0</v>
      </c>
      <c r="PM94" s="3">
        <f>PL94*Z94</f>
        <v>0</v>
      </c>
      <c r="PN94" s="3">
        <f>VLOOKUP($R94,Afgr,Data!$BU$3)</f>
        <v>0</v>
      </c>
      <c r="PO94" s="3">
        <f>PN94*Z94</f>
        <v>0</v>
      </c>
      <c r="PQ94">
        <f>VLOOKUP(R94,Afgr,Data!$BX$3)+VLOOKUP(T94,Efgr,Data!$AQ$53)</f>
        <v>0</v>
      </c>
      <c r="PR94">
        <f>IF(PQ94&gt;0,Z94,0)</f>
        <v>0</v>
      </c>
      <c r="PT94">
        <f>VLOOKUP($O94,Afgr,Data!$BT$3)</f>
        <v>0</v>
      </c>
      <c r="PU94" s="3">
        <f>PT94*Z94</f>
        <v>0</v>
      </c>
      <c r="PV94">
        <f>VLOOKUP($R94,Afgr,Data!$BT$3)</f>
        <v>0</v>
      </c>
      <c r="PW94" s="3">
        <f>PV94*Z94</f>
        <v>0</v>
      </c>
      <c r="PY94">
        <f>VLOOKUP($R94,Afgr,Data!$BV$3)</f>
        <v>0</v>
      </c>
      <c r="PZ94">
        <f>PY94*Z94</f>
        <v>0</v>
      </c>
      <c r="QB94">
        <f>VLOOKUP($R94,Afgr,Data!$BW$3)</f>
        <v>0</v>
      </c>
      <c r="QC94">
        <f>QB94*Z94</f>
        <v>0</v>
      </c>
      <c r="QE94">
        <f>AM94*IF(VLOOKUP($R94,Afgr,Data!$BJ$3)&gt;0,1,0)</f>
        <v>0</v>
      </c>
      <c r="QF94">
        <f>QE94*Z94</f>
        <v>0</v>
      </c>
      <c r="QH94">
        <f>AM94*VLOOKUP(R94,Afgr,Data!$BK$3)</f>
        <v>0</v>
      </c>
      <c r="QI94">
        <f>Z94*QH94</f>
        <v>0</v>
      </c>
      <c r="QJ94">
        <f>$AM94*VLOOKUP($R94,Afgr,Data!$BL$3)+$BR94*VLOOKUP($T94,Efgr,Data!$AP$53)</f>
        <v>0</v>
      </c>
      <c r="QK94">
        <f>QJ94*Z94</f>
        <v>0</v>
      </c>
      <c r="QL94">
        <f>$AM94*VLOOKUP($R94,Afgr,Data!$BM$3)</f>
        <v>0</v>
      </c>
      <c r="QM94">
        <f>QL94*Z94</f>
        <v>0</v>
      </c>
      <c r="QN94">
        <f>$AM94*VLOOKUP($R94,Afgr,Data!$BN$3)</f>
        <v>0</v>
      </c>
      <c r="QO94">
        <f>QN94*Z94</f>
        <v>0</v>
      </c>
      <c r="QR94">
        <f>IF(VLOOKUP($R94,Afgr,Data!$DA$3)="Vårbyg",$AN94,0)*VLOOKUP($R94,Afgr,Data!$BJ$3)</f>
        <v>0</v>
      </c>
      <c r="QS94">
        <f>IF(VLOOKUP($R94,Afgr,Data!$DA$3)="Vinterbyg",$AN94,0)*VLOOKUP($R94,Afgr,Data!$BJ$3)</f>
        <v>0</v>
      </c>
      <c r="QT94">
        <f>IF(VLOOKUP($R94,Afgr,Data!$DA$3)="Havre",$AN94,0)*VLOOKUP($R94,Afgr,Data!$BJ$3)</f>
        <v>0</v>
      </c>
      <c r="QU94">
        <f>IF(VLOOKUP($R94,Afgr,Data!$DA$3)="Hvede",$AN94,0)*VLOOKUP($R94,Afgr,Data!$BJ$3)</f>
        <v>0</v>
      </c>
      <c r="QV94">
        <f>IF(VLOOKUP($R94,Afgr,Data!$DA$3)="Triticale",$AN94,0)*VLOOKUP($R94,Afgr,Data!$BJ$3)</f>
        <v>0</v>
      </c>
      <c r="QW94">
        <f>IF(VLOOKUP($R94,Afgr,Data!$DA$3)="Rug",$AN94,0)*VLOOKUP($R94,Afgr,Data!$BJ$3)</f>
        <v>0</v>
      </c>
      <c r="QX94">
        <f>IF(VLOOKUP($R94,Afgr,Data!$DA$3)="Majs",$AN94,0)*VLOOKUP($R94,Afgr,Data!$BJ$3)</f>
        <v>0</v>
      </c>
      <c r="RA94">
        <f>IF(OV94+PB94&gt;0,1,0)</f>
        <v>0</v>
      </c>
      <c r="RB94">
        <f>RA94*LW94</f>
        <v>0</v>
      </c>
      <c r="RC94">
        <f>RA94*MT94</f>
        <v>0</v>
      </c>
      <c r="RD94">
        <f>ND94</f>
        <v>0</v>
      </c>
      <c r="RE94">
        <f>RA94*OB94</f>
        <v>0</v>
      </c>
      <c r="RH94">
        <f>VLOOKUP(B94,Jordtype,Data!$Y$112+DenitNr-1)</f>
        <v>7.25</v>
      </c>
      <c r="RI94">
        <f>FF94*VLOOKUP(B94,Jordtype,Data!$AB$112+DenitNr-1)</f>
        <v>0</v>
      </c>
      <c r="RJ94">
        <f>((CJ94+CK94+CL94+Regn2!CO94*0.7)-(RR94+RT94))*VLOOKUP(B94,Jordtype,Data!$AE$112+DenitNr-1)</f>
        <v>0</v>
      </c>
      <c r="RK94">
        <f>0*VLOOKUP(B94,Jordtype,Data!$AE$112+DenitNr-1)</f>
        <v>0</v>
      </c>
      <c r="RL94">
        <f>Regn2!FD94*VLOOKUP(B94,Jordtype,Data!$AH$112+DenitNr-1)</f>
        <v>0</v>
      </c>
      <c r="RM94" s="3">
        <f>RH94+RI94+RJ94+RK94+RL94</f>
        <v>7.25</v>
      </c>
      <c r="RO94">
        <v>2</v>
      </c>
      <c r="RP94">
        <f>(FF94)*RO94*0.01</f>
        <v>0</v>
      </c>
      <c r="RQ94">
        <v>7</v>
      </c>
      <c r="RR94">
        <f>CE94*RQ94*0.01</f>
        <v>0</v>
      </c>
      <c r="RS94">
        <v>7</v>
      </c>
      <c r="RT94">
        <f>(Regn2!CF94+Regn2!CG94)*RS94*0.01</f>
        <v>0</v>
      </c>
      <c r="RW94">
        <f>VLOOKUP(R94,Afgr,Data!$EE$3)</f>
        <v>0</v>
      </c>
      <c r="RX94" s="3">
        <f>RP94+RR94+RT94+RV94+RW94</f>
        <v>0</v>
      </c>
    </row>
    <row r="96" spans="1:492" x14ac:dyDescent="0.25">
      <c r="A96" s="214">
        <f>Nbal!B96</f>
        <v>0</v>
      </c>
      <c r="B96">
        <v>6</v>
      </c>
      <c r="C96">
        <v>1</v>
      </c>
      <c r="D96">
        <f>IF(C96=1,VLOOKUP(B96,Jordtype,Data!$K$112),VLOOKUP(B96,Jordtype,Data!$L$112))</f>
        <v>9</v>
      </c>
      <c r="E96">
        <f>IF(C96=1,VLOOKUP(B96,Jordtype,Data!$M$112),VLOOKUP(B96,Jordtype,Data!$N$112))</f>
        <v>14</v>
      </c>
      <c r="F96">
        <f>IF(OR(B96=1,B96=3),0,IF(OR(B96=2,B96=4),1,IF(OR(B96=5,B96=6),2,3)))</f>
        <v>2</v>
      </c>
      <c r="G96">
        <f>IF(C96=1,VLOOKUP(B96,Jordtype,Data!$Q$112),VLOOKUP(B96,Jordtype,Data!$R$112))</f>
        <v>25</v>
      </c>
      <c r="H96">
        <f>IF(C96=1,VLOOKUP(B96,Jordtype,Data!$O$112),VLOOKUP(B96,Jordtype,Data!$P$112))</f>
        <v>19</v>
      </c>
      <c r="I96">
        <f>IF(B96&lt;5,0,1)</f>
        <v>1</v>
      </c>
      <c r="J96">
        <f>IF(B96&lt;5,PlojJB,1)</f>
        <v>1</v>
      </c>
      <c r="K96">
        <f>IF(B96&lt;5,SaaJB,1)</f>
        <v>1</v>
      </c>
      <c r="L96">
        <f>IF(C96=1,VLOOKUP(B96,Jordtype,Data!$S$112),VLOOKUP(B96,Jordtype,Data!$T$112))</f>
        <v>8</v>
      </c>
      <c r="M96">
        <f>IF(C96=1,VLOOKUP(B96,Jordtype,Data!$U$112),VLOOKUP(B96,Jordtype,Data!$V$112))</f>
        <v>13</v>
      </c>
      <c r="O96">
        <v>1</v>
      </c>
      <c r="P96">
        <v>1</v>
      </c>
      <c r="Q96" t="b">
        <v>0</v>
      </c>
      <c r="R96">
        <v>1</v>
      </c>
      <c r="S96">
        <v>1</v>
      </c>
      <c r="T96">
        <v>1</v>
      </c>
      <c r="U96">
        <v>1</v>
      </c>
      <c r="V96">
        <v>1</v>
      </c>
      <c r="X96">
        <v>1</v>
      </c>
      <c r="Z96">
        <f>Nbal!AG96</f>
        <v>0</v>
      </c>
      <c r="AA96">
        <v>1</v>
      </c>
      <c r="AB96">
        <f>VLOOKUP($R96,Afgr,G96)</f>
        <v>0</v>
      </c>
      <c r="AC96">
        <f>VLOOKUP($O96,Afgr,Data!$AI$3)*VLOOKUP(R96,Afgr,Data!$AJ$3)</f>
        <v>0</v>
      </c>
      <c r="AD96">
        <f>IF($Q96,0,VLOOKUP($P96,Efgr,(Data!$W$53+$V$6-1)))</f>
        <v>0</v>
      </c>
      <c r="AE96">
        <f>AB96-AC96-AD96</f>
        <v>0</v>
      </c>
      <c r="AF96">
        <f>AE96*Z96</f>
        <v>0</v>
      </c>
      <c r="AH96">
        <f>VLOOKUP(R96,Afgr,D96)</f>
        <v>0</v>
      </c>
      <c r="AI96">
        <f>VLOOKUP(O96,Afgr,Data!$AL$3)*VLOOKUP(R96,Afgr,E96)</f>
        <v>0</v>
      </c>
      <c r="AJ96">
        <f>VLOOKUP(P96,Efgr,(Data!$Y$53+I96))</f>
        <v>0</v>
      </c>
      <c r="AK96">
        <f>AH96+AI96+AJ96</f>
        <v>0</v>
      </c>
      <c r="AL96">
        <f>AH96+AI96+AJ96</f>
        <v>0</v>
      </c>
      <c r="AM96" s="3">
        <f>IF(Nbal!CK96&lt;&gt;"",Nbal!CK96,AL96)</f>
        <v>0</v>
      </c>
      <c r="AN96">
        <f>AM96*Z96</f>
        <v>0</v>
      </c>
      <c r="AO96">
        <f>VLOOKUP(R96,Afgr,3)</f>
        <v>0</v>
      </c>
      <c r="AP96">
        <f>IF(AO96="FE",VLOOKUP($R96,Afgr,Data!$AV$3),0)</f>
        <v>0</v>
      </c>
      <c r="AR96">
        <f>VLOOKUP(R96,Afgr,4)</f>
        <v>0</v>
      </c>
      <c r="AS96" s="3">
        <f>IF(Nbal!CW96&lt;&gt;"",Nbal!CW96,AR96)</f>
        <v>0</v>
      </c>
      <c r="AT96" s="3">
        <f>AM96*AS96</f>
        <v>0</v>
      </c>
      <c r="AU96" s="3">
        <f>AN96*AS96</f>
        <v>0</v>
      </c>
      <c r="AW96">
        <f>VLOOKUP(R96,Afgr,Data!$AN$3)</f>
        <v>0</v>
      </c>
      <c r="AX96" s="3">
        <f>IF(Nbal!DC96&lt;&gt;"",Nbal!DC96,AW96)</f>
        <v>0</v>
      </c>
      <c r="AY96" s="3">
        <f>AX96*Z96</f>
        <v>0</v>
      </c>
      <c r="BA96">
        <f>VLOOKUP(R96,Afgr,H96)</f>
        <v>0</v>
      </c>
      <c r="BB96">
        <f>IF(ISERROR(BA96*AM96/AK96),0,(BA96*AM96/AK96))</f>
        <v>0</v>
      </c>
      <c r="BC96" s="3">
        <f>IF(Nbal!DI96&lt;&gt;"",Nbal!DI96,BB96)</f>
        <v>0</v>
      </c>
      <c r="BD96">
        <f>BC96*Z96</f>
        <v>0</v>
      </c>
      <c r="BG96">
        <f>IF($S96=1,BC96,0)</f>
        <v>0</v>
      </c>
      <c r="BH96">
        <f>IF($S96=1,BD96,0)</f>
        <v>0</v>
      </c>
      <c r="BI96">
        <f>VLOOKUP(R96,Afgr,Data!$AM$3)</f>
        <v>0</v>
      </c>
      <c r="BJ96">
        <f>IF(Nbal!DR96&lt;&gt;"",Nbal!DR96,BI96)</f>
        <v>0</v>
      </c>
      <c r="BK96">
        <f>BG96*BJ96</f>
        <v>0</v>
      </c>
      <c r="BL96">
        <f>BH96*BJ96</f>
        <v>0</v>
      </c>
      <c r="BN96">
        <f>VLOOKUP($T96,Efgr,M96)</f>
        <v>0</v>
      </c>
      <c r="BO96">
        <f>BN96*Z96</f>
        <v>0</v>
      </c>
      <c r="BQ96">
        <f>VLOOKUP(T96,Efgr,NormudbKolonneNrEfgr1)</f>
        <v>0</v>
      </c>
      <c r="BR96" s="3">
        <f>IF(Nbal!FE96&lt;&gt;"",Nbal!FE96,BQ96)</f>
        <v>0</v>
      </c>
      <c r="BS96">
        <f>BR96*Z96</f>
        <v>0</v>
      </c>
      <c r="BT96" t="s">
        <v>37</v>
      </c>
      <c r="BU96">
        <f>BR96*Efterslaetpris</f>
        <v>0</v>
      </c>
      <c r="BV96">
        <f>BS96*Efterslaetpris</f>
        <v>0</v>
      </c>
      <c r="BW96">
        <f>VLOOKUP(T96,Efgr,Data!$AG$53)</f>
        <v>0</v>
      </c>
      <c r="BX96">
        <f>BR96*BW96</f>
        <v>0</v>
      </c>
      <c r="BZ96">
        <f>Nbal!AQ96</f>
        <v>0</v>
      </c>
      <c r="CA96" s="211">
        <f>Nbal!AT96</f>
        <v>0</v>
      </c>
      <c r="CB96" s="2">
        <f>Nbal!DZ96</f>
        <v>0</v>
      </c>
      <c r="CC96" s="211">
        <f>Nbal!AT96+Nbal!DZ96</f>
        <v>0</v>
      </c>
      <c r="CD96" s="211">
        <f>Nbal!AX96</f>
        <v>0</v>
      </c>
      <c r="CE96">
        <f>Nbal!BH96</f>
        <v>0</v>
      </c>
      <c r="CF96" s="211">
        <f>Nbal!BM96</f>
        <v>0</v>
      </c>
      <c r="CG96" s="2">
        <f>Nbal!EI96</f>
        <v>0</v>
      </c>
      <c r="CH96" s="211">
        <f>Nbal!BM96+Nbal!EI96</f>
        <v>0</v>
      </c>
      <c r="CI96" s="211">
        <f>Nbal!BW96</f>
        <v>0</v>
      </c>
      <c r="CJ96" s="211">
        <f>Nbal!BH96*Nbal!BJ96*0.01</f>
        <v>0</v>
      </c>
      <c r="CK96" s="211">
        <f>(Nbal!BM96*Nbal!BP96*0.01)</f>
        <v>0</v>
      </c>
      <c r="CL96" s="211">
        <f>(Nbal!EI96*Nbal!EL96*0.01)</f>
        <v>0</v>
      </c>
      <c r="CM96" s="211">
        <f>(Nbal!BM96*Nbal!BP96*0.01)+(Nbal!EI96*Nbal!EL96*0.01)</f>
        <v>0</v>
      </c>
      <c r="CN96" s="211">
        <f>Nbal!BW96*Nbal!BY96*0.01</f>
        <v>0</v>
      </c>
      <c r="CO96">
        <f>Nbal!BT96+Nbal!ER96</f>
        <v>0</v>
      </c>
      <c r="CQ96">
        <f>Nbal!BA96</f>
        <v>0</v>
      </c>
      <c r="CR96">
        <f>Nbal!EC96</f>
        <v>0</v>
      </c>
      <c r="CS96">
        <f>(CQ96+CR96)*Z96</f>
        <v>0</v>
      </c>
      <c r="CT96">
        <f>Nbal!CB96</f>
        <v>0</v>
      </c>
      <c r="CU96">
        <f>Nbal!EV96</f>
        <v>0</v>
      </c>
      <c r="CV96">
        <f>(CT96+CU96)*Z96</f>
        <v>0</v>
      </c>
      <c r="CW96">
        <f>Nbal!BA96+Nbal!CB96+Nbal!EC96+Nbal!EV96</f>
        <v>0</v>
      </c>
      <c r="CY96">
        <f>Nbal!BD96</f>
        <v>0</v>
      </c>
      <c r="CZ96">
        <f>Nbal!EF96</f>
        <v>0</v>
      </c>
      <c r="DA96">
        <f>(CY96+CZ96)*Z96</f>
        <v>0</v>
      </c>
      <c r="DB96">
        <f>Nbal!CE96</f>
        <v>0</v>
      </c>
      <c r="DC96">
        <f>Nbal!EY96</f>
        <v>0</v>
      </c>
      <c r="DD96">
        <f>(DB96+DC96)*Z96</f>
        <v>0</v>
      </c>
      <c r="DE96">
        <f>Nbal!BD96+Nbal!CE96+Nbal!EF96+Nbal!EY96</f>
        <v>0</v>
      </c>
      <c r="DG96">
        <f>VLOOKUP($R96,Afgr,Data!$AW$3)</f>
        <v>0</v>
      </c>
      <c r="DH96">
        <f>IF($AO96="FE",$AM96*$AP96*$DG96*0.01,$AM96*100*$DM96*0.01*$DG96*0.01)</f>
        <v>0</v>
      </c>
      <c r="DI96">
        <f>IF(VLOOKUP(R96,Afgr,Data!$BO$3)=1,DH96,0)*Z96</f>
        <v>0</v>
      </c>
      <c r="DJ96" s="12">
        <f>(BZ96+CC96+CJ96-AE96)*VLOOKUP($R96,Afgr,Data!$AX$3)</f>
        <v>0</v>
      </c>
      <c r="DK96">
        <f>DG96+DJ96</f>
        <v>0</v>
      </c>
      <c r="DL96">
        <f>IF(Nbal!CQ96&lt;&gt;"",Nbal!CQ96,DK96)</f>
        <v>0</v>
      </c>
      <c r="DM96">
        <f>VLOOKUP(R96,Afgr,Data!$AT$3)</f>
        <v>0</v>
      </c>
      <c r="DN96">
        <f>IF($AO96="FE",$AM96*$AP96*$DL96*0.01,$AM96*100*$DM96*0.01*DL96*0.01)</f>
        <v>0</v>
      </c>
      <c r="DO96">
        <f>IF(VLOOKUP(R96,Afgr,Data!$BO$3)=1,DN96,0)*Z96</f>
        <v>0</v>
      </c>
      <c r="DP96">
        <f>IF(ISERROR(DN96/VLOOKUP(R96,Afgr,Data!$AY$3)),0,DN96/VLOOKUP(R96,Afgr,Data!$AY$3))</f>
        <v>0</v>
      </c>
      <c r="DQ96">
        <f>DP96*Z96</f>
        <v>0</v>
      </c>
      <c r="DS96">
        <f>IF($AO96="FE",$AM96*$AP96*VLOOKUP($R96,Afgr,Data!$BC$3)*0.001,$AM96*100*$DM96*0.01*VLOOKUP($R96,Afgr,Data!$BC$3)*0.001)</f>
        <v>0</v>
      </c>
      <c r="DT96">
        <f>DS96*Z96</f>
        <v>0</v>
      </c>
      <c r="DV96">
        <f>IF($AO96="FE",$AM96*$AP96*VLOOKUP($R96,Afgr,Data!$BF$3)*0.001,$AM96*100*$DM96*0.01*VLOOKUP($R96,Afgr,Data!$BF$3)*0.001)</f>
        <v>0</v>
      </c>
      <c r="DW96">
        <f>DV96*Z96</f>
        <v>0</v>
      </c>
      <c r="DY96">
        <f>IF(ISERROR(VLOOKUP(R96,Afgr,Data!$AZ$3)*DL96/DG96),0,VLOOKUP(R96,Afgr,Data!$AZ$3)*DL96/DG96)</f>
        <v>0</v>
      </c>
      <c r="DZ96">
        <f>VLOOKUP(R96,Afgr,Data!$AU$3)</f>
        <v>0</v>
      </c>
      <c r="EA96">
        <f>IF($S96=1,$BC96*$DZ96*0.01*DY96*0.01,0)</f>
        <v>0</v>
      </c>
      <c r="EB96">
        <f>EA96/6.25</f>
        <v>0</v>
      </c>
      <c r="EC96">
        <f>EB96*Z96</f>
        <v>0</v>
      </c>
      <c r="EE96">
        <f>IF($S96=1,$BC96*$DZ96*0.01*VLOOKUP($R96,Afgr,Data!$BD$3)*0.001,0)</f>
        <v>0</v>
      </c>
      <c r="EF96">
        <f>EE96*Z96</f>
        <v>0</v>
      </c>
      <c r="EH96">
        <f>IF($S96=1,$BC96*$DZ96*0.01*VLOOKUP($R96,Afgr,Data!$BG$3)*0.001,0)</f>
        <v>0</v>
      </c>
      <c r="EI96">
        <f>EH96*Z96</f>
        <v>0</v>
      </c>
      <c r="EK96">
        <f>VLOOKUP(T96,Efgr,Data!$AI$53)</f>
        <v>0</v>
      </c>
      <c r="EL96">
        <f>BX96*EK96*0.01/6.25</f>
        <v>0</v>
      </c>
      <c r="EM96">
        <f>EL96*Z96</f>
        <v>0</v>
      </c>
      <c r="EO96">
        <f>$BX96*VLOOKUP($T96,Efgr,Data!$AJ$53)*0.001</f>
        <v>0</v>
      </c>
      <c r="EP96">
        <f>EO96*Z96</f>
        <v>0</v>
      </c>
      <c r="ER96">
        <f>$BX96*VLOOKUP($T96,Efgr,Data!$AK$53)*0.001</f>
        <v>0</v>
      </c>
      <c r="ES96">
        <f>ER96*Z96</f>
        <v>0</v>
      </c>
      <c r="EU96">
        <f>IF(VLOOKUP(R96,Afgr,Data!$DS$3)=1,DP96*VLOOKUP(R96,Afgr,(Data!$DT$3+EftervirkningUdb1))*VLOOKUP(R96,Afgr,Data!$DV$3),0)</f>
        <v>0</v>
      </c>
      <c r="EV96">
        <f>IF(VLOOKUP(R96,Afgr,Data!$DS$3)=2,VLOOKUP(R96,Afgr,Data!$DX$3),0)</f>
        <v>0</v>
      </c>
      <c r="EW96">
        <f>IF(VLOOKUP(R96,Afgr,Data!$DS$3)=3,$DP96*VLOOKUP($R96,Afgr,IF(Jordtype1&lt;5,Data!$DT$3,Data!$DU$3))*VLOOKUP($R96,Afgr,Data!$DV$3),0)</f>
        <v>0</v>
      </c>
      <c r="EX96">
        <f>IF(VLOOKUP(R96,Afgr,Data!$DS$3)=4,(1.232+0.00469*AM96*100+(0.000256*AM96*100+0.089)*60),0)</f>
        <v>0</v>
      </c>
      <c r="EY96" s="211">
        <f>BZ96+CA96+CJ96+CK96</f>
        <v>0</v>
      </c>
      <c r="EZ96">
        <f>IF(VLOOKUP($R96,Afgr,Data!$DS$3)=5,($AM96*0.02742-$AM96*0.0001*$EY96+$AM96*0.0000001111*$EY96*$EY96),0)</f>
        <v>0</v>
      </c>
      <c r="FA96" s="2">
        <f>CB96+CL96</f>
        <v>0</v>
      </c>
      <c r="FB96">
        <f>IF(VLOOKUP($T96,Efgr,Data!$BH$53)=5,($BR96*0.02742-$BR96*0.0001*$FA96+$BR96*0.0000001111*$FA96*$FA96),0)</f>
        <v>0</v>
      </c>
      <c r="FC96" s="3">
        <f>EU96+EV96+EW96+EX96+EZ96+FB96</f>
        <v>0</v>
      </c>
      <c r="FD96" s="3">
        <f>FC96*Z96</f>
        <v>0</v>
      </c>
      <c r="FF96" s="211">
        <f>BZ96+CC96</f>
        <v>0</v>
      </c>
      <c r="FG96" s="211">
        <f>FF96*Z96</f>
        <v>0</v>
      </c>
      <c r="FH96" s="211">
        <f>CE96+CH96+CO96</f>
        <v>0</v>
      </c>
      <c r="FI96" s="211">
        <f>FH96*Z96</f>
        <v>0</v>
      </c>
      <c r="FJ96">
        <f>VLOOKUP($R96,Afgr,Data!$DK$3)*VLOOKUP($R96,Afgr,Data!$AT$3)*0.01*VLOOKUP($R96,Afgr,Data!$AW$3)*0.01/6.25</f>
        <v>0</v>
      </c>
      <c r="FK96">
        <f>FJ96*Z96</f>
        <v>0</v>
      </c>
      <c r="FL96" s="4">
        <f>IF(R96&gt;1,Deposition,0)</f>
        <v>0</v>
      </c>
      <c r="FM96" s="4">
        <f>FL96*Z96</f>
        <v>0</v>
      </c>
      <c r="FN96">
        <f>FC96</f>
        <v>0</v>
      </c>
      <c r="FO96">
        <f>FN96*Z96</f>
        <v>0</v>
      </c>
      <c r="FP96" s="211">
        <f>SUM(FF96,FH96,FJ96,FL96,FN96)</f>
        <v>0</v>
      </c>
      <c r="FQ96">
        <f>DP96+EB96+EL96</f>
        <v>0</v>
      </c>
      <c r="FR96" s="3">
        <f>FP96-FQ96</f>
        <v>0</v>
      </c>
      <c r="FS96" s="19">
        <f>FP96*Z96</f>
        <v>0</v>
      </c>
      <c r="FT96" s="19">
        <f>FQ96*Z96</f>
        <v>0</v>
      </c>
      <c r="FU96" s="3">
        <f>FR96*Z96</f>
        <v>0</v>
      </c>
      <c r="FW96">
        <f>CW96</f>
        <v>0</v>
      </c>
      <c r="FX96">
        <f>FW96*Z96</f>
        <v>0</v>
      </c>
      <c r="FY96">
        <f>IX96+MB96</f>
        <v>0</v>
      </c>
      <c r="FZ96">
        <f>FY96*Z96</f>
        <v>0</v>
      </c>
      <c r="GA96">
        <f>FW96-FY96</f>
        <v>0</v>
      </c>
      <c r="GB96">
        <f>GA96*Z96</f>
        <v>0</v>
      </c>
      <c r="GD96">
        <f>DE96</f>
        <v>0</v>
      </c>
      <c r="GE96">
        <f>GD96*Z96</f>
        <v>0</v>
      </c>
      <c r="GF96">
        <f>JE96+MH96</f>
        <v>0</v>
      </c>
      <c r="GG96">
        <f>GF96*Z96</f>
        <v>0</v>
      </c>
      <c r="GH96">
        <f>GD96-GF96</f>
        <v>0</v>
      </c>
      <c r="GI96">
        <f>GH96*Z96</f>
        <v>0</v>
      </c>
      <c r="GK96">
        <f>AA96</f>
        <v>1</v>
      </c>
      <c r="GL96" s="211">
        <f>FF96+FH96+FN96</f>
        <v>0</v>
      </c>
      <c r="GM96" s="211" t="str">
        <f>IF(R96=1,"",IF(GK96=1,GL96,""))</f>
        <v/>
      </c>
      <c r="GN96" s="211" t="str">
        <f>IF(R96=1,"",IF(GK96=2,GL96,""))</f>
        <v/>
      </c>
      <c r="GO96" s="211" t="str">
        <f>IF(R96=1,"",IF(GK96=3,GL96,""))</f>
        <v/>
      </c>
      <c r="GP96" s="211" t="str">
        <f>IF(R96=1,"",IF(GK96=4,GL96,""))</f>
        <v/>
      </c>
      <c r="GQ96" s="149">
        <f>IF(OR(R96=1,VLOOKUP(R96,Afgr,Data!$BV$3)=1,VLOOKUP(R96,Afgr,Data!$BW$3)=1),0,IF(GK96=1,Nniveau1,IF(GK96=2,Nniveau2,IF(GK96=3,Nniveau3,IF(GK96=4,Nniveau4,GL96)))))</f>
        <v>0</v>
      </c>
      <c r="GR96" s="241">
        <v>0.32550000000000001</v>
      </c>
      <c r="GS96" s="6">
        <v>0</v>
      </c>
      <c r="GT96" s="149">
        <f>CC96+CM96</f>
        <v>0</v>
      </c>
      <c r="GU96" s="6">
        <f>$FN96</f>
        <v>0</v>
      </c>
      <c r="GV96" s="241">
        <v>0.25280000000000002</v>
      </c>
      <c r="GW96">
        <f>CO96</f>
        <v>0</v>
      </c>
      <c r="GX96" s="241">
        <v>0.376</v>
      </c>
      <c r="GY96" s="149">
        <f>CD96+CN96</f>
        <v>0</v>
      </c>
      <c r="GZ96" s="241">
        <f>IF(B96&gt;3,0.3539,1.0749)</f>
        <v>0.35389999999999999</v>
      </c>
      <c r="HA96" s="11">
        <f>$FQ96</f>
        <v>0</v>
      </c>
      <c r="HB96" s="241">
        <v>0.19359999999999999</v>
      </c>
      <c r="HC96" s="241">
        <f>VLOOKUP($R96,Afgr,Data!$DM$3)</f>
        <v>0</v>
      </c>
      <c r="HD96" s="24">
        <f>IF($HC96&gt;1,0,(VLOOKUP($X96,Afgr,Data!$DP$3)+IF(VLOOKUP($X96,Afgr,Data!$DP$3)=0,VLOOKUP($T96,Efgr,Data!$BI$53,0))))+IF(AND($HC96=7,VLOOKUP($X96,Afgr,Data!$DQ$3)=-2),-2,0)+IF(AND($HC96=6,VLOOKUP($T96,Efgr,Data!$BI$53)=2),8,0)</f>
        <v>0</v>
      </c>
      <c r="HE96" s="6" t="e">
        <f>VLOOKUP(SUM(HC96:HD96),Nlesafgr,3)</f>
        <v>#N/A</v>
      </c>
      <c r="HF96" s="7">
        <f>VLOOKUP($O96,Afgr,Data!$DN$3)</f>
        <v>0</v>
      </c>
      <c r="HG96" s="24">
        <f>IF(HF96&gt;1,0,VLOOKUP($R96,Afgr,Data!$DO$3)+IF(VLOOKUP($R96,Afgr,Data!$DO$3)=1,0,VLOOKUP($P96,Efgr,Data!$BJ$53)))</f>
        <v>0</v>
      </c>
      <c r="HH96" s="6" t="e">
        <f>VLOOKUP(SUM(HF96:HG96),Nlesforfrugt,3)</f>
        <v>#N/A</v>
      </c>
      <c r="HI96" s="241" t="e">
        <f>GR96*GQ96+GV96*(GT96+GU96)+GX96*GW96+GZ96*GY96-HB96*HA96+HE96+HH96</f>
        <v>#N/A</v>
      </c>
      <c r="HJ96" s="241">
        <f>Nlesafskaering</f>
        <v>59.6</v>
      </c>
      <c r="HK96" s="241">
        <f>Teknologi1</f>
        <v>2455</v>
      </c>
      <c r="HL96" s="6">
        <v>2001</v>
      </c>
      <c r="HM96" s="241">
        <f>Teknologi2</f>
        <v>1962.2</v>
      </c>
      <c r="HN96" s="241">
        <f>Tandel</f>
        <v>0.54659999999999997</v>
      </c>
      <c r="HO96" s="241" t="e">
        <f>IF(OR(HI96&gt;0,HI96=0),HJ96+HK96/(HL96-HM96),HJ96+HK96/(HL96-HM96)+HN96*HI96)</f>
        <v>#N/A</v>
      </c>
      <c r="HP96" s="241" t="e">
        <f>IF(HI96&gt;0,HI96,0.001)</f>
        <v>#N/A</v>
      </c>
      <c r="HQ96" s="241">
        <v>1.5020000000000001E-3</v>
      </c>
      <c r="HR96" s="24">
        <f>IF(R96=1,0,VLOOKUP(PostnrNbal,AfstromData,VLOOKUP($R96,Afgr,Data!$DL$3)+IF(Jordtype1&lt;7,Jordtype1,6),FALSE)-VLOOKUP(T96,Efgr,Data!$AA$53))</f>
        <v>0</v>
      </c>
      <c r="HS96" s="24">
        <f>IF(Nbal!GA96&lt;&gt;"",Nbal!GA96,Regn2!HR96)</f>
        <v>0</v>
      </c>
      <c r="HT96" s="241">
        <v>5.5400000000000002E-4</v>
      </c>
      <c r="HU96" s="24">
        <f>IF(R96=1,0,VLOOKUP(PostnrNbal,AfstromData,VLOOKUP($O96,Afgr,Data!$DL$3)+IF(B96&lt;7,B96,6),FALSE)-VLOOKUP(P96,Efgr,Data!$AA$53))</f>
        <v>0</v>
      </c>
      <c r="HV96" s="24">
        <f>IF(Nbal!FU96&lt;&gt;"",Nbal!FU96,Regn2!HU96)</f>
        <v>0</v>
      </c>
      <c r="HW96" s="241">
        <v>0.10639999999999999</v>
      </c>
      <c r="HX96" s="6">
        <f>VLOOKUP(B96,Jordtype,Data!$W$112)</f>
        <v>3</v>
      </c>
      <c r="HY96" s="241">
        <v>3.2500000000000001E-2</v>
      </c>
      <c r="HZ96" s="6">
        <f>VLOOKUP(B96,Jordtype,Data!$X$112)</f>
        <v>12</v>
      </c>
      <c r="IA96" s="241">
        <v>1.2453000000000001</v>
      </c>
      <c r="IB96" s="241">
        <f>IF(VLOOKUP(T96,Efgr,Data!$AO$53)=1,MlafgrNUdvask,0)</f>
        <v>0</v>
      </c>
      <c r="IC96" s="20">
        <f>IF(ISERROR((HO96+POWER(HP96,1.2))*(1-EXP(-HQ96*HS96))*EXP(-HT96*HV96)*EXP(-HW96*HX96)*EXP(-HY96*HZ96)*IA96),0,(HO96+POWER(HP96,1.2))*(1-EXP(-HQ96*HS96))*EXP(-HT96*HV96)*EXP(-HW96*HX96)*EXP(-HY96*HZ96)*IA96+IB96)</f>
        <v>0</v>
      </c>
      <c r="ID96">
        <f>IC96*Z96</f>
        <v>0</v>
      </c>
      <c r="IE96">
        <f>IF(Nbal!GF96&lt;&gt;"",Nbal!GF96,RetentionNbal)</f>
        <v>65</v>
      </c>
      <c r="IF96">
        <f>IC96*(100-IE96)*0.01</f>
        <v>0</v>
      </c>
      <c r="IG96">
        <f>IF96*Z96</f>
        <v>0</v>
      </c>
      <c r="IH96" s="2">
        <f>HS96*10000</f>
        <v>0</v>
      </c>
      <c r="II96" s="2">
        <f>IH96*Z96</f>
        <v>0</v>
      </c>
      <c r="IJ96">
        <f>IF(ISERROR(IC96*1000*1000/IH96),0,IC96*1000*1000/IH96)</f>
        <v>0</v>
      </c>
      <c r="IL96">
        <f>AT96+AX96+BK96+BU96</f>
        <v>0</v>
      </c>
      <c r="IO96">
        <f>VLOOKUP(R96,Afgr,Data!$AP$3)*UdsaedJust</f>
        <v>0</v>
      </c>
      <c r="IP96" s="3">
        <f>IF(Nbal!GN96&lt;&gt;"",Nbal!GN96,IO96)</f>
        <v>0</v>
      </c>
      <c r="IQ96" s="3">
        <f>IP96*Z96</f>
        <v>0</v>
      </c>
      <c r="IS96" s="3">
        <f>IF(HdgVaerdiNbal=1,(BZ96+CA96)*Npris,(BZ96+CA96+CJ96+CK96)*Npris)</f>
        <v>0</v>
      </c>
      <c r="IT96" s="3">
        <f>IS96*Z96</f>
        <v>0</v>
      </c>
      <c r="IV96">
        <f>VLOOKUP($R96,Afgr,Data!$BA$3)</f>
        <v>0</v>
      </c>
      <c r="IW96">
        <f>VLOOKUP($R96,Afgr,Data!$BB$3)</f>
        <v>0</v>
      </c>
      <c r="IX96">
        <f>$DS96+$EE96</f>
        <v>0</v>
      </c>
      <c r="IY96">
        <f>CT96</f>
        <v>0</v>
      </c>
      <c r="IZ96">
        <f>CQ96</f>
        <v>0</v>
      </c>
      <c r="JA96" s="3">
        <f>IF(HdgVaerdiNbal=1,(IZ96)*Ppris,(IY96+IZ96)*Ppris)</f>
        <v>0</v>
      </c>
      <c r="JB96" s="3">
        <f>JA96*Z96</f>
        <v>0</v>
      </c>
      <c r="JD96">
        <f>IF(AND(R96&gt;1,OR(Jordtype1=1,Jordtype1=3,Markvand1=2)),Kudvask,0)</f>
        <v>0</v>
      </c>
      <c r="JE96">
        <f>$DV96+$EH96</f>
        <v>0</v>
      </c>
      <c r="JF96">
        <f>DB96</f>
        <v>0</v>
      </c>
      <c r="JG96">
        <f>CY96</f>
        <v>0</v>
      </c>
      <c r="JH96" s="3">
        <f>IF(HdgVaerdiNbal=1,JG96*Kpris,(JF96+JG96)*Kpris)</f>
        <v>0</v>
      </c>
      <c r="JI96" s="3">
        <f>JH96*Z96</f>
        <v>0</v>
      </c>
      <c r="JK96">
        <f>IS96+JA96+JH96</f>
        <v>0</v>
      </c>
      <c r="JL96" s="3">
        <f>IF(Nbal!GT96&lt;&gt;"",Nbal!GT96,$JK96)</f>
        <v>0</v>
      </c>
      <c r="JM96" s="3">
        <f>JL96*Z96</f>
        <v>0</v>
      </c>
      <c r="JO96">
        <f>VLOOKUP(R96,Afgr,Data!$AQ$3)*PlantevJust</f>
        <v>0</v>
      </c>
      <c r="JP96" s="3">
        <f>IF(Nbal!GZ96&lt;&gt;"",Nbal!GZ96,JO96)</f>
        <v>0</v>
      </c>
      <c r="JQ96" s="3">
        <f>JP96*Z96</f>
        <v>0</v>
      </c>
      <c r="JS96">
        <f>VLOOKUP(R96,Afgr,Data!$AR$3)+AM96*VLOOKUP(R96,Afgr,Data!$BH$3)</f>
        <v>0</v>
      </c>
      <c r="JT96" s="3">
        <f>IF(Nbal!HF96&lt;&gt;"",Nbal!HF96,JS96)</f>
        <v>0</v>
      </c>
      <c r="JU96">
        <f>JT96*Z96</f>
        <v>0</v>
      </c>
      <c r="JW96">
        <f>IP96+JL96+JP96+JT96</f>
        <v>0</v>
      </c>
      <c r="JY96">
        <f>IF(VLOOKUP(R96,Afgr,Data!$BY$3)&gt;0,Data!$K$259*J96,0)</f>
        <v>0</v>
      </c>
      <c r="JZ96">
        <f>IF(VLOOKUP(R96,Afgr,Data!$BZ$3)&gt;0,Data!$K$260*J96,0)</f>
        <v>0</v>
      </c>
      <c r="KA96">
        <f>(JY96+JZ96)*MaskJust</f>
        <v>0</v>
      </c>
      <c r="KB96" s="3">
        <f>IF(Nbal!HL96&lt;&gt;"",Nbal!HL96,KA96)</f>
        <v>0</v>
      </c>
      <c r="KC96" s="3">
        <f>KB96*Z96</f>
        <v>0</v>
      </c>
      <c r="KE96">
        <f>IF(VLOOKUP(R96,Afgr,Data!$CA$3)&gt;0,VLOOKUP(R96,Afgr,Data!$CA$3)*Data!$K$261*K96,0)</f>
        <v>0</v>
      </c>
      <c r="KF96">
        <f>IF(VLOOKUP(R96,Afgr,Data!$CC$3)&gt;0,Data!$K$262*K96,0)</f>
        <v>0</v>
      </c>
      <c r="KG96">
        <f>IF(VLOOKUP(R96,Afgr,Data!$CD$3)&gt;0,VLOOKUP(R96,Afgr,Data!$CD$3)*Data!$K$263*K96,0)</f>
        <v>0</v>
      </c>
      <c r="KH96">
        <f>IF(VLOOKUP(R96,Afgr,Data!$CE$3)&gt;0,Data!$K$264*K96,0)</f>
        <v>0</v>
      </c>
      <c r="KI96">
        <f>IF(VLOOKUP(R96,Afgr,Data!$CF$3)&gt;0,Data!$K$265*K96,0)</f>
        <v>0</v>
      </c>
      <c r="KJ96">
        <f>IF(VLOOKUP(R96,Afgr,Data!$CV$3)&gt;0,Data!$K$266,0)</f>
        <v>0</v>
      </c>
      <c r="KK96">
        <f>IF(VLOOKUP(R96,Afgr,Data!$CG$3)&gt;0,Data!$K$267*K96,0)</f>
        <v>0</v>
      </c>
      <c r="KL96">
        <f>(KE96+KF96+KG96+KH96+KI96+KJ96+KK96)*MaskJust</f>
        <v>0</v>
      </c>
      <c r="KM96" s="3">
        <f>IF(Nbal!HR96&lt;&gt;"",Nbal!HR96,KL96)</f>
        <v>0</v>
      </c>
      <c r="KN96" s="3">
        <f>KM96*Z96</f>
        <v>0</v>
      </c>
      <c r="KP96">
        <f>IF(VLOOKUP(R96,Afgr,Data!$CJ$3)&gt;0,VLOOKUP(R96,Afgr,Data!$CJ$3)*Data!$K$268*K96,0)*MaskJust</f>
        <v>0</v>
      </c>
      <c r="KQ96" s="3">
        <f>IF(Nbal!HX96&lt;&gt;"",Nbal!HX96,KP96)</f>
        <v>0</v>
      </c>
      <c r="KR96" s="3">
        <f>KQ96*Z96</f>
        <v>0</v>
      </c>
      <c r="KT96">
        <f>IF(VLOOKUP(R96,Afgr,Data!$CI$3)&gt;0,VLOOKUP(R96,Afgr,Data!$CI$3)*Data!$K$269,0)*MaskJust</f>
        <v>0</v>
      </c>
      <c r="KU96" s="3">
        <f>IF(Nbal!ID96&lt;&gt;"",Nbal!ID96,KT96)</f>
        <v>0</v>
      </c>
      <c r="KV96" s="3">
        <f>KU96*Z96</f>
        <v>0</v>
      </c>
      <c r="KX96">
        <f>IF(C96=2,VLOOKUP($R96,Afgr,Data!$CY$3),0)</f>
        <v>0</v>
      </c>
      <c r="KY96">
        <f>IF(Nbal!IJ96&lt;&gt;"",Nbal!IJ96,$KX96)</f>
        <v>0</v>
      </c>
      <c r="KZ96">
        <f>IF(AND(R96&gt;1,C96=2),Vandmaskin+$KY96*Flytning/mmprgang+$KY96*Prisprmm,0)</f>
        <v>0</v>
      </c>
      <c r="LA96" s="3">
        <f>IF(Nbal!IP96&lt;&gt;"",Nbal!IP96,$KZ96)</f>
        <v>0</v>
      </c>
      <c r="LB96" s="3">
        <f>LA96*Z96</f>
        <v>0</v>
      </c>
      <c r="LD96">
        <f>IF(VLOOKUP($R96,Afgr,Data!$CK$3)&gt;0,((1+AM96/VLOOKUP($R96,Afgr,Data!$CK$3))/2)*VLOOKUP($R96,Afgr,Data!$CL$3)*VLOOKUP($R96,Afgr,Data!$CN$3)+VLOOKUP($R96,Afgr,Data!$CM$3),0)</f>
        <v>0</v>
      </c>
      <c r="LE96">
        <f>IF(VLOOKUP($R96,Afgr,Data!$CK$3)&gt;0,IF(AND($S96=2,$BA96&gt;0),Data!$K$271,0),0)</f>
        <v>0</v>
      </c>
      <c r="LF96">
        <f>IF(VLOOKUP($R96,Afgr,Data!$CK$3)&gt;0,(AM96/VLOOKUP($R96,Afgr,Data!$CK$3))*VLOOKUP($R96,Afgr,Data!$CO$3)*VLOOKUP($R96,Afgr,Data!$CN$3),0)</f>
        <v>0</v>
      </c>
      <c r="LG96">
        <f>(LD96+LE96+LF96)*MaskJust</f>
        <v>0</v>
      </c>
      <c r="LH96" s="3">
        <f>IF(Nbal!IV96&lt;&gt;"",Nbal!IV96,LG96)</f>
        <v>0</v>
      </c>
      <c r="LI96" s="3">
        <f>LH96*Z96</f>
        <v>0</v>
      </c>
      <c r="LJ96" s="3"/>
      <c r="LK96">
        <f>IF(AND($S96=1,VLOOKUP($R96,Afgr,Data!$CP$3)&gt;0),((1+$BC96/VLOOKUP($R96,Afgr,Data!$CP$3))/2)*VLOOKUP($R96,Afgr,Data!$CQ$3),0)</f>
        <v>0</v>
      </c>
      <c r="LL96">
        <f>IF(AND($S96=1,VLOOKUP($R96,Afgr,Data!$CP$3)&gt;0),($BC96/VLOOKUP($R96,Afgr,Data!$CP$3))*VLOOKUP($R96,Afgr,Data!$CR$3),0)</f>
        <v>0</v>
      </c>
      <c r="LM96">
        <f>(LK96+LL96)*MaskJust</f>
        <v>0</v>
      </c>
      <c r="LN96" s="3">
        <f>IF(Nbal!JB96&lt;&gt;"",Nbal!JB96,LM96)</f>
        <v>0</v>
      </c>
      <c r="LO96" s="3">
        <f>LN96*Z96</f>
        <v>0</v>
      </c>
      <c r="LQ96">
        <f>$AM96*VLOOKUP($R96,Afgr,Data!$CS$3)*IF($V96=1,VLOOKUP($R96,Afgr,Data!$CT$3),IF($V96=2,VLOOKUP($R96,Afgr,Data!$CU$3),0))</f>
        <v>0</v>
      </c>
      <c r="LR96" s="3">
        <f>IF(Nbal!JK96&lt;&gt;"",Nbal!JK96,LQ96)</f>
        <v>0</v>
      </c>
      <c r="LS96" s="3">
        <f>LR96*Z96</f>
        <v>0</v>
      </c>
      <c r="LU96">
        <f>VLOOKUP($T96,Efgr,Data!$AC$53)*UdsaedJust</f>
        <v>0</v>
      </c>
      <c r="LV96" s="3">
        <f>IF(Nbal!$JS96&lt;&gt;"",Nbal!$JS96,LU96)</f>
        <v>0</v>
      </c>
      <c r="LW96" s="3">
        <f>LV96*Z96</f>
        <v>0</v>
      </c>
      <c r="LY96" s="3">
        <f>IF(HdgVaerdiNbal=1,(CB96)*Npris,(CB96+CL96)*Npris)</f>
        <v>0</v>
      </c>
      <c r="LZ96" s="3">
        <f>LY96*Z96</f>
        <v>0</v>
      </c>
      <c r="MB96">
        <f>$EO96</f>
        <v>0</v>
      </c>
      <c r="MC96">
        <f>CU96</f>
        <v>0</v>
      </c>
      <c r="MD96">
        <f>CR96</f>
        <v>0</v>
      </c>
      <c r="ME96" s="3">
        <f>IF(HdgVaerdiNbal=1,MD96*Ppris,(MC96+MD96)*Ppris)</f>
        <v>0</v>
      </c>
      <c r="MF96" s="3">
        <f>ME96*Z96</f>
        <v>0</v>
      </c>
      <c r="MH96">
        <f>$ER96</f>
        <v>0</v>
      </c>
      <c r="MI96">
        <f>DC96</f>
        <v>0</v>
      </c>
      <c r="MJ96">
        <f>CZ96</f>
        <v>0</v>
      </c>
      <c r="MK96" s="3">
        <f>IF(HdgVaerdiNbal=1,MJ96*Ppris,(MI96+MJ96)*Ppris)</f>
        <v>0</v>
      </c>
      <c r="ML96" s="3">
        <f>MK96*Z96</f>
        <v>0</v>
      </c>
      <c r="MN96">
        <f>LY96+ME96+MK96</f>
        <v>0</v>
      </c>
      <c r="MO96" s="3">
        <f>IF(Nbal!JY96&lt;&gt;"",Nbal!JY96,$MN96)</f>
        <v>0</v>
      </c>
      <c r="MP96" s="3">
        <f>MO96*Z96</f>
        <v>0</v>
      </c>
      <c r="MR96">
        <f>VLOOKUP($T96,Efgr,Data!$AE$53)*PlantevJust</f>
        <v>0</v>
      </c>
      <c r="MS96" s="3">
        <f>IF(Nbal!KE96&lt;&gt;"",Nbal!KE96,MR96)</f>
        <v>0</v>
      </c>
      <c r="MT96" s="3">
        <f>MS96*Z96</f>
        <v>0</v>
      </c>
      <c r="MV96">
        <f>VLOOKUP($T96,Efgr,Data!$AF$53)+$BR96*VLOOKUP($T96,Efgr,Data!$AL$53)</f>
        <v>0</v>
      </c>
      <c r="MW96" s="3">
        <f>IF(Nbal!KK96&lt;&gt;"",Nbal!KK96,MV96)</f>
        <v>0</v>
      </c>
      <c r="MX96" s="3">
        <f>MW96*Z96</f>
        <v>0</v>
      </c>
      <c r="MZ96">
        <f>LV96+MO96+MS96+MW96</f>
        <v>0</v>
      </c>
      <c r="NB96">
        <f>VLOOKUP($T96,Efgr,Data!$AU$53)*K96*MaskJust</f>
        <v>0</v>
      </c>
      <c r="NC96" s="3">
        <f>IF(Nbal!KQ96&lt;&gt;"",Nbal!KQ96,NB96)</f>
        <v>0</v>
      </c>
      <c r="ND96" s="3">
        <f>NC96*Z96</f>
        <v>0</v>
      </c>
      <c r="NF96">
        <f>VLOOKUP($T96,Efgr,Data!$AW$53)*Data!$K$268*K96*MaskJust</f>
        <v>0</v>
      </c>
      <c r="NG96" s="3">
        <f>IF(Nbal!KW96&lt;&gt;"",Nbal!KW96,NF96)</f>
        <v>0</v>
      </c>
      <c r="NH96" s="3">
        <f>NG96*Z96</f>
        <v>0</v>
      </c>
      <c r="NJ96">
        <f>VLOOKUP($T96,Efgr,Data!$AV$53)*Data!$K$269*MaskJust</f>
        <v>0</v>
      </c>
      <c r="NK96" s="3">
        <f>IF(Nbal!LC96&lt;&gt;"",Nbal!LC96,NJ96)</f>
        <v>0</v>
      </c>
      <c r="NL96" s="3">
        <f>NK96*Z96</f>
        <v>0</v>
      </c>
      <c r="NN96">
        <f>IF(C96=2,VLOOKUP($T96,Efgr,Data!$BC$53),0)</f>
        <v>0</v>
      </c>
      <c r="NO96">
        <f>IF(Nbal!LI96&lt;&gt;"",Nbal!LI96,$NN96)</f>
        <v>0</v>
      </c>
      <c r="NP96">
        <f>IF(C96=2,$NO96*Flytning/mmprgang+$NO96*Prisprmm,0)</f>
        <v>0</v>
      </c>
      <c r="NQ96" s="3">
        <f>IF(Nbal!LO96&lt;&gt;"",Nbal!LO96,$NP96)</f>
        <v>0</v>
      </c>
      <c r="NR96" s="3">
        <f>NQ96*Z96</f>
        <v>0</v>
      </c>
      <c r="NT96">
        <f>IF(VLOOKUP($T96,Efgr,Data!$AX$53)&gt;0,((1+BR96/VLOOKUP($T96,Efgr,Data!$AX$53))/2)*VLOOKUP($T96,Efgr,Data!$AY$53)*VLOOKUP($T96,Efgr,Data!$BA$53)+VLOOKUP($T96,Efgr,Data!$AZ$53),0)</f>
        <v>0</v>
      </c>
      <c r="NU96">
        <f>IF(VLOOKUP($T96,Efgr,Data!$AX$53)&gt;0,($BR96/VLOOKUP($T96,Efgr,Data!$AX$53))*VLOOKUP($T96,Efgr,Data!$BB$53)*VLOOKUP($T96,Efgr,Data!$BA$53),0)</f>
        <v>0</v>
      </c>
      <c r="NV96">
        <f>(NT96+NU96)*MaskJust</f>
        <v>0</v>
      </c>
      <c r="NW96" s="3">
        <f>IF(Nbal!LU96&lt;&gt;"",Nbal!LU96,NV96)</f>
        <v>0</v>
      </c>
      <c r="NX96" s="3">
        <f>NW96*Z96</f>
        <v>0</v>
      </c>
      <c r="NZ96">
        <f>IF($U96=2,Data!$K$304,IF($U96=3,Data!$K$305,0))*MaskJust</f>
        <v>0</v>
      </c>
      <c r="OA96" s="3">
        <f>IF(Nbal!MA96&lt;&gt;"",Nbal!MA96,NZ96)</f>
        <v>0</v>
      </c>
      <c r="OB96" s="3">
        <f>OA96*Z96</f>
        <v>0</v>
      </c>
      <c r="OD96">
        <f>IL96</f>
        <v>0</v>
      </c>
      <c r="OE96">
        <f>JW96+MZ96</f>
        <v>0</v>
      </c>
      <c r="OF96">
        <f>OD96-OE96</f>
        <v>0</v>
      </c>
      <c r="OG96">
        <f>OF96*Z96</f>
        <v>0</v>
      </c>
      <c r="OJ96">
        <f>VLOOKUP($O96,Afgr,Data!$BP$3)+VLOOKUP($P96,Efgr,Data!$AM$53)</f>
        <v>0</v>
      </c>
      <c r="OK96" s="3">
        <f>OJ96*Z96</f>
        <v>0</v>
      </c>
      <c r="OL96">
        <f>VLOOKUP($R96,Afgr,Data!$BP$3)+VLOOKUP($T96,Efgr,Data!$AM$53)</f>
        <v>0</v>
      </c>
      <c r="OM96" s="3">
        <f>OL96*Z96</f>
        <v>0</v>
      </c>
      <c r="OO96">
        <f>VLOOKUP($P96,Efgr,Data!$AN$53)</f>
        <v>0</v>
      </c>
      <c r="OP96">
        <f>VLOOKUP($O96,Afgr,Data!$BQ$3)</f>
        <v>0</v>
      </c>
      <c r="OQ96">
        <f>VLOOKUP($R96,Afgr,Data!$BR$3)</f>
        <v>1</v>
      </c>
      <c r="OR96">
        <f>OO96*OP96*OQ96</f>
        <v>0</v>
      </c>
      <c r="OS96" s="3">
        <f>OR96*Z96</f>
        <v>0</v>
      </c>
      <c r="OT96" s="3">
        <f>IF(Q96,1,0)*OS96</f>
        <v>0</v>
      </c>
      <c r="OV96">
        <f>VLOOKUP($T96,Efgr,Data!$AN$53)</f>
        <v>0</v>
      </c>
      <c r="OW96">
        <f>VLOOKUP($R96,Afgr,Data!$BQ$3)</f>
        <v>0</v>
      </c>
      <c r="OX96">
        <f>VLOOKUP($X96,Afgr,Data!$BR$3)</f>
        <v>1</v>
      </c>
      <c r="OY96">
        <f>OV96*OW96*OX96</f>
        <v>0</v>
      </c>
      <c r="OZ96" s="3">
        <f>OY96*Z96</f>
        <v>0</v>
      </c>
      <c r="PB96">
        <f>VLOOKUP($T96,Efgr,Data!$AO$53)</f>
        <v>0</v>
      </c>
      <c r="PC96">
        <f>VLOOKUP($O96,Afgr,Data!$BQ$3)</f>
        <v>0</v>
      </c>
      <c r="PD96">
        <f>VLOOKUP($R96,Afgr,Data!$BS$3)</f>
        <v>0</v>
      </c>
      <c r="PE96" s="3">
        <f>PB96*PC96*PD96*$Z96</f>
        <v>0</v>
      </c>
      <c r="PG96">
        <f>VLOOKUP($T96,Efgr,Data!$AO$53)</f>
        <v>0</v>
      </c>
      <c r="PH96">
        <f>VLOOKUP($R96,Afgr,Data!$BQ$3)</f>
        <v>0</v>
      </c>
      <c r="PI96">
        <f>VLOOKUP($X96,Afgr,Data!$BS$3)</f>
        <v>0</v>
      </c>
      <c r="PJ96" s="3">
        <f>PG96*PH96*PI96*$Z96</f>
        <v>0</v>
      </c>
      <c r="PK96" s="3"/>
      <c r="PL96" s="3">
        <f>VLOOKUP($O96,Afgr,Data!$BU$3)</f>
        <v>0</v>
      </c>
      <c r="PM96" s="3">
        <f>PL96*Z96</f>
        <v>0</v>
      </c>
      <c r="PN96" s="3">
        <f>VLOOKUP($R96,Afgr,Data!$BU$3)</f>
        <v>0</v>
      </c>
      <c r="PO96" s="3">
        <f>PN96*Z96</f>
        <v>0</v>
      </c>
      <c r="PQ96">
        <f>VLOOKUP(R96,Afgr,Data!$BX$3)+VLOOKUP(T96,Efgr,Data!$AQ$53)</f>
        <v>0</v>
      </c>
      <c r="PR96">
        <f>IF(PQ96&gt;0,Z96,0)</f>
        <v>0</v>
      </c>
      <c r="PT96">
        <f>VLOOKUP($O96,Afgr,Data!$BT$3)</f>
        <v>0</v>
      </c>
      <c r="PU96" s="3">
        <f>PT96*Z96</f>
        <v>0</v>
      </c>
      <c r="PV96">
        <f>VLOOKUP($R96,Afgr,Data!$BT$3)</f>
        <v>0</v>
      </c>
      <c r="PW96" s="3">
        <f>PV96*Z96</f>
        <v>0</v>
      </c>
      <c r="PY96">
        <f>VLOOKUP($R96,Afgr,Data!$BV$3)</f>
        <v>0</v>
      </c>
      <c r="PZ96">
        <f>PY96*Z96</f>
        <v>0</v>
      </c>
      <c r="QB96">
        <f>VLOOKUP($R96,Afgr,Data!$BW$3)</f>
        <v>0</v>
      </c>
      <c r="QC96">
        <f>QB96*Z96</f>
        <v>0</v>
      </c>
      <c r="QE96">
        <f>AM96*IF(VLOOKUP($R96,Afgr,Data!$BJ$3)&gt;0,1,0)</f>
        <v>0</v>
      </c>
      <c r="QF96">
        <f>QE96*Z96</f>
        <v>0</v>
      </c>
      <c r="QH96">
        <f>AM96*VLOOKUP(R96,Afgr,Data!$BK$3)</f>
        <v>0</v>
      </c>
      <c r="QI96">
        <f>Z96*QH96</f>
        <v>0</v>
      </c>
      <c r="QJ96">
        <f>$AM96*VLOOKUP($R96,Afgr,Data!$BL$3)+$BR96*VLOOKUP($T96,Efgr,Data!$AP$53)</f>
        <v>0</v>
      </c>
      <c r="QK96">
        <f>QJ96*Z96</f>
        <v>0</v>
      </c>
      <c r="QL96">
        <f>$AM96*VLOOKUP($R96,Afgr,Data!$BM$3)</f>
        <v>0</v>
      </c>
      <c r="QM96">
        <f>QL96*Z96</f>
        <v>0</v>
      </c>
      <c r="QN96">
        <f>$AM96*VLOOKUP($R96,Afgr,Data!$BN$3)</f>
        <v>0</v>
      </c>
      <c r="QO96">
        <f>QN96*Z96</f>
        <v>0</v>
      </c>
      <c r="QR96">
        <f>IF(VLOOKUP($R96,Afgr,Data!$DA$3)="Vårbyg",$AN96,0)*VLOOKUP($R96,Afgr,Data!$BJ$3)</f>
        <v>0</v>
      </c>
      <c r="QS96">
        <f>IF(VLOOKUP($R96,Afgr,Data!$DA$3)="Vinterbyg",$AN96,0)*VLOOKUP($R96,Afgr,Data!$BJ$3)</f>
        <v>0</v>
      </c>
      <c r="QT96">
        <f>IF(VLOOKUP($R96,Afgr,Data!$DA$3)="Havre",$AN96,0)*VLOOKUP($R96,Afgr,Data!$BJ$3)</f>
        <v>0</v>
      </c>
      <c r="QU96">
        <f>IF(VLOOKUP($R96,Afgr,Data!$DA$3)="Hvede",$AN96,0)*VLOOKUP($R96,Afgr,Data!$BJ$3)</f>
        <v>0</v>
      </c>
      <c r="QV96">
        <f>IF(VLOOKUP($R96,Afgr,Data!$DA$3)="Triticale",$AN96,0)*VLOOKUP($R96,Afgr,Data!$BJ$3)</f>
        <v>0</v>
      </c>
      <c r="QW96">
        <f>IF(VLOOKUP($R96,Afgr,Data!$DA$3)="Rug",$AN96,0)*VLOOKUP($R96,Afgr,Data!$BJ$3)</f>
        <v>0</v>
      </c>
      <c r="QX96">
        <f>IF(VLOOKUP($R96,Afgr,Data!$DA$3)="Majs",$AN96,0)*VLOOKUP($R96,Afgr,Data!$BJ$3)</f>
        <v>0</v>
      </c>
      <c r="RA96">
        <f>IF(OV96+PB96&gt;0,1,0)</f>
        <v>0</v>
      </c>
      <c r="RB96">
        <f>RA96*LW96</f>
        <v>0</v>
      </c>
      <c r="RC96">
        <f>RA96*MT96</f>
        <v>0</v>
      </c>
      <c r="RD96">
        <f>ND96</f>
        <v>0</v>
      </c>
      <c r="RE96">
        <f>RA96*OB96</f>
        <v>0</v>
      </c>
      <c r="RH96">
        <f>VLOOKUP(B96,Jordtype,Data!$Y$112+DenitNr-1)</f>
        <v>7.25</v>
      </c>
      <c r="RI96">
        <f>FF96*VLOOKUP(B96,Jordtype,Data!$AB$112+DenitNr-1)</f>
        <v>0</v>
      </c>
      <c r="RJ96">
        <f>((CJ96+CK96+CL96+Regn2!CO96*0.7)-(RR96+RT96))*VLOOKUP(B96,Jordtype,Data!$AE$112+DenitNr-1)</f>
        <v>0</v>
      </c>
      <c r="RK96">
        <f>0*VLOOKUP(B96,Jordtype,Data!$AE$112+DenitNr-1)</f>
        <v>0</v>
      </c>
      <c r="RL96">
        <f>Regn2!FD96*VLOOKUP(B96,Jordtype,Data!$AH$112+DenitNr-1)</f>
        <v>0</v>
      </c>
      <c r="RM96" s="3">
        <f>RH96+RI96+RJ96+RK96+RL96</f>
        <v>7.25</v>
      </c>
      <c r="RO96">
        <v>2</v>
      </c>
      <c r="RP96">
        <f>(FF96)*RO96*0.01</f>
        <v>0</v>
      </c>
      <c r="RQ96">
        <v>7</v>
      </c>
      <c r="RR96">
        <f>CE96*RQ96*0.01</f>
        <v>0</v>
      </c>
      <c r="RS96">
        <v>7</v>
      </c>
      <c r="RT96">
        <f>(Regn2!CF96+Regn2!CG96)*RS96*0.01</f>
        <v>0</v>
      </c>
      <c r="RW96">
        <f>VLOOKUP(R96,Afgr,Data!$EE$3)</f>
        <v>0</v>
      </c>
      <c r="RX96" s="3">
        <f>RP96+RR96+RT96+RV96+RW96</f>
        <v>0</v>
      </c>
    </row>
    <row r="98" spans="1:492" x14ac:dyDescent="0.25">
      <c r="A98" s="214">
        <f>Nbal!B98</f>
        <v>0</v>
      </c>
      <c r="B98">
        <v>6</v>
      </c>
      <c r="C98">
        <v>1</v>
      </c>
      <c r="D98">
        <f>IF(C98=1,VLOOKUP(B98,Jordtype,Data!$K$112),VLOOKUP(B98,Jordtype,Data!$L$112))</f>
        <v>9</v>
      </c>
      <c r="E98">
        <f>IF(C98=1,VLOOKUP(B98,Jordtype,Data!$M$112),VLOOKUP(B98,Jordtype,Data!$N$112))</f>
        <v>14</v>
      </c>
      <c r="F98">
        <f>IF(OR(B98=1,B98=3),0,IF(OR(B98=2,B98=4),1,IF(OR(B98=5,B98=6),2,3)))</f>
        <v>2</v>
      </c>
      <c r="G98">
        <f>IF(C98=1,VLOOKUP(B98,Jordtype,Data!$Q$112),VLOOKUP(B98,Jordtype,Data!$R$112))</f>
        <v>25</v>
      </c>
      <c r="H98">
        <f>IF(C98=1,VLOOKUP(B98,Jordtype,Data!$O$112),VLOOKUP(B98,Jordtype,Data!$P$112))</f>
        <v>19</v>
      </c>
      <c r="I98">
        <f>IF(B98&lt;5,0,1)</f>
        <v>1</v>
      </c>
      <c r="J98">
        <f>IF(B98&lt;5,PlojJB,1)</f>
        <v>1</v>
      </c>
      <c r="K98">
        <f>IF(B98&lt;5,SaaJB,1)</f>
        <v>1</v>
      </c>
      <c r="L98">
        <f>IF(C98=1,VLOOKUP(B98,Jordtype,Data!$S$112),VLOOKUP(B98,Jordtype,Data!$T$112))</f>
        <v>8</v>
      </c>
      <c r="M98">
        <f>IF(C98=1,VLOOKUP(B98,Jordtype,Data!$U$112),VLOOKUP(B98,Jordtype,Data!$V$112))</f>
        <v>13</v>
      </c>
      <c r="O98">
        <v>1</v>
      </c>
      <c r="P98">
        <v>1</v>
      </c>
      <c r="Q98" t="b">
        <v>0</v>
      </c>
      <c r="R98">
        <v>1</v>
      </c>
      <c r="S98">
        <v>1</v>
      </c>
      <c r="T98">
        <v>1</v>
      </c>
      <c r="U98">
        <v>1</v>
      </c>
      <c r="V98">
        <v>1</v>
      </c>
      <c r="X98">
        <v>1</v>
      </c>
      <c r="Z98">
        <f>Nbal!AG98</f>
        <v>0</v>
      </c>
      <c r="AA98">
        <v>1</v>
      </c>
      <c r="AB98">
        <f>VLOOKUP($R98,Afgr,G98)</f>
        <v>0</v>
      </c>
      <c r="AC98">
        <f>VLOOKUP($O98,Afgr,Data!$AI$3)*VLOOKUP(R98,Afgr,Data!$AJ$3)</f>
        <v>0</v>
      </c>
      <c r="AD98">
        <f>IF($Q98,0,VLOOKUP($P98,Efgr,(Data!$W$53+$V$6-1)))</f>
        <v>0</v>
      </c>
      <c r="AE98">
        <f>AB98-AC98-AD98</f>
        <v>0</v>
      </c>
      <c r="AF98">
        <f>AE98*Z98</f>
        <v>0</v>
      </c>
      <c r="AH98">
        <f>VLOOKUP(R98,Afgr,D98)</f>
        <v>0</v>
      </c>
      <c r="AI98">
        <f>VLOOKUP(O98,Afgr,Data!$AL$3)*VLOOKUP(R98,Afgr,E98)</f>
        <v>0</v>
      </c>
      <c r="AJ98">
        <f>VLOOKUP(P98,Efgr,(Data!$Y$53+I98))</f>
        <v>0</v>
      </c>
      <c r="AK98">
        <f>AH98+AI98+AJ98</f>
        <v>0</v>
      </c>
      <c r="AL98">
        <f>AH98+AI98+AJ98</f>
        <v>0</v>
      </c>
      <c r="AM98" s="3">
        <f>IF(Nbal!CK98&lt;&gt;"",Nbal!CK98,AL98)</f>
        <v>0</v>
      </c>
      <c r="AN98">
        <f>AM98*Z98</f>
        <v>0</v>
      </c>
      <c r="AO98">
        <f>VLOOKUP(R98,Afgr,3)</f>
        <v>0</v>
      </c>
      <c r="AP98">
        <f>IF(AO98="FE",VLOOKUP($R98,Afgr,Data!$AV$3),0)</f>
        <v>0</v>
      </c>
      <c r="AR98">
        <f>VLOOKUP(R98,Afgr,4)</f>
        <v>0</v>
      </c>
      <c r="AS98" s="3">
        <f>IF(Nbal!CW98&lt;&gt;"",Nbal!CW98,AR98)</f>
        <v>0</v>
      </c>
      <c r="AT98" s="3">
        <f>AM98*AS98</f>
        <v>0</v>
      </c>
      <c r="AU98" s="3">
        <f>AN98*AS98</f>
        <v>0</v>
      </c>
      <c r="AW98">
        <f>VLOOKUP(R98,Afgr,Data!$AN$3)</f>
        <v>0</v>
      </c>
      <c r="AX98" s="3">
        <f>IF(Nbal!DC98&lt;&gt;"",Nbal!DC98,AW98)</f>
        <v>0</v>
      </c>
      <c r="AY98" s="3">
        <f>AX98*Z98</f>
        <v>0</v>
      </c>
      <c r="BA98">
        <f>VLOOKUP(R98,Afgr,H98)</f>
        <v>0</v>
      </c>
      <c r="BB98">
        <f>IF(ISERROR(BA98*AM98/AK98),0,(BA98*AM98/AK98))</f>
        <v>0</v>
      </c>
      <c r="BC98" s="3">
        <f>IF(Nbal!DI98&lt;&gt;"",Nbal!DI98,BB98)</f>
        <v>0</v>
      </c>
      <c r="BD98">
        <f>BC98*Z98</f>
        <v>0</v>
      </c>
      <c r="BG98">
        <f>IF($S98=1,BC98,0)</f>
        <v>0</v>
      </c>
      <c r="BH98">
        <f>IF($S98=1,BD98,0)</f>
        <v>0</v>
      </c>
      <c r="BI98">
        <f>VLOOKUP(R98,Afgr,Data!$AM$3)</f>
        <v>0</v>
      </c>
      <c r="BJ98">
        <f>IF(Nbal!DR98&lt;&gt;"",Nbal!DR98,BI98)</f>
        <v>0</v>
      </c>
      <c r="BK98">
        <f>BG98*BJ98</f>
        <v>0</v>
      </c>
      <c r="BL98">
        <f>BH98*BJ98</f>
        <v>0</v>
      </c>
      <c r="BN98">
        <f>VLOOKUP($T98,Efgr,M98)</f>
        <v>0</v>
      </c>
      <c r="BO98">
        <f>BN98*Z98</f>
        <v>0</v>
      </c>
      <c r="BQ98">
        <f>VLOOKUP(T98,Efgr,NormudbKolonneNrEfgr1)</f>
        <v>0</v>
      </c>
      <c r="BR98" s="3">
        <f>IF(Nbal!FE98&lt;&gt;"",Nbal!FE98,BQ98)</f>
        <v>0</v>
      </c>
      <c r="BS98">
        <f>BR98*Z98</f>
        <v>0</v>
      </c>
      <c r="BT98" t="s">
        <v>37</v>
      </c>
      <c r="BU98">
        <f>BR98*Efterslaetpris</f>
        <v>0</v>
      </c>
      <c r="BV98">
        <f>BS98*Efterslaetpris</f>
        <v>0</v>
      </c>
      <c r="BW98">
        <f>VLOOKUP(T98,Efgr,Data!$AG$53)</f>
        <v>0</v>
      </c>
      <c r="BX98">
        <f>BR98*BW98</f>
        <v>0</v>
      </c>
      <c r="BZ98">
        <f>Nbal!AQ98</f>
        <v>0</v>
      </c>
      <c r="CA98" s="211">
        <f>Nbal!AT98</f>
        <v>0</v>
      </c>
      <c r="CB98" s="2">
        <f>Nbal!DZ98</f>
        <v>0</v>
      </c>
      <c r="CC98" s="211">
        <f>Nbal!AT98+Nbal!DZ98</f>
        <v>0</v>
      </c>
      <c r="CD98" s="211">
        <f>Nbal!AX98</f>
        <v>0</v>
      </c>
      <c r="CE98">
        <f>Nbal!BH98</f>
        <v>0</v>
      </c>
      <c r="CF98" s="211">
        <f>Nbal!BM98</f>
        <v>0</v>
      </c>
      <c r="CG98" s="2">
        <f>Nbal!EI98</f>
        <v>0</v>
      </c>
      <c r="CH98" s="211">
        <f>Nbal!BM98+Nbal!EI98</f>
        <v>0</v>
      </c>
      <c r="CI98" s="211">
        <f>Nbal!BW98</f>
        <v>0</v>
      </c>
      <c r="CJ98" s="211">
        <f>Nbal!BH98*Nbal!BJ98*0.01</f>
        <v>0</v>
      </c>
      <c r="CK98" s="211">
        <f>(Nbal!BM98*Nbal!BP98*0.01)</f>
        <v>0</v>
      </c>
      <c r="CL98" s="211">
        <f>(Nbal!EI98*Nbal!EL98*0.01)</f>
        <v>0</v>
      </c>
      <c r="CM98" s="211">
        <f>(Nbal!BM98*Nbal!BP98*0.01)+(Nbal!EI98*Nbal!EL98*0.01)</f>
        <v>0</v>
      </c>
      <c r="CN98" s="211">
        <f>Nbal!BW98*Nbal!BY98*0.01</f>
        <v>0</v>
      </c>
      <c r="CO98">
        <f>Nbal!BT98+Nbal!ER98</f>
        <v>0</v>
      </c>
      <c r="CQ98">
        <f>Nbal!BA98</f>
        <v>0</v>
      </c>
      <c r="CR98">
        <f>Nbal!EC98</f>
        <v>0</v>
      </c>
      <c r="CS98">
        <f>(CQ98+CR98)*Z98</f>
        <v>0</v>
      </c>
      <c r="CT98">
        <f>Nbal!CB98</f>
        <v>0</v>
      </c>
      <c r="CU98">
        <f>Nbal!EV98</f>
        <v>0</v>
      </c>
      <c r="CV98">
        <f>(CT98+CU98)*Z98</f>
        <v>0</v>
      </c>
      <c r="CW98">
        <f>Nbal!BA98+Nbal!CB98+Nbal!EC98+Nbal!EV98</f>
        <v>0</v>
      </c>
      <c r="CY98">
        <f>Nbal!BD98</f>
        <v>0</v>
      </c>
      <c r="CZ98">
        <f>Nbal!EF98</f>
        <v>0</v>
      </c>
      <c r="DA98">
        <f>(CY98+CZ98)*Z98</f>
        <v>0</v>
      </c>
      <c r="DB98">
        <f>Nbal!CE98</f>
        <v>0</v>
      </c>
      <c r="DC98">
        <f>Nbal!EY98</f>
        <v>0</v>
      </c>
      <c r="DD98">
        <f>(DB98+DC98)*Z98</f>
        <v>0</v>
      </c>
      <c r="DE98">
        <f>Nbal!BD98+Nbal!CE98+Nbal!EF98+Nbal!EY98</f>
        <v>0</v>
      </c>
      <c r="DG98">
        <f>VLOOKUP($R98,Afgr,Data!$AW$3)</f>
        <v>0</v>
      </c>
      <c r="DH98">
        <f>IF($AO98="FE",$AM98*$AP98*$DG98*0.01,$AM98*100*$DM98*0.01*$DG98*0.01)</f>
        <v>0</v>
      </c>
      <c r="DI98">
        <f>IF(VLOOKUP(R98,Afgr,Data!$BO$3)=1,DH98,0)*Z98</f>
        <v>0</v>
      </c>
      <c r="DJ98" s="12">
        <f>(BZ98+CC98+CJ98-AE98)*VLOOKUP($R98,Afgr,Data!$AX$3)</f>
        <v>0</v>
      </c>
      <c r="DK98">
        <f>DG98+DJ98</f>
        <v>0</v>
      </c>
      <c r="DL98">
        <f>IF(Nbal!CQ98&lt;&gt;"",Nbal!CQ98,DK98)</f>
        <v>0</v>
      </c>
      <c r="DM98">
        <f>VLOOKUP(R98,Afgr,Data!$AT$3)</f>
        <v>0</v>
      </c>
      <c r="DN98">
        <f>IF($AO98="FE",$AM98*$AP98*$DL98*0.01,$AM98*100*$DM98*0.01*DL98*0.01)</f>
        <v>0</v>
      </c>
      <c r="DO98">
        <f>IF(VLOOKUP(R98,Afgr,Data!$BO$3)=1,DN98,0)*Z98</f>
        <v>0</v>
      </c>
      <c r="DP98">
        <f>IF(ISERROR(DN98/VLOOKUP(R98,Afgr,Data!$AY$3)),0,DN98/VLOOKUP(R98,Afgr,Data!$AY$3))</f>
        <v>0</v>
      </c>
      <c r="DQ98">
        <f>DP98*Z98</f>
        <v>0</v>
      </c>
      <c r="DS98">
        <f>IF($AO98="FE",$AM98*$AP98*VLOOKUP($R98,Afgr,Data!$BC$3)*0.001,$AM98*100*$DM98*0.01*VLOOKUP($R98,Afgr,Data!$BC$3)*0.001)</f>
        <v>0</v>
      </c>
      <c r="DT98">
        <f>DS98*Z98</f>
        <v>0</v>
      </c>
      <c r="DV98">
        <f>IF($AO98="FE",$AM98*$AP98*VLOOKUP($R98,Afgr,Data!$BF$3)*0.001,$AM98*100*$DM98*0.01*VLOOKUP($R98,Afgr,Data!$BF$3)*0.001)</f>
        <v>0</v>
      </c>
      <c r="DW98">
        <f>DV98*Z98</f>
        <v>0</v>
      </c>
      <c r="DY98">
        <f>IF(ISERROR(VLOOKUP(R98,Afgr,Data!$AZ$3)*DL98/DG98),0,VLOOKUP(R98,Afgr,Data!$AZ$3)*DL98/DG98)</f>
        <v>0</v>
      </c>
      <c r="DZ98">
        <f>VLOOKUP(R98,Afgr,Data!$AU$3)</f>
        <v>0</v>
      </c>
      <c r="EA98">
        <f>IF($S98=1,$BC98*$DZ98*0.01*DY98*0.01,0)</f>
        <v>0</v>
      </c>
      <c r="EB98">
        <f>EA98/6.25</f>
        <v>0</v>
      </c>
      <c r="EC98">
        <f>EB98*Z98</f>
        <v>0</v>
      </c>
      <c r="EE98">
        <f>IF($S98=1,$BC98*$DZ98*0.01*VLOOKUP($R98,Afgr,Data!$BD$3)*0.001,0)</f>
        <v>0</v>
      </c>
      <c r="EF98">
        <f>EE98*Z98</f>
        <v>0</v>
      </c>
      <c r="EH98">
        <f>IF($S98=1,$BC98*$DZ98*0.01*VLOOKUP($R98,Afgr,Data!$BG$3)*0.001,0)</f>
        <v>0</v>
      </c>
      <c r="EI98">
        <f>EH98*Z98</f>
        <v>0</v>
      </c>
      <c r="EK98">
        <f>VLOOKUP(T98,Efgr,Data!$AI$53)</f>
        <v>0</v>
      </c>
      <c r="EL98">
        <f>BX98*EK98*0.01/6.25</f>
        <v>0</v>
      </c>
      <c r="EM98">
        <f>EL98*Z98</f>
        <v>0</v>
      </c>
      <c r="EO98">
        <f>$BX98*VLOOKUP($T98,Efgr,Data!$AJ$53)*0.001</f>
        <v>0</v>
      </c>
      <c r="EP98">
        <f>EO98*Z98</f>
        <v>0</v>
      </c>
      <c r="ER98">
        <f>$BX98*VLOOKUP($T98,Efgr,Data!$AK$53)*0.001</f>
        <v>0</v>
      </c>
      <c r="ES98">
        <f>ER98*Z98</f>
        <v>0</v>
      </c>
      <c r="EU98">
        <f>IF(VLOOKUP(R98,Afgr,Data!$DS$3)=1,DP98*VLOOKUP(R98,Afgr,(Data!$DT$3+EftervirkningUdb1))*VLOOKUP(R98,Afgr,Data!$DV$3),0)</f>
        <v>0</v>
      </c>
      <c r="EV98">
        <f>IF(VLOOKUP(R98,Afgr,Data!$DS$3)=2,VLOOKUP(R98,Afgr,Data!$DX$3),0)</f>
        <v>0</v>
      </c>
      <c r="EW98">
        <f>IF(VLOOKUP(R98,Afgr,Data!$DS$3)=3,$DP98*VLOOKUP($R98,Afgr,IF(Jordtype1&lt;5,Data!$DT$3,Data!$DU$3))*VLOOKUP($R98,Afgr,Data!$DV$3),0)</f>
        <v>0</v>
      </c>
      <c r="EX98">
        <f>IF(VLOOKUP(R98,Afgr,Data!$DS$3)=4,(1.232+0.00469*AM98*100+(0.000256*AM98*100+0.089)*60),0)</f>
        <v>0</v>
      </c>
      <c r="EY98" s="211">
        <f>BZ98+CA98+CJ98+CK98</f>
        <v>0</v>
      </c>
      <c r="EZ98">
        <f>IF(VLOOKUP($R98,Afgr,Data!$DS$3)=5,($AM98*0.02742-$AM98*0.0001*$EY98+$AM98*0.0000001111*$EY98*$EY98),0)</f>
        <v>0</v>
      </c>
      <c r="FA98" s="2">
        <f>CB98+CL98</f>
        <v>0</v>
      </c>
      <c r="FB98">
        <f>IF(VLOOKUP($T98,Efgr,Data!$BH$53)=5,($BR98*0.02742-$BR98*0.0001*$FA98+$BR98*0.0000001111*$FA98*$FA98),0)</f>
        <v>0</v>
      </c>
      <c r="FC98" s="3">
        <f>EU98+EV98+EW98+EX98+EZ98+FB98</f>
        <v>0</v>
      </c>
      <c r="FD98" s="3">
        <f>FC98*Z98</f>
        <v>0</v>
      </c>
      <c r="FF98" s="211">
        <f>BZ98+CC98</f>
        <v>0</v>
      </c>
      <c r="FG98" s="211">
        <f>FF98*Z98</f>
        <v>0</v>
      </c>
      <c r="FH98" s="211">
        <f>CE98+CH98+CO98</f>
        <v>0</v>
      </c>
      <c r="FI98" s="211">
        <f>FH98*Z98</f>
        <v>0</v>
      </c>
      <c r="FJ98">
        <f>VLOOKUP($R98,Afgr,Data!$DK$3)*VLOOKUP($R98,Afgr,Data!$AT$3)*0.01*VLOOKUP($R98,Afgr,Data!$AW$3)*0.01/6.25</f>
        <v>0</v>
      </c>
      <c r="FK98">
        <f>FJ98*Z98</f>
        <v>0</v>
      </c>
      <c r="FL98" s="4">
        <f>IF(R98&gt;1,Deposition,0)</f>
        <v>0</v>
      </c>
      <c r="FM98" s="4">
        <f>FL98*Z98</f>
        <v>0</v>
      </c>
      <c r="FN98">
        <f>FC98</f>
        <v>0</v>
      </c>
      <c r="FO98">
        <f>FN98*Z98</f>
        <v>0</v>
      </c>
      <c r="FP98" s="211">
        <f>SUM(FF98,FH98,FJ98,FL98,FN98)</f>
        <v>0</v>
      </c>
      <c r="FQ98">
        <f>DP98+EB98+EL98</f>
        <v>0</v>
      </c>
      <c r="FR98" s="3">
        <f>FP98-FQ98</f>
        <v>0</v>
      </c>
      <c r="FS98" s="19">
        <f>FP98*Z98</f>
        <v>0</v>
      </c>
      <c r="FT98" s="19">
        <f>FQ98*Z98</f>
        <v>0</v>
      </c>
      <c r="FU98" s="3">
        <f>FR98*Z98</f>
        <v>0</v>
      </c>
      <c r="FW98">
        <f>CW98</f>
        <v>0</v>
      </c>
      <c r="FX98">
        <f>FW98*Z98</f>
        <v>0</v>
      </c>
      <c r="FY98">
        <f>IX98+MB98</f>
        <v>0</v>
      </c>
      <c r="FZ98">
        <f>FY98*Z98</f>
        <v>0</v>
      </c>
      <c r="GA98">
        <f>FW98-FY98</f>
        <v>0</v>
      </c>
      <c r="GB98">
        <f>GA98*Z98</f>
        <v>0</v>
      </c>
      <c r="GD98">
        <f>DE98</f>
        <v>0</v>
      </c>
      <c r="GE98">
        <f>GD98*Z98</f>
        <v>0</v>
      </c>
      <c r="GF98">
        <f>JE98+MH98</f>
        <v>0</v>
      </c>
      <c r="GG98">
        <f>GF98*Z98</f>
        <v>0</v>
      </c>
      <c r="GH98">
        <f>GD98-GF98</f>
        <v>0</v>
      </c>
      <c r="GI98">
        <f>GH98*Z98</f>
        <v>0</v>
      </c>
      <c r="GK98">
        <f>AA98</f>
        <v>1</v>
      </c>
      <c r="GL98" s="211">
        <f>FF98+FH98+FN98</f>
        <v>0</v>
      </c>
      <c r="GM98" s="211" t="str">
        <f>IF(R98=1,"",IF(GK98=1,GL98,""))</f>
        <v/>
      </c>
      <c r="GN98" s="211" t="str">
        <f>IF(R98=1,"",IF(GK98=2,GL98,""))</f>
        <v/>
      </c>
      <c r="GO98" s="211" t="str">
        <f>IF(R98=1,"",IF(GK98=3,GL98,""))</f>
        <v/>
      </c>
      <c r="GP98" s="211" t="str">
        <f>IF(R98=1,"",IF(GK98=4,GL98,""))</f>
        <v/>
      </c>
      <c r="GQ98" s="149">
        <f>IF(OR(R98=1,VLOOKUP(R98,Afgr,Data!$BV$3)=1,VLOOKUP(R98,Afgr,Data!$BW$3)=1),0,IF(GK98=1,Nniveau1,IF(GK98=2,Nniveau2,IF(GK98=3,Nniveau3,IF(GK98=4,Nniveau4,GL98)))))</f>
        <v>0</v>
      </c>
      <c r="GR98" s="241">
        <v>0.32550000000000001</v>
      </c>
      <c r="GS98" s="6">
        <v>0</v>
      </c>
      <c r="GT98" s="149">
        <f>CC98+CM98</f>
        <v>0</v>
      </c>
      <c r="GU98" s="6">
        <f>$FN98</f>
        <v>0</v>
      </c>
      <c r="GV98" s="241">
        <v>0.25280000000000002</v>
      </c>
      <c r="GW98">
        <f>CO98</f>
        <v>0</v>
      </c>
      <c r="GX98" s="241">
        <v>0.376</v>
      </c>
      <c r="GY98" s="149">
        <f>CD98+CN98</f>
        <v>0</v>
      </c>
      <c r="GZ98" s="241">
        <f>IF(B98&gt;3,0.3539,1.0749)</f>
        <v>0.35389999999999999</v>
      </c>
      <c r="HA98" s="11">
        <f>$FQ98</f>
        <v>0</v>
      </c>
      <c r="HB98" s="241">
        <v>0.19359999999999999</v>
      </c>
      <c r="HC98" s="241">
        <f>VLOOKUP($R98,Afgr,Data!$DM$3)</f>
        <v>0</v>
      </c>
      <c r="HD98" s="24">
        <f>IF($HC98&gt;1,0,(VLOOKUP($X98,Afgr,Data!$DP$3)+IF(VLOOKUP($X98,Afgr,Data!$DP$3)=0,VLOOKUP($T98,Efgr,Data!$BI$53,0))))+IF(AND($HC98=7,VLOOKUP($X98,Afgr,Data!$DQ$3)=-2),-2,0)+IF(AND($HC98=6,VLOOKUP($T98,Efgr,Data!$BI$53)=2),8,0)</f>
        <v>0</v>
      </c>
      <c r="HE98" s="6" t="e">
        <f>VLOOKUP(SUM(HC98:HD98),Nlesafgr,3)</f>
        <v>#N/A</v>
      </c>
      <c r="HF98" s="7">
        <f>VLOOKUP($O98,Afgr,Data!$DN$3)</f>
        <v>0</v>
      </c>
      <c r="HG98" s="24">
        <f>IF(HF98&gt;1,0,VLOOKUP($R98,Afgr,Data!$DO$3)+IF(VLOOKUP($R98,Afgr,Data!$DO$3)=1,0,VLOOKUP($P98,Efgr,Data!$BJ$53)))</f>
        <v>0</v>
      </c>
      <c r="HH98" s="6" t="e">
        <f>VLOOKUP(SUM(HF98:HG98),Nlesforfrugt,3)</f>
        <v>#N/A</v>
      </c>
      <c r="HI98" s="241" t="e">
        <f>GR98*GQ98+GV98*(GT98+GU98)+GX98*GW98+GZ98*GY98-HB98*HA98+HE98+HH98</f>
        <v>#N/A</v>
      </c>
      <c r="HJ98" s="241">
        <f>Nlesafskaering</f>
        <v>59.6</v>
      </c>
      <c r="HK98" s="241">
        <f>Teknologi1</f>
        <v>2455</v>
      </c>
      <c r="HL98" s="6">
        <v>2001</v>
      </c>
      <c r="HM98" s="241">
        <f>Teknologi2</f>
        <v>1962.2</v>
      </c>
      <c r="HN98" s="241">
        <f>Tandel</f>
        <v>0.54659999999999997</v>
      </c>
      <c r="HO98" s="241" t="e">
        <f>IF(OR(HI98&gt;0,HI98=0),HJ98+HK98/(HL98-HM98),HJ98+HK98/(HL98-HM98)+HN98*HI98)</f>
        <v>#N/A</v>
      </c>
      <c r="HP98" s="241" t="e">
        <f>IF(HI98&gt;0,HI98,0.001)</f>
        <v>#N/A</v>
      </c>
      <c r="HQ98" s="241">
        <v>1.5020000000000001E-3</v>
      </c>
      <c r="HR98" s="24">
        <f>IF(R98=1,0,VLOOKUP(PostnrNbal,AfstromData,VLOOKUP($R98,Afgr,Data!$DL$3)+IF(Jordtype1&lt;7,Jordtype1,6),FALSE)-VLOOKUP(T98,Efgr,Data!$AA$53))</f>
        <v>0</v>
      </c>
      <c r="HS98" s="24">
        <f>IF(Nbal!GA98&lt;&gt;"",Nbal!GA98,Regn2!HR98)</f>
        <v>0</v>
      </c>
      <c r="HT98" s="241">
        <v>5.5400000000000002E-4</v>
      </c>
      <c r="HU98" s="24">
        <f>IF(R98=1,0,VLOOKUP(PostnrNbal,AfstromData,VLOOKUP($O98,Afgr,Data!$DL$3)+IF(B98&lt;7,B98,6),FALSE)-VLOOKUP(P98,Efgr,Data!$AA$53))</f>
        <v>0</v>
      </c>
      <c r="HV98" s="24">
        <f>IF(Nbal!FU98&lt;&gt;"",Nbal!FU98,Regn2!HU98)</f>
        <v>0</v>
      </c>
      <c r="HW98" s="241">
        <v>0.10639999999999999</v>
      </c>
      <c r="HX98" s="6">
        <f>VLOOKUP(B98,Jordtype,Data!$W$112)</f>
        <v>3</v>
      </c>
      <c r="HY98" s="241">
        <v>3.2500000000000001E-2</v>
      </c>
      <c r="HZ98" s="6">
        <f>VLOOKUP(B98,Jordtype,Data!$X$112)</f>
        <v>12</v>
      </c>
      <c r="IA98" s="241">
        <v>1.2453000000000001</v>
      </c>
      <c r="IB98" s="241">
        <f>IF(VLOOKUP(T98,Efgr,Data!$AO$53)=1,MlafgrNUdvask,0)</f>
        <v>0</v>
      </c>
      <c r="IC98" s="20">
        <f>IF(ISERROR((HO98+POWER(HP98,1.2))*(1-EXP(-HQ98*HS98))*EXP(-HT98*HV98)*EXP(-HW98*HX98)*EXP(-HY98*HZ98)*IA98),0,(HO98+POWER(HP98,1.2))*(1-EXP(-HQ98*HS98))*EXP(-HT98*HV98)*EXP(-HW98*HX98)*EXP(-HY98*HZ98)*IA98+IB98)</f>
        <v>0</v>
      </c>
      <c r="ID98">
        <f>IC98*Z98</f>
        <v>0</v>
      </c>
      <c r="IE98">
        <f>IF(Nbal!GF98&lt;&gt;"",Nbal!GF98,RetentionNbal)</f>
        <v>65</v>
      </c>
      <c r="IF98">
        <f>IC98*(100-IE98)*0.01</f>
        <v>0</v>
      </c>
      <c r="IG98">
        <f>IF98*Z98</f>
        <v>0</v>
      </c>
      <c r="IH98" s="2">
        <f>HS98*10000</f>
        <v>0</v>
      </c>
      <c r="II98" s="2">
        <f>IH98*Z98</f>
        <v>0</v>
      </c>
      <c r="IJ98">
        <f>IF(ISERROR(IC98*1000*1000/IH98),0,IC98*1000*1000/IH98)</f>
        <v>0</v>
      </c>
      <c r="IL98">
        <f>AT98+AX98+BK98+BU98</f>
        <v>0</v>
      </c>
      <c r="IO98">
        <f>VLOOKUP(R98,Afgr,Data!$AP$3)*UdsaedJust</f>
        <v>0</v>
      </c>
      <c r="IP98" s="3">
        <f>IF(Nbal!GN98&lt;&gt;"",Nbal!GN98,IO98)</f>
        <v>0</v>
      </c>
      <c r="IQ98" s="3">
        <f>IP98*Z98</f>
        <v>0</v>
      </c>
      <c r="IS98" s="3">
        <f>IF(HdgVaerdiNbal=1,(BZ98+CA98)*Npris,(BZ98+CA98+CJ98+CK98)*Npris)</f>
        <v>0</v>
      </c>
      <c r="IT98" s="3">
        <f>IS98*Z98</f>
        <v>0</v>
      </c>
      <c r="IV98">
        <f>VLOOKUP($R98,Afgr,Data!$BA$3)</f>
        <v>0</v>
      </c>
      <c r="IW98">
        <f>VLOOKUP($R98,Afgr,Data!$BB$3)</f>
        <v>0</v>
      </c>
      <c r="IX98">
        <f>$DS98+$EE98</f>
        <v>0</v>
      </c>
      <c r="IY98">
        <f>CT98</f>
        <v>0</v>
      </c>
      <c r="IZ98">
        <f>CQ98</f>
        <v>0</v>
      </c>
      <c r="JA98" s="3">
        <f>IF(HdgVaerdiNbal=1,(IZ98)*Ppris,(IY98+IZ98)*Ppris)</f>
        <v>0</v>
      </c>
      <c r="JB98" s="3">
        <f>JA98*Z98</f>
        <v>0</v>
      </c>
      <c r="JD98">
        <f>IF(AND(R98&gt;1,OR(Jordtype1=1,Jordtype1=3,Markvand1=2)),Kudvask,0)</f>
        <v>0</v>
      </c>
      <c r="JE98">
        <f>$DV98+$EH98</f>
        <v>0</v>
      </c>
      <c r="JF98">
        <f>DB98</f>
        <v>0</v>
      </c>
      <c r="JG98">
        <f>CY98</f>
        <v>0</v>
      </c>
      <c r="JH98" s="3">
        <f>IF(HdgVaerdiNbal=1,JG98*Kpris,(JF98+JG98)*Kpris)</f>
        <v>0</v>
      </c>
      <c r="JI98" s="3">
        <f>JH98*Z98</f>
        <v>0</v>
      </c>
      <c r="JK98">
        <f>IS98+JA98+JH98</f>
        <v>0</v>
      </c>
      <c r="JL98" s="3">
        <f>IF(Nbal!GT98&lt;&gt;"",Nbal!GT98,$JK98)</f>
        <v>0</v>
      </c>
      <c r="JM98" s="3">
        <f>JL98*Z98</f>
        <v>0</v>
      </c>
      <c r="JO98">
        <f>VLOOKUP(R98,Afgr,Data!$AQ$3)*PlantevJust</f>
        <v>0</v>
      </c>
      <c r="JP98" s="3">
        <f>IF(Nbal!GZ98&lt;&gt;"",Nbal!GZ98,JO98)</f>
        <v>0</v>
      </c>
      <c r="JQ98" s="3">
        <f>JP98*Z98</f>
        <v>0</v>
      </c>
      <c r="JS98">
        <f>VLOOKUP(R98,Afgr,Data!$AR$3)+AM98*VLOOKUP(R98,Afgr,Data!$BH$3)</f>
        <v>0</v>
      </c>
      <c r="JT98" s="3">
        <f>IF(Nbal!HF98&lt;&gt;"",Nbal!HF98,JS98)</f>
        <v>0</v>
      </c>
      <c r="JU98">
        <f>JT98*Z98</f>
        <v>0</v>
      </c>
      <c r="JW98">
        <f>IP98+JL98+JP98+JT98</f>
        <v>0</v>
      </c>
      <c r="JY98">
        <f>IF(VLOOKUP(R98,Afgr,Data!$BY$3)&gt;0,Data!$K$259*J98,0)</f>
        <v>0</v>
      </c>
      <c r="JZ98">
        <f>IF(VLOOKUP(R98,Afgr,Data!$BZ$3)&gt;0,Data!$K$260*J98,0)</f>
        <v>0</v>
      </c>
      <c r="KA98">
        <f>(JY98+JZ98)*MaskJust</f>
        <v>0</v>
      </c>
      <c r="KB98" s="3">
        <f>IF(Nbal!HL98&lt;&gt;"",Nbal!HL98,KA98)</f>
        <v>0</v>
      </c>
      <c r="KC98" s="3">
        <f>KB98*Z98</f>
        <v>0</v>
      </c>
      <c r="KE98">
        <f>IF(VLOOKUP(R98,Afgr,Data!$CA$3)&gt;0,VLOOKUP(R98,Afgr,Data!$CA$3)*Data!$K$261*K98,0)</f>
        <v>0</v>
      </c>
      <c r="KF98">
        <f>IF(VLOOKUP(R98,Afgr,Data!$CC$3)&gt;0,Data!$K$262*K98,0)</f>
        <v>0</v>
      </c>
      <c r="KG98">
        <f>IF(VLOOKUP(R98,Afgr,Data!$CD$3)&gt;0,VLOOKUP(R98,Afgr,Data!$CD$3)*Data!$K$263*K98,0)</f>
        <v>0</v>
      </c>
      <c r="KH98">
        <f>IF(VLOOKUP(R98,Afgr,Data!$CE$3)&gt;0,Data!$K$264*K98,0)</f>
        <v>0</v>
      </c>
      <c r="KI98">
        <f>IF(VLOOKUP(R98,Afgr,Data!$CF$3)&gt;0,Data!$K$265*K98,0)</f>
        <v>0</v>
      </c>
      <c r="KJ98">
        <f>IF(VLOOKUP(R98,Afgr,Data!$CV$3)&gt;0,Data!$K$266,0)</f>
        <v>0</v>
      </c>
      <c r="KK98">
        <f>IF(VLOOKUP(R98,Afgr,Data!$CG$3)&gt;0,Data!$K$267*K98,0)</f>
        <v>0</v>
      </c>
      <c r="KL98">
        <f>(KE98+KF98+KG98+KH98+KI98+KJ98+KK98)*MaskJust</f>
        <v>0</v>
      </c>
      <c r="KM98" s="3">
        <f>IF(Nbal!HR98&lt;&gt;"",Nbal!HR98,KL98)</f>
        <v>0</v>
      </c>
      <c r="KN98" s="3">
        <f>KM98*Z98</f>
        <v>0</v>
      </c>
      <c r="KP98">
        <f>IF(VLOOKUP(R98,Afgr,Data!$CJ$3)&gt;0,VLOOKUP(R98,Afgr,Data!$CJ$3)*Data!$K$268*K98,0)*MaskJust</f>
        <v>0</v>
      </c>
      <c r="KQ98" s="3">
        <f>IF(Nbal!HX98&lt;&gt;"",Nbal!HX98,KP98)</f>
        <v>0</v>
      </c>
      <c r="KR98" s="3">
        <f>KQ98*Z98</f>
        <v>0</v>
      </c>
      <c r="KT98">
        <f>IF(VLOOKUP(R98,Afgr,Data!$CI$3)&gt;0,VLOOKUP(R98,Afgr,Data!$CI$3)*Data!$K$269,0)*MaskJust</f>
        <v>0</v>
      </c>
      <c r="KU98" s="3">
        <f>IF(Nbal!ID98&lt;&gt;"",Nbal!ID98,KT98)</f>
        <v>0</v>
      </c>
      <c r="KV98" s="3">
        <f>KU98*Z98</f>
        <v>0</v>
      </c>
      <c r="KX98">
        <f>IF(C98=2,VLOOKUP($R98,Afgr,Data!$CY$3),0)</f>
        <v>0</v>
      </c>
      <c r="KY98">
        <f>IF(Nbal!IJ98&lt;&gt;"",Nbal!IJ98,$KX98)</f>
        <v>0</v>
      </c>
      <c r="KZ98">
        <f>IF(AND(R98&gt;1,C98=2),Vandmaskin+$KY98*Flytning/mmprgang+$KY98*Prisprmm,0)</f>
        <v>0</v>
      </c>
      <c r="LA98" s="3">
        <f>IF(Nbal!IP98&lt;&gt;"",Nbal!IP98,$KZ98)</f>
        <v>0</v>
      </c>
      <c r="LB98" s="3">
        <f>LA98*Z98</f>
        <v>0</v>
      </c>
      <c r="LD98">
        <f>IF(VLOOKUP($R98,Afgr,Data!$CK$3)&gt;0,((1+AM98/VLOOKUP($R98,Afgr,Data!$CK$3))/2)*VLOOKUP($R98,Afgr,Data!$CL$3)*VLOOKUP($R98,Afgr,Data!$CN$3)+VLOOKUP($R98,Afgr,Data!$CM$3),0)</f>
        <v>0</v>
      </c>
      <c r="LE98">
        <f>IF(VLOOKUP($R98,Afgr,Data!$CK$3)&gt;0,IF(AND($S98=2,$BA98&gt;0),Data!$K$271,0),0)</f>
        <v>0</v>
      </c>
      <c r="LF98">
        <f>IF(VLOOKUP($R98,Afgr,Data!$CK$3)&gt;0,(AM98/VLOOKUP($R98,Afgr,Data!$CK$3))*VLOOKUP($R98,Afgr,Data!$CO$3)*VLOOKUP($R98,Afgr,Data!$CN$3),0)</f>
        <v>0</v>
      </c>
      <c r="LG98">
        <f>(LD98+LE98+LF98)*MaskJust</f>
        <v>0</v>
      </c>
      <c r="LH98" s="3">
        <f>IF(Nbal!IV98&lt;&gt;"",Nbal!IV98,LG98)</f>
        <v>0</v>
      </c>
      <c r="LI98" s="3">
        <f>LH98*Z98</f>
        <v>0</v>
      </c>
      <c r="LJ98" s="3"/>
      <c r="LK98">
        <f>IF(AND($S98=1,VLOOKUP($R98,Afgr,Data!$CP$3)&gt;0),((1+$BC98/VLOOKUP($R98,Afgr,Data!$CP$3))/2)*VLOOKUP($R98,Afgr,Data!$CQ$3),0)</f>
        <v>0</v>
      </c>
      <c r="LL98">
        <f>IF(AND($S98=1,VLOOKUP($R98,Afgr,Data!$CP$3)&gt;0),($BC98/VLOOKUP($R98,Afgr,Data!$CP$3))*VLOOKUP($R98,Afgr,Data!$CR$3),0)</f>
        <v>0</v>
      </c>
      <c r="LM98">
        <f>(LK98+LL98)*MaskJust</f>
        <v>0</v>
      </c>
      <c r="LN98" s="3">
        <f>IF(Nbal!JB98&lt;&gt;"",Nbal!JB98,LM98)</f>
        <v>0</v>
      </c>
      <c r="LO98" s="3">
        <f>LN98*Z98</f>
        <v>0</v>
      </c>
      <c r="LQ98">
        <f>$AM98*VLOOKUP($R98,Afgr,Data!$CS$3)*IF($V98=1,VLOOKUP($R98,Afgr,Data!$CT$3),IF($V98=2,VLOOKUP($R98,Afgr,Data!$CU$3),0))</f>
        <v>0</v>
      </c>
      <c r="LR98" s="3">
        <f>IF(Nbal!JK98&lt;&gt;"",Nbal!JK98,LQ98)</f>
        <v>0</v>
      </c>
      <c r="LS98" s="3">
        <f>LR98*Z98</f>
        <v>0</v>
      </c>
      <c r="LU98">
        <f>VLOOKUP($T98,Efgr,Data!$AC$53)*UdsaedJust</f>
        <v>0</v>
      </c>
      <c r="LV98" s="3">
        <f>IF(Nbal!$JS98&lt;&gt;"",Nbal!$JS98,LU98)</f>
        <v>0</v>
      </c>
      <c r="LW98" s="3">
        <f>LV98*Z98</f>
        <v>0</v>
      </c>
      <c r="LY98" s="3">
        <f>IF(HdgVaerdiNbal=1,(CB98)*Npris,(CB98+CL98)*Npris)</f>
        <v>0</v>
      </c>
      <c r="LZ98" s="3">
        <f>LY98*Z98</f>
        <v>0</v>
      </c>
      <c r="MB98">
        <f>$EO98</f>
        <v>0</v>
      </c>
      <c r="MC98">
        <f>CU98</f>
        <v>0</v>
      </c>
      <c r="MD98">
        <f>CR98</f>
        <v>0</v>
      </c>
      <c r="ME98" s="3">
        <f>IF(HdgVaerdiNbal=1,MD98*Ppris,(MC98+MD98)*Ppris)</f>
        <v>0</v>
      </c>
      <c r="MF98" s="3">
        <f>ME98*Z98</f>
        <v>0</v>
      </c>
      <c r="MH98">
        <f>$ER98</f>
        <v>0</v>
      </c>
      <c r="MI98">
        <f>DC98</f>
        <v>0</v>
      </c>
      <c r="MJ98">
        <f>CZ98</f>
        <v>0</v>
      </c>
      <c r="MK98" s="3">
        <f>IF(HdgVaerdiNbal=1,MJ98*Ppris,(MI98+MJ98)*Ppris)</f>
        <v>0</v>
      </c>
      <c r="ML98" s="3">
        <f>MK98*Z98</f>
        <v>0</v>
      </c>
      <c r="MN98">
        <f>LY98+ME98+MK98</f>
        <v>0</v>
      </c>
      <c r="MO98" s="3">
        <f>IF(Nbal!JY98&lt;&gt;"",Nbal!JY98,$MN98)</f>
        <v>0</v>
      </c>
      <c r="MP98" s="3">
        <f>MO98*Z98</f>
        <v>0</v>
      </c>
      <c r="MR98">
        <f>VLOOKUP($T98,Efgr,Data!$AE$53)*PlantevJust</f>
        <v>0</v>
      </c>
      <c r="MS98" s="3">
        <f>IF(Nbal!KE98&lt;&gt;"",Nbal!KE98,MR98)</f>
        <v>0</v>
      </c>
      <c r="MT98" s="3">
        <f>MS98*Z98</f>
        <v>0</v>
      </c>
      <c r="MV98">
        <f>VLOOKUP($T98,Efgr,Data!$AF$53)+$BR98*VLOOKUP($T98,Efgr,Data!$AL$53)</f>
        <v>0</v>
      </c>
      <c r="MW98" s="3">
        <f>IF(Nbal!KK98&lt;&gt;"",Nbal!KK98,MV98)</f>
        <v>0</v>
      </c>
      <c r="MX98" s="3">
        <f>MW98*Z98</f>
        <v>0</v>
      </c>
      <c r="MZ98">
        <f>LV98+MO98+MS98+MW98</f>
        <v>0</v>
      </c>
      <c r="NB98">
        <f>VLOOKUP($T98,Efgr,Data!$AU$53)*K98*MaskJust</f>
        <v>0</v>
      </c>
      <c r="NC98" s="3">
        <f>IF(Nbal!KQ98&lt;&gt;"",Nbal!KQ98,NB98)</f>
        <v>0</v>
      </c>
      <c r="ND98" s="3">
        <f>NC98*Z98</f>
        <v>0</v>
      </c>
      <c r="NF98">
        <f>VLOOKUP($T98,Efgr,Data!$AW$53)*Data!$K$268*K98*MaskJust</f>
        <v>0</v>
      </c>
      <c r="NG98" s="3">
        <f>IF(Nbal!KW98&lt;&gt;"",Nbal!KW98,NF98)</f>
        <v>0</v>
      </c>
      <c r="NH98" s="3">
        <f>NG98*Z98</f>
        <v>0</v>
      </c>
      <c r="NJ98">
        <f>VLOOKUP($T98,Efgr,Data!$AV$53)*Data!$K$269*MaskJust</f>
        <v>0</v>
      </c>
      <c r="NK98" s="3">
        <f>IF(Nbal!LC98&lt;&gt;"",Nbal!LC98,NJ98)</f>
        <v>0</v>
      </c>
      <c r="NL98" s="3">
        <f>NK98*Z98</f>
        <v>0</v>
      </c>
      <c r="NN98">
        <f>IF(C98=2,VLOOKUP($T98,Efgr,Data!$BC$53),0)</f>
        <v>0</v>
      </c>
      <c r="NO98">
        <f>IF(Nbal!LI98&lt;&gt;"",Nbal!LI98,$NN98)</f>
        <v>0</v>
      </c>
      <c r="NP98">
        <f>IF(C98=2,$NO98*Flytning/mmprgang+$NO98*Prisprmm,0)</f>
        <v>0</v>
      </c>
      <c r="NQ98" s="3">
        <f>IF(Nbal!LO98&lt;&gt;"",Nbal!LO98,$NP98)</f>
        <v>0</v>
      </c>
      <c r="NR98" s="3">
        <f>NQ98*Z98</f>
        <v>0</v>
      </c>
      <c r="NT98">
        <f>IF(VLOOKUP($T98,Efgr,Data!$AX$53)&gt;0,((1+BR98/VLOOKUP($T98,Efgr,Data!$AX$53))/2)*VLOOKUP($T98,Efgr,Data!$AY$53)*VLOOKUP($T98,Efgr,Data!$BA$53)+VLOOKUP($T98,Efgr,Data!$AZ$53),0)</f>
        <v>0</v>
      </c>
      <c r="NU98">
        <f>IF(VLOOKUP($T98,Efgr,Data!$AX$53)&gt;0,($BR98/VLOOKUP($T98,Efgr,Data!$AX$53))*VLOOKUP($T98,Efgr,Data!$BB$53)*VLOOKUP($T98,Efgr,Data!$BA$53),0)</f>
        <v>0</v>
      </c>
      <c r="NV98">
        <f>(NT98+NU98)*MaskJust</f>
        <v>0</v>
      </c>
      <c r="NW98" s="3">
        <f>IF(Nbal!LU98&lt;&gt;"",Nbal!LU98,NV98)</f>
        <v>0</v>
      </c>
      <c r="NX98" s="3">
        <f>NW98*Z98</f>
        <v>0</v>
      </c>
      <c r="NZ98">
        <f>IF($U98=2,Data!$K$304,IF($U98=3,Data!$K$305,0))*MaskJust</f>
        <v>0</v>
      </c>
      <c r="OA98" s="3">
        <f>IF(Nbal!MA98&lt;&gt;"",Nbal!MA98,NZ98)</f>
        <v>0</v>
      </c>
      <c r="OB98" s="3">
        <f>OA98*Z98</f>
        <v>0</v>
      </c>
      <c r="OD98">
        <f>IL98</f>
        <v>0</v>
      </c>
      <c r="OE98">
        <f>JW98+MZ98</f>
        <v>0</v>
      </c>
      <c r="OF98">
        <f>OD98-OE98</f>
        <v>0</v>
      </c>
      <c r="OG98">
        <f>OF98*Z98</f>
        <v>0</v>
      </c>
      <c r="OJ98">
        <f>VLOOKUP($O98,Afgr,Data!$BP$3)+VLOOKUP($P98,Efgr,Data!$AM$53)</f>
        <v>0</v>
      </c>
      <c r="OK98" s="3">
        <f>OJ98*Z98</f>
        <v>0</v>
      </c>
      <c r="OL98">
        <f>VLOOKUP($R98,Afgr,Data!$BP$3)+VLOOKUP($T98,Efgr,Data!$AM$53)</f>
        <v>0</v>
      </c>
      <c r="OM98" s="3">
        <f>OL98*Z98</f>
        <v>0</v>
      </c>
      <c r="OO98">
        <f>VLOOKUP($P98,Efgr,Data!$AN$53)</f>
        <v>0</v>
      </c>
      <c r="OP98">
        <f>VLOOKUP($O98,Afgr,Data!$BQ$3)</f>
        <v>0</v>
      </c>
      <c r="OQ98">
        <f>VLOOKUP($R98,Afgr,Data!$BR$3)</f>
        <v>1</v>
      </c>
      <c r="OR98">
        <f>OO98*OP98*OQ98</f>
        <v>0</v>
      </c>
      <c r="OS98" s="3">
        <f>OR98*Z98</f>
        <v>0</v>
      </c>
      <c r="OT98" s="3">
        <f>IF(Q98,1,0)*OS98</f>
        <v>0</v>
      </c>
      <c r="OV98">
        <f>VLOOKUP($T98,Efgr,Data!$AN$53)</f>
        <v>0</v>
      </c>
      <c r="OW98">
        <f>VLOOKUP($R98,Afgr,Data!$BQ$3)</f>
        <v>0</v>
      </c>
      <c r="OX98">
        <f>VLOOKUP($X98,Afgr,Data!$BR$3)</f>
        <v>1</v>
      </c>
      <c r="OY98">
        <f>OV98*OW98*OX98</f>
        <v>0</v>
      </c>
      <c r="OZ98" s="3">
        <f>OY98*Z98</f>
        <v>0</v>
      </c>
      <c r="PB98">
        <f>VLOOKUP($T98,Efgr,Data!$AO$53)</f>
        <v>0</v>
      </c>
      <c r="PC98">
        <f>VLOOKUP($O98,Afgr,Data!$BQ$3)</f>
        <v>0</v>
      </c>
      <c r="PD98">
        <f>VLOOKUP($R98,Afgr,Data!$BS$3)</f>
        <v>0</v>
      </c>
      <c r="PE98" s="3">
        <f>PB98*PC98*PD98*$Z98</f>
        <v>0</v>
      </c>
      <c r="PG98">
        <f>VLOOKUP($T98,Efgr,Data!$AO$53)</f>
        <v>0</v>
      </c>
      <c r="PH98">
        <f>VLOOKUP($R98,Afgr,Data!$BQ$3)</f>
        <v>0</v>
      </c>
      <c r="PI98">
        <f>VLOOKUP($X98,Afgr,Data!$BS$3)</f>
        <v>0</v>
      </c>
      <c r="PJ98" s="3">
        <f>PG98*PH98*PI98*$Z98</f>
        <v>0</v>
      </c>
      <c r="PK98" s="3"/>
      <c r="PL98" s="3">
        <f>VLOOKUP($O98,Afgr,Data!$BU$3)</f>
        <v>0</v>
      </c>
      <c r="PM98" s="3">
        <f>PL98*Z98</f>
        <v>0</v>
      </c>
      <c r="PN98" s="3">
        <f>VLOOKUP($R98,Afgr,Data!$BU$3)</f>
        <v>0</v>
      </c>
      <c r="PO98" s="3">
        <f>PN98*Z98</f>
        <v>0</v>
      </c>
      <c r="PQ98">
        <f>VLOOKUP(R98,Afgr,Data!$BX$3)+VLOOKUP(T98,Efgr,Data!$AQ$53)</f>
        <v>0</v>
      </c>
      <c r="PR98">
        <f>IF(PQ98&gt;0,Z98,0)</f>
        <v>0</v>
      </c>
      <c r="PT98">
        <f>VLOOKUP($O98,Afgr,Data!$BT$3)</f>
        <v>0</v>
      </c>
      <c r="PU98" s="3">
        <f>PT98*Z98</f>
        <v>0</v>
      </c>
      <c r="PV98">
        <f>VLOOKUP($R98,Afgr,Data!$BT$3)</f>
        <v>0</v>
      </c>
      <c r="PW98" s="3">
        <f>PV98*Z98</f>
        <v>0</v>
      </c>
      <c r="PY98">
        <f>VLOOKUP($R98,Afgr,Data!$BV$3)</f>
        <v>0</v>
      </c>
      <c r="PZ98">
        <f>PY98*Z98</f>
        <v>0</v>
      </c>
      <c r="QB98">
        <f>VLOOKUP($R98,Afgr,Data!$BW$3)</f>
        <v>0</v>
      </c>
      <c r="QC98">
        <f>QB98*Z98</f>
        <v>0</v>
      </c>
      <c r="QE98">
        <f>AM98*IF(VLOOKUP($R98,Afgr,Data!$BJ$3)&gt;0,1,0)</f>
        <v>0</v>
      </c>
      <c r="QF98">
        <f>QE98*Z98</f>
        <v>0</v>
      </c>
      <c r="QH98">
        <f>AM98*VLOOKUP(R98,Afgr,Data!$BK$3)</f>
        <v>0</v>
      </c>
      <c r="QI98">
        <f>Z98*QH98</f>
        <v>0</v>
      </c>
      <c r="QJ98">
        <f>$AM98*VLOOKUP($R98,Afgr,Data!$BL$3)+$BR98*VLOOKUP($T98,Efgr,Data!$AP$53)</f>
        <v>0</v>
      </c>
      <c r="QK98">
        <f>QJ98*Z98</f>
        <v>0</v>
      </c>
      <c r="QL98">
        <f>$AM98*VLOOKUP($R98,Afgr,Data!$BM$3)</f>
        <v>0</v>
      </c>
      <c r="QM98">
        <f>QL98*Z98</f>
        <v>0</v>
      </c>
      <c r="QN98">
        <f>$AM98*VLOOKUP($R98,Afgr,Data!$BN$3)</f>
        <v>0</v>
      </c>
      <c r="QO98">
        <f>QN98*Z98</f>
        <v>0</v>
      </c>
      <c r="QR98">
        <f>IF(VLOOKUP($R98,Afgr,Data!$DA$3)="Vårbyg",$AN98,0)*VLOOKUP($R98,Afgr,Data!$BJ$3)</f>
        <v>0</v>
      </c>
      <c r="QS98">
        <f>IF(VLOOKUP($R98,Afgr,Data!$DA$3)="Vinterbyg",$AN98,0)*VLOOKUP($R98,Afgr,Data!$BJ$3)</f>
        <v>0</v>
      </c>
      <c r="QT98">
        <f>IF(VLOOKUP($R98,Afgr,Data!$DA$3)="Havre",$AN98,0)*VLOOKUP($R98,Afgr,Data!$BJ$3)</f>
        <v>0</v>
      </c>
      <c r="QU98">
        <f>IF(VLOOKUP($R98,Afgr,Data!$DA$3)="Hvede",$AN98,0)*VLOOKUP($R98,Afgr,Data!$BJ$3)</f>
        <v>0</v>
      </c>
      <c r="QV98">
        <f>IF(VLOOKUP($R98,Afgr,Data!$DA$3)="Triticale",$AN98,0)*VLOOKUP($R98,Afgr,Data!$BJ$3)</f>
        <v>0</v>
      </c>
      <c r="QW98">
        <f>IF(VLOOKUP($R98,Afgr,Data!$DA$3)="Rug",$AN98,0)*VLOOKUP($R98,Afgr,Data!$BJ$3)</f>
        <v>0</v>
      </c>
      <c r="QX98">
        <f>IF(VLOOKUP($R98,Afgr,Data!$DA$3)="Majs",$AN98,0)*VLOOKUP($R98,Afgr,Data!$BJ$3)</f>
        <v>0</v>
      </c>
      <c r="RA98">
        <f>IF(OV98+PB98&gt;0,1,0)</f>
        <v>0</v>
      </c>
      <c r="RB98">
        <f>RA98*LW98</f>
        <v>0</v>
      </c>
      <c r="RC98">
        <f>RA98*MT98</f>
        <v>0</v>
      </c>
      <c r="RD98">
        <f>ND98</f>
        <v>0</v>
      </c>
      <c r="RE98">
        <f>RA98*OB98</f>
        <v>0</v>
      </c>
      <c r="RH98">
        <f>VLOOKUP(B98,Jordtype,Data!$Y$112+DenitNr-1)</f>
        <v>7.25</v>
      </c>
      <c r="RI98">
        <f>FF98*VLOOKUP(B98,Jordtype,Data!$AB$112+DenitNr-1)</f>
        <v>0</v>
      </c>
      <c r="RJ98">
        <f>((CJ98+CK98+CL98+Regn2!CO98*0.7)-(RR98+RT98))*VLOOKUP(B98,Jordtype,Data!$AE$112+DenitNr-1)</f>
        <v>0</v>
      </c>
      <c r="RK98">
        <f>0*VLOOKUP(B98,Jordtype,Data!$AE$112+DenitNr-1)</f>
        <v>0</v>
      </c>
      <c r="RL98">
        <f>Regn2!FD98*VLOOKUP(B98,Jordtype,Data!$AH$112+DenitNr-1)</f>
        <v>0</v>
      </c>
      <c r="RM98" s="3">
        <f>RH98+RI98+RJ98+RK98+RL98</f>
        <v>7.25</v>
      </c>
      <c r="RO98">
        <v>2</v>
      </c>
      <c r="RP98">
        <f>(FF98)*RO98*0.01</f>
        <v>0</v>
      </c>
      <c r="RQ98">
        <v>7</v>
      </c>
      <c r="RR98">
        <f>CE98*RQ98*0.01</f>
        <v>0</v>
      </c>
      <c r="RS98">
        <v>7</v>
      </c>
      <c r="RT98">
        <f>(Regn2!CF98+Regn2!CG98)*RS98*0.01</f>
        <v>0</v>
      </c>
      <c r="RW98">
        <f>VLOOKUP(R98,Afgr,Data!$EE$3)</f>
        <v>0</v>
      </c>
      <c r="RX98" s="3">
        <f>RP98+RR98+RT98+RV98+RW98</f>
        <v>0</v>
      </c>
    </row>
    <row r="100" spans="1:492" x14ac:dyDescent="0.25">
      <c r="A100" s="214">
        <f>Nbal!B100</f>
        <v>0</v>
      </c>
      <c r="B100">
        <v>6</v>
      </c>
      <c r="C100">
        <v>1</v>
      </c>
      <c r="D100">
        <f>IF(C100=1,VLOOKUP(B100,Jordtype,Data!$K$112),VLOOKUP(B100,Jordtype,Data!$L$112))</f>
        <v>9</v>
      </c>
      <c r="E100">
        <f>IF(C100=1,VLOOKUP(B100,Jordtype,Data!$M$112),VLOOKUP(B100,Jordtype,Data!$N$112))</f>
        <v>14</v>
      </c>
      <c r="F100">
        <f>IF(OR(B100=1,B100=3),0,IF(OR(B100=2,B100=4),1,IF(OR(B100=5,B100=6),2,3)))</f>
        <v>2</v>
      </c>
      <c r="G100">
        <f>IF(C100=1,VLOOKUP(B100,Jordtype,Data!$Q$112),VLOOKUP(B100,Jordtype,Data!$R$112))</f>
        <v>25</v>
      </c>
      <c r="H100">
        <f>IF(C100=1,VLOOKUP(B100,Jordtype,Data!$O$112),VLOOKUP(B100,Jordtype,Data!$P$112))</f>
        <v>19</v>
      </c>
      <c r="I100">
        <f>IF(B100&lt;5,0,1)</f>
        <v>1</v>
      </c>
      <c r="J100">
        <f>IF(B100&lt;5,PlojJB,1)</f>
        <v>1</v>
      </c>
      <c r="K100">
        <f>IF(B100&lt;5,SaaJB,1)</f>
        <v>1</v>
      </c>
      <c r="L100">
        <f>IF(C100=1,VLOOKUP(B100,Jordtype,Data!$S$112),VLOOKUP(B100,Jordtype,Data!$T$112))</f>
        <v>8</v>
      </c>
      <c r="M100">
        <f>IF(C100=1,VLOOKUP(B100,Jordtype,Data!$U$112),VLOOKUP(B100,Jordtype,Data!$V$112))</f>
        <v>13</v>
      </c>
      <c r="O100">
        <v>1</v>
      </c>
      <c r="P100">
        <v>1</v>
      </c>
      <c r="Q100" t="b">
        <v>0</v>
      </c>
      <c r="R100">
        <v>1</v>
      </c>
      <c r="S100">
        <v>1</v>
      </c>
      <c r="T100">
        <v>1</v>
      </c>
      <c r="U100">
        <v>1</v>
      </c>
      <c r="V100">
        <v>1</v>
      </c>
      <c r="X100">
        <v>1</v>
      </c>
      <c r="Z100">
        <f>Nbal!AG100</f>
        <v>0</v>
      </c>
      <c r="AA100">
        <v>1</v>
      </c>
      <c r="AB100">
        <f>VLOOKUP($R100,Afgr,G100)</f>
        <v>0</v>
      </c>
      <c r="AC100">
        <f>VLOOKUP($O100,Afgr,Data!$AI$3)*VLOOKUP(R100,Afgr,Data!$AJ$3)</f>
        <v>0</v>
      </c>
      <c r="AD100">
        <f>IF($Q100,0,VLOOKUP($P100,Efgr,(Data!$W$53+$V$6-1)))</f>
        <v>0</v>
      </c>
      <c r="AE100">
        <f>AB100-AC100-AD100</f>
        <v>0</v>
      </c>
      <c r="AF100">
        <f>AE100*Z100</f>
        <v>0</v>
      </c>
      <c r="AH100">
        <f>VLOOKUP(R100,Afgr,D100)</f>
        <v>0</v>
      </c>
      <c r="AI100">
        <f>VLOOKUP(O100,Afgr,Data!$AL$3)*VLOOKUP(R100,Afgr,E100)</f>
        <v>0</v>
      </c>
      <c r="AJ100">
        <f>VLOOKUP(P100,Efgr,(Data!$Y$53+I100))</f>
        <v>0</v>
      </c>
      <c r="AK100">
        <f>AH100+AI100+AJ100</f>
        <v>0</v>
      </c>
      <c r="AL100">
        <f>AH100+AI100+AJ100</f>
        <v>0</v>
      </c>
      <c r="AM100" s="3">
        <f>IF(Nbal!CK100&lt;&gt;"",Nbal!CK100,AL100)</f>
        <v>0</v>
      </c>
      <c r="AN100">
        <f>AM100*Z100</f>
        <v>0</v>
      </c>
      <c r="AO100">
        <f>VLOOKUP(R100,Afgr,3)</f>
        <v>0</v>
      </c>
      <c r="AP100">
        <f>IF(AO100="FE",VLOOKUP($R100,Afgr,Data!$AV$3),0)</f>
        <v>0</v>
      </c>
      <c r="AR100">
        <f>VLOOKUP(R100,Afgr,4)</f>
        <v>0</v>
      </c>
      <c r="AS100" s="3">
        <f>IF(Nbal!CW100&lt;&gt;"",Nbal!CW100,AR100)</f>
        <v>0</v>
      </c>
      <c r="AT100" s="3">
        <f>AM100*AS100</f>
        <v>0</v>
      </c>
      <c r="AU100" s="3">
        <f>AN100*AS100</f>
        <v>0</v>
      </c>
      <c r="AW100">
        <f>VLOOKUP(R100,Afgr,Data!$AN$3)</f>
        <v>0</v>
      </c>
      <c r="AX100" s="3">
        <f>IF(Nbal!DC100&lt;&gt;"",Nbal!DC100,AW100)</f>
        <v>0</v>
      </c>
      <c r="AY100" s="3">
        <f>AX100*Z100</f>
        <v>0</v>
      </c>
      <c r="BA100">
        <f>VLOOKUP(R100,Afgr,H100)</f>
        <v>0</v>
      </c>
      <c r="BB100">
        <f>IF(ISERROR(BA100*AM100/AK100),0,(BA100*AM100/AK100))</f>
        <v>0</v>
      </c>
      <c r="BC100" s="3">
        <f>IF(Nbal!DI100&lt;&gt;"",Nbal!DI100,BB100)</f>
        <v>0</v>
      </c>
      <c r="BD100">
        <f>BC100*Z100</f>
        <v>0</v>
      </c>
      <c r="BG100">
        <f>IF($S100=1,BC100,0)</f>
        <v>0</v>
      </c>
      <c r="BH100">
        <f>IF($S100=1,BD100,0)</f>
        <v>0</v>
      </c>
      <c r="BI100">
        <f>VLOOKUP(R100,Afgr,Data!$AM$3)</f>
        <v>0</v>
      </c>
      <c r="BJ100">
        <f>IF(Nbal!DR100&lt;&gt;"",Nbal!DR100,BI100)</f>
        <v>0</v>
      </c>
      <c r="BK100">
        <f>BG100*BJ100</f>
        <v>0</v>
      </c>
      <c r="BL100">
        <f>BH100*BJ100</f>
        <v>0</v>
      </c>
      <c r="BN100">
        <f>VLOOKUP($T100,Efgr,M100)</f>
        <v>0</v>
      </c>
      <c r="BO100">
        <f>BN100*Z100</f>
        <v>0</v>
      </c>
      <c r="BQ100">
        <f>VLOOKUP(T100,Efgr,NormudbKolonneNrEfgr1)</f>
        <v>0</v>
      </c>
      <c r="BR100" s="3">
        <f>IF(Nbal!FE100&lt;&gt;"",Nbal!FE100,BQ100)</f>
        <v>0</v>
      </c>
      <c r="BS100">
        <f>BR100*Z100</f>
        <v>0</v>
      </c>
      <c r="BT100" t="s">
        <v>37</v>
      </c>
      <c r="BU100">
        <f>BR100*Efterslaetpris</f>
        <v>0</v>
      </c>
      <c r="BV100">
        <f>BS100*Efterslaetpris</f>
        <v>0</v>
      </c>
      <c r="BW100">
        <f>VLOOKUP(T100,Efgr,Data!$AG$53)</f>
        <v>0</v>
      </c>
      <c r="BX100">
        <f>BR100*BW100</f>
        <v>0</v>
      </c>
      <c r="BZ100">
        <f>Nbal!AQ100</f>
        <v>0</v>
      </c>
      <c r="CA100" s="211">
        <f>Nbal!AT100</f>
        <v>0</v>
      </c>
      <c r="CB100" s="2">
        <f>Nbal!DZ100</f>
        <v>0</v>
      </c>
      <c r="CC100" s="211">
        <f>Nbal!AT100+Nbal!DZ100</f>
        <v>0</v>
      </c>
      <c r="CD100" s="211">
        <f>Nbal!AX100</f>
        <v>0</v>
      </c>
      <c r="CE100">
        <f>Nbal!BH100</f>
        <v>0</v>
      </c>
      <c r="CF100" s="211">
        <f>Nbal!BM100</f>
        <v>0</v>
      </c>
      <c r="CG100" s="2">
        <f>Nbal!EI100</f>
        <v>0</v>
      </c>
      <c r="CH100" s="211">
        <f>Nbal!BM100+Nbal!EI100</f>
        <v>0</v>
      </c>
      <c r="CI100" s="211">
        <f>Nbal!BW100</f>
        <v>0</v>
      </c>
      <c r="CJ100" s="211">
        <f>Nbal!BH100*Nbal!BJ100*0.01</f>
        <v>0</v>
      </c>
      <c r="CK100" s="211">
        <f>(Nbal!BM100*Nbal!BP100*0.01)</f>
        <v>0</v>
      </c>
      <c r="CL100" s="211">
        <f>(Nbal!EI100*Nbal!EL100*0.01)</f>
        <v>0</v>
      </c>
      <c r="CM100" s="211">
        <f>(Nbal!BM100*Nbal!BP100*0.01)+(Nbal!EI100*Nbal!EL100*0.01)</f>
        <v>0</v>
      </c>
      <c r="CN100" s="211">
        <f>Nbal!BW100*Nbal!BY100*0.01</f>
        <v>0</v>
      </c>
      <c r="CO100">
        <f>Nbal!BT100+Nbal!ER100</f>
        <v>0</v>
      </c>
      <c r="CQ100">
        <f>Nbal!BA100</f>
        <v>0</v>
      </c>
      <c r="CR100">
        <f>Nbal!EC100</f>
        <v>0</v>
      </c>
      <c r="CS100">
        <f>(CQ100+CR100)*Z100</f>
        <v>0</v>
      </c>
      <c r="CT100">
        <f>Nbal!CB100</f>
        <v>0</v>
      </c>
      <c r="CU100">
        <f>Nbal!EV100</f>
        <v>0</v>
      </c>
      <c r="CV100">
        <f>(CT100+CU100)*Z100</f>
        <v>0</v>
      </c>
      <c r="CW100">
        <f>Nbal!BA100+Nbal!CB100+Nbal!EC100+Nbal!EV100</f>
        <v>0</v>
      </c>
      <c r="CY100">
        <f>Nbal!BD100</f>
        <v>0</v>
      </c>
      <c r="CZ100">
        <f>Nbal!EF100</f>
        <v>0</v>
      </c>
      <c r="DA100">
        <f>(CY100+CZ100)*Z100</f>
        <v>0</v>
      </c>
      <c r="DB100">
        <f>Nbal!CE100</f>
        <v>0</v>
      </c>
      <c r="DC100">
        <f>Nbal!EY100</f>
        <v>0</v>
      </c>
      <c r="DD100">
        <f>(DB100+DC100)*Z100</f>
        <v>0</v>
      </c>
      <c r="DE100">
        <f>Nbal!BD100+Nbal!CE100+Nbal!EF100+Nbal!EY100</f>
        <v>0</v>
      </c>
      <c r="DG100">
        <f>VLOOKUP($R100,Afgr,Data!$AW$3)</f>
        <v>0</v>
      </c>
      <c r="DH100">
        <f>IF($AO100="FE",$AM100*$AP100*$DG100*0.01,$AM100*100*$DM100*0.01*$DG100*0.01)</f>
        <v>0</v>
      </c>
      <c r="DI100">
        <f>IF(VLOOKUP(R100,Afgr,Data!$BO$3)=1,DH100,0)*Z100</f>
        <v>0</v>
      </c>
      <c r="DJ100" s="12">
        <f>(BZ100+CC100+CJ100-AE100)*VLOOKUP($R100,Afgr,Data!$AX$3)</f>
        <v>0</v>
      </c>
      <c r="DK100">
        <f>DG100+DJ100</f>
        <v>0</v>
      </c>
      <c r="DL100">
        <f>IF(Nbal!CQ100&lt;&gt;"",Nbal!CQ100,DK100)</f>
        <v>0</v>
      </c>
      <c r="DM100">
        <f>VLOOKUP(R100,Afgr,Data!$AT$3)</f>
        <v>0</v>
      </c>
      <c r="DN100">
        <f>IF($AO100="FE",$AM100*$AP100*$DL100*0.01,$AM100*100*$DM100*0.01*DL100*0.01)</f>
        <v>0</v>
      </c>
      <c r="DO100">
        <f>IF(VLOOKUP(R100,Afgr,Data!$BO$3)=1,DN100,0)*Z100</f>
        <v>0</v>
      </c>
      <c r="DP100">
        <f>IF(ISERROR(DN100/VLOOKUP(R100,Afgr,Data!$AY$3)),0,DN100/VLOOKUP(R100,Afgr,Data!$AY$3))</f>
        <v>0</v>
      </c>
      <c r="DQ100">
        <f>DP100*Z100</f>
        <v>0</v>
      </c>
      <c r="DS100">
        <f>IF($AO100="FE",$AM100*$AP100*VLOOKUP($R100,Afgr,Data!$BC$3)*0.001,$AM100*100*$DM100*0.01*VLOOKUP($R100,Afgr,Data!$BC$3)*0.001)</f>
        <v>0</v>
      </c>
      <c r="DT100">
        <f>DS100*Z100</f>
        <v>0</v>
      </c>
      <c r="DV100">
        <f>IF($AO100="FE",$AM100*$AP100*VLOOKUP($R100,Afgr,Data!$BF$3)*0.001,$AM100*100*$DM100*0.01*VLOOKUP($R100,Afgr,Data!$BF$3)*0.001)</f>
        <v>0</v>
      </c>
      <c r="DW100">
        <f>DV100*Z100</f>
        <v>0</v>
      </c>
      <c r="DY100">
        <f>IF(ISERROR(VLOOKUP(R100,Afgr,Data!$AZ$3)*DL100/DG100),0,VLOOKUP(R100,Afgr,Data!$AZ$3)*DL100/DG100)</f>
        <v>0</v>
      </c>
      <c r="DZ100">
        <f>VLOOKUP(R100,Afgr,Data!$AU$3)</f>
        <v>0</v>
      </c>
      <c r="EA100">
        <f>IF($S100=1,$BC100*$DZ100*0.01*DY100*0.01,0)</f>
        <v>0</v>
      </c>
      <c r="EB100">
        <f>EA100/6.25</f>
        <v>0</v>
      </c>
      <c r="EC100">
        <f>EB100*Z100</f>
        <v>0</v>
      </c>
      <c r="EE100">
        <f>IF($S100=1,$BC100*$DZ100*0.01*VLOOKUP($R100,Afgr,Data!$BD$3)*0.001,0)</f>
        <v>0</v>
      </c>
      <c r="EF100">
        <f>EE100*Z100</f>
        <v>0</v>
      </c>
      <c r="EH100">
        <f>IF($S100=1,$BC100*$DZ100*0.01*VLOOKUP($R100,Afgr,Data!$BG$3)*0.001,0)</f>
        <v>0</v>
      </c>
      <c r="EI100">
        <f>EH100*Z100</f>
        <v>0</v>
      </c>
      <c r="EK100">
        <f>VLOOKUP(T100,Efgr,Data!$AI$53)</f>
        <v>0</v>
      </c>
      <c r="EL100">
        <f>BX100*EK100*0.01/6.25</f>
        <v>0</v>
      </c>
      <c r="EM100">
        <f>EL100*Z100</f>
        <v>0</v>
      </c>
      <c r="EO100">
        <f>$BX100*VLOOKUP($T100,Efgr,Data!$AJ$53)*0.001</f>
        <v>0</v>
      </c>
      <c r="EP100">
        <f>EO100*Z100</f>
        <v>0</v>
      </c>
      <c r="ER100">
        <f>$BX100*VLOOKUP($T100,Efgr,Data!$AK$53)*0.001</f>
        <v>0</v>
      </c>
      <c r="ES100">
        <f>ER100*Z100</f>
        <v>0</v>
      </c>
      <c r="EU100">
        <f>IF(VLOOKUP(R100,Afgr,Data!$DS$3)=1,DP100*VLOOKUP(R100,Afgr,(Data!$DT$3+EftervirkningUdb1))*VLOOKUP(R100,Afgr,Data!$DV$3),0)</f>
        <v>0</v>
      </c>
      <c r="EV100">
        <f>IF(VLOOKUP(R100,Afgr,Data!$DS$3)=2,VLOOKUP(R100,Afgr,Data!$DX$3),0)</f>
        <v>0</v>
      </c>
      <c r="EW100">
        <f>IF(VLOOKUP(R100,Afgr,Data!$DS$3)=3,$DP100*VLOOKUP($R100,Afgr,IF(Jordtype1&lt;5,Data!$DT$3,Data!$DU$3))*VLOOKUP($R100,Afgr,Data!$DV$3),0)</f>
        <v>0</v>
      </c>
      <c r="EX100">
        <f>IF(VLOOKUP(R100,Afgr,Data!$DS$3)=4,(1.232+0.00469*AM100*100+(0.000256*AM100*100+0.089)*60),0)</f>
        <v>0</v>
      </c>
      <c r="EY100" s="211">
        <f>BZ100+CA100+CJ100+CK100</f>
        <v>0</v>
      </c>
      <c r="EZ100">
        <f>IF(VLOOKUP($R100,Afgr,Data!$DS$3)=5,($AM100*0.02742-$AM100*0.0001*$EY100+$AM100*0.0000001111*$EY100*$EY100),0)</f>
        <v>0</v>
      </c>
      <c r="FA100" s="2">
        <f>CB100+CL100</f>
        <v>0</v>
      </c>
      <c r="FB100">
        <f>IF(VLOOKUP($T100,Efgr,Data!$BH$53)=5,($BR100*0.02742-$BR100*0.0001*$FA100+$BR100*0.0000001111*$FA100*$FA100),0)</f>
        <v>0</v>
      </c>
      <c r="FC100" s="3">
        <f>EU100+EV100+EW100+EX100+EZ100+FB100</f>
        <v>0</v>
      </c>
      <c r="FD100" s="3">
        <f>FC100*Z100</f>
        <v>0</v>
      </c>
      <c r="FF100" s="211">
        <f>BZ100+CC100</f>
        <v>0</v>
      </c>
      <c r="FG100" s="211">
        <f>FF100*Z100</f>
        <v>0</v>
      </c>
      <c r="FH100" s="211">
        <f>CE100+CH100+CO100</f>
        <v>0</v>
      </c>
      <c r="FI100" s="211">
        <f>FH100*Z100</f>
        <v>0</v>
      </c>
      <c r="FJ100">
        <f>VLOOKUP($R100,Afgr,Data!$DK$3)*VLOOKUP($R100,Afgr,Data!$AT$3)*0.01*VLOOKUP($R100,Afgr,Data!$AW$3)*0.01/6.25</f>
        <v>0</v>
      </c>
      <c r="FK100">
        <f>FJ100*Z100</f>
        <v>0</v>
      </c>
      <c r="FL100" s="4">
        <f>IF(R100&gt;1,Deposition,0)</f>
        <v>0</v>
      </c>
      <c r="FM100" s="4">
        <f>FL100*Z100</f>
        <v>0</v>
      </c>
      <c r="FN100">
        <f>FC100</f>
        <v>0</v>
      </c>
      <c r="FO100">
        <f>FN100*Z100</f>
        <v>0</v>
      </c>
      <c r="FP100" s="211">
        <f>SUM(FF100,FH100,FJ100,FL100,FN100)</f>
        <v>0</v>
      </c>
      <c r="FQ100">
        <f>DP100+EB100+EL100</f>
        <v>0</v>
      </c>
      <c r="FR100" s="3">
        <f>FP100-FQ100</f>
        <v>0</v>
      </c>
      <c r="FS100" s="19">
        <f>FP100*Z100</f>
        <v>0</v>
      </c>
      <c r="FT100" s="19">
        <f>FQ100*Z100</f>
        <v>0</v>
      </c>
      <c r="FU100" s="3">
        <f>FR100*Z100</f>
        <v>0</v>
      </c>
      <c r="FW100">
        <f>CW100</f>
        <v>0</v>
      </c>
      <c r="FX100">
        <f>FW100*Z100</f>
        <v>0</v>
      </c>
      <c r="FY100">
        <f>IX100+MB100</f>
        <v>0</v>
      </c>
      <c r="FZ100">
        <f>FY100*Z100</f>
        <v>0</v>
      </c>
      <c r="GA100">
        <f>FW100-FY100</f>
        <v>0</v>
      </c>
      <c r="GB100">
        <f>GA100*Z100</f>
        <v>0</v>
      </c>
      <c r="GD100">
        <f>DE100</f>
        <v>0</v>
      </c>
      <c r="GE100">
        <f>GD100*Z100</f>
        <v>0</v>
      </c>
      <c r="GF100">
        <f>JE100+MH100</f>
        <v>0</v>
      </c>
      <c r="GG100">
        <f>GF100*Z100</f>
        <v>0</v>
      </c>
      <c r="GH100">
        <f>GD100-GF100</f>
        <v>0</v>
      </c>
      <c r="GI100">
        <f>GH100*Z100</f>
        <v>0</v>
      </c>
      <c r="GK100">
        <f>AA100</f>
        <v>1</v>
      </c>
      <c r="GL100" s="211">
        <f>FF100+FH100+FN100</f>
        <v>0</v>
      </c>
      <c r="GM100" s="211" t="str">
        <f>IF(R100=1,"",IF(GK100=1,GL100,""))</f>
        <v/>
      </c>
      <c r="GN100" s="211" t="str">
        <f>IF(R100=1,"",IF(GK100=2,GL100,""))</f>
        <v/>
      </c>
      <c r="GO100" s="211" t="str">
        <f>IF(R100=1,"",IF(GK100=3,GL100,""))</f>
        <v/>
      </c>
      <c r="GP100" s="211" t="str">
        <f>IF(R100=1,"",IF(GK100=4,GL100,""))</f>
        <v/>
      </c>
      <c r="GQ100" s="149">
        <f>IF(OR(R100=1,VLOOKUP(R100,Afgr,Data!$BV$3)=1,VLOOKUP(R100,Afgr,Data!$BW$3)=1),0,IF(GK100=1,Nniveau1,IF(GK100=2,Nniveau2,IF(GK100=3,Nniveau3,IF(GK100=4,Nniveau4,GL100)))))</f>
        <v>0</v>
      </c>
      <c r="GR100" s="241">
        <v>0.32550000000000001</v>
      </c>
      <c r="GS100" s="6">
        <v>0</v>
      </c>
      <c r="GT100" s="149">
        <f>CC100+CM100</f>
        <v>0</v>
      </c>
      <c r="GU100" s="6">
        <f>$FN100</f>
        <v>0</v>
      </c>
      <c r="GV100" s="241">
        <v>0.25280000000000002</v>
      </c>
      <c r="GW100">
        <f>CO100</f>
        <v>0</v>
      </c>
      <c r="GX100" s="241">
        <v>0.376</v>
      </c>
      <c r="GY100" s="149">
        <f>CD100+CN100</f>
        <v>0</v>
      </c>
      <c r="GZ100" s="241">
        <f>IF(B100&gt;3,0.3539,1.0749)</f>
        <v>0.35389999999999999</v>
      </c>
      <c r="HA100" s="11">
        <f>$FQ100</f>
        <v>0</v>
      </c>
      <c r="HB100" s="241">
        <v>0.19359999999999999</v>
      </c>
      <c r="HC100" s="241">
        <f>VLOOKUP($R100,Afgr,Data!$DM$3)</f>
        <v>0</v>
      </c>
      <c r="HD100" s="24">
        <f>IF($HC100&gt;1,0,(VLOOKUP($X100,Afgr,Data!$DP$3)+IF(VLOOKUP($X100,Afgr,Data!$DP$3)=0,VLOOKUP($T100,Efgr,Data!$BI$53,0))))+IF(AND($HC100=7,VLOOKUP($X100,Afgr,Data!$DQ$3)=-2),-2,0)+IF(AND($HC100=6,VLOOKUP($T100,Efgr,Data!$BI$53)=2),8,0)</f>
        <v>0</v>
      </c>
      <c r="HE100" s="6" t="e">
        <f>VLOOKUP(SUM(HC100:HD100),Nlesafgr,3)</f>
        <v>#N/A</v>
      </c>
      <c r="HF100" s="7">
        <f>VLOOKUP($O100,Afgr,Data!$DN$3)</f>
        <v>0</v>
      </c>
      <c r="HG100" s="24">
        <f>IF(HF100&gt;1,0,VLOOKUP($R100,Afgr,Data!$DO$3)+IF(VLOOKUP($R100,Afgr,Data!$DO$3)=1,0,VLOOKUP($P100,Efgr,Data!$BJ$53)))</f>
        <v>0</v>
      </c>
      <c r="HH100" s="6" t="e">
        <f>VLOOKUP(SUM(HF100:HG100),Nlesforfrugt,3)</f>
        <v>#N/A</v>
      </c>
      <c r="HI100" s="241" t="e">
        <f>GR100*GQ100+GV100*(GT100+GU100)+GX100*GW100+GZ100*GY100-HB100*HA100+HE100+HH100</f>
        <v>#N/A</v>
      </c>
      <c r="HJ100" s="241">
        <f>Nlesafskaering</f>
        <v>59.6</v>
      </c>
      <c r="HK100" s="241">
        <f>Teknologi1</f>
        <v>2455</v>
      </c>
      <c r="HL100" s="6">
        <v>2001</v>
      </c>
      <c r="HM100" s="241">
        <f>Teknologi2</f>
        <v>1962.2</v>
      </c>
      <c r="HN100" s="241">
        <f>Tandel</f>
        <v>0.54659999999999997</v>
      </c>
      <c r="HO100" s="241" t="e">
        <f>IF(OR(HI100&gt;0,HI100=0),HJ100+HK100/(HL100-HM100),HJ100+HK100/(HL100-HM100)+HN100*HI100)</f>
        <v>#N/A</v>
      </c>
      <c r="HP100" s="241" t="e">
        <f>IF(HI100&gt;0,HI100,0.001)</f>
        <v>#N/A</v>
      </c>
      <c r="HQ100" s="241">
        <v>1.5020000000000001E-3</v>
      </c>
      <c r="HR100" s="24">
        <f>IF(R100=1,0,VLOOKUP(PostnrNbal,AfstromData,VLOOKUP($R100,Afgr,Data!$DL$3)+IF(Jordtype1&lt;7,Jordtype1,6),FALSE)-VLOOKUP(T100,Efgr,Data!$AA$53))</f>
        <v>0</v>
      </c>
      <c r="HS100" s="24">
        <f>IF(Nbal!GA100&lt;&gt;"",Nbal!GA100,Regn2!HR100)</f>
        <v>0</v>
      </c>
      <c r="HT100" s="241">
        <v>5.5400000000000002E-4</v>
      </c>
      <c r="HU100" s="24">
        <f>IF(R100=1,0,VLOOKUP(PostnrNbal,AfstromData,VLOOKUP($O100,Afgr,Data!$DL$3)+IF(B100&lt;7,B100,6),FALSE)-VLOOKUP(P100,Efgr,Data!$AA$53))</f>
        <v>0</v>
      </c>
      <c r="HV100" s="24">
        <f>IF(Nbal!FU100&lt;&gt;"",Nbal!FU100,Regn2!HU100)</f>
        <v>0</v>
      </c>
      <c r="HW100" s="241">
        <v>0.10639999999999999</v>
      </c>
      <c r="HX100" s="6">
        <f>VLOOKUP(B100,Jordtype,Data!$W$112)</f>
        <v>3</v>
      </c>
      <c r="HY100" s="241">
        <v>3.2500000000000001E-2</v>
      </c>
      <c r="HZ100" s="6">
        <f>VLOOKUP(B100,Jordtype,Data!$X$112)</f>
        <v>12</v>
      </c>
      <c r="IA100" s="241">
        <v>1.2453000000000001</v>
      </c>
      <c r="IB100" s="241">
        <f>IF(VLOOKUP(T100,Efgr,Data!$AO$53)=1,MlafgrNUdvask,0)</f>
        <v>0</v>
      </c>
      <c r="IC100" s="20">
        <f>IF(ISERROR((HO100+POWER(HP100,1.2))*(1-EXP(-HQ100*HS100))*EXP(-HT100*HV100)*EXP(-HW100*HX100)*EXP(-HY100*HZ100)*IA100),0,(HO100+POWER(HP100,1.2))*(1-EXP(-HQ100*HS100))*EXP(-HT100*HV100)*EXP(-HW100*HX100)*EXP(-HY100*HZ100)*IA100+IB100)</f>
        <v>0</v>
      </c>
      <c r="ID100">
        <f>IC100*Z100</f>
        <v>0</v>
      </c>
      <c r="IE100">
        <f>IF(Nbal!GF100&lt;&gt;"",Nbal!GF100,RetentionNbal)</f>
        <v>65</v>
      </c>
      <c r="IF100">
        <f>IC100*(100-IE100)*0.01</f>
        <v>0</v>
      </c>
      <c r="IG100">
        <f>IF100*Z100</f>
        <v>0</v>
      </c>
      <c r="IH100" s="2">
        <f>HS100*10000</f>
        <v>0</v>
      </c>
      <c r="II100" s="2">
        <f>IH100*Z100</f>
        <v>0</v>
      </c>
      <c r="IJ100">
        <f>IF(ISERROR(IC100*1000*1000/IH100),0,IC100*1000*1000/IH100)</f>
        <v>0</v>
      </c>
      <c r="IL100">
        <f>AT100+AX100+BK100+BU100</f>
        <v>0</v>
      </c>
      <c r="IO100">
        <f>VLOOKUP(R100,Afgr,Data!$AP$3)*UdsaedJust</f>
        <v>0</v>
      </c>
      <c r="IP100" s="3">
        <f>IF(Nbal!GN100&lt;&gt;"",Nbal!GN100,IO100)</f>
        <v>0</v>
      </c>
      <c r="IQ100" s="3">
        <f>IP100*Z100</f>
        <v>0</v>
      </c>
      <c r="IS100" s="3">
        <f>IF(HdgVaerdiNbal=1,(BZ100+CA100)*Npris,(BZ100+CA100+CJ100+CK100)*Npris)</f>
        <v>0</v>
      </c>
      <c r="IT100" s="3">
        <f>IS100*Z100</f>
        <v>0</v>
      </c>
      <c r="IV100">
        <f>VLOOKUP($R100,Afgr,Data!$BA$3)</f>
        <v>0</v>
      </c>
      <c r="IW100">
        <f>VLOOKUP($R100,Afgr,Data!$BB$3)</f>
        <v>0</v>
      </c>
      <c r="IX100">
        <f>$DS100+$EE100</f>
        <v>0</v>
      </c>
      <c r="IY100">
        <f>CT100</f>
        <v>0</v>
      </c>
      <c r="IZ100">
        <f>CQ100</f>
        <v>0</v>
      </c>
      <c r="JA100" s="3">
        <f>IF(HdgVaerdiNbal=1,(IZ100)*Ppris,(IY100+IZ100)*Ppris)</f>
        <v>0</v>
      </c>
      <c r="JB100" s="3">
        <f>JA100*Z100</f>
        <v>0</v>
      </c>
      <c r="JD100">
        <f>IF(AND(R100&gt;1,OR(Jordtype1=1,Jordtype1=3,Markvand1=2)),Kudvask,0)</f>
        <v>0</v>
      </c>
      <c r="JE100">
        <f>$DV100+$EH100</f>
        <v>0</v>
      </c>
      <c r="JF100">
        <f>DB100</f>
        <v>0</v>
      </c>
      <c r="JG100">
        <f>CY100</f>
        <v>0</v>
      </c>
      <c r="JH100" s="3">
        <f>IF(HdgVaerdiNbal=1,JG100*Kpris,(JF100+JG100)*Kpris)</f>
        <v>0</v>
      </c>
      <c r="JI100" s="3">
        <f>JH100*Z100</f>
        <v>0</v>
      </c>
      <c r="JK100">
        <f>IS100+JA100+JH100</f>
        <v>0</v>
      </c>
      <c r="JL100" s="3">
        <f>IF(Nbal!GT100&lt;&gt;"",Nbal!GT100,$JK100)</f>
        <v>0</v>
      </c>
      <c r="JM100" s="3">
        <f>JL100*Z100</f>
        <v>0</v>
      </c>
      <c r="JO100">
        <f>VLOOKUP(R100,Afgr,Data!$AQ$3)*PlantevJust</f>
        <v>0</v>
      </c>
      <c r="JP100" s="3">
        <f>IF(Nbal!GZ100&lt;&gt;"",Nbal!GZ100,JO100)</f>
        <v>0</v>
      </c>
      <c r="JQ100" s="3">
        <f>JP100*Z100</f>
        <v>0</v>
      </c>
      <c r="JS100">
        <f>VLOOKUP(R100,Afgr,Data!$AR$3)+AM100*VLOOKUP(R100,Afgr,Data!$BH$3)</f>
        <v>0</v>
      </c>
      <c r="JT100" s="3">
        <f>IF(Nbal!HF100&lt;&gt;"",Nbal!HF100,JS100)</f>
        <v>0</v>
      </c>
      <c r="JU100">
        <f>JT100*Z100</f>
        <v>0</v>
      </c>
      <c r="JW100">
        <f>IP100+JL100+JP100+JT100</f>
        <v>0</v>
      </c>
      <c r="JY100">
        <f>IF(VLOOKUP(R100,Afgr,Data!$BY$3)&gt;0,Data!$K$259*J100,0)</f>
        <v>0</v>
      </c>
      <c r="JZ100">
        <f>IF(VLOOKUP(R100,Afgr,Data!$BZ$3)&gt;0,Data!$K$260*J100,0)</f>
        <v>0</v>
      </c>
      <c r="KA100">
        <f>(JY100+JZ100)*MaskJust</f>
        <v>0</v>
      </c>
      <c r="KB100" s="3">
        <f>IF(Nbal!HL100&lt;&gt;"",Nbal!HL100,KA100)</f>
        <v>0</v>
      </c>
      <c r="KC100" s="3">
        <f>KB100*Z100</f>
        <v>0</v>
      </c>
      <c r="KE100">
        <f>IF(VLOOKUP(R100,Afgr,Data!$CA$3)&gt;0,VLOOKUP(R100,Afgr,Data!$CA$3)*Data!$K$261*K100,0)</f>
        <v>0</v>
      </c>
      <c r="KF100">
        <f>IF(VLOOKUP(R100,Afgr,Data!$CC$3)&gt;0,Data!$K$262*K100,0)</f>
        <v>0</v>
      </c>
      <c r="KG100">
        <f>IF(VLOOKUP(R100,Afgr,Data!$CD$3)&gt;0,VLOOKUP(R100,Afgr,Data!$CD$3)*Data!$K$263*K100,0)</f>
        <v>0</v>
      </c>
      <c r="KH100">
        <f>IF(VLOOKUP(R100,Afgr,Data!$CE$3)&gt;0,Data!$K$264*K100,0)</f>
        <v>0</v>
      </c>
      <c r="KI100">
        <f>IF(VLOOKUP(R100,Afgr,Data!$CF$3)&gt;0,Data!$K$265*K100,0)</f>
        <v>0</v>
      </c>
      <c r="KJ100">
        <f>IF(VLOOKUP(R100,Afgr,Data!$CV$3)&gt;0,Data!$K$266,0)</f>
        <v>0</v>
      </c>
      <c r="KK100">
        <f>IF(VLOOKUP(R100,Afgr,Data!$CG$3)&gt;0,Data!$K$267*K100,0)</f>
        <v>0</v>
      </c>
      <c r="KL100">
        <f>(KE100+KF100+KG100+KH100+KI100+KJ100+KK100)*MaskJust</f>
        <v>0</v>
      </c>
      <c r="KM100" s="3">
        <f>IF(Nbal!HR100&lt;&gt;"",Nbal!HR100,KL100)</f>
        <v>0</v>
      </c>
      <c r="KN100" s="3">
        <f>KM100*Z100</f>
        <v>0</v>
      </c>
      <c r="KP100">
        <f>IF(VLOOKUP(R100,Afgr,Data!$CJ$3)&gt;0,VLOOKUP(R100,Afgr,Data!$CJ$3)*Data!$K$268*K100,0)*MaskJust</f>
        <v>0</v>
      </c>
      <c r="KQ100" s="3">
        <f>IF(Nbal!HX100&lt;&gt;"",Nbal!HX100,KP100)</f>
        <v>0</v>
      </c>
      <c r="KR100" s="3">
        <f>KQ100*Z100</f>
        <v>0</v>
      </c>
      <c r="KT100">
        <f>IF(VLOOKUP(R100,Afgr,Data!$CI$3)&gt;0,VLOOKUP(R100,Afgr,Data!$CI$3)*Data!$K$269,0)*MaskJust</f>
        <v>0</v>
      </c>
      <c r="KU100" s="3">
        <f>IF(Nbal!ID100&lt;&gt;"",Nbal!ID100,KT100)</f>
        <v>0</v>
      </c>
      <c r="KV100" s="3">
        <f>KU100*Z100</f>
        <v>0</v>
      </c>
      <c r="KX100">
        <f>IF(C100=2,VLOOKUP($R100,Afgr,Data!$CY$3),0)</f>
        <v>0</v>
      </c>
      <c r="KY100">
        <f>IF(Nbal!IJ100&lt;&gt;"",Nbal!IJ100,$KX100)</f>
        <v>0</v>
      </c>
      <c r="KZ100">
        <f>IF(AND(R100&gt;1,C100=2),Vandmaskin+$KY100*Flytning/mmprgang+$KY100*Prisprmm,0)</f>
        <v>0</v>
      </c>
      <c r="LA100" s="3">
        <f>IF(Nbal!IP100&lt;&gt;"",Nbal!IP100,$KZ100)</f>
        <v>0</v>
      </c>
      <c r="LB100" s="3">
        <f>LA100*Z100</f>
        <v>0</v>
      </c>
      <c r="LD100">
        <f>IF(VLOOKUP($R100,Afgr,Data!$CK$3)&gt;0,((1+AM100/VLOOKUP($R100,Afgr,Data!$CK$3))/2)*VLOOKUP($R100,Afgr,Data!$CL$3)*VLOOKUP($R100,Afgr,Data!$CN$3)+VLOOKUP($R100,Afgr,Data!$CM$3),0)</f>
        <v>0</v>
      </c>
      <c r="LE100">
        <f>IF(VLOOKUP($R100,Afgr,Data!$CK$3)&gt;0,IF(AND($S100=2,$BA100&gt;0),Data!$K$271,0),0)</f>
        <v>0</v>
      </c>
      <c r="LF100">
        <f>IF(VLOOKUP($R100,Afgr,Data!$CK$3)&gt;0,(AM100/VLOOKUP($R100,Afgr,Data!$CK$3))*VLOOKUP($R100,Afgr,Data!$CO$3)*VLOOKUP($R100,Afgr,Data!$CN$3),0)</f>
        <v>0</v>
      </c>
      <c r="LG100">
        <f>(LD100+LE100+LF100)*MaskJust</f>
        <v>0</v>
      </c>
      <c r="LH100" s="3">
        <f>IF(Nbal!IV100&lt;&gt;"",Nbal!IV100,LG100)</f>
        <v>0</v>
      </c>
      <c r="LI100" s="3">
        <f>LH100*Z100</f>
        <v>0</v>
      </c>
      <c r="LJ100" s="3"/>
      <c r="LK100">
        <f>IF(AND($S100=1,VLOOKUP($R100,Afgr,Data!$CP$3)&gt;0),((1+$BC100/VLOOKUP($R100,Afgr,Data!$CP$3))/2)*VLOOKUP($R100,Afgr,Data!$CQ$3),0)</f>
        <v>0</v>
      </c>
      <c r="LL100">
        <f>IF(AND($S100=1,VLOOKUP($R100,Afgr,Data!$CP$3)&gt;0),($BC100/VLOOKUP($R100,Afgr,Data!$CP$3))*VLOOKUP($R100,Afgr,Data!$CR$3),0)</f>
        <v>0</v>
      </c>
      <c r="LM100">
        <f>(LK100+LL100)*MaskJust</f>
        <v>0</v>
      </c>
      <c r="LN100" s="3">
        <f>IF(Nbal!JB100&lt;&gt;"",Nbal!JB100,LM100)</f>
        <v>0</v>
      </c>
      <c r="LO100" s="3">
        <f>LN100*Z100</f>
        <v>0</v>
      </c>
      <c r="LQ100">
        <f>$AM100*VLOOKUP($R100,Afgr,Data!$CS$3)*IF($V100=1,VLOOKUP($R100,Afgr,Data!$CT$3),IF($V100=2,VLOOKUP($R100,Afgr,Data!$CU$3),0))</f>
        <v>0</v>
      </c>
      <c r="LR100" s="3">
        <f>IF(Nbal!JK100&lt;&gt;"",Nbal!JK100,LQ100)</f>
        <v>0</v>
      </c>
      <c r="LS100" s="3">
        <f>LR100*Z100</f>
        <v>0</v>
      </c>
      <c r="LU100">
        <f>VLOOKUP($T100,Efgr,Data!$AC$53)*UdsaedJust</f>
        <v>0</v>
      </c>
      <c r="LV100" s="3">
        <f>IF(Nbal!$JS100&lt;&gt;"",Nbal!$JS100,LU100)</f>
        <v>0</v>
      </c>
      <c r="LW100" s="3">
        <f>LV100*Z100</f>
        <v>0</v>
      </c>
      <c r="LY100" s="3">
        <f>IF(HdgVaerdiNbal=1,(CB100)*Npris,(CB100+CL100)*Npris)</f>
        <v>0</v>
      </c>
      <c r="LZ100" s="3">
        <f>LY100*Z100</f>
        <v>0</v>
      </c>
      <c r="MB100">
        <f>$EO100</f>
        <v>0</v>
      </c>
      <c r="MC100">
        <f>CU100</f>
        <v>0</v>
      </c>
      <c r="MD100">
        <f>CR100</f>
        <v>0</v>
      </c>
      <c r="ME100" s="3">
        <f>IF(HdgVaerdiNbal=1,MD100*Ppris,(MC100+MD100)*Ppris)</f>
        <v>0</v>
      </c>
      <c r="MF100" s="3">
        <f>ME100*Z100</f>
        <v>0</v>
      </c>
      <c r="MH100">
        <f>$ER100</f>
        <v>0</v>
      </c>
      <c r="MI100">
        <f>DC100</f>
        <v>0</v>
      </c>
      <c r="MJ100">
        <f>CZ100</f>
        <v>0</v>
      </c>
      <c r="MK100" s="3">
        <f>IF(HdgVaerdiNbal=1,MJ100*Ppris,(MI100+MJ100)*Ppris)</f>
        <v>0</v>
      </c>
      <c r="ML100" s="3">
        <f>MK100*Z100</f>
        <v>0</v>
      </c>
      <c r="MN100">
        <f>LY100+ME100+MK100</f>
        <v>0</v>
      </c>
      <c r="MO100" s="3">
        <f>IF(Nbal!JY100&lt;&gt;"",Nbal!JY100,$MN100)</f>
        <v>0</v>
      </c>
      <c r="MP100" s="3">
        <f>MO100*Z100</f>
        <v>0</v>
      </c>
      <c r="MR100">
        <f>VLOOKUP($T100,Efgr,Data!$AE$53)*PlantevJust</f>
        <v>0</v>
      </c>
      <c r="MS100" s="3">
        <f>IF(Nbal!KE100&lt;&gt;"",Nbal!KE100,MR100)</f>
        <v>0</v>
      </c>
      <c r="MT100" s="3">
        <f>MS100*Z100</f>
        <v>0</v>
      </c>
      <c r="MV100">
        <f>VLOOKUP($T100,Efgr,Data!$AF$53)+$BR100*VLOOKUP($T100,Efgr,Data!$AL$53)</f>
        <v>0</v>
      </c>
      <c r="MW100" s="3">
        <f>IF(Nbal!KK100&lt;&gt;"",Nbal!KK100,MV100)</f>
        <v>0</v>
      </c>
      <c r="MX100" s="3">
        <f>MW100*Z100</f>
        <v>0</v>
      </c>
      <c r="MZ100">
        <f>LV100+MO100+MS100+MW100</f>
        <v>0</v>
      </c>
      <c r="NB100">
        <f>VLOOKUP($T100,Efgr,Data!$AU$53)*K100*MaskJust</f>
        <v>0</v>
      </c>
      <c r="NC100" s="3">
        <f>IF(Nbal!KQ100&lt;&gt;"",Nbal!KQ100,NB100)</f>
        <v>0</v>
      </c>
      <c r="ND100" s="3">
        <f>NC100*Z100</f>
        <v>0</v>
      </c>
      <c r="NF100">
        <f>VLOOKUP($T100,Efgr,Data!$AW$53)*Data!$K$268*K100*MaskJust</f>
        <v>0</v>
      </c>
      <c r="NG100" s="3">
        <f>IF(Nbal!KW100&lt;&gt;"",Nbal!KW100,NF100)</f>
        <v>0</v>
      </c>
      <c r="NH100" s="3">
        <f>NG100*Z100</f>
        <v>0</v>
      </c>
      <c r="NJ100">
        <f>VLOOKUP($T100,Efgr,Data!$AV$53)*Data!$K$269*MaskJust</f>
        <v>0</v>
      </c>
      <c r="NK100" s="3">
        <f>IF(Nbal!LC100&lt;&gt;"",Nbal!LC100,NJ100)</f>
        <v>0</v>
      </c>
      <c r="NL100" s="3">
        <f>NK100*Z100</f>
        <v>0</v>
      </c>
      <c r="NN100">
        <f>IF(C100=2,VLOOKUP($T100,Efgr,Data!$BC$53),0)</f>
        <v>0</v>
      </c>
      <c r="NO100">
        <f>IF(Nbal!LI100&lt;&gt;"",Nbal!LI100,$NN100)</f>
        <v>0</v>
      </c>
      <c r="NP100">
        <f>IF(C100=2,$NO100*Flytning/mmprgang+$NO100*Prisprmm,0)</f>
        <v>0</v>
      </c>
      <c r="NQ100" s="3">
        <f>IF(Nbal!LO100&lt;&gt;"",Nbal!LO100,$NP100)</f>
        <v>0</v>
      </c>
      <c r="NR100" s="3">
        <f>NQ100*Z100</f>
        <v>0</v>
      </c>
      <c r="NT100">
        <f>IF(VLOOKUP($T100,Efgr,Data!$AX$53)&gt;0,((1+BR100/VLOOKUP($T100,Efgr,Data!$AX$53))/2)*VLOOKUP($T100,Efgr,Data!$AY$53)*VLOOKUP($T100,Efgr,Data!$BA$53)+VLOOKUP($T100,Efgr,Data!$AZ$53),0)</f>
        <v>0</v>
      </c>
      <c r="NU100">
        <f>IF(VLOOKUP($T100,Efgr,Data!$AX$53)&gt;0,($BR100/VLOOKUP($T100,Efgr,Data!$AX$53))*VLOOKUP($T100,Efgr,Data!$BB$53)*VLOOKUP($T100,Efgr,Data!$BA$53),0)</f>
        <v>0</v>
      </c>
      <c r="NV100">
        <f>(NT100+NU100)*MaskJust</f>
        <v>0</v>
      </c>
      <c r="NW100" s="3">
        <f>IF(Nbal!LU100&lt;&gt;"",Nbal!LU100,NV100)</f>
        <v>0</v>
      </c>
      <c r="NX100" s="3">
        <f>NW100*Z100</f>
        <v>0</v>
      </c>
      <c r="NZ100">
        <f>IF($U100=2,Data!$K$304,IF($U100=3,Data!$K$305,0))*MaskJust</f>
        <v>0</v>
      </c>
      <c r="OA100" s="3">
        <f>IF(Nbal!MA100&lt;&gt;"",Nbal!MA100,NZ100)</f>
        <v>0</v>
      </c>
      <c r="OB100" s="3">
        <f>OA100*Z100</f>
        <v>0</v>
      </c>
      <c r="OD100">
        <f>IL100</f>
        <v>0</v>
      </c>
      <c r="OE100">
        <f>JW100+MZ100</f>
        <v>0</v>
      </c>
      <c r="OF100">
        <f>OD100-OE100</f>
        <v>0</v>
      </c>
      <c r="OG100">
        <f>OF100*Z100</f>
        <v>0</v>
      </c>
      <c r="OJ100">
        <f>VLOOKUP($O100,Afgr,Data!$BP$3)+VLOOKUP($P100,Efgr,Data!$AM$53)</f>
        <v>0</v>
      </c>
      <c r="OK100" s="3">
        <f>OJ100*Z100</f>
        <v>0</v>
      </c>
      <c r="OL100">
        <f>VLOOKUP($R100,Afgr,Data!$BP$3)+VLOOKUP($T100,Efgr,Data!$AM$53)</f>
        <v>0</v>
      </c>
      <c r="OM100" s="3">
        <f>OL100*Z100</f>
        <v>0</v>
      </c>
      <c r="OO100">
        <f>VLOOKUP($P100,Efgr,Data!$AN$53)</f>
        <v>0</v>
      </c>
      <c r="OP100">
        <f>VLOOKUP($O100,Afgr,Data!$BQ$3)</f>
        <v>0</v>
      </c>
      <c r="OQ100">
        <f>VLOOKUP($R100,Afgr,Data!$BR$3)</f>
        <v>1</v>
      </c>
      <c r="OR100">
        <f>OO100*OP100*OQ100</f>
        <v>0</v>
      </c>
      <c r="OS100" s="3">
        <f>OR100*Z100</f>
        <v>0</v>
      </c>
      <c r="OT100" s="3">
        <f>IF(Q100,1,0)*OS100</f>
        <v>0</v>
      </c>
      <c r="OV100">
        <f>VLOOKUP($T100,Efgr,Data!$AN$53)</f>
        <v>0</v>
      </c>
      <c r="OW100">
        <f>VLOOKUP($R100,Afgr,Data!$BQ$3)</f>
        <v>0</v>
      </c>
      <c r="OX100">
        <f>VLOOKUP($X100,Afgr,Data!$BR$3)</f>
        <v>1</v>
      </c>
      <c r="OY100">
        <f>OV100*OW100*OX100</f>
        <v>0</v>
      </c>
      <c r="OZ100" s="3">
        <f>OY100*Z100</f>
        <v>0</v>
      </c>
      <c r="PB100">
        <f>VLOOKUP($T100,Efgr,Data!$AO$53)</f>
        <v>0</v>
      </c>
      <c r="PC100">
        <f>VLOOKUP($O100,Afgr,Data!$BQ$3)</f>
        <v>0</v>
      </c>
      <c r="PD100">
        <f>VLOOKUP($R100,Afgr,Data!$BS$3)</f>
        <v>0</v>
      </c>
      <c r="PE100" s="3">
        <f>PB100*PC100*PD100*$Z100</f>
        <v>0</v>
      </c>
      <c r="PG100">
        <f>VLOOKUP($T100,Efgr,Data!$AO$53)</f>
        <v>0</v>
      </c>
      <c r="PH100">
        <f>VLOOKUP($R100,Afgr,Data!$BQ$3)</f>
        <v>0</v>
      </c>
      <c r="PI100">
        <f>VLOOKUP($X100,Afgr,Data!$BS$3)</f>
        <v>0</v>
      </c>
      <c r="PJ100" s="3">
        <f>PG100*PH100*PI100*$Z100</f>
        <v>0</v>
      </c>
      <c r="PK100" s="3"/>
      <c r="PL100" s="3">
        <f>VLOOKUP($O100,Afgr,Data!$BU$3)</f>
        <v>0</v>
      </c>
      <c r="PM100" s="3">
        <f>PL100*Z100</f>
        <v>0</v>
      </c>
      <c r="PN100" s="3">
        <f>VLOOKUP($R100,Afgr,Data!$BU$3)</f>
        <v>0</v>
      </c>
      <c r="PO100" s="3">
        <f>PN100*Z100</f>
        <v>0</v>
      </c>
      <c r="PQ100">
        <f>VLOOKUP(R100,Afgr,Data!$BX$3)+VLOOKUP(T100,Efgr,Data!$AQ$53)</f>
        <v>0</v>
      </c>
      <c r="PR100">
        <f>IF(PQ100&gt;0,Z100,0)</f>
        <v>0</v>
      </c>
      <c r="PT100">
        <f>VLOOKUP($O100,Afgr,Data!$BT$3)</f>
        <v>0</v>
      </c>
      <c r="PU100" s="3">
        <f>PT100*Z100</f>
        <v>0</v>
      </c>
      <c r="PV100">
        <f>VLOOKUP($R100,Afgr,Data!$BT$3)</f>
        <v>0</v>
      </c>
      <c r="PW100" s="3">
        <f>PV100*Z100</f>
        <v>0</v>
      </c>
      <c r="PY100">
        <f>VLOOKUP($R100,Afgr,Data!$BV$3)</f>
        <v>0</v>
      </c>
      <c r="PZ100">
        <f>PY100*Z100</f>
        <v>0</v>
      </c>
      <c r="QB100">
        <f>VLOOKUP($R100,Afgr,Data!$BW$3)</f>
        <v>0</v>
      </c>
      <c r="QC100">
        <f>QB100*Z100</f>
        <v>0</v>
      </c>
      <c r="QE100">
        <f>AM100*IF(VLOOKUP($R100,Afgr,Data!$BJ$3)&gt;0,1,0)</f>
        <v>0</v>
      </c>
      <c r="QF100">
        <f>QE100*Z100</f>
        <v>0</v>
      </c>
      <c r="QH100">
        <f>AM100*VLOOKUP(R100,Afgr,Data!$BK$3)</f>
        <v>0</v>
      </c>
      <c r="QI100">
        <f>Z100*QH100</f>
        <v>0</v>
      </c>
      <c r="QJ100">
        <f>$AM100*VLOOKUP($R100,Afgr,Data!$BL$3)+$BR100*VLOOKUP($T100,Efgr,Data!$AP$53)</f>
        <v>0</v>
      </c>
      <c r="QK100">
        <f>QJ100*Z100</f>
        <v>0</v>
      </c>
      <c r="QL100">
        <f>$AM100*VLOOKUP($R100,Afgr,Data!$BM$3)</f>
        <v>0</v>
      </c>
      <c r="QM100">
        <f>QL100*Z100</f>
        <v>0</v>
      </c>
      <c r="QN100">
        <f>$AM100*VLOOKUP($R100,Afgr,Data!$BN$3)</f>
        <v>0</v>
      </c>
      <c r="QO100">
        <f>QN100*Z100</f>
        <v>0</v>
      </c>
      <c r="QR100">
        <f>IF(VLOOKUP($R100,Afgr,Data!$DA$3)="Vårbyg",$AN100,0)*VLOOKUP($R100,Afgr,Data!$BJ$3)</f>
        <v>0</v>
      </c>
      <c r="QS100">
        <f>IF(VLOOKUP($R100,Afgr,Data!$DA$3)="Vinterbyg",$AN100,0)*VLOOKUP($R100,Afgr,Data!$BJ$3)</f>
        <v>0</v>
      </c>
      <c r="QT100">
        <f>IF(VLOOKUP($R100,Afgr,Data!$DA$3)="Havre",$AN100,0)*VLOOKUP($R100,Afgr,Data!$BJ$3)</f>
        <v>0</v>
      </c>
      <c r="QU100">
        <f>IF(VLOOKUP($R100,Afgr,Data!$DA$3)="Hvede",$AN100,0)*VLOOKUP($R100,Afgr,Data!$BJ$3)</f>
        <v>0</v>
      </c>
      <c r="QV100">
        <f>IF(VLOOKUP($R100,Afgr,Data!$DA$3)="Triticale",$AN100,0)*VLOOKUP($R100,Afgr,Data!$BJ$3)</f>
        <v>0</v>
      </c>
      <c r="QW100">
        <f>IF(VLOOKUP($R100,Afgr,Data!$DA$3)="Rug",$AN100,0)*VLOOKUP($R100,Afgr,Data!$BJ$3)</f>
        <v>0</v>
      </c>
      <c r="QX100">
        <f>IF(VLOOKUP($R100,Afgr,Data!$DA$3)="Majs",$AN100,0)*VLOOKUP($R100,Afgr,Data!$BJ$3)</f>
        <v>0</v>
      </c>
      <c r="RA100">
        <f>IF(OV100+PB100&gt;0,1,0)</f>
        <v>0</v>
      </c>
      <c r="RB100">
        <f>RA100*LW100</f>
        <v>0</v>
      </c>
      <c r="RC100">
        <f>RA100*MT100</f>
        <v>0</v>
      </c>
      <c r="RD100">
        <f>ND100</f>
        <v>0</v>
      </c>
      <c r="RE100">
        <f>RA100*OB100</f>
        <v>0</v>
      </c>
      <c r="RH100">
        <f>VLOOKUP(B100,Jordtype,Data!$Y$112+DenitNr-1)</f>
        <v>7.25</v>
      </c>
      <c r="RI100">
        <f>FF100*VLOOKUP(B100,Jordtype,Data!$AB$112+DenitNr-1)</f>
        <v>0</v>
      </c>
      <c r="RJ100">
        <f>((CJ100+CK100+CL100+Regn2!CO100*0.7)-(RR100+RT100))*VLOOKUP(B100,Jordtype,Data!$AE$112+DenitNr-1)</f>
        <v>0</v>
      </c>
      <c r="RK100">
        <f>0*VLOOKUP(B100,Jordtype,Data!$AE$112+DenitNr-1)</f>
        <v>0</v>
      </c>
      <c r="RL100">
        <f>Regn2!FD100*VLOOKUP(B100,Jordtype,Data!$AH$112+DenitNr-1)</f>
        <v>0</v>
      </c>
      <c r="RM100" s="3">
        <f>RH100+RI100+RJ100+RK100+RL100</f>
        <v>7.25</v>
      </c>
      <c r="RO100">
        <v>2</v>
      </c>
      <c r="RP100">
        <f>(FF100)*RO100*0.01</f>
        <v>0</v>
      </c>
      <c r="RQ100">
        <v>7</v>
      </c>
      <c r="RR100">
        <f>CE100*RQ100*0.01</f>
        <v>0</v>
      </c>
      <c r="RS100">
        <v>7</v>
      </c>
      <c r="RT100">
        <f>(Regn2!CF100+Regn2!CG100)*RS100*0.01</f>
        <v>0</v>
      </c>
      <c r="RW100">
        <f>VLOOKUP(R100,Afgr,Data!$EE$3)</f>
        <v>0</v>
      </c>
      <c r="RX100" s="3">
        <f>RP100+RR100+RT100+RV100+RW100</f>
        <v>0</v>
      </c>
    </row>
    <row r="102" spans="1:492" x14ac:dyDescent="0.25">
      <c r="A102" s="3" t="s">
        <v>2337</v>
      </c>
      <c r="CS102" s="242">
        <f>IF(ISERROR(SUM(CS18,CS20,CS22,CS24,CS26,CS28,CS30,CS32,CS34,CS36,CS38,CS40,CS42,CS44,CS46,CS48,CS50,CS52,CS54,CS56,CS58,CS60,CS62,CS64,CS66,CS68,CS70,CS72,CS74,CS76,CS78,CS80,CS82,CS84,CS86,CS88,CS90,CS92,CS94,CS96,CS98,CS100)),0,SUM(CS18,CS20,CS22,CS24,CS26,CS28,CS30,CS32,CS34,CS36,CS38,CS40,CS42,CS44,CS46,CS48,CS50,CS52,CS54,CS56,CS58,CS60,CS62,CS64,CS66,CS68,CS70,CS72,CS74,CS76,CS78,CS80,CS82,CS84,CS86,CS88,CS90,CS92,CS94,CS96,CS98,CS100))</f>
        <v>0</v>
      </c>
      <c r="CV102" s="242">
        <f>IF(ISERROR(SUM(CV18,CV20,CV22,CV24,CV26,CV28,CV30,CV32,CV34,CV36,CV38,CV40,CV42,CV44,CV46,CV48,CV50,CV52,CV54,CV56,CV58,CV60,CV62,CV64,CV66,CV68,CV70,CV72,CV74,CV76,CV78,CV80,CV82,CV84,CV86,CV88,CV90,CV92,CV94,CV96,CV98,CV100)),0,SUM(CV18,CV20,CV22,CV24,CV26,CV28,CV30,CV32,CV34,CV36,CV38,CV40,CV42,CV44,CV46,CV48,CV50,CV52,CV54,CV56,CV58,CV60,CV62,CV64,CV66,CV68,CV70,CV72,CV74,CV76,CV78,CV80,CV82,CV84,CV86,CV88,CV90,CV92,CV94,CV96,CV98,CV100))</f>
        <v>2001.2500000000002</v>
      </c>
      <c r="DA102" s="242">
        <f>IF(ISERROR(SUM(DA18,DA20,DA22,DA24,DA26,DA28,DA30,DA32,DA34,DA36,DA38,DA40,DA42,DA44,DA46,DA48,DA50,DA52,DA54,DA56,DA58,DA60,DA62,DA64,DA66,DA68,DA70,DA72,DA74,DA76,DA78,DA80,DA82,DA84,DA86,DA88,DA90,DA92,DA94,DA96,DA98,DA100)),0,SUM(DA18,DA20,DA22,DA24,DA26,DA28,DA30,DA32,DA34,DA36,DA38,DA40,DA42,DA44,DA46,DA48,DA50,DA52,DA54,DA56,DA58,DA60,DA62,DA64,DA66,DA68,DA70,DA72,DA74,DA76,DA78,DA80,DA82,DA84,DA86,DA88,DA90,DA92,DA94,DA96,DA98,DA100))</f>
        <v>0</v>
      </c>
      <c r="DD102" s="242">
        <f>IF(ISERROR(SUM(DD18,DD20,DD22,DD24,DD26,DD28,DD30,DD32,DD34,DD36,DD38,DD40,DD42,DD44,DD46,DD48,DD50,DD52,DD54,DD56,DD58,DD60,DD62,DD64,DD66,DD68,DD70,DD72,DD74,DD76,DD78,DD80,DD82,DD84,DD86,DD88,DD90,DD92,DD94,DD96,DD98,DD100)),0,SUM(DD18,DD20,DD22,DD24,DD26,DD28,DD30,DD32,DD34,DD36,DD38,DD40,DD42,DD44,DD46,DD48,DD50,DD52,DD54,DD56,DD58,DD60,DD62,DD64,DD66,DD68,DD70,DD72,DD74,DD76,DD78,DD80,DD82,DD84,DD86,DD88,DD90,DD92,DD94,DD96,DD98,DD100))</f>
        <v>6263.5100000000011</v>
      </c>
      <c r="DP102" s="211"/>
      <c r="DQ102" s="242">
        <f>IF(ISERROR(SUM(DQ18,DQ20,DQ22,DQ24,DQ26,DQ28,DQ30,DQ32,DQ34,DQ36,DQ38,DQ40,DQ42,DQ44,DQ46,DQ48,DQ50,DQ52,DQ54,DQ56,DQ58,DQ60,DQ62,DQ64,DQ66,DQ68,DQ70,DQ72,DQ74,DQ76,DQ78,DQ80,DQ82,DQ84,DQ86,DQ88,DQ90,DQ92,DQ94,DQ96,DQ98,DQ100)),0,SUM(DQ18,DQ20,DQ22,DQ24,DQ26,DQ28,DQ30,DQ32,DQ34,DQ36,DQ38,DQ40,DQ42,DQ44,DQ46,DQ48,DQ50,DQ52,DQ54,DQ56,DQ58,DQ60,DQ62,DQ64,DQ66,DQ68,DQ70,DQ72,DQ74,DQ76,DQ78,DQ80,DQ82,DQ84,DQ86,DQ88,DQ90,DQ92,DQ94,DQ96,DQ98,DQ100))</f>
        <v>12349.241315182229</v>
      </c>
      <c r="DT102" s="242">
        <f>IF(ISERROR(SUM(DT18,DT20,DT22,DT24,DT26,DT28,DT30,DT32,DT34,DT36,DT38,DT40,DT42,DT44,DT46,DT48,DT50,DT52,DT54,DT56,DT58,DT60,DT62,DT64,DT66,DT68,DT70,DT72,DT74,DT76,DT78,DT80,DT82,DT84,DT86,DT88,DT90,DT92,DT94,DT96,DT98,DT100)),0,SUM(DT18,DT20,DT22,DT24,DT26,DT28,DT30,DT32,DT34,DT36,DT38,DT40,DT42,DT44,DT46,DT48,DT50,DT52,DT54,DT56,DT58,DT60,DT62,DT64,DT66,DT68,DT70,DT72,DT74,DT76,DT78,DT80,DT82,DT84,DT86,DT88,DT90,DT92,DT94,DT96,DT98,DT100))</f>
        <v>2330.286298</v>
      </c>
      <c r="DW102" s="242">
        <f>IF(ISERROR(SUM(DW18,DW20,DW22,DW24,DW26,DW28,DW30,DW32,DW34,DW36,DW38,DW40,DW42,DW44,DW46,DW48,DW50,DW52,DW54,DW56,DW58,DW60,DW62,DW64,DW66,DW68,DW70,DW72,DW74,DW76,DW78,DW80,DW82,DW84,DW86,DW88,DW90,DW92,DW94,DW96,DW98,DW100)),0,SUM(DW18,DW20,DW22,DW24,DW26,DW28,DW30,DW32,DW34,DW36,DW38,DW40,DW42,DW44,DW46,DW48,DW50,DW52,DW54,DW56,DW58,DW60,DW62,DW64,DW66,DW68,DW70,DW72,DW74,DW76,DW78,DW80,DW82,DW84,DW86,DW88,DW90,DW92,DW94,DW96,DW98,DW100))</f>
        <v>4644.7953150000003</v>
      </c>
      <c r="EC102" s="242">
        <f>IF(ISERROR(SUM(EC18,EC20,EC22,EC24,EC26,EC28,EC30,EC32,EC34,EC36,EC38,EC40,EC42,EC44,EC46,EC48,EC50,EC52,EC54,EC56,EC58,EC60,EC62,EC64,EC66,EC68,EC70,EC72,EC74,EC76,EC78,EC80,EC82,EC84,EC86,EC88,EC90,EC92,EC94,EC96,EC98,EC100)),0,SUM(EC18,EC20,EC22,EC24,EC26,EC28,EC30,EC32,EC34,EC36,EC38,EC40,EC42,EC44,EC46,EC48,EC50,EC52,EC54,EC56,EC58,EC60,EC62,EC64,EC66,EC68,EC70,EC72,EC74,EC76,EC78,EC80,EC82,EC84,EC86,EC88,EC90,EC92,EC94,EC96,EC98,EC100))</f>
        <v>1633.0945927242753</v>
      </c>
      <c r="EF102" s="242">
        <f>IF(ISERROR(SUM(EF18,EF20,EF22,EF24,EF26,EF28,EF30,EF32,EF34,EF36,EF38,EF40,EF42,EF44,EF46,EF48,EF50,EF52,EF54,EF56,EF58,EF60,EF62,EF64,EF66,EF68,EF70,EF72,EF74,EF76,EF78,EF80,EF82,EF84,EF86,EF88,EF90,EF92,EF94,EF96,EF98,EF100)),0,SUM(EF18,EF20,EF22,EF24,EF26,EF28,EF30,EF32,EF34,EF36,EF38,EF40,EF42,EF44,EF46,EF48,EF50,EF52,EF54,EF56,EF58,EF60,EF62,EF64,EF66,EF68,EF70,EF72,EF74,EF76,EF78,EF80,EF82,EF84,EF86,EF88,EF90,EF92,EF94,EF96,EF98,EF100))</f>
        <v>239.67383947644652</v>
      </c>
      <c r="EI102" s="242">
        <f>IF(ISERROR(SUM(EI18,EI20,EI22,EI24,EI26,EI28,EI30,EI32,EI34,EI36,EI38,EI40,EI42,EI44,EI46,EI48,EI50,EI52,EI54,EI56,EI58,EI60,EI62,EI64,EI66,EI68,EI70,EI72,EI74,EI76,EI78,EI80,EI82,EI84,EI86,EI88,EI90,EI92,EI94,EI96,EI98,EI100)),0,SUM(EI18,EI20,EI22,EI24,EI26,EI28,EI30,EI32,EI34,EI36,EI38,EI40,EI42,EI44,EI46,EI48,EI50,EI52,EI54,EI56,EI58,EI60,EI62,EI64,EI66,EI68,EI70,EI72,EI74,EI76,EI78,EI80,EI82,EI84,EI86,EI88,EI90,EI92,EI94,EI96,EI98,EI100))</f>
        <v>3432.912889315583</v>
      </c>
      <c r="EM102" s="242">
        <f>IF(ISERROR(SUM(EM18,EM20,EM22,EM24,EM26,EM28,EM30,EM32,EM34,EM36,EM38,EM40,EM42,EM44,EM46,EM48,EM50,EM52,EM54,EM56,EM58,EM60,EM62,EM64,EM66,EM68,EM70,EM72,EM74,EM76,EM78,EM80,EM82,EM84,EM86,EM88,EM90,EM92,EM94,EM96,EM98,EM100)),0,SUM(EM18,EM20,EM22,EM24,EM26,EM28,EM30,EM32,EM34,EM36,EM38,EM40,EM42,EM44,EM46,EM48,EM50,EM52,EM54,EM56,EM58,EM60,EM62,EM64,EM66,EM68,EM70,EM72,EM74,EM76,EM78,EM80,EM82,EM84,EM86,EM88,EM90,EM92,EM94,EM96,EM98,EM100))</f>
        <v>0</v>
      </c>
      <c r="EP102" s="242">
        <f>IF(ISERROR(SUM(EP18,EP20,EP22,EP24,EP26,EP28,EP30,EP32,EP34,EP36,EP38,EP40,EP42,EP44,EP46,EP48,EP50,EP52,EP54,EP56,EP58,EP60,EP62,EP64,EP66,EP68,EP70,EP72,EP74,EP76,EP78,EP80,EP82,EP84,EP86,EP88,EP90,EP92,EP94,EP96,EP98,EP100)),0,SUM(EP18,EP20,EP22,EP24,EP26,EP28,EP30,EP32,EP34,EP36,EP38,EP40,EP42,EP44,EP46,EP48,EP50,EP52,EP54,EP56,EP58,EP60,EP62,EP64,EP66,EP68,EP70,EP72,EP74,EP76,EP78,EP80,EP82,EP84,EP86,EP88,EP90,EP92,EP94,EP96,EP98,EP100))</f>
        <v>0</v>
      </c>
      <c r="ES102" s="242">
        <f>IF(ISERROR(SUM(ES18,ES20,ES22,ES24,ES26,ES28,ES30,ES32,ES34,ES36,ES38,ES40,ES42,ES44,ES46,ES48,ES50,ES52,ES54,ES56,ES58,ES60,ES62,ES64,ES66,ES68,ES70,ES72,ES74,ES76,ES78,ES80,ES82,ES84,ES86,ES88,ES90,ES92,ES94,ES96,ES98,ES100)),0,SUM(ES18,ES20,ES22,ES24,ES26,ES28,ES30,ES32,ES34,ES36,ES38,ES40,ES42,ES44,ES46,ES48,ES50,ES52,ES54,ES56,ES58,ES60,ES62,ES64,ES66,ES68,ES70,ES72,ES74,ES76,ES78,ES80,ES82,ES84,ES86,ES88,ES90,ES92,ES94,ES96,ES98,ES100))</f>
        <v>0</v>
      </c>
      <c r="FF102" s="211"/>
      <c r="FG102" s="243">
        <f>IF(ISERROR(SUM(FG18,FG20,FG22,FG24,FG26,FG28,FG30,FG32,FG34,FG36,FG38,FG40,FG42,FG44,FG46,FG48,FG50,FG52,FG54,FG56,FG58,FG60,FG62,FG64,FG66,FG68,FG70,FG72,FG74,FG76,FG78,FG80,FG82,FG84,FG86,FG88,FG90,FG92,FG94,FG96,FG98,FG100)),0,SUM(FG18,FG20,FG22,FG24,FG26,FG28,FG30,FG32,FG34,FG36,FG38,FG40,FG42,FG44,FG46,FG48,FG50,FG52,FG54,FG56,FG58,FG60,FG62,FG64,FG66,FG68,FG70,FG72,FG74,FG76,FG78,FG80,FG82,FG84,FG86,FG88,FG90,FG92,FG94,FG96,FG98,FG100))</f>
        <v>5801.0499999999993</v>
      </c>
      <c r="FH102" s="211"/>
      <c r="FI102" s="242">
        <f t="shared" ref="FI102:FU102" si="0">IF(ISERROR(SUM(FI18,FI20,FI22,FI24,FI26,FI28,FI30,FI32,FI34,FI36,FI38,FI40,FI42,FI44,FI46,FI48,FI50,FI52,FI54,FI56,FI58,FI60,FI62,FI64,FI66,FI68,FI70,FI72,FI74,FI76,FI78,FI80,FI82,FI84,FI86,FI88,FI90,FI92,FI94,FI96,FI98,FI100)),0,SUM(FI18,FI20,FI22,FI24,FI26,FI28,FI30,FI32,FI34,FI36,FI38,FI40,FI42,FI44,FI46,FI48,FI50,FI52,FI54,FI56,FI58,FI60,FI62,FI64,FI66,FI68,FI70,FI72,FI74,FI76,FI78,FI80,FI82,FI84,FI86,FI88,FI90,FI92,FI94,FI96,FI98,FI100))</f>
        <v>10270.1</v>
      </c>
      <c r="FJ102" s="211"/>
      <c r="FK102" s="242">
        <f t="shared" si="0"/>
        <v>242.17136480000002</v>
      </c>
      <c r="FL102" s="211"/>
      <c r="FM102" s="242">
        <f t="shared" si="0"/>
        <v>1844.7</v>
      </c>
      <c r="FN102" s="211"/>
      <c r="FO102" s="242">
        <f t="shared" si="0"/>
        <v>770.94071999999994</v>
      </c>
      <c r="FP102" s="211"/>
      <c r="FQ102" s="211"/>
      <c r="FR102" s="211"/>
      <c r="FS102" s="242">
        <f t="shared" si="0"/>
        <v>18928.962084800001</v>
      </c>
      <c r="FT102" s="242">
        <f t="shared" si="0"/>
        <v>13982.335907906501</v>
      </c>
      <c r="FU102" s="242">
        <f t="shared" si="0"/>
        <v>4946.6261768934928</v>
      </c>
      <c r="FX102" s="242">
        <f t="shared" ref="FX102:FZ102" si="1">IF(ISERROR(SUM(FX18,FX20,FX22,FX24,FX26,FX28,FX30,FX32,FX34,FX36,FX38,FX40,FX42,FX44,FX46,FX48,FX50,FX52,FX54,FX56,FX58,FX60,FX62,FX64,FX66,FX68,FX70,FX72,FX74,FX76,FX78,FX80,FX82,FX84,FX86,FX88,FX90,FX92,FX94,FX96,FX98,FX100)),0,SUM(FX18,FX20,FX22,FX24,FX26,FX28,FX30,FX32,FX34,FX36,FX38,FX40,FX42,FX44,FX46,FX48,FX50,FX52,FX54,FX56,FX58,FX60,FX62,FX64,FX66,FX68,FX70,FX72,FX74,FX76,FX78,FX80,FX82,FX84,FX86,FX88,FX90,FX92,FX94,FX96,FX98,FX100))</f>
        <v>2001.2500000000002</v>
      </c>
      <c r="FZ102" s="242">
        <f t="shared" si="1"/>
        <v>2569.960137476447</v>
      </c>
      <c r="GB102" s="242">
        <f t="shared" ref="GB102" si="2">IF(ISERROR(SUM(GB18,GB20,GB22,GB24,GB26,GB28,GB30,GB32,GB34,GB36,GB38,GB40,GB42,GB44,GB46,GB48,GB50,GB52,GB54,GB56,GB58,GB60,GB62,GB64,GB66,GB68,GB70,GB72,GB74,GB76,GB78,GB80,GB82,GB84,GB86,GB88,GB90,GB92,GB94,GB96,GB98,GB100)),0,SUM(GB18,GB20,GB22,GB24,GB26,GB28,GB30,GB32,GB34,GB36,GB38,GB40,GB42,GB44,GB46,GB48,GB50,GB52,GB54,GB56,GB58,GB60,GB62,GB64,GB66,GB68,GB70,GB72,GB74,GB76,GB78,GB80,GB82,GB84,GB86,GB88,GB90,GB92,GB94,GB96,GB98,GB100))</f>
        <v>-568.71013747644656</v>
      </c>
      <c r="GE102" s="242">
        <f t="shared" ref="GE102" si="3">IF(ISERROR(SUM(GE18,GE20,GE22,GE24,GE26,GE28,GE30,GE32,GE34,GE36,GE38,GE40,GE42,GE44,GE46,GE48,GE50,GE52,GE54,GE56,GE58,GE60,GE62,GE64,GE66,GE68,GE70,GE72,GE74,GE76,GE78,GE80,GE82,GE84,GE86,GE88,GE90,GE92,GE94,GE96,GE98,GE100)),0,SUM(GE18,GE20,GE22,GE24,GE26,GE28,GE30,GE32,GE34,GE36,GE38,GE40,GE42,GE44,GE46,GE48,GE50,GE52,GE54,GE56,GE58,GE60,GE62,GE64,GE66,GE68,GE70,GE72,GE74,GE76,GE78,GE80,GE82,GE84,GE86,GE88,GE90,GE92,GE94,GE96,GE98,GE100))</f>
        <v>6263.5100000000011</v>
      </c>
      <c r="GG102" s="242">
        <f t="shared" ref="GG102" si="4">IF(ISERROR(SUM(GG18,GG20,GG22,GG24,GG26,GG28,GG30,GG32,GG34,GG36,GG38,GG40,GG42,GG44,GG46,GG48,GG50,GG52,GG54,GG56,GG58,GG60,GG62,GG64,GG66,GG68,GG70,GG72,GG74,GG76,GG78,GG80,GG82,GG84,GG86,GG88,GG90,GG92,GG94,GG96,GG98,GG100)),0,SUM(GG18,GG20,GG22,GG24,GG26,GG28,GG30,GG32,GG34,GG36,GG38,GG40,GG42,GG44,GG46,GG48,GG50,GG52,GG54,GG56,GG58,GG60,GG62,GG64,GG66,GG68,GG70,GG72,GG74,GG76,GG78,GG80,GG82,GG84,GG86,GG88,GG90,GG92,GG94,GG96,GG98,GG100))</f>
        <v>8077.7082043155824</v>
      </c>
      <c r="GI102" s="242">
        <f t="shared" ref="GI102" si="5">IF(ISERROR(SUM(GI18,GI20,GI22,GI24,GI26,GI28,GI30,GI32,GI34,GI36,GI38,GI40,GI42,GI44,GI46,GI48,GI50,GI52,GI54,GI56,GI58,GI60,GI62,GI64,GI66,GI68,GI70,GI72,GI74,GI76,GI78,GI80,GI82,GI84,GI86,GI88,GI90,GI92,GI94,GI96,GI98,GI100)),0,SUM(GI18,GI20,GI22,GI24,GI26,GI28,GI30,GI32,GI34,GI36,GI38,GI40,GI42,GI44,GI46,GI48,GI50,GI52,GI54,GI56,GI58,GI60,GI62,GI64,GI66,GI68,GI70,GI72,GI74,GI76,GI78,GI80,GI82,GI84,GI86,GI88,GI90,GI92,GI94,GI96,GI98,GI100))</f>
        <v>-1814.1982043155826</v>
      </c>
      <c r="GM102" s="211">
        <f>IF(ISERROR(AVERAGE(GM18,GM20,GM22,GM24,GM26,GM28,GM30,GM32,GM34,GM36,GM38,GM40,GM42,GM44,GM46,GM48,GM50,GM52,GM54,GM56,GM58,GM60,GM62,GM64,GM66,GM68,GM70,GM72,GM74,GM76,GM78,GM80,GM82,GM84,GM86,GM88,GM90,GM92,GM94,GM96,GM98,GM100)),0,AVERAGE(GM18,GM20,GM22,GM24,GM26,GM28,GM30,GM32,GM34,GM36,GM38,GM40,GM42,GM44,GM46,GM48,GM50,GM52,GM54,GM56,GM58,GM60,GM62,GM64,GM66,GM68,GM70,GM72,GM74,GM76,GM78,GM80,GM82,GM84,GM86,GM88,GM90,GM92,GM94,GM96,GM98,GM100))</f>
        <v>173.16922222222217</v>
      </c>
      <c r="GN102" s="211">
        <f t="shared" ref="GN102:GP102" si="6">IF(ISERROR(AVERAGE(GN18,GN20,GN22,GN24,GN26,GN28,GN30,GN32,GN34,GN36,GN38,GN40,GN42,GN44,GN46,GN48,GN50,GN52,GN54,GN56,GN58,GN60,GN62,GN64,GN66,GN68,GN70,GN72,GN74,GN76,GN78,GN80,GN82,GN84,GN86,GN88,GN90,GN92,GN94,GN96,GN98,GN100)),0,AVERAGE(GN18,GN20,GN22,GN24,GN26,GN28,GN30,GN32,GN34,GN36,GN38,GN40,GN42,GN44,GN46,GN48,GN50,GN52,GN54,GN56,GN58,GN60,GN62,GN64,GN66,GN68,GN70,GN72,GN74,GN76,GN78,GN80,GN82,GN84,GN86,GN88,GN90,GN92,GN94,GN96,GN98,GN100))</f>
        <v>0</v>
      </c>
      <c r="GO102" s="211">
        <f t="shared" si="6"/>
        <v>0</v>
      </c>
      <c r="GP102" s="211">
        <f t="shared" si="6"/>
        <v>0</v>
      </c>
      <c r="ID102" s="242">
        <f t="shared" ref="ID102" si="7">IF(ISERROR(SUM(ID18,ID20,ID22,ID24,ID26,ID28,ID30,ID32,ID34,ID36,ID38,ID40,ID42,ID44,ID46,ID48,ID50,ID52,ID54,ID56,ID58,ID60,ID62,ID64,ID66,ID68,ID70,ID72,ID74,ID76,ID78,ID80,ID82,ID84,ID86,ID88,ID90,ID92,ID94,ID96,ID98,ID100)),0,SUM(ID18,ID20,ID22,ID24,ID26,ID28,ID30,ID32,ID34,ID36,ID38,ID40,ID42,ID44,ID46,ID48,ID50,ID52,ID54,ID56,ID58,ID60,ID62,ID64,ID66,ID68,ID70,ID72,ID74,ID76,ID78,ID80,ID82,ID84,ID86,ID88,ID90,ID92,ID94,ID96,ID98,ID100))</f>
        <v>3873.816196817219</v>
      </c>
      <c r="IG102" s="242">
        <f t="shared" ref="IG102" si="8">IF(ISERROR(SUM(IG18,IG20,IG22,IG24,IG26,IG28,IG30,IG32,IG34,IG36,IG38,IG40,IG42,IG44,IG46,IG48,IG50,IG52,IG54,IG56,IG58,IG60,IG62,IG64,IG66,IG68,IG70,IG72,IG74,IG76,IG78,IG80,IG82,IG84,IG86,IG88,IG90,IG92,IG94,IG96,IG98,IG100)),0,SUM(IG18,IG20,IG22,IG24,IG26,IG28,IG30,IG32,IG34,IG36,IG38,IG40,IG42,IG44,IG46,IG48,IG50,IG52,IG54,IG56,IG58,IG60,IG62,IG64,IG66,IG68,IG70,IG72,IG74,IG76,IG78,IG80,IG82,IG84,IG86,IG88,IG90,IG92,IG94,IG96,IG98,IG100))</f>
        <v>1355.8356688860267</v>
      </c>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E119"/>
  <sheetViews>
    <sheetView workbookViewId="0"/>
  </sheetViews>
  <sheetFormatPr defaultRowHeight="12" x14ac:dyDescent="0.2"/>
  <cols>
    <col min="1" max="1" width="3.7109375" style="231" customWidth="1"/>
    <col min="2" max="2" width="5.28515625" style="231" customWidth="1"/>
    <col min="3" max="3" width="1.7109375" style="231" customWidth="1"/>
    <col min="4" max="4" width="5" style="231" customWidth="1"/>
    <col min="5" max="5" width="2.7109375" style="231" customWidth="1"/>
    <col min="6" max="6" width="13.7109375" style="231" customWidth="1"/>
    <col min="7" max="7" width="1.7109375" style="231" customWidth="1"/>
    <col min="8" max="8" width="10.140625" style="231" customWidth="1"/>
    <col min="9" max="9" width="1.7109375" style="231" customWidth="1"/>
    <col min="10" max="10" width="12.140625" style="231" customWidth="1"/>
    <col min="11" max="11" width="1.7109375" style="231" customWidth="1"/>
    <col min="12" max="12" width="5.5703125" style="231" customWidth="1"/>
    <col min="13" max="13" width="2.85546875" style="231" customWidth="1"/>
    <col min="14" max="14" width="1.7109375" style="231" customWidth="1"/>
    <col min="15" max="15" width="5.7109375" style="231" customWidth="1"/>
    <col min="16" max="16" width="3.7109375" style="231" customWidth="1"/>
    <col min="17" max="17" width="1.7109375" style="231" customWidth="1"/>
    <col min="18" max="18" width="5.85546875" style="231" customWidth="1"/>
    <col min="19" max="19" width="2.7109375" style="231" customWidth="1"/>
    <col min="20" max="20" width="1.7109375" style="231" customWidth="1"/>
    <col min="21" max="21" width="5" style="231" customWidth="1"/>
    <col min="22" max="22" width="3.28515625" style="231" customWidth="1"/>
    <col min="23" max="23" width="1.7109375" style="231" customWidth="1"/>
    <col min="24" max="24" width="6.7109375" style="231" customWidth="1"/>
    <col min="25" max="25" width="3.42578125" style="231" customWidth="1"/>
    <col min="26" max="26" width="1.7109375" style="231" customWidth="1"/>
    <col min="27" max="27" width="4.140625" style="231" customWidth="1"/>
    <col min="28" max="28" width="4" style="231" customWidth="1"/>
    <col min="29" max="29" width="1.7109375" style="231" customWidth="1"/>
    <col min="30" max="31" width="4.42578125" style="231" customWidth="1"/>
    <col min="32" max="42" width="5.7109375" style="231" customWidth="1"/>
    <col min="43" max="16384" width="9.140625" style="231"/>
  </cols>
  <sheetData>
    <row r="2" spans="2:31" x14ac:dyDescent="0.2">
      <c r="B2" s="226"/>
      <c r="C2" s="227"/>
      <c r="D2" s="227"/>
      <c r="E2" s="227"/>
      <c r="F2" s="227"/>
      <c r="G2" s="227"/>
      <c r="H2" s="227"/>
      <c r="I2" s="227"/>
      <c r="J2" s="227"/>
      <c r="K2" s="227"/>
      <c r="L2" s="227"/>
      <c r="M2" s="227"/>
      <c r="N2" s="227"/>
      <c r="O2" s="227"/>
      <c r="P2" s="227"/>
      <c r="Q2" s="227"/>
      <c r="R2" s="227"/>
      <c r="S2" s="227"/>
      <c r="T2" s="227"/>
      <c r="U2" s="227"/>
      <c r="V2" s="228"/>
      <c r="W2" s="229"/>
      <c r="X2" s="229"/>
      <c r="Y2" s="229"/>
      <c r="Z2" s="229"/>
      <c r="AA2" s="229"/>
      <c r="AB2" s="229"/>
      <c r="AC2" s="229"/>
      <c r="AD2" s="229"/>
      <c r="AE2" s="229"/>
    </row>
    <row r="3" spans="2:31" x14ac:dyDescent="0.2">
      <c r="B3" s="229" t="str">
        <f>IF(Nbal!$D$5="","",Nbal!$D$5)</f>
        <v>Ole Pedersen</v>
      </c>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row>
    <row r="4" spans="2:31" x14ac:dyDescent="0.2">
      <c r="B4" s="229" t="str">
        <f>IF(Nbal!$L$5="","",Nbal!$L$5)</f>
        <v>Favrgaardsvej 30</v>
      </c>
      <c r="C4" s="229"/>
      <c r="D4" s="229"/>
      <c r="E4" s="229"/>
      <c r="F4" s="229"/>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row>
    <row r="5" spans="2:31" x14ac:dyDescent="0.2">
      <c r="B5" s="230">
        <f>IF(PostnrNbal="","",PostnrNbal)</f>
        <v>8300</v>
      </c>
      <c r="C5" s="229" t="str">
        <f>Nbal!S5</f>
        <v>Odder</v>
      </c>
      <c r="D5" s="229"/>
      <c r="E5" s="229"/>
      <c r="F5" s="229"/>
      <c r="G5" s="230" t="str">
        <f>IF(Postnr="","Postnr skal udfyldes i Mark","")</f>
        <v/>
      </c>
      <c r="H5" s="229"/>
      <c r="I5" s="229"/>
      <c r="J5" s="229"/>
      <c r="K5" s="229"/>
      <c r="L5" s="229"/>
      <c r="M5" s="229"/>
      <c r="N5" s="229"/>
      <c r="O5" s="229"/>
      <c r="P5" s="229"/>
      <c r="Q5" s="229"/>
      <c r="R5" s="229"/>
      <c r="S5" s="229"/>
      <c r="T5" s="229"/>
      <c r="U5" s="229"/>
      <c r="V5" s="229"/>
      <c r="W5" s="229"/>
      <c r="X5" s="229"/>
      <c r="Y5" s="229"/>
      <c r="Z5" s="229"/>
      <c r="AA5" s="229"/>
      <c r="AB5" s="229"/>
      <c r="AC5" s="229"/>
      <c r="AD5" s="229"/>
      <c r="AE5" s="229"/>
    </row>
    <row r="6" spans="2:31" x14ac:dyDescent="0.2">
      <c r="B6" s="229"/>
      <c r="C6" s="229"/>
      <c r="D6" s="229"/>
      <c r="E6" s="229"/>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row>
    <row r="7" spans="2:31" x14ac:dyDescent="0.2">
      <c r="B7" s="229"/>
      <c r="C7" s="229"/>
      <c r="D7" s="229"/>
      <c r="E7" s="229"/>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row>
    <row r="8" spans="2:31" ht="15.75" x14ac:dyDescent="0.25">
      <c r="B8" s="138" t="s">
        <v>2323</v>
      </c>
      <c r="C8" s="229"/>
      <c r="D8" s="229"/>
      <c r="E8" s="229"/>
      <c r="F8" s="229"/>
      <c r="G8" s="229"/>
      <c r="H8" s="229"/>
      <c r="I8" s="229"/>
      <c r="J8" s="229"/>
      <c r="K8" s="229"/>
      <c r="L8" s="229"/>
      <c r="M8" s="229"/>
      <c r="N8" s="229"/>
      <c r="O8" s="229"/>
      <c r="P8" s="229"/>
      <c r="Q8" s="229"/>
      <c r="R8" s="229"/>
      <c r="S8" s="229"/>
      <c r="T8" s="229"/>
      <c r="U8" s="229"/>
      <c r="V8" s="229"/>
      <c r="W8" s="229"/>
      <c r="X8" s="229"/>
      <c r="Y8" s="229"/>
      <c r="Z8" s="229"/>
      <c r="AA8" s="229"/>
      <c r="AB8" s="229"/>
      <c r="AC8" s="229"/>
      <c r="AD8" s="229"/>
      <c r="AE8" s="229"/>
    </row>
    <row r="9" spans="2:31" x14ac:dyDescent="0.2">
      <c r="B9" s="229"/>
      <c r="C9" s="229"/>
      <c r="D9" s="229"/>
      <c r="E9" s="229"/>
      <c r="F9" s="229"/>
      <c r="G9" s="229"/>
      <c r="H9" s="229"/>
      <c r="I9" s="229"/>
      <c r="J9" s="229"/>
      <c r="K9" s="229"/>
      <c r="L9" s="229"/>
      <c r="M9" s="229"/>
      <c r="N9" s="229"/>
      <c r="O9" s="229"/>
      <c r="P9" s="229"/>
      <c r="Q9" s="229"/>
      <c r="R9" s="229"/>
      <c r="S9" s="229"/>
      <c r="T9" s="229"/>
      <c r="U9" s="229"/>
      <c r="V9" s="229"/>
      <c r="W9" s="229"/>
      <c r="X9" s="229"/>
      <c r="Y9" s="229"/>
      <c r="Z9" s="229"/>
      <c r="AA9" s="229"/>
      <c r="AB9" s="229"/>
      <c r="AC9" s="229"/>
      <c r="AD9" s="229"/>
      <c r="AE9" s="229"/>
    </row>
    <row r="10" spans="2:31" ht="49.5" customHeight="1" x14ac:dyDescent="0.2">
      <c r="B10" s="237" t="s">
        <v>2326</v>
      </c>
      <c r="C10" s="238"/>
      <c r="D10" s="237" t="s">
        <v>2330</v>
      </c>
      <c r="E10" s="238"/>
      <c r="F10" s="239" t="s">
        <v>28</v>
      </c>
      <c r="G10" s="238"/>
      <c r="H10" s="239" t="s">
        <v>2324</v>
      </c>
      <c r="I10" s="238"/>
      <c r="J10" s="237" t="s">
        <v>2325</v>
      </c>
      <c r="K10" s="238"/>
      <c r="L10" s="237" t="s">
        <v>84</v>
      </c>
      <c r="M10" s="237"/>
      <c r="N10" s="238"/>
      <c r="O10" s="239" t="s">
        <v>178</v>
      </c>
      <c r="P10" s="239"/>
      <c r="Q10" s="238"/>
      <c r="R10" s="239" t="s">
        <v>23</v>
      </c>
      <c r="S10" s="238"/>
      <c r="T10" s="238"/>
      <c r="U10" s="316" t="s">
        <v>2332</v>
      </c>
      <c r="V10" s="317"/>
      <c r="W10" s="238"/>
      <c r="X10" s="316" t="s">
        <v>2328</v>
      </c>
      <c r="Y10" s="317"/>
      <c r="Z10" s="238"/>
      <c r="AA10" s="316" t="s">
        <v>2329</v>
      </c>
      <c r="AB10" s="317"/>
      <c r="AC10" s="238"/>
      <c r="AD10" s="316" t="s">
        <v>2331</v>
      </c>
      <c r="AE10" s="317"/>
    </row>
    <row r="11" spans="2:31" x14ac:dyDescent="0.2">
      <c r="B11" s="229"/>
      <c r="C11" s="229"/>
      <c r="D11" s="229"/>
      <c r="E11" s="229"/>
      <c r="F11" s="229"/>
      <c r="G11" s="229"/>
      <c r="H11" s="229"/>
      <c r="I11" s="229"/>
      <c r="J11" s="229"/>
      <c r="K11" s="229"/>
      <c r="L11" s="229"/>
      <c r="M11" s="229"/>
      <c r="N11" s="229"/>
      <c r="O11" s="229"/>
      <c r="P11" s="229"/>
      <c r="Q11" s="229"/>
      <c r="R11" s="229"/>
      <c r="S11" s="229"/>
      <c r="T11" s="229"/>
      <c r="U11" s="229"/>
      <c r="V11" s="229"/>
      <c r="W11" s="229"/>
      <c r="X11" s="229"/>
      <c r="Y11" s="229"/>
      <c r="Z11" s="229"/>
      <c r="AA11" s="229"/>
      <c r="AB11" s="229"/>
      <c r="AC11" s="229"/>
      <c r="AD11" s="229"/>
      <c r="AE11" s="229"/>
    </row>
    <row r="12" spans="2:31" x14ac:dyDescent="0.2">
      <c r="B12" s="233" t="str">
        <f>Regn2!A18</f>
        <v>1-0</v>
      </c>
      <c r="C12" s="229"/>
      <c r="D12" s="229" t="str">
        <f>IF(ISERROR(VLOOKUP(Regn2!B18,Jordtype,2)),"",IF(F12="","",VLOOKUP(Regn2!B18,Jordtype,2)))</f>
        <v>JB 6</v>
      </c>
      <c r="E12" s="229"/>
      <c r="F12" s="229" t="str">
        <f>IF(OR(ISERROR(VLOOKUP(Regn2!R18,Afgr,2)),VLOOKUP(Regn2!R18,Afgr,2)=0),"",VLOOKUP(Regn2!R18,Afgr,2))</f>
        <v>Vårbyg, foder</v>
      </c>
      <c r="G12" s="229"/>
      <c r="H12" s="229" t="str">
        <f>IF(Regn2!T18&lt;=1,"",VLOOKUP(Regn2!T18,Efgr,2))</f>
        <v>Græs E</v>
      </c>
      <c r="I12" s="229"/>
      <c r="J12" s="229" t="str">
        <f>IF(OR(ISERROR(VLOOKUP(Regn2!X18,Afgr,2)),VLOOKUP(Regn2!X18,Afgr,2)=0),"",VLOOKUP(Regn2!X18,Afgr,2))</f>
        <v>Vårbyg, foder</v>
      </c>
      <c r="K12" s="229"/>
      <c r="L12" s="234">
        <f>IF(Regn2!Z18=0,"",Regn2!Z18)</f>
        <v>8.16</v>
      </c>
      <c r="M12" s="234" t="str">
        <f>IF(L12&lt;&gt;"","ha","")</f>
        <v>ha</v>
      </c>
      <c r="N12" s="229"/>
      <c r="O12" s="229">
        <f>IF(Regn2!AM18=0,"",Regn2!AM18)</f>
        <v>66</v>
      </c>
      <c r="P12" s="229" t="str">
        <f>IF(O12="","",Regn2!AO18)</f>
        <v>hkg</v>
      </c>
      <c r="Q12" s="229"/>
      <c r="R12" s="235">
        <f>IF(F12="","",IF(Regn2!S18=2,"Nedm.",Regn2!BC18))</f>
        <v>3535.7142857142858</v>
      </c>
      <c r="S12" s="229" t="str">
        <f>IF(R12="","",IF(R12="Nedmuldet","","kg"))</f>
        <v>kg</v>
      </c>
      <c r="T12" s="229"/>
      <c r="U12" s="235">
        <f>IF(F12="","",Regn2!FR18)</f>
        <v>34.904190678371904</v>
      </c>
      <c r="V12" s="229" t="str">
        <f>IF(U12&lt;&gt;"","kg","")</f>
        <v>kg</v>
      </c>
      <c r="W12" s="229"/>
      <c r="X12" s="236">
        <f>IF(F12="","",Regn2!IC18)</f>
        <v>20.114435753294487</v>
      </c>
      <c r="Y12" s="229" t="str">
        <f>IF(X12&lt;&gt;"","kg","")</f>
        <v>kg</v>
      </c>
      <c r="Z12" s="229"/>
      <c r="AA12" s="235">
        <f>IF(F12="","",Regn2!IE18)</f>
        <v>65</v>
      </c>
      <c r="AB12" s="229" t="str">
        <f>IF(AA12&lt;&gt;"","%","")</f>
        <v>%</v>
      </c>
      <c r="AC12" s="229"/>
      <c r="AD12" s="235">
        <f>IF(F12="","",Regn2!IF18)</f>
        <v>7.0400525136530705</v>
      </c>
      <c r="AE12" s="229" t="str">
        <f>IF(AD12&lt;&gt;"","kg","")</f>
        <v>kg</v>
      </c>
    </row>
    <row r="13" spans="2:31" x14ac:dyDescent="0.2">
      <c r="B13" s="233"/>
      <c r="C13" s="229"/>
      <c r="D13" s="229"/>
      <c r="E13" s="229"/>
      <c r="F13" s="229"/>
      <c r="G13" s="229"/>
      <c r="H13" s="229"/>
      <c r="I13" s="229"/>
      <c r="J13" s="229"/>
      <c r="K13" s="229"/>
      <c r="L13" s="234"/>
      <c r="M13" s="234"/>
      <c r="N13" s="229"/>
      <c r="O13" s="229"/>
      <c r="P13" s="229"/>
      <c r="Q13" s="229"/>
      <c r="R13" s="235"/>
      <c r="S13" s="229"/>
      <c r="T13" s="229"/>
      <c r="U13" s="235"/>
      <c r="V13" s="229"/>
      <c r="W13" s="229"/>
      <c r="X13" s="236"/>
      <c r="Y13" s="229"/>
      <c r="Z13" s="229"/>
      <c r="AA13" s="235"/>
      <c r="AB13" s="229"/>
      <c r="AC13" s="229"/>
      <c r="AD13" s="235"/>
      <c r="AE13" s="229"/>
    </row>
    <row r="14" spans="2:31" x14ac:dyDescent="0.2">
      <c r="B14" s="233" t="str">
        <f>Regn2!A20</f>
        <v>1-1</v>
      </c>
      <c r="C14" s="229"/>
      <c r="D14" s="229" t="str">
        <f>IF(ISERROR(VLOOKUP(Regn2!B20,Jordtype,2)),"",IF(F14="","",VLOOKUP(Regn2!B20,Jordtype,2)))</f>
        <v>JB 6</v>
      </c>
      <c r="E14" s="229"/>
      <c r="F14" s="229" t="str">
        <f>IF(OR(ISERROR(VLOOKUP(Regn2!R20,Afgr,2)),VLOOKUP(Regn2!R20,Afgr,2)=0),"",VLOOKUP(Regn2!R20,Afgr,2))</f>
        <v>Permanent græs</v>
      </c>
      <c r="G14" s="229"/>
      <c r="H14" s="229" t="str">
        <f>IF(Regn2!T20&lt;=1,"",VLOOKUP(Regn2!T20,Efgr,2))</f>
        <v/>
      </c>
      <c r="I14" s="229"/>
      <c r="J14" s="229" t="str">
        <f>IF(OR(ISERROR(VLOOKUP(Regn2!X20,Afgr,2)),VLOOKUP(Regn2!X20,Afgr,2)=0),"",VLOOKUP(Regn2!X20,Afgr,2))</f>
        <v>Permanent græs</v>
      </c>
      <c r="K14" s="229"/>
      <c r="L14" s="234">
        <f>IF(Regn2!Z20=0,"",Regn2!Z20)</f>
        <v>1.4</v>
      </c>
      <c r="M14" s="234" t="str">
        <f t="shared" ref="M14" si="0">IF(L14&lt;&gt;"","ha","")</f>
        <v>ha</v>
      </c>
      <c r="N14" s="229"/>
      <c r="O14" s="229">
        <f>IF(Regn2!AM20=0,"",Regn2!AM20)</f>
        <v>3000</v>
      </c>
      <c r="P14" s="229" t="str">
        <f>IF(O14="","",Regn2!AO20)</f>
        <v>FE</v>
      </c>
      <c r="Q14" s="229"/>
      <c r="R14" s="235">
        <f>IF(F14="","",IF(Regn2!S20=2,"Nedm.",Regn2!BC20))</f>
        <v>0</v>
      </c>
      <c r="S14" s="229" t="str">
        <f t="shared" ref="S14" si="1">IF(R14="","",IF(R14="Nedmuldet","","kg"))</f>
        <v>kg</v>
      </c>
      <c r="T14" s="229"/>
      <c r="U14" s="235">
        <f>IF(F14="","",Regn2!FR20)</f>
        <v>-62.951999999999984</v>
      </c>
      <c r="V14" s="229" t="str">
        <f t="shared" ref="V14" si="2">IF(U14&lt;&gt;"","kg","")</f>
        <v>kg</v>
      </c>
      <c r="W14" s="229"/>
      <c r="X14" s="236">
        <f>IF(F14="","",Regn2!IC20)</f>
        <v>7.60989510515458</v>
      </c>
      <c r="Y14" s="229" t="str">
        <f t="shared" ref="Y14" si="3">IF(X14&lt;&gt;"","kg","")</f>
        <v>kg</v>
      </c>
      <c r="Z14" s="229"/>
      <c r="AA14" s="235">
        <f>IF(F14="","",Regn2!IE20)</f>
        <v>65</v>
      </c>
      <c r="AB14" s="229" t="str">
        <f t="shared" ref="AB14" si="4">IF(AA14&lt;&gt;"","%","")</f>
        <v>%</v>
      </c>
      <c r="AC14" s="229"/>
      <c r="AD14" s="235">
        <f>IF(F14="","",Regn2!IF20)</f>
        <v>2.6634632868041028</v>
      </c>
      <c r="AE14" s="229" t="str">
        <f t="shared" ref="AE14" si="5">IF(AD14&lt;&gt;"","kg","")</f>
        <v>kg</v>
      </c>
    </row>
    <row r="15" spans="2:31" x14ac:dyDescent="0.2">
      <c r="B15" s="233"/>
      <c r="C15" s="229"/>
      <c r="D15" s="229"/>
      <c r="E15" s="229"/>
      <c r="F15" s="229"/>
      <c r="G15" s="229"/>
      <c r="H15" s="229"/>
      <c r="I15" s="229"/>
      <c r="J15" s="229"/>
      <c r="K15" s="229"/>
      <c r="L15" s="234"/>
      <c r="M15" s="234"/>
      <c r="N15" s="229"/>
      <c r="O15" s="229"/>
      <c r="P15" s="229"/>
      <c r="Q15" s="229"/>
      <c r="R15" s="235"/>
      <c r="S15" s="229"/>
      <c r="T15" s="229"/>
      <c r="U15" s="235"/>
      <c r="V15" s="229"/>
      <c r="W15" s="229"/>
      <c r="X15" s="236"/>
      <c r="Y15" s="229"/>
      <c r="Z15" s="229"/>
      <c r="AA15" s="235"/>
      <c r="AB15" s="229"/>
      <c r="AC15" s="229"/>
      <c r="AD15" s="235"/>
      <c r="AE15" s="229"/>
    </row>
    <row r="16" spans="2:31" x14ac:dyDescent="0.2">
      <c r="B16" s="233" t="str">
        <f>Regn2!A22</f>
        <v>3-0</v>
      </c>
      <c r="C16" s="229"/>
      <c r="D16" s="229" t="str">
        <f>IF(ISERROR(VLOOKUP(Regn2!B22,Jordtype,2)),"",IF(F16="","",VLOOKUP(Regn2!B22,Jordtype,2)))</f>
        <v>JB 6</v>
      </c>
      <c r="E16" s="229"/>
      <c r="F16" s="229" t="str">
        <f>IF(OR(ISERROR(VLOOKUP(Regn2!R22,Afgr,2)),VLOOKUP(Regn2!R22,Afgr,2)=0),"",VLOOKUP(Regn2!R22,Afgr,2))</f>
        <v>Vårbyg, foder</v>
      </c>
      <c r="G16" s="229"/>
      <c r="H16" s="229" t="str">
        <f>IF(Regn2!T22&lt;=1,"",VLOOKUP(Regn2!T22,Efgr,2))</f>
        <v/>
      </c>
      <c r="I16" s="229"/>
      <c r="J16" s="229" t="str">
        <f>IF(OR(ISERROR(VLOOKUP(Regn2!X22,Afgr,2)),VLOOKUP(Regn2!X22,Afgr,2)=0),"",VLOOKUP(Regn2!X22,Afgr,2))</f>
        <v>Vinterbyg</v>
      </c>
      <c r="K16" s="229"/>
      <c r="L16" s="234">
        <f>IF(Regn2!Z22=0,"",Regn2!Z22)</f>
        <v>17.87</v>
      </c>
      <c r="M16" s="234" t="str">
        <f t="shared" ref="M16:M30" si="6">IF(L16&lt;&gt;"","ha","")</f>
        <v>ha</v>
      </c>
      <c r="N16" s="229"/>
      <c r="O16" s="229">
        <f>IF(Regn2!AM22=0,"",Regn2!AM22)</f>
        <v>55</v>
      </c>
      <c r="P16" s="229" t="str">
        <f>IF(O16="","",Regn2!AO22)</f>
        <v>hkg</v>
      </c>
      <c r="Q16" s="229"/>
      <c r="R16" s="235">
        <f>IF(F16="","",IF(Regn2!S22=2,"Nedm.",Regn2!BC22))</f>
        <v>2946.4285714285716</v>
      </c>
      <c r="S16" s="229" t="str">
        <f t="shared" ref="S16:S30" si="7">IF(R16="","",IF(R16="Nedmuldet","","kg"))</f>
        <v>kg</v>
      </c>
      <c r="T16" s="229"/>
      <c r="U16" s="235">
        <f>IF(F16="","",Regn2!FR22)</f>
        <v>166.15117485280126</v>
      </c>
      <c r="V16" s="229" t="str">
        <f t="shared" ref="V16:V30" si="8">IF(U16&lt;&gt;"","kg","")</f>
        <v>kg</v>
      </c>
      <c r="W16" s="229"/>
      <c r="X16" s="236">
        <f>IF(F16="","",Regn2!IC22)</f>
        <v>54.2953025257926</v>
      </c>
      <c r="Y16" s="229" t="str">
        <f t="shared" ref="Y16:Y30" si="9">IF(X16&lt;&gt;"","kg","")</f>
        <v>kg</v>
      </c>
      <c r="Z16" s="229"/>
      <c r="AA16" s="235">
        <f>IF(F16="","",Regn2!IE22)</f>
        <v>65</v>
      </c>
      <c r="AB16" s="229" t="str">
        <f t="shared" ref="AB16:AB30" si="10">IF(AA16&lt;&gt;"","%","")</f>
        <v>%</v>
      </c>
      <c r="AC16" s="229"/>
      <c r="AD16" s="235">
        <f>IF(F16="","",Regn2!IF22)</f>
        <v>19.00335588402741</v>
      </c>
      <c r="AE16" s="229" t="str">
        <f t="shared" ref="AE16:AE30" si="11">IF(AD16&lt;&gt;"","kg","")</f>
        <v>kg</v>
      </c>
    </row>
    <row r="17" spans="2:31" x14ac:dyDescent="0.2">
      <c r="B17" s="233"/>
      <c r="C17" s="229"/>
      <c r="D17" s="229"/>
      <c r="E17" s="229"/>
      <c r="F17" s="229"/>
      <c r="G17" s="229"/>
      <c r="H17" s="229"/>
      <c r="I17" s="229"/>
      <c r="J17" s="229"/>
      <c r="K17" s="229"/>
      <c r="L17" s="234"/>
      <c r="M17" s="234"/>
      <c r="N17" s="229"/>
      <c r="O17" s="229"/>
      <c r="P17" s="229"/>
      <c r="Q17" s="229"/>
      <c r="R17" s="235"/>
      <c r="S17" s="229"/>
      <c r="T17" s="229"/>
      <c r="U17" s="235"/>
      <c r="V17" s="229"/>
      <c r="W17" s="229"/>
      <c r="X17" s="236"/>
      <c r="Y17" s="229"/>
      <c r="Z17" s="229"/>
      <c r="AA17" s="235"/>
      <c r="AB17" s="229"/>
      <c r="AC17" s="229"/>
      <c r="AD17" s="235"/>
      <c r="AE17" s="229"/>
    </row>
    <row r="18" spans="2:31" x14ac:dyDescent="0.2">
      <c r="B18" s="233" t="str">
        <f>Regn2!A24</f>
        <v>8-0</v>
      </c>
      <c r="C18" s="229"/>
      <c r="D18" s="229" t="str">
        <f>IF(ISERROR(VLOOKUP(Regn2!B24,Jordtype,2)),"",IF(F18="","",VLOOKUP(Regn2!B24,Jordtype,2)))</f>
        <v>JB 6</v>
      </c>
      <c r="E18" s="229"/>
      <c r="F18" s="229" t="str">
        <f>IF(OR(ISERROR(VLOOKUP(Regn2!R24,Afgr,2)),VLOOKUP(Regn2!R24,Afgr,2)=0),"",VLOOKUP(Regn2!R24,Afgr,2))</f>
        <v>Vårbyg, foder</v>
      </c>
      <c r="G18" s="229"/>
      <c r="H18" s="229" t="str">
        <f>IF(Regn2!T24&lt;=1,"",VLOOKUP(Regn2!T24,Efgr,2))</f>
        <v/>
      </c>
      <c r="I18" s="229"/>
      <c r="J18" s="229" t="str">
        <f>IF(OR(ISERROR(VLOOKUP(Regn2!X24,Afgr,2)),VLOOKUP(Regn2!X24,Afgr,2)=0),"",VLOOKUP(Regn2!X24,Afgr,2))</f>
        <v>Vinterbyg</v>
      </c>
      <c r="K18" s="229"/>
      <c r="L18" s="234">
        <f>IF(Regn2!Z24=0,"",Regn2!Z24)</f>
        <v>2.95</v>
      </c>
      <c r="M18" s="234" t="str">
        <f t="shared" si="6"/>
        <v>ha</v>
      </c>
      <c r="N18" s="229"/>
      <c r="O18" s="229">
        <f>IF(Regn2!AM24=0,"",Regn2!AM24)</f>
        <v>82</v>
      </c>
      <c r="P18" s="229" t="str">
        <f>IF(O18="","",Regn2!AO24)</f>
        <v>hkg</v>
      </c>
      <c r="Q18" s="229"/>
      <c r="R18" s="235">
        <f>IF(F18="","",IF(Regn2!S24=2,"Nedm.",Regn2!BC24))</f>
        <v>4392.8571428571431</v>
      </c>
      <c r="S18" s="229" t="str">
        <f t="shared" si="7"/>
        <v>kg</v>
      </c>
      <c r="T18" s="229"/>
      <c r="U18" s="235">
        <f>IF(F18="","",Regn2!FR24)</f>
        <v>8.5938369034317361</v>
      </c>
      <c r="V18" s="229" t="str">
        <f t="shared" si="8"/>
        <v>kg</v>
      </c>
      <c r="W18" s="229"/>
      <c r="X18" s="236">
        <f>IF(F18="","",Regn2!IC24)</f>
        <v>51.443462917880524</v>
      </c>
      <c r="Y18" s="229" t="str">
        <f t="shared" si="9"/>
        <v>kg</v>
      </c>
      <c r="Z18" s="229"/>
      <c r="AA18" s="235">
        <f>IF(F18="","",Regn2!IE24)</f>
        <v>65</v>
      </c>
      <c r="AB18" s="229" t="str">
        <f t="shared" si="10"/>
        <v>%</v>
      </c>
      <c r="AC18" s="229"/>
      <c r="AD18" s="235">
        <f>IF(F18="","",Regn2!IF24)</f>
        <v>18.005212021258185</v>
      </c>
      <c r="AE18" s="229" t="str">
        <f t="shared" si="11"/>
        <v>kg</v>
      </c>
    </row>
    <row r="19" spans="2:31" x14ac:dyDescent="0.2">
      <c r="B19" s="233"/>
      <c r="C19" s="229"/>
      <c r="D19" s="229"/>
      <c r="E19" s="229"/>
      <c r="F19" s="229"/>
      <c r="G19" s="229"/>
      <c r="H19" s="229"/>
      <c r="I19" s="229"/>
      <c r="J19" s="229"/>
      <c r="K19" s="229"/>
      <c r="L19" s="234"/>
      <c r="M19" s="234"/>
      <c r="N19" s="229"/>
      <c r="O19" s="229"/>
      <c r="P19" s="229"/>
      <c r="Q19" s="229"/>
      <c r="R19" s="235"/>
      <c r="S19" s="229"/>
      <c r="T19" s="229"/>
      <c r="U19" s="235"/>
      <c r="V19" s="229"/>
      <c r="W19" s="229"/>
      <c r="X19" s="236"/>
      <c r="Y19" s="229"/>
      <c r="Z19" s="229"/>
      <c r="AA19" s="235"/>
      <c r="AB19" s="229"/>
      <c r="AC19" s="229"/>
      <c r="AD19" s="235"/>
      <c r="AE19" s="229"/>
    </row>
    <row r="20" spans="2:31" x14ac:dyDescent="0.2">
      <c r="B20" s="233" t="str">
        <f>Regn2!A26</f>
        <v>8-1</v>
      </c>
      <c r="C20" s="229"/>
      <c r="D20" s="229" t="str">
        <f>IF(ISERROR(VLOOKUP(Regn2!B26,Jordtype,2)),"",IF(F20="","",VLOOKUP(Regn2!B26,Jordtype,2)))</f>
        <v>JB 6</v>
      </c>
      <c r="E20" s="229"/>
      <c r="F20" s="229" t="str">
        <f>IF(OR(ISERROR(VLOOKUP(Regn2!R26,Afgr,2)),VLOOKUP(Regn2!R26,Afgr,2)=0),"",VLOOKUP(Regn2!R26,Afgr,2))</f>
        <v>Vårbyg, foder</v>
      </c>
      <c r="G20" s="229"/>
      <c r="H20" s="229" t="str">
        <f>IF(Regn2!T26&lt;=1,"",VLOOKUP(Regn2!T26,Efgr,2))</f>
        <v/>
      </c>
      <c r="I20" s="229"/>
      <c r="J20" s="229" t="str">
        <f>IF(OR(ISERROR(VLOOKUP(Regn2!X26,Afgr,2)),VLOOKUP(Regn2!X26,Afgr,2)=0),"",VLOOKUP(Regn2!X26,Afgr,2))</f>
        <v>Vinterbyg</v>
      </c>
      <c r="K20" s="229"/>
      <c r="L20" s="234">
        <f>IF(Regn2!Z26=0,"",Regn2!Z26)</f>
        <v>5.85</v>
      </c>
      <c r="M20" s="234" t="str">
        <f t="shared" si="6"/>
        <v>ha</v>
      </c>
      <c r="N20" s="229"/>
      <c r="O20" s="229">
        <f>IF(Regn2!AM26=0,"",Regn2!AM26)</f>
        <v>73</v>
      </c>
      <c r="P20" s="229" t="str">
        <f>IF(O20="","",Regn2!AO26)</f>
        <v>hkg</v>
      </c>
      <c r="Q20" s="229"/>
      <c r="R20" s="235">
        <f>IF(F20="","",IF(Regn2!S26=2,"Nedm.",Regn2!BC26))</f>
        <v>3532.2580645161293</v>
      </c>
      <c r="S20" s="229" t="str">
        <f t="shared" si="7"/>
        <v>kg</v>
      </c>
      <c r="T20" s="229"/>
      <c r="U20" s="235">
        <f>IF(F20="","",Regn2!FR26)</f>
        <v>9.4228288808794503</v>
      </c>
      <c r="V20" s="229" t="str">
        <f t="shared" si="8"/>
        <v>kg</v>
      </c>
      <c r="W20" s="229"/>
      <c r="X20" s="236">
        <f>IF(F20="","",Regn2!IC26)</f>
        <v>63.126732529486723</v>
      </c>
      <c r="Y20" s="229" t="str">
        <f t="shared" si="9"/>
        <v>kg</v>
      </c>
      <c r="Z20" s="229"/>
      <c r="AA20" s="235">
        <f>IF(F20="","",Regn2!IE26)</f>
        <v>65</v>
      </c>
      <c r="AB20" s="229" t="str">
        <f t="shared" si="10"/>
        <v>%</v>
      </c>
      <c r="AC20" s="229"/>
      <c r="AD20" s="235">
        <f>IF(F20="","",Regn2!IF26)</f>
        <v>22.094356385320353</v>
      </c>
      <c r="AE20" s="229" t="str">
        <f t="shared" si="11"/>
        <v>kg</v>
      </c>
    </row>
    <row r="21" spans="2:31" x14ac:dyDescent="0.2">
      <c r="B21" s="233"/>
      <c r="C21" s="229"/>
      <c r="D21" s="229"/>
      <c r="E21" s="229"/>
      <c r="F21" s="229"/>
      <c r="G21" s="229"/>
      <c r="H21" s="229"/>
      <c r="I21" s="229"/>
      <c r="J21" s="229"/>
      <c r="K21" s="229"/>
      <c r="L21" s="234"/>
      <c r="M21" s="234"/>
      <c r="N21" s="229"/>
      <c r="O21" s="229"/>
      <c r="P21" s="229"/>
      <c r="Q21" s="229"/>
      <c r="R21" s="235"/>
      <c r="S21" s="229"/>
      <c r="T21" s="229"/>
      <c r="U21" s="235"/>
      <c r="V21" s="229"/>
      <c r="W21" s="229"/>
      <c r="X21" s="236"/>
      <c r="Y21" s="229"/>
      <c r="Z21" s="229"/>
      <c r="AA21" s="235"/>
      <c r="AB21" s="229"/>
      <c r="AC21" s="229"/>
      <c r="AD21" s="235"/>
      <c r="AE21" s="229"/>
    </row>
    <row r="22" spans="2:31" x14ac:dyDescent="0.2">
      <c r="B22" s="233" t="str">
        <f>Regn2!A28</f>
        <v>9-0</v>
      </c>
      <c r="C22" s="229"/>
      <c r="D22" s="229" t="str">
        <f>IF(ISERROR(VLOOKUP(Regn2!B28,Jordtype,2)),"",IF(F22="","",VLOOKUP(Regn2!B28,Jordtype,2)))</f>
        <v>JB 6</v>
      </c>
      <c r="E22" s="229"/>
      <c r="F22" s="229" t="str">
        <f>IF(OR(ISERROR(VLOOKUP(Regn2!R28,Afgr,2)),VLOOKUP(Regn2!R28,Afgr,2)=0),"",VLOOKUP(Regn2!R28,Afgr,2))</f>
        <v>Permanent græs</v>
      </c>
      <c r="G22" s="229"/>
      <c r="H22" s="229" t="str">
        <f>IF(Regn2!T28&lt;=1,"",VLOOKUP(Regn2!T28,Efgr,2))</f>
        <v/>
      </c>
      <c r="I22" s="229"/>
      <c r="J22" s="229" t="str">
        <f>IF(OR(ISERROR(VLOOKUP(Regn2!X28,Afgr,2)),VLOOKUP(Regn2!X28,Afgr,2)=0),"",VLOOKUP(Regn2!X28,Afgr,2))</f>
        <v>Permanent græs</v>
      </c>
      <c r="K22" s="229"/>
      <c r="L22" s="234">
        <f>IF(Regn2!Z28=0,"",Regn2!Z28)</f>
        <v>2.02</v>
      </c>
      <c r="M22" s="234" t="str">
        <f t="shared" si="6"/>
        <v>ha</v>
      </c>
      <c r="N22" s="229"/>
      <c r="O22" s="229">
        <f>IF(Regn2!AM28=0,"",Regn2!AM28)</f>
        <v>3000</v>
      </c>
      <c r="P22" s="229" t="str">
        <f>IF(O22="","",Regn2!AO28)</f>
        <v>FE</v>
      </c>
      <c r="Q22" s="229"/>
      <c r="R22" s="235">
        <f>IF(F22="","",IF(Regn2!S28=2,"Nedm.",Regn2!BC28))</f>
        <v>0</v>
      </c>
      <c r="S22" s="229" t="str">
        <f t="shared" si="7"/>
        <v>kg</v>
      </c>
      <c r="T22" s="229"/>
      <c r="U22" s="235">
        <f>IF(F22="","",Regn2!FR28)</f>
        <v>-62.951999999999984</v>
      </c>
      <c r="V22" s="229" t="str">
        <f t="shared" si="8"/>
        <v>kg</v>
      </c>
      <c r="W22" s="229"/>
      <c r="X22" s="236">
        <f>IF(F22="","",Regn2!IC28)</f>
        <v>7.60989510515458</v>
      </c>
      <c r="Y22" s="229" t="str">
        <f t="shared" si="9"/>
        <v>kg</v>
      </c>
      <c r="Z22" s="229"/>
      <c r="AA22" s="235">
        <f>IF(F22="","",Regn2!IE28)</f>
        <v>65</v>
      </c>
      <c r="AB22" s="229" t="str">
        <f t="shared" si="10"/>
        <v>%</v>
      </c>
      <c r="AC22" s="229"/>
      <c r="AD22" s="235">
        <f>IF(F22="","",Regn2!IF28)</f>
        <v>2.6634632868041028</v>
      </c>
      <c r="AE22" s="229" t="str">
        <f t="shared" si="11"/>
        <v>kg</v>
      </c>
    </row>
    <row r="23" spans="2:31" x14ac:dyDescent="0.2">
      <c r="B23" s="233"/>
      <c r="C23" s="229"/>
      <c r="D23" s="229"/>
      <c r="E23" s="229"/>
      <c r="F23" s="229"/>
      <c r="G23" s="229"/>
      <c r="H23" s="229"/>
      <c r="I23" s="229"/>
      <c r="J23" s="229"/>
      <c r="K23" s="229"/>
      <c r="L23" s="234"/>
      <c r="M23" s="234"/>
      <c r="N23" s="229"/>
      <c r="O23" s="229"/>
      <c r="P23" s="229"/>
      <c r="Q23" s="229"/>
      <c r="R23" s="235"/>
      <c r="S23" s="229"/>
      <c r="T23" s="229"/>
      <c r="U23" s="235"/>
      <c r="V23" s="229"/>
      <c r="W23" s="229"/>
      <c r="X23" s="236"/>
      <c r="Y23" s="229"/>
      <c r="Z23" s="229"/>
      <c r="AA23" s="235"/>
      <c r="AB23" s="229"/>
      <c r="AC23" s="229"/>
      <c r="AD23" s="235"/>
      <c r="AE23" s="229"/>
    </row>
    <row r="24" spans="2:31" x14ac:dyDescent="0.2">
      <c r="B24" s="233" t="str">
        <f>Regn2!A30</f>
        <v>11-0</v>
      </c>
      <c r="C24" s="229"/>
      <c r="D24" s="229" t="str">
        <f>IF(ISERROR(VLOOKUP(Regn2!B30,Jordtype,2)),"",IF(F24="","",VLOOKUP(Regn2!B30,Jordtype,2)))</f>
        <v>JB 6</v>
      </c>
      <c r="E24" s="229"/>
      <c r="F24" s="229" t="str">
        <f>IF(OR(ISERROR(VLOOKUP(Regn2!R30,Afgr,2)),VLOOKUP(Regn2!R30,Afgr,2)=0),"",VLOOKUP(Regn2!R30,Afgr,2))</f>
        <v>Vinterhvede</v>
      </c>
      <c r="G24" s="229"/>
      <c r="H24" s="229" t="str">
        <f>IF(Regn2!T30&lt;=1,"",VLOOKUP(Regn2!T30,Efgr,2))</f>
        <v/>
      </c>
      <c r="I24" s="229"/>
      <c r="J24" s="229" t="str">
        <f>IF(OR(ISERROR(VLOOKUP(Regn2!X30,Afgr,2)),VLOOKUP(Regn2!X30,Afgr,2)=0),"",VLOOKUP(Regn2!X30,Afgr,2))</f>
        <v>Vinterhvede</v>
      </c>
      <c r="K24" s="229"/>
      <c r="L24" s="234">
        <f>IF(Regn2!Z30=0,"",Regn2!Z30)</f>
        <v>2.72</v>
      </c>
      <c r="M24" s="234" t="str">
        <f t="shared" si="6"/>
        <v>ha</v>
      </c>
      <c r="N24" s="229"/>
      <c r="O24" s="229">
        <f>IF(Regn2!AM30=0,"",Regn2!AM30)</f>
        <v>72</v>
      </c>
      <c r="P24" s="229" t="str">
        <f>IF(O24="","",Regn2!AO30)</f>
        <v>hkg</v>
      </c>
      <c r="Q24" s="229"/>
      <c r="R24" s="235">
        <f>IF(F24="","",IF(Regn2!S30=2,"Nedm.",Regn2!BC30))</f>
        <v>4177.7777777777774</v>
      </c>
      <c r="S24" s="229" t="str">
        <f t="shared" si="7"/>
        <v>kg</v>
      </c>
      <c r="T24" s="229"/>
      <c r="U24" s="235">
        <f>IF(F24="","",Regn2!FR30)</f>
        <v>119.37028316336011</v>
      </c>
      <c r="V24" s="229" t="str">
        <f t="shared" si="8"/>
        <v>kg</v>
      </c>
      <c r="W24" s="229"/>
      <c r="X24" s="236">
        <f>IF(F24="","",Regn2!IC30)</f>
        <v>51.460934676512672</v>
      </c>
      <c r="Y24" s="229" t="str">
        <f t="shared" si="9"/>
        <v>kg</v>
      </c>
      <c r="Z24" s="229"/>
      <c r="AA24" s="235">
        <f>IF(F24="","",Regn2!IE30)</f>
        <v>65</v>
      </c>
      <c r="AB24" s="229" t="str">
        <f t="shared" si="10"/>
        <v>%</v>
      </c>
      <c r="AC24" s="229"/>
      <c r="AD24" s="235">
        <f>IF(F24="","",Regn2!IF30)</f>
        <v>18.011327136779435</v>
      </c>
      <c r="AE24" s="229" t="str">
        <f t="shared" si="11"/>
        <v>kg</v>
      </c>
    </row>
    <row r="25" spans="2:31" x14ac:dyDescent="0.2">
      <c r="B25" s="233"/>
      <c r="C25" s="229"/>
      <c r="D25" s="229"/>
      <c r="E25" s="229"/>
      <c r="F25" s="229"/>
      <c r="G25" s="229"/>
      <c r="H25" s="229"/>
      <c r="I25" s="229"/>
      <c r="J25" s="229"/>
      <c r="K25" s="229"/>
      <c r="L25" s="234"/>
      <c r="M25" s="234"/>
      <c r="N25" s="229"/>
      <c r="O25" s="229"/>
      <c r="P25" s="229"/>
      <c r="Q25" s="229"/>
      <c r="R25" s="235"/>
      <c r="S25" s="229"/>
      <c r="T25" s="229"/>
      <c r="U25" s="235"/>
      <c r="V25" s="229"/>
      <c r="W25" s="229"/>
      <c r="X25" s="236"/>
      <c r="Y25" s="229"/>
      <c r="Z25" s="229"/>
      <c r="AA25" s="235"/>
      <c r="AB25" s="229"/>
      <c r="AC25" s="229"/>
      <c r="AD25" s="235"/>
      <c r="AE25" s="229"/>
    </row>
    <row r="26" spans="2:31" x14ac:dyDescent="0.2">
      <c r="B26" s="233" t="str">
        <f>Regn2!A32</f>
        <v>12-0</v>
      </c>
      <c r="C26" s="229"/>
      <c r="D26" s="229" t="str">
        <f>IF(ISERROR(VLOOKUP(Regn2!B32,Jordtype,2)),"",IF(F26="","",VLOOKUP(Regn2!B32,Jordtype,2)))</f>
        <v>JB 6</v>
      </c>
      <c r="E26" s="229"/>
      <c r="F26" s="229" t="str">
        <f>IF(OR(ISERROR(VLOOKUP(Regn2!R32,Afgr,2)),VLOOKUP(Regn2!R32,Afgr,2)=0),"",VLOOKUP(Regn2!R32,Afgr,2))</f>
        <v>Vinterhvede</v>
      </c>
      <c r="G26" s="229"/>
      <c r="H26" s="229" t="str">
        <f>IF(Regn2!T32&lt;=1,"",VLOOKUP(Regn2!T32,Efgr,2))</f>
        <v/>
      </c>
      <c r="I26" s="229"/>
      <c r="J26" s="229" t="str">
        <f>IF(OR(ISERROR(VLOOKUP(Regn2!X32,Afgr,2)),VLOOKUP(Regn2!X32,Afgr,2)=0),"",VLOOKUP(Regn2!X32,Afgr,2))</f>
        <v>Vinterhvede</v>
      </c>
      <c r="K26" s="229"/>
      <c r="L26" s="234">
        <f>IF(Regn2!Z32=0,"",Regn2!Z32)</f>
        <v>3.27</v>
      </c>
      <c r="M26" s="234" t="str">
        <f t="shared" si="6"/>
        <v>ha</v>
      </c>
      <c r="N26" s="229"/>
      <c r="O26" s="229">
        <f>IF(Regn2!AM32=0,"",Regn2!AM32)</f>
        <v>89</v>
      </c>
      <c r="P26" s="229" t="str">
        <f>IF(O26="","",Regn2!AO32)</f>
        <v>hkg</v>
      </c>
      <c r="Q26" s="229"/>
      <c r="R26" s="235">
        <f>IF(F26="","",IF(Regn2!S32=2,"Nedm.",Regn2!BC32))</f>
        <v>5164.1975308641977</v>
      </c>
      <c r="S26" s="229" t="str">
        <f t="shared" si="7"/>
        <v>kg</v>
      </c>
      <c r="T26" s="229"/>
      <c r="U26" s="235">
        <f>IF(F26="","",Regn2!FR32)</f>
        <v>91.410922421161928</v>
      </c>
      <c r="V26" s="229" t="str">
        <f t="shared" si="8"/>
        <v>kg</v>
      </c>
      <c r="W26" s="229"/>
      <c r="X26" s="236">
        <f>IF(F26="","",Regn2!IC32)</f>
        <v>48.83052489729679</v>
      </c>
      <c r="Y26" s="229" t="str">
        <f t="shared" si="9"/>
        <v>kg</v>
      </c>
      <c r="Z26" s="229"/>
      <c r="AA26" s="235">
        <f>IF(F26="","",Regn2!IE32)</f>
        <v>65</v>
      </c>
      <c r="AB26" s="229" t="str">
        <f t="shared" si="10"/>
        <v>%</v>
      </c>
      <c r="AC26" s="229"/>
      <c r="AD26" s="235">
        <f>IF(F26="","",Regn2!IF32)</f>
        <v>17.090683714053874</v>
      </c>
      <c r="AE26" s="229" t="str">
        <f t="shared" si="11"/>
        <v>kg</v>
      </c>
    </row>
    <row r="27" spans="2:31" x14ac:dyDescent="0.2">
      <c r="B27" s="233"/>
      <c r="C27" s="229"/>
      <c r="D27" s="229"/>
      <c r="E27" s="229"/>
      <c r="F27" s="229"/>
      <c r="G27" s="229"/>
      <c r="H27" s="229"/>
      <c r="I27" s="229"/>
      <c r="J27" s="229"/>
      <c r="K27" s="229"/>
      <c r="L27" s="234"/>
      <c r="M27" s="234"/>
      <c r="N27" s="229"/>
      <c r="O27" s="229"/>
      <c r="P27" s="229"/>
      <c r="Q27" s="229"/>
      <c r="R27" s="235"/>
      <c r="S27" s="229"/>
      <c r="T27" s="229"/>
      <c r="U27" s="235"/>
      <c r="V27" s="229"/>
      <c r="W27" s="229"/>
      <c r="X27" s="236"/>
      <c r="Y27" s="229"/>
      <c r="Z27" s="229"/>
      <c r="AA27" s="235"/>
      <c r="AB27" s="229"/>
      <c r="AC27" s="229"/>
      <c r="AD27" s="235"/>
      <c r="AE27" s="229"/>
    </row>
    <row r="28" spans="2:31" x14ac:dyDescent="0.2">
      <c r="B28" s="233" t="str">
        <f>Regn2!A34</f>
        <v>14-0</v>
      </c>
      <c r="C28" s="229"/>
      <c r="D28" s="229" t="str">
        <f>IF(ISERROR(VLOOKUP(Regn2!B34,Jordtype,2)),"",IF(F28="","",VLOOKUP(Regn2!B34,Jordtype,2)))</f>
        <v>JB 6</v>
      </c>
      <c r="E28" s="229"/>
      <c r="F28" s="229" t="str">
        <f>IF(OR(ISERROR(VLOOKUP(Regn2!R34,Afgr,2)),VLOOKUP(Regn2!R34,Afgr,2)=0),"",VLOOKUP(Regn2!R34,Afgr,2))</f>
        <v>Vinterhvede</v>
      </c>
      <c r="G28" s="229"/>
      <c r="H28" s="229" t="str">
        <f>IF(Regn2!T34&lt;=1,"",VLOOKUP(Regn2!T34,Efgr,2))</f>
        <v/>
      </c>
      <c r="I28" s="229"/>
      <c r="J28" s="229" t="str">
        <f>IF(OR(ISERROR(VLOOKUP(Regn2!X34,Afgr,2)),VLOOKUP(Regn2!X34,Afgr,2)=0),"",VLOOKUP(Regn2!X34,Afgr,2))</f>
        <v>Vinterhvede</v>
      </c>
      <c r="K28" s="229"/>
      <c r="L28" s="234">
        <f>IF(Regn2!Z34=0,"",Regn2!Z34)</f>
        <v>8.93</v>
      </c>
      <c r="M28" s="234" t="str">
        <f t="shared" si="6"/>
        <v>ha</v>
      </c>
      <c r="N28" s="229"/>
      <c r="O28" s="229">
        <f>IF(Regn2!AM34=0,"",Regn2!AM34)</f>
        <v>56</v>
      </c>
      <c r="P28" s="229" t="str">
        <f>IF(O28="","",Regn2!AO34)</f>
        <v>hkg</v>
      </c>
      <c r="Q28" s="229"/>
      <c r="R28" s="235">
        <f>IF(F28="","",IF(Regn2!S34=2,"Nedm.",Regn2!BC34))</f>
        <v>3249.3827160493829</v>
      </c>
      <c r="S28" s="229" t="str">
        <f t="shared" si="7"/>
        <v>kg</v>
      </c>
      <c r="T28" s="229"/>
      <c r="U28" s="235">
        <f>IF(F28="","",Regn2!FR34)</f>
        <v>124.78513142628117</v>
      </c>
      <c r="V28" s="229" t="str">
        <f t="shared" si="8"/>
        <v>kg</v>
      </c>
      <c r="W28" s="229"/>
      <c r="X28" s="236">
        <f>IF(F28="","",Regn2!IC34)</f>
        <v>51.97490368561013</v>
      </c>
      <c r="Y28" s="229" t="str">
        <f t="shared" si="9"/>
        <v>kg</v>
      </c>
      <c r="Z28" s="229"/>
      <c r="AA28" s="235">
        <f>IF(F28="","",Regn2!IE34)</f>
        <v>65</v>
      </c>
      <c r="AB28" s="229" t="str">
        <f t="shared" si="10"/>
        <v>%</v>
      </c>
      <c r="AC28" s="229"/>
      <c r="AD28" s="235">
        <f>IF(F28="","",Regn2!IF34)</f>
        <v>18.191216289963545</v>
      </c>
      <c r="AE28" s="229" t="str">
        <f t="shared" si="11"/>
        <v>kg</v>
      </c>
    </row>
    <row r="29" spans="2:31" x14ac:dyDescent="0.2">
      <c r="B29" s="233"/>
      <c r="C29" s="229"/>
      <c r="D29" s="229"/>
      <c r="E29" s="229"/>
      <c r="F29" s="229"/>
      <c r="G29" s="229"/>
      <c r="H29" s="229"/>
      <c r="I29" s="229"/>
      <c r="J29" s="229"/>
      <c r="K29" s="229"/>
      <c r="L29" s="234"/>
      <c r="M29" s="234"/>
      <c r="N29" s="229"/>
      <c r="O29" s="229"/>
      <c r="P29" s="229"/>
      <c r="Q29" s="229"/>
      <c r="R29" s="235"/>
      <c r="S29" s="229"/>
      <c r="T29" s="229"/>
      <c r="U29" s="235"/>
      <c r="V29" s="229"/>
      <c r="W29" s="229"/>
      <c r="X29" s="236"/>
      <c r="Y29" s="229"/>
      <c r="Z29" s="229"/>
      <c r="AA29" s="235"/>
      <c r="AB29" s="229"/>
      <c r="AC29" s="229"/>
      <c r="AD29" s="235"/>
      <c r="AE29" s="229"/>
    </row>
    <row r="30" spans="2:31" x14ac:dyDescent="0.2">
      <c r="B30" s="233" t="str">
        <f>Regn2!A36</f>
        <v>15-0</v>
      </c>
      <c r="C30" s="229"/>
      <c r="D30" s="229" t="str">
        <f>IF(ISERROR(VLOOKUP(Regn2!B36,Jordtype,2)),"",IF(F30="","",VLOOKUP(Regn2!B36,Jordtype,2)))</f>
        <v>JB 6</v>
      </c>
      <c r="E30" s="229"/>
      <c r="F30" s="229" t="str">
        <f>IF(OR(ISERROR(VLOOKUP(Regn2!R36,Afgr,2)),VLOOKUP(Regn2!R36,Afgr,2)=0),"",VLOOKUP(Regn2!R36,Afgr,2))</f>
        <v>Vinterhvede</v>
      </c>
      <c r="G30" s="229"/>
      <c r="H30" s="229" t="str">
        <f>IF(Regn2!T36&lt;=1,"",VLOOKUP(Regn2!T36,Efgr,2))</f>
        <v/>
      </c>
      <c r="I30" s="229"/>
      <c r="J30" s="229" t="str">
        <f>IF(OR(ISERROR(VLOOKUP(Regn2!X36,Afgr,2)),VLOOKUP(Regn2!X36,Afgr,2)=0),"",VLOOKUP(Regn2!X36,Afgr,2))</f>
        <v>Vinterhvede</v>
      </c>
      <c r="K30" s="229"/>
      <c r="L30" s="234">
        <f>IF(Regn2!Z36=0,"",Regn2!Z36)</f>
        <v>3.78</v>
      </c>
      <c r="M30" s="234" t="str">
        <f t="shared" si="6"/>
        <v>ha</v>
      </c>
      <c r="N30" s="229"/>
      <c r="O30" s="229">
        <f>IF(Regn2!AM36=0,"",Regn2!AM36)</f>
        <v>58</v>
      </c>
      <c r="P30" s="229" t="str">
        <f>IF(O30="","",Regn2!AO36)</f>
        <v>hkg</v>
      </c>
      <c r="Q30" s="229"/>
      <c r="R30" s="235">
        <f>IF(F30="","",IF(Regn2!S36=2,"Nedm.",Regn2!BC36))</f>
        <v>3365.4320987654319</v>
      </c>
      <c r="S30" s="229" t="str">
        <f t="shared" si="7"/>
        <v>kg</v>
      </c>
      <c r="T30" s="229"/>
      <c r="U30" s="235">
        <f>IF(F30="","",Regn2!FR36)</f>
        <v>120.51573183436264</v>
      </c>
      <c r="V30" s="229" t="str">
        <f t="shared" si="8"/>
        <v>kg</v>
      </c>
      <c r="W30" s="229"/>
      <c r="X30" s="236">
        <f>IF(F30="","",Regn2!IC36)</f>
        <v>51.569538507281244</v>
      </c>
      <c r="Y30" s="229" t="str">
        <f t="shared" si="9"/>
        <v>kg</v>
      </c>
      <c r="Z30" s="229"/>
      <c r="AA30" s="235">
        <f>IF(F30="","",Regn2!IE36)</f>
        <v>65</v>
      </c>
      <c r="AB30" s="229" t="str">
        <f t="shared" si="10"/>
        <v>%</v>
      </c>
      <c r="AC30" s="229"/>
      <c r="AD30" s="235">
        <f>IF(F30="","",Regn2!IF36)</f>
        <v>18.049338477548435</v>
      </c>
      <c r="AE30" s="229" t="str">
        <f t="shared" si="11"/>
        <v>kg</v>
      </c>
    </row>
    <row r="31" spans="2:31" x14ac:dyDescent="0.2">
      <c r="B31" s="233"/>
      <c r="C31" s="229"/>
      <c r="D31" s="229"/>
      <c r="E31" s="229"/>
      <c r="F31" s="229"/>
      <c r="G31" s="229"/>
      <c r="H31" s="229"/>
      <c r="I31" s="229"/>
      <c r="J31" s="229"/>
      <c r="K31" s="229"/>
      <c r="L31" s="234"/>
      <c r="M31" s="234"/>
      <c r="N31" s="229"/>
      <c r="O31" s="229"/>
      <c r="P31" s="229"/>
      <c r="Q31" s="229"/>
      <c r="R31" s="235"/>
      <c r="S31" s="229"/>
      <c r="T31" s="229"/>
      <c r="U31" s="235"/>
      <c r="V31" s="229"/>
      <c r="W31" s="229"/>
      <c r="X31" s="236"/>
      <c r="Y31" s="229"/>
      <c r="Z31" s="229"/>
      <c r="AA31" s="235"/>
      <c r="AB31" s="229"/>
      <c r="AC31" s="229"/>
      <c r="AD31" s="235"/>
      <c r="AE31" s="229"/>
    </row>
    <row r="32" spans="2:31" x14ac:dyDescent="0.2">
      <c r="B32" s="233" t="str">
        <f>Regn2!A38</f>
        <v>16-0</v>
      </c>
      <c r="C32" s="229"/>
      <c r="D32" s="229" t="str">
        <f>IF(ISERROR(VLOOKUP(Regn2!B38,Jordtype,2)),"",IF(F32="","",VLOOKUP(Regn2!B38,Jordtype,2)))</f>
        <v>JB 6</v>
      </c>
      <c r="E32" s="229"/>
      <c r="F32" s="229" t="str">
        <f>IF(OR(ISERROR(VLOOKUP(Regn2!R38,Afgr,2)),VLOOKUP(Regn2!R38,Afgr,2)=0),"",VLOOKUP(Regn2!R38,Afgr,2))</f>
        <v>Vårbyg, foder</v>
      </c>
      <c r="G32" s="229"/>
      <c r="H32" s="229" t="str">
        <f>IF(Regn2!T38&lt;=1,"",VLOOKUP(Regn2!T38,Efgr,2))</f>
        <v>Græs E</v>
      </c>
      <c r="I32" s="229"/>
      <c r="J32" s="229" t="str">
        <f>IF(OR(ISERROR(VLOOKUP(Regn2!X38,Afgr,2)),VLOOKUP(Regn2!X38,Afgr,2)=0),"",VLOOKUP(Regn2!X38,Afgr,2))</f>
        <v>Vårbyg, foder</v>
      </c>
      <c r="K32" s="229"/>
      <c r="L32" s="234">
        <f>IF(Regn2!Z38=0,"",Regn2!Z38)</f>
        <v>0.72</v>
      </c>
      <c r="M32" s="234" t="str">
        <f t="shared" ref="M32:M94" si="12">IF(L32&lt;&gt;"","ha","")</f>
        <v>ha</v>
      </c>
      <c r="N32" s="229"/>
      <c r="O32" s="229">
        <f>IF(Regn2!AM38=0,"",Regn2!AM38)</f>
        <v>33</v>
      </c>
      <c r="P32" s="229" t="str">
        <f>IF(O32="","",Regn2!AO38)</f>
        <v>hkg</v>
      </c>
      <c r="Q32" s="229"/>
      <c r="R32" s="235" t="str">
        <f>IF(F32="","",IF(Regn2!S38=2,"Nedm.",Regn2!BC38))</f>
        <v>Nedm.</v>
      </c>
      <c r="S32" s="229" t="str">
        <f t="shared" ref="S32:S94" si="13">IF(R32="","",IF(R32="Nedmuldet","","kg"))</f>
        <v>kg</v>
      </c>
      <c r="T32" s="229"/>
      <c r="U32" s="235">
        <f>IF(F32="","",Regn2!FR38)</f>
        <v>89.129600000000011</v>
      </c>
      <c r="V32" s="229" t="str">
        <f t="shared" ref="V32:V94" si="14">IF(U32&lt;&gt;"","kg","")</f>
        <v>kg</v>
      </c>
      <c r="W32" s="229"/>
      <c r="X32" s="236">
        <f>IF(F32="","",Regn2!IC38)</f>
        <v>21.159449401152809</v>
      </c>
      <c r="Y32" s="229" t="str">
        <f t="shared" ref="Y32:Y94" si="15">IF(X32&lt;&gt;"","kg","")</f>
        <v>kg</v>
      </c>
      <c r="Z32" s="229"/>
      <c r="AA32" s="235">
        <f>IF(F32="","",Regn2!IE38)</f>
        <v>65</v>
      </c>
      <c r="AB32" s="229" t="str">
        <f t="shared" ref="AB32:AB94" si="16">IF(AA32&lt;&gt;"","%","")</f>
        <v>%</v>
      </c>
      <c r="AC32" s="229"/>
      <c r="AD32" s="235">
        <f>IF(F32="","",Regn2!IF38)</f>
        <v>7.4058072904034828</v>
      </c>
      <c r="AE32" s="229" t="str">
        <f t="shared" ref="AE32:AE94" si="17">IF(AD32&lt;&gt;"","kg","")</f>
        <v>kg</v>
      </c>
    </row>
    <row r="33" spans="2:31" x14ac:dyDescent="0.2">
      <c r="B33" s="233"/>
      <c r="C33" s="229"/>
      <c r="D33" s="229"/>
      <c r="E33" s="229"/>
      <c r="F33" s="229"/>
      <c r="G33" s="229"/>
      <c r="H33" s="229"/>
      <c r="I33" s="229"/>
      <c r="J33" s="229"/>
      <c r="K33" s="229"/>
      <c r="L33" s="234"/>
      <c r="M33" s="234"/>
      <c r="N33" s="229"/>
      <c r="O33" s="229"/>
      <c r="P33" s="229"/>
      <c r="Q33" s="229"/>
      <c r="R33" s="235"/>
      <c r="S33" s="229"/>
      <c r="T33" s="229"/>
      <c r="U33" s="235"/>
      <c r="V33" s="229"/>
      <c r="W33" s="229"/>
      <c r="X33" s="236"/>
      <c r="Y33" s="229"/>
      <c r="Z33" s="229"/>
      <c r="AA33" s="235"/>
      <c r="AB33" s="229"/>
      <c r="AC33" s="229"/>
      <c r="AD33" s="235"/>
      <c r="AE33" s="229"/>
    </row>
    <row r="34" spans="2:31" x14ac:dyDescent="0.2">
      <c r="B34" s="233" t="str">
        <f>Regn2!A40</f>
        <v>18-0</v>
      </c>
      <c r="C34" s="229"/>
      <c r="D34" s="229" t="str">
        <f>IF(ISERROR(VLOOKUP(Regn2!B40,Jordtype,2)),"",IF(F34="","",VLOOKUP(Regn2!B40,Jordtype,2)))</f>
        <v>JB 11</v>
      </c>
      <c r="E34" s="229"/>
      <c r="F34" s="229" t="str">
        <f>IF(OR(ISERROR(VLOOKUP(Regn2!R40,Afgr,2)),VLOOKUP(Regn2!R40,Afgr,2)=0),"",VLOOKUP(Regn2!R40,Afgr,2))</f>
        <v>Permanent græs</v>
      </c>
      <c r="G34" s="229"/>
      <c r="H34" s="229" t="str">
        <f>IF(Regn2!T40&lt;=1,"",VLOOKUP(Regn2!T40,Efgr,2))</f>
        <v/>
      </c>
      <c r="I34" s="229"/>
      <c r="J34" s="229" t="str">
        <f>IF(OR(ISERROR(VLOOKUP(Regn2!X40,Afgr,2)),VLOOKUP(Regn2!X40,Afgr,2)=0),"",VLOOKUP(Regn2!X40,Afgr,2))</f>
        <v>Permanent græs</v>
      </c>
      <c r="K34" s="229"/>
      <c r="L34" s="234">
        <f>IF(Regn2!Z40=0,"",Regn2!Z40)</f>
        <v>5.05</v>
      </c>
      <c r="M34" s="234" t="str">
        <f t="shared" si="12"/>
        <v>ha</v>
      </c>
      <c r="N34" s="229"/>
      <c r="O34" s="229">
        <f>IF(Regn2!AM40=0,"",Regn2!AM40)</f>
        <v>3000</v>
      </c>
      <c r="P34" s="229" t="str">
        <f>IF(O34="","",Regn2!AO40)</f>
        <v>FE</v>
      </c>
      <c r="Q34" s="229"/>
      <c r="R34" s="235">
        <f>IF(F34="","",IF(Regn2!S40=2,"Nedm.",Regn2!BC40))</f>
        <v>0</v>
      </c>
      <c r="S34" s="229" t="str">
        <f t="shared" si="13"/>
        <v>kg</v>
      </c>
      <c r="T34" s="229"/>
      <c r="U34" s="235">
        <f>IF(F34="","",Regn2!FR40)</f>
        <v>-62.951999999999984</v>
      </c>
      <c r="V34" s="229" t="str">
        <f t="shared" si="14"/>
        <v>kg</v>
      </c>
      <c r="W34" s="229"/>
      <c r="X34" s="236">
        <f>IF(F34="","",Regn2!IC40)</f>
        <v>0.82675191399633163</v>
      </c>
      <c r="Y34" s="229" t="str">
        <f t="shared" si="15"/>
        <v>kg</v>
      </c>
      <c r="Z34" s="229"/>
      <c r="AA34" s="235">
        <f>IF(F34="","",Regn2!IE40)</f>
        <v>65</v>
      </c>
      <c r="AB34" s="229" t="str">
        <f t="shared" si="16"/>
        <v>%</v>
      </c>
      <c r="AC34" s="229"/>
      <c r="AD34" s="235">
        <f>IF(F34="","",Regn2!IF40)</f>
        <v>0.28936316989871608</v>
      </c>
      <c r="AE34" s="229" t="str">
        <f t="shared" si="17"/>
        <v>kg</v>
      </c>
    </row>
    <row r="35" spans="2:31" x14ac:dyDescent="0.2">
      <c r="B35" s="233"/>
      <c r="C35" s="229"/>
      <c r="D35" s="229"/>
      <c r="E35" s="229"/>
      <c r="F35" s="229"/>
      <c r="G35" s="229"/>
      <c r="H35" s="229"/>
      <c r="I35" s="229"/>
      <c r="J35" s="229"/>
      <c r="K35" s="229"/>
      <c r="L35" s="234"/>
      <c r="M35" s="234"/>
      <c r="N35" s="229"/>
      <c r="O35" s="229"/>
      <c r="P35" s="229"/>
      <c r="Q35" s="229"/>
      <c r="R35" s="235"/>
      <c r="S35" s="229"/>
      <c r="T35" s="229"/>
      <c r="U35" s="235"/>
      <c r="V35" s="229"/>
      <c r="W35" s="229"/>
      <c r="X35" s="236"/>
      <c r="Y35" s="229"/>
      <c r="Z35" s="229"/>
      <c r="AA35" s="235"/>
      <c r="AB35" s="229"/>
      <c r="AC35" s="229"/>
      <c r="AD35" s="235"/>
      <c r="AE35" s="229"/>
    </row>
    <row r="36" spans="2:31" x14ac:dyDescent="0.2">
      <c r="B36" s="233" t="str">
        <f>Regn2!A42</f>
        <v>18-1</v>
      </c>
      <c r="C36" s="229"/>
      <c r="D36" s="229" t="str">
        <f>IF(ISERROR(VLOOKUP(Regn2!B42,Jordtype,2)),"",IF(F36="","",VLOOKUP(Regn2!B42,Jordtype,2)))</f>
        <v>JB 11</v>
      </c>
      <c r="E36" s="229"/>
      <c r="F36" s="229" t="str">
        <f>IF(OR(ISERROR(VLOOKUP(Regn2!R42,Afgr,2)),VLOOKUP(Regn2!R42,Afgr,2)=0),"",VLOOKUP(Regn2!R42,Afgr,2))</f>
        <v>Permanent græs</v>
      </c>
      <c r="G36" s="229"/>
      <c r="H36" s="229" t="str">
        <f>IF(Regn2!T42&lt;=1,"",VLOOKUP(Regn2!T42,Efgr,2))</f>
        <v/>
      </c>
      <c r="I36" s="229"/>
      <c r="J36" s="229" t="str">
        <f>IF(OR(ISERROR(VLOOKUP(Regn2!X42,Afgr,2)),VLOOKUP(Regn2!X42,Afgr,2)=0),"",VLOOKUP(Regn2!X42,Afgr,2))</f>
        <v>Permanent græs</v>
      </c>
      <c r="K36" s="229"/>
      <c r="L36" s="234">
        <f>IF(Regn2!Z42=0,"",Regn2!Z42)</f>
        <v>2.38</v>
      </c>
      <c r="M36" s="234" t="str">
        <f t="shared" si="12"/>
        <v>ha</v>
      </c>
      <c r="N36" s="229"/>
      <c r="O36" s="229">
        <f>IF(Regn2!AM42=0,"",Regn2!AM42)</f>
        <v>3000</v>
      </c>
      <c r="P36" s="229" t="str">
        <f>IF(O36="","",Regn2!AO42)</f>
        <v>FE</v>
      </c>
      <c r="Q36" s="229"/>
      <c r="R36" s="235">
        <f>IF(F36="","",IF(Regn2!S42=2,"Nedm.",Regn2!BC42))</f>
        <v>0</v>
      </c>
      <c r="S36" s="229" t="str">
        <f t="shared" si="13"/>
        <v>kg</v>
      </c>
      <c r="T36" s="229"/>
      <c r="U36" s="235">
        <f>IF(F36="","",Regn2!FR42)</f>
        <v>-62.951999999999984</v>
      </c>
      <c r="V36" s="229" t="str">
        <f t="shared" si="14"/>
        <v>kg</v>
      </c>
      <c r="W36" s="229"/>
      <c r="X36" s="236">
        <f>IF(F36="","",Regn2!IC42)</f>
        <v>0.82675191399633163</v>
      </c>
      <c r="Y36" s="229" t="str">
        <f t="shared" si="15"/>
        <v>kg</v>
      </c>
      <c r="Z36" s="229"/>
      <c r="AA36" s="235">
        <f>IF(F36="","",Regn2!IE42)</f>
        <v>65</v>
      </c>
      <c r="AB36" s="229" t="str">
        <f t="shared" si="16"/>
        <v>%</v>
      </c>
      <c r="AC36" s="229"/>
      <c r="AD36" s="235">
        <f>IF(F36="","",Regn2!IF42)</f>
        <v>0.28936316989871608</v>
      </c>
      <c r="AE36" s="229" t="str">
        <f t="shared" si="17"/>
        <v>kg</v>
      </c>
    </row>
    <row r="37" spans="2:31" x14ac:dyDescent="0.2">
      <c r="B37" s="233"/>
      <c r="C37" s="229"/>
      <c r="D37" s="229"/>
      <c r="E37" s="229"/>
      <c r="F37" s="229"/>
      <c r="G37" s="229"/>
      <c r="H37" s="229"/>
      <c r="I37" s="229"/>
      <c r="J37" s="229"/>
      <c r="K37" s="229"/>
      <c r="L37" s="234"/>
      <c r="M37" s="234"/>
      <c r="N37" s="229"/>
      <c r="O37" s="229"/>
      <c r="P37" s="229"/>
      <c r="Q37" s="229"/>
      <c r="R37" s="235"/>
      <c r="S37" s="229"/>
      <c r="T37" s="229"/>
      <c r="U37" s="235"/>
      <c r="V37" s="229"/>
      <c r="W37" s="229"/>
      <c r="X37" s="236"/>
      <c r="Y37" s="229"/>
      <c r="Z37" s="229"/>
      <c r="AA37" s="235"/>
      <c r="AB37" s="229"/>
      <c r="AC37" s="229"/>
      <c r="AD37" s="235"/>
      <c r="AE37" s="229"/>
    </row>
    <row r="38" spans="2:31" x14ac:dyDescent="0.2">
      <c r="B38" s="233" t="str">
        <f>Regn2!A44</f>
        <v>19-0</v>
      </c>
      <c r="C38" s="229"/>
      <c r="D38" s="229" t="str">
        <f>IF(ISERROR(VLOOKUP(Regn2!B44,Jordtype,2)),"",IF(F38="","",VLOOKUP(Regn2!B44,Jordtype,2)))</f>
        <v>JB 11</v>
      </c>
      <c r="E38" s="229"/>
      <c r="F38" s="229" t="str">
        <f>IF(OR(ISERROR(VLOOKUP(Regn2!R44,Afgr,2)),VLOOKUP(Regn2!R44,Afgr,2)=0),"",VLOOKUP(Regn2!R44,Afgr,2))</f>
        <v>Permanent græs</v>
      </c>
      <c r="G38" s="229"/>
      <c r="H38" s="229" t="str">
        <f>IF(Regn2!T44&lt;=1,"",VLOOKUP(Regn2!T44,Efgr,2))</f>
        <v/>
      </c>
      <c r="I38" s="229"/>
      <c r="J38" s="229" t="str">
        <f>IF(OR(ISERROR(VLOOKUP(Regn2!X44,Afgr,2)),VLOOKUP(Regn2!X44,Afgr,2)=0),"",VLOOKUP(Regn2!X44,Afgr,2))</f>
        <v>Permanent græs</v>
      </c>
      <c r="K38" s="229"/>
      <c r="L38" s="234">
        <f>IF(Regn2!Z44=0,"",Regn2!Z44)</f>
        <v>1.1100000000000001</v>
      </c>
      <c r="M38" s="234" t="str">
        <f t="shared" si="12"/>
        <v>ha</v>
      </c>
      <c r="N38" s="229"/>
      <c r="O38" s="229">
        <f>IF(Regn2!AM44=0,"",Regn2!AM44)</f>
        <v>3000</v>
      </c>
      <c r="P38" s="229" t="str">
        <f>IF(O38="","",Regn2!AO44)</f>
        <v>FE</v>
      </c>
      <c r="Q38" s="229"/>
      <c r="R38" s="235">
        <f>IF(F38="","",IF(Regn2!S44=2,"Nedm.",Regn2!BC44))</f>
        <v>0</v>
      </c>
      <c r="S38" s="229" t="str">
        <f t="shared" si="13"/>
        <v>kg</v>
      </c>
      <c r="T38" s="229"/>
      <c r="U38" s="235">
        <f>IF(F38="","",Regn2!FR44)</f>
        <v>-62.951999999999984</v>
      </c>
      <c r="V38" s="229" t="str">
        <f t="shared" si="14"/>
        <v>kg</v>
      </c>
      <c r="W38" s="229"/>
      <c r="X38" s="236">
        <f>IF(F38="","",Regn2!IC44)</f>
        <v>0.82675191399633163</v>
      </c>
      <c r="Y38" s="229" t="str">
        <f t="shared" si="15"/>
        <v>kg</v>
      </c>
      <c r="Z38" s="229"/>
      <c r="AA38" s="235">
        <f>IF(F38="","",Regn2!IE44)</f>
        <v>65</v>
      </c>
      <c r="AB38" s="229" t="str">
        <f t="shared" si="16"/>
        <v>%</v>
      </c>
      <c r="AC38" s="229"/>
      <c r="AD38" s="235">
        <f>IF(F38="","",Regn2!IF44)</f>
        <v>0.28936316989871608</v>
      </c>
      <c r="AE38" s="229" t="str">
        <f t="shared" si="17"/>
        <v>kg</v>
      </c>
    </row>
    <row r="39" spans="2:31" x14ac:dyDescent="0.2">
      <c r="B39" s="233"/>
      <c r="C39" s="229"/>
      <c r="D39" s="229"/>
      <c r="E39" s="229"/>
      <c r="F39" s="229"/>
      <c r="G39" s="229"/>
      <c r="H39" s="229"/>
      <c r="I39" s="229"/>
      <c r="J39" s="229"/>
      <c r="K39" s="229"/>
      <c r="L39" s="234"/>
      <c r="M39" s="234"/>
      <c r="N39" s="229"/>
      <c r="O39" s="229"/>
      <c r="P39" s="229"/>
      <c r="Q39" s="229"/>
      <c r="R39" s="235"/>
      <c r="S39" s="229"/>
      <c r="T39" s="229"/>
      <c r="U39" s="235"/>
      <c r="V39" s="229"/>
      <c r="W39" s="229"/>
      <c r="X39" s="236"/>
      <c r="Y39" s="229"/>
      <c r="Z39" s="229"/>
      <c r="AA39" s="235"/>
      <c r="AB39" s="229"/>
      <c r="AC39" s="229"/>
      <c r="AD39" s="235"/>
      <c r="AE39" s="229"/>
    </row>
    <row r="40" spans="2:31" x14ac:dyDescent="0.2">
      <c r="B40" s="233" t="str">
        <f>Regn2!A46</f>
        <v>20-0</v>
      </c>
      <c r="C40" s="229"/>
      <c r="D40" s="229" t="str">
        <f>IF(ISERROR(VLOOKUP(Regn2!B46,Jordtype,2)),"",IF(F40="","",VLOOKUP(Regn2!B46,Jordtype,2)))</f>
        <v>JB 11</v>
      </c>
      <c r="E40" s="229"/>
      <c r="F40" s="229" t="str">
        <f>IF(OR(ISERROR(VLOOKUP(Regn2!R46,Afgr,2)),VLOOKUP(Regn2!R46,Afgr,2)=0),"",VLOOKUP(Regn2!R46,Afgr,2))</f>
        <v>Vinterhvede</v>
      </c>
      <c r="G40" s="229"/>
      <c r="H40" s="229" t="str">
        <f>IF(Regn2!T46&lt;=1,"",VLOOKUP(Regn2!T46,Efgr,2))</f>
        <v/>
      </c>
      <c r="I40" s="229"/>
      <c r="J40" s="229" t="str">
        <f>IF(OR(ISERROR(VLOOKUP(Regn2!X46,Afgr,2)),VLOOKUP(Regn2!X46,Afgr,2)=0),"",VLOOKUP(Regn2!X46,Afgr,2))</f>
        <v>Vinterhvede</v>
      </c>
      <c r="K40" s="229"/>
      <c r="L40" s="234">
        <f>IF(Regn2!Z46=0,"",Regn2!Z46)</f>
        <v>3.21</v>
      </c>
      <c r="M40" s="234" t="str">
        <f t="shared" si="12"/>
        <v>ha</v>
      </c>
      <c r="N40" s="229"/>
      <c r="O40" s="229">
        <f>IF(Regn2!AM46=0,"",Regn2!AM46)</f>
        <v>62</v>
      </c>
      <c r="P40" s="229" t="str">
        <f>IF(O40="","",Regn2!AO46)</f>
        <v>hkg</v>
      </c>
      <c r="Q40" s="229"/>
      <c r="R40" s="235">
        <f>IF(F40="","",IF(Regn2!S46=2,"Nedm.",Regn2!BC46))</f>
        <v>3444.4444444444443</v>
      </c>
      <c r="S40" s="229" t="str">
        <f t="shared" si="13"/>
        <v>kg</v>
      </c>
      <c r="T40" s="229"/>
      <c r="U40" s="235">
        <f>IF(F40="","",Regn2!FR46)</f>
        <v>114.90887719516863</v>
      </c>
      <c r="V40" s="229" t="str">
        <f t="shared" si="14"/>
        <v>kg</v>
      </c>
      <c r="W40" s="229"/>
      <c r="X40" s="236">
        <f>IF(F40="","",Regn2!IC46)</f>
        <v>5.5449150703654144</v>
      </c>
      <c r="Y40" s="229" t="str">
        <f t="shared" si="15"/>
        <v>kg</v>
      </c>
      <c r="Z40" s="229"/>
      <c r="AA40" s="235">
        <f>IF(F40="","",Regn2!IE46)</f>
        <v>65</v>
      </c>
      <c r="AB40" s="229" t="str">
        <f t="shared" si="16"/>
        <v>%</v>
      </c>
      <c r="AC40" s="229"/>
      <c r="AD40" s="235">
        <f>IF(F40="","",Regn2!IF46)</f>
        <v>1.9407202746278949</v>
      </c>
      <c r="AE40" s="229" t="str">
        <f t="shared" si="17"/>
        <v>kg</v>
      </c>
    </row>
    <row r="41" spans="2:31" x14ac:dyDescent="0.2">
      <c r="B41" s="233"/>
      <c r="C41" s="229"/>
      <c r="D41" s="229"/>
      <c r="E41" s="229"/>
      <c r="F41" s="229"/>
      <c r="G41" s="229"/>
      <c r="H41" s="229"/>
      <c r="I41" s="229"/>
      <c r="J41" s="229"/>
      <c r="K41" s="229"/>
      <c r="L41" s="234"/>
      <c r="M41" s="234"/>
      <c r="N41" s="229"/>
      <c r="O41" s="229"/>
      <c r="P41" s="229"/>
      <c r="Q41" s="229"/>
      <c r="R41" s="235"/>
      <c r="S41" s="229"/>
      <c r="T41" s="229"/>
      <c r="U41" s="235"/>
      <c r="V41" s="229"/>
      <c r="W41" s="229"/>
      <c r="X41" s="236"/>
      <c r="Y41" s="229"/>
      <c r="Z41" s="229"/>
      <c r="AA41" s="235"/>
      <c r="AB41" s="229"/>
      <c r="AC41" s="229"/>
      <c r="AD41" s="235"/>
      <c r="AE41" s="229"/>
    </row>
    <row r="42" spans="2:31" x14ac:dyDescent="0.2">
      <c r="B42" s="233" t="str">
        <f>Regn2!A48</f>
        <v>21-0</v>
      </c>
      <c r="C42" s="229"/>
      <c r="D42" s="229" t="str">
        <f>IF(ISERROR(VLOOKUP(Regn2!B48,Jordtype,2)),"",IF(F42="","",VLOOKUP(Regn2!B48,Jordtype,2)))</f>
        <v>JB 11</v>
      </c>
      <c r="E42" s="229"/>
      <c r="F42" s="229" t="str">
        <f>IF(OR(ISERROR(VLOOKUP(Regn2!R48,Afgr,2)),VLOOKUP(Regn2!R48,Afgr,2)=0),"",VLOOKUP(Regn2!R48,Afgr,2))</f>
        <v>Kløvergræs, 4 slæt</v>
      </c>
      <c r="G42" s="229"/>
      <c r="H42" s="229" t="str">
        <f>IF(Regn2!T48&lt;=1,"",VLOOKUP(Regn2!T48,Efgr,2))</f>
        <v/>
      </c>
      <c r="I42" s="229"/>
      <c r="J42" s="229" t="str">
        <f>IF(OR(ISERROR(VLOOKUP(Regn2!X48,Afgr,2)),VLOOKUP(Regn2!X48,Afgr,2)=0),"",VLOOKUP(Regn2!X48,Afgr,2))</f>
        <v>Kløvergræs, 4 slæt</v>
      </c>
      <c r="K42" s="229"/>
      <c r="L42" s="234">
        <f>IF(Regn2!Z48=0,"",Regn2!Z48)</f>
        <v>1.7</v>
      </c>
      <c r="M42" s="234" t="str">
        <f t="shared" si="12"/>
        <v>ha</v>
      </c>
      <c r="N42" s="229"/>
      <c r="O42" s="229">
        <f>IF(Regn2!AM48=0,"",Regn2!AM48)</f>
        <v>7100</v>
      </c>
      <c r="P42" s="229" t="str">
        <f>IF(O42="","",Regn2!AO48)</f>
        <v>FE</v>
      </c>
      <c r="Q42" s="229"/>
      <c r="R42" s="235">
        <f>IF(F42="","",IF(Regn2!S48=2,"Nedm.",Regn2!BC48))</f>
        <v>0</v>
      </c>
      <c r="S42" s="229" t="str">
        <f t="shared" si="13"/>
        <v>kg</v>
      </c>
      <c r="T42" s="229"/>
      <c r="U42" s="235">
        <f>IF(F42="","",Regn2!FR48)</f>
        <v>-20.102399999999989</v>
      </c>
      <c r="V42" s="229" t="str">
        <f t="shared" si="14"/>
        <v>kg</v>
      </c>
      <c r="W42" s="229"/>
      <c r="X42" s="236">
        <f>IF(F42="","",Regn2!IC48)</f>
        <v>1.6270642816768945</v>
      </c>
      <c r="Y42" s="229" t="str">
        <f t="shared" si="15"/>
        <v>kg</v>
      </c>
      <c r="Z42" s="229"/>
      <c r="AA42" s="235">
        <f>IF(F42="","",Regn2!IE48)</f>
        <v>65</v>
      </c>
      <c r="AB42" s="229" t="str">
        <f t="shared" si="16"/>
        <v>%</v>
      </c>
      <c r="AC42" s="229"/>
      <c r="AD42" s="235">
        <f>IF(F42="","",Regn2!IF48)</f>
        <v>0.56947249858691307</v>
      </c>
      <c r="AE42" s="229" t="str">
        <f t="shared" si="17"/>
        <v>kg</v>
      </c>
    </row>
    <row r="43" spans="2:31" x14ac:dyDescent="0.2">
      <c r="B43" s="233"/>
      <c r="C43" s="229"/>
      <c r="D43" s="229"/>
      <c r="E43" s="229"/>
      <c r="F43" s="229"/>
      <c r="G43" s="229"/>
      <c r="H43" s="229"/>
      <c r="I43" s="229"/>
      <c r="J43" s="229"/>
      <c r="K43" s="229"/>
      <c r="L43" s="234"/>
      <c r="M43" s="234"/>
      <c r="N43" s="229"/>
      <c r="O43" s="229"/>
      <c r="P43" s="229"/>
      <c r="Q43" s="229"/>
      <c r="R43" s="235"/>
      <c r="S43" s="229"/>
      <c r="T43" s="229"/>
      <c r="U43" s="235"/>
      <c r="V43" s="229"/>
      <c r="W43" s="229"/>
      <c r="X43" s="236"/>
      <c r="Y43" s="229"/>
      <c r="Z43" s="229"/>
      <c r="AA43" s="235"/>
      <c r="AB43" s="229"/>
      <c r="AC43" s="229"/>
      <c r="AD43" s="235"/>
      <c r="AE43" s="229"/>
    </row>
    <row r="44" spans="2:31" x14ac:dyDescent="0.2">
      <c r="B44" s="233" t="str">
        <f>Regn2!A50</f>
        <v>21-1</v>
      </c>
      <c r="C44" s="229"/>
      <c r="D44" s="229" t="str">
        <f>IF(ISERROR(VLOOKUP(Regn2!B50,Jordtype,2)),"",IF(F44="","",VLOOKUP(Regn2!B50,Jordtype,2)))</f>
        <v>JB 11</v>
      </c>
      <c r="E44" s="229"/>
      <c r="F44" s="229" t="str">
        <f>IF(OR(ISERROR(VLOOKUP(Regn2!R50,Afgr,2)),VLOOKUP(Regn2!R50,Afgr,2)=0),"",VLOOKUP(Regn2!R50,Afgr,2))</f>
        <v>Permanent græs (0N)</v>
      </c>
      <c r="G44" s="229"/>
      <c r="H44" s="229" t="str">
        <f>IF(Regn2!T50&lt;=1,"",VLOOKUP(Regn2!T50,Efgr,2))</f>
        <v/>
      </c>
      <c r="I44" s="229"/>
      <c r="J44" s="229" t="str">
        <f>IF(OR(ISERROR(VLOOKUP(Regn2!X50,Afgr,2)),VLOOKUP(Regn2!X50,Afgr,2)=0),"",VLOOKUP(Regn2!X50,Afgr,2))</f>
        <v>Permanent græs (0N)</v>
      </c>
      <c r="K44" s="229"/>
      <c r="L44" s="234">
        <f>IF(Regn2!Z50=0,"",Regn2!Z50)</f>
        <v>0.4</v>
      </c>
      <c r="M44" s="234" t="str">
        <f t="shared" si="12"/>
        <v>ha</v>
      </c>
      <c r="N44" s="229"/>
      <c r="O44" s="229" t="str">
        <f>IF(Regn2!AM50=0,"",Regn2!AM50)</f>
        <v/>
      </c>
      <c r="P44" s="229" t="str">
        <f>IF(O44="","",Regn2!AO50)</f>
        <v/>
      </c>
      <c r="Q44" s="229"/>
      <c r="R44" s="235">
        <f>IF(F44="","",IF(Regn2!S50=2,"Nedm.",Regn2!BC50))</f>
        <v>0</v>
      </c>
      <c r="S44" s="229" t="str">
        <f t="shared" si="13"/>
        <v>kg</v>
      </c>
      <c r="T44" s="229"/>
      <c r="U44" s="235">
        <f>IF(F44="","",Regn2!FR50)</f>
        <v>15</v>
      </c>
      <c r="V44" s="229" t="str">
        <f t="shared" si="14"/>
        <v>kg</v>
      </c>
      <c r="W44" s="229"/>
      <c r="X44" s="236">
        <f>IF(F44="","",Regn2!IC50)</f>
        <v>0.98528093203909473</v>
      </c>
      <c r="Y44" s="229" t="str">
        <f t="shared" si="15"/>
        <v>kg</v>
      </c>
      <c r="Z44" s="229"/>
      <c r="AA44" s="235">
        <f>IF(F44="","",Regn2!IE50)</f>
        <v>65</v>
      </c>
      <c r="AB44" s="229" t="str">
        <f t="shared" si="16"/>
        <v>%</v>
      </c>
      <c r="AC44" s="229"/>
      <c r="AD44" s="235">
        <f>IF(F44="","",Regn2!IF50)</f>
        <v>0.34484832621368311</v>
      </c>
      <c r="AE44" s="229" t="str">
        <f t="shared" si="17"/>
        <v>kg</v>
      </c>
    </row>
    <row r="45" spans="2:31" x14ac:dyDescent="0.2">
      <c r="B45" s="233"/>
      <c r="C45" s="229"/>
      <c r="D45" s="229"/>
      <c r="E45" s="229"/>
      <c r="F45" s="229"/>
      <c r="G45" s="229"/>
      <c r="H45" s="229"/>
      <c r="I45" s="229"/>
      <c r="J45" s="229"/>
      <c r="K45" s="229"/>
      <c r="L45" s="234"/>
      <c r="M45" s="234"/>
      <c r="N45" s="229"/>
      <c r="O45" s="229"/>
      <c r="P45" s="229"/>
      <c r="Q45" s="229"/>
      <c r="R45" s="235"/>
      <c r="S45" s="229"/>
      <c r="T45" s="229"/>
      <c r="U45" s="235"/>
      <c r="V45" s="229"/>
      <c r="W45" s="229"/>
      <c r="X45" s="236"/>
      <c r="Y45" s="229"/>
      <c r="Z45" s="229"/>
      <c r="AA45" s="235"/>
      <c r="AB45" s="229"/>
      <c r="AC45" s="229"/>
      <c r="AD45" s="235"/>
      <c r="AE45" s="229"/>
    </row>
    <row r="46" spans="2:31" x14ac:dyDescent="0.2">
      <c r="B46" s="233" t="str">
        <f>Regn2!A52</f>
        <v>21-2</v>
      </c>
      <c r="C46" s="229"/>
      <c r="D46" s="229" t="str">
        <f>IF(ISERROR(VLOOKUP(Regn2!B52,Jordtype,2)),"",IF(F46="","",VLOOKUP(Regn2!B52,Jordtype,2)))</f>
        <v>JB 11</v>
      </c>
      <c r="E46" s="229"/>
      <c r="F46" s="229" t="str">
        <f>IF(OR(ISERROR(VLOOKUP(Regn2!R52,Afgr,2)),VLOOKUP(Regn2!R52,Afgr,2)=0),"",VLOOKUP(Regn2!R52,Afgr,2))</f>
        <v>Vinterhvede</v>
      </c>
      <c r="G46" s="229"/>
      <c r="H46" s="229" t="str">
        <f>IF(Regn2!T52&lt;=1,"",VLOOKUP(Regn2!T52,Efgr,2))</f>
        <v/>
      </c>
      <c r="I46" s="229"/>
      <c r="J46" s="229" t="str">
        <f>IF(OR(ISERROR(VLOOKUP(Regn2!X52,Afgr,2)),VLOOKUP(Regn2!X52,Afgr,2)=0),"",VLOOKUP(Regn2!X52,Afgr,2))</f>
        <v>Vinterhvede</v>
      </c>
      <c r="K46" s="229"/>
      <c r="L46" s="234">
        <f>IF(Regn2!Z52=0,"",Regn2!Z52)</f>
        <v>3.13</v>
      </c>
      <c r="M46" s="234" t="str">
        <f t="shared" si="12"/>
        <v>ha</v>
      </c>
      <c r="N46" s="229"/>
      <c r="O46" s="229">
        <f>IF(Regn2!AM52=0,"",Regn2!AM52)</f>
        <v>69</v>
      </c>
      <c r="P46" s="229" t="str">
        <f>IF(O46="","",Regn2!AO52)</f>
        <v>hkg</v>
      </c>
      <c r="Q46" s="229"/>
      <c r="R46" s="235">
        <f>IF(F46="","",IF(Regn2!S52=2,"Nedm.",Regn2!BC52))</f>
        <v>3833.3333333333335</v>
      </c>
      <c r="S46" s="229" t="str">
        <f t="shared" si="13"/>
        <v>kg</v>
      </c>
      <c r="T46" s="229"/>
      <c r="U46" s="235">
        <f>IF(F46="","",Regn2!FR52)</f>
        <v>103.86802896868338</v>
      </c>
      <c r="V46" s="229" t="str">
        <f t="shared" si="14"/>
        <v>kg</v>
      </c>
      <c r="W46" s="229"/>
      <c r="X46" s="236">
        <f>IF(F46="","",Regn2!IC52)</f>
        <v>5.4318198137054887</v>
      </c>
      <c r="Y46" s="229" t="str">
        <f t="shared" si="15"/>
        <v>kg</v>
      </c>
      <c r="Z46" s="229"/>
      <c r="AA46" s="235">
        <f>IF(F46="","",Regn2!IE52)</f>
        <v>65</v>
      </c>
      <c r="AB46" s="229" t="str">
        <f t="shared" si="16"/>
        <v>%</v>
      </c>
      <c r="AC46" s="229"/>
      <c r="AD46" s="235">
        <f>IF(F46="","",Regn2!IF52)</f>
        <v>1.9011369347969211</v>
      </c>
      <c r="AE46" s="229" t="str">
        <f t="shared" si="17"/>
        <v>kg</v>
      </c>
    </row>
    <row r="47" spans="2:31" x14ac:dyDescent="0.2">
      <c r="B47" s="233"/>
      <c r="C47" s="229"/>
      <c r="D47" s="229"/>
      <c r="E47" s="229"/>
      <c r="F47" s="229"/>
      <c r="G47" s="229"/>
      <c r="H47" s="229"/>
      <c r="I47" s="229"/>
      <c r="J47" s="229"/>
      <c r="K47" s="229"/>
      <c r="L47" s="234"/>
      <c r="M47" s="234"/>
      <c r="N47" s="229"/>
      <c r="O47" s="229"/>
      <c r="P47" s="229"/>
      <c r="Q47" s="229"/>
      <c r="R47" s="235"/>
      <c r="S47" s="229"/>
      <c r="T47" s="229"/>
      <c r="U47" s="235"/>
      <c r="V47" s="229"/>
      <c r="W47" s="229"/>
      <c r="X47" s="236"/>
      <c r="Y47" s="229"/>
      <c r="Z47" s="229"/>
      <c r="AA47" s="235"/>
      <c r="AB47" s="229"/>
      <c r="AC47" s="229"/>
      <c r="AD47" s="235"/>
      <c r="AE47" s="229"/>
    </row>
    <row r="48" spans="2:31" x14ac:dyDescent="0.2">
      <c r="B48" s="233" t="str">
        <f>Regn2!A54</f>
        <v>22-0</v>
      </c>
      <c r="C48" s="229"/>
      <c r="D48" s="229" t="str">
        <f>IF(ISERROR(VLOOKUP(Regn2!B54,Jordtype,2)),"",IF(F48="","",VLOOKUP(Regn2!B54,Jordtype,2)))</f>
        <v>JB 11</v>
      </c>
      <c r="E48" s="229"/>
      <c r="F48" s="229" t="str">
        <f>IF(OR(ISERROR(VLOOKUP(Regn2!R54,Afgr,2)),VLOOKUP(Regn2!R54,Afgr,2)=0),"",VLOOKUP(Regn2!R54,Afgr,2))</f>
        <v>Permanent græs</v>
      </c>
      <c r="G48" s="229"/>
      <c r="H48" s="229" t="str">
        <f>IF(Regn2!T54&lt;=1,"",VLOOKUP(Regn2!T54,Efgr,2))</f>
        <v/>
      </c>
      <c r="I48" s="229"/>
      <c r="J48" s="229" t="str">
        <f>IF(OR(ISERROR(VLOOKUP(Regn2!X54,Afgr,2)),VLOOKUP(Regn2!X54,Afgr,2)=0),"",VLOOKUP(Regn2!X54,Afgr,2))</f>
        <v>Permanent græs</v>
      </c>
      <c r="K48" s="229"/>
      <c r="L48" s="234">
        <f>IF(Regn2!Z54=0,"",Regn2!Z54)</f>
        <v>1.48</v>
      </c>
      <c r="M48" s="234" t="str">
        <f t="shared" si="12"/>
        <v>ha</v>
      </c>
      <c r="N48" s="229"/>
      <c r="O48" s="229">
        <f>IF(Regn2!AM54=0,"",Regn2!AM54)</f>
        <v>3000</v>
      </c>
      <c r="P48" s="229" t="str">
        <f>IF(O48="","",Regn2!AO54)</f>
        <v>FE</v>
      </c>
      <c r="Q48" s="229"/>
      <c r="R48" s="235">
        <f>IF(F48="","",IF(Regn2!S54=2,"Nedm.",Regn2!BC54))</f>
        <v>0</v>
      </c>
      <c r="S48" s="229" t="str">
        <f t="shared" si="13"/>
        <v>kg</v>
      </c>
      <c r="T48" s="229"/>
      <c r="U48" s="235">
        <f>IF(F48="","",Regn2!FR54)</f>
        <v>-62.951999999999984</v>
      </c>
      <c r="V48" s="229" t="str">
        <f t="shared" si="14"/>
        <v>kg</v>
      </c>
      <c r="W48" s="229"/>
      <c r="X48" s="236">
        <f>IF(F48="","",Regn2!IC54)</f>
        <v>0.82675191399633163</v>
      </c>
      <c r="Y48" s="229" t="str">
        <f t="shared" si="15"/>
        <v>kg</v>
      </c>
      <c r="Z48" s="229"/>
      <c r="AA48" s="235">
        <f>IF(F48="","",Regn2!IE54)</f>
        <v>65</v>
      </c>
      <c r="AB48" s="229" t="str">
        <f t="shared" si="16"/>
        <v>%</v>
      </c>
      <c r="AC48" s="229"/>
      <c r="AD48" s="235">
        <f>IF(F48="","",Regn2!IF54)</f>
        <v>0.28936316989871608</v>
      </c>
      <c r="AE48" s="229" t="str">
        <f t="shared" si="17"/>
        <v>kg</v>
      </c>
    </row>
    <row r="49" spans="2:31" x14ac:dyDescent="0.2">
      <c r="B49" s="233"/>
      <c r="C49" s="229"/>
      <c r="D49" s="229"/>
      <c r="E49" s="229"/>
      <c r="F49" s="229"/>
      <c r="G49" s="229"/>
      <c r="H49" s="229"/>
      <c r="I49" s="229"/>
      <c r="J49" s="229"/>
      <c r="K49" s="229"/>
      <c r="L49" s="234"/>
      <c r="M49" s="234"/>
      <c r="N49" s="229"/>
      <c r="O49" s="229"/>
      <c r="P49" s="229"/>
      <c r="Q49" s="229"/>
      <c r="R49" s="235"/>
      <c r="S49" s="229"/>
      <c r="T49" s="229"/>
      <c r="U49" s="235"/>
      <c r="V49" s="229"/>
      <c r="W49" s="229"/>
      <c r="X49" s="236"/>
      <c r="Y49" s="229"/>
      <c r="Z49" s="229"/>
      <c r="AA49" s="235"/>
      <c r="AB49" s="229"/>
      <c r="AC49" s="229"/>
      <c r="AD49" s="235"/>
      <c r="AE49" s="229"/>
    </row>
    <row r="50" spans="2:31" x14ac:dyDescent="0.2">
      <c r="B50" s="233" t="str">
        <f>Regn2!A56</f>
        <v>22-1</v>
      </c>
      <c r="C50" s="229"/>
      <c r="D50" s="229" t="str">
        <f>IF(ISERROR(VLOOKUP(Regn2!B56,Jordtype,2)),"",IF(F50="","",VLOOKUP(Regn2!B56,Jordtype,2)))</f>
        <v>JB 11</v>
      </c>
      <c r="E50" s="229"/>
      <c r="F50" s="229" t="str">
        <f>IF(OR(ISERROR(VLOOKUP(Regn2!R56,Afgr,2)),VLOOKUP(Regn2!R56,Afgr,2)=0),"",VLOOKUP(Regn2!R56,Afgr,2))</f>
        <v>Permanent græs</v>
      </c>
      <c r="G50" s="229"/>
      <c r="H50" s="229" t="str">
        <f>IF(Regn2!T56&lt;=1,"",VLOOKUP(Regn2!T56,Efgr,2))</f>
        <v/>
      </c>
      <c r="I50" s="229"/>
      <c r="J50" s="229" t="str">
        <f>IF(OR(ISERROR(VLOOKUP(Regn2!X56,Afgr,2)),VLOOKUP(Regn2!X56,Afgr,2)=0),"",VLOOKUP(Regn2!X56,Afgr,2))</f>
        <v>Permanent græs</v>
      </c>
      <c r="K50" s="229"/>
      <c r="L50" s="234">
        <f>IF(Regn2!Z56=0,"",Regn2!Z56)</f>
        <v>1.97</v>
      </c>
      <c r="M50" s="234" t="str">
        <f t="shared" si="12"/>
        <v>ha</v>
      </c>
      <c r="N50" s="229"/>
      <c r="O50" s="229">
        <f>IF(Regn2!AM56=0,"",Regn2!AM56)</f>
        <v>3000</v>
      </c>
      <c r="P50" s="229" t="str">
        <f>IF(O50="","",Regn2!AO56)</f>
        <v>FE</v>
      </c>
      <c r="Q50" s="229"/>
      <c r="R50" s="235">
        <f>IF(F50="","",IF(Regn2!S56=2,"Nedm.",Regn2!BC56))</f>
        <v>0</v>
      </c>
      <c r="S50" s="229" t="str">
        <f t="shared" si="13"/>
        <v>kg</v>
      </c>
      <c r="T50" s="229"/>
      <c r="U50" s="235">
        <f>IF(F50="","",Regn2!FR56)</f>
        <v>-62.951999999999984</v>
      </c>
      <c r="V50" s="229" t="str">
        <f t="shared" si="14"/>
        <v>kg</v>
      </c>
      <c r="W50" s="229"/>
      <c r="X50" s="236">
        <f>IF(F50="","",Regn2!IC56)</f>
        <v>0.82675191399633163</v>
      </c>
      <c r="Y50" s="229" t="str">
        <f t="shared" si="15"/>
        <v>kg</v>
      </c>
      <c r="Z50" s="229"/>
      <c r="AA50" s="235">
        <f>IF(F50="","",Regn2!IE56)</f>
        <v>65</v>
      </c>
      <c r="AB50" s="229" t="str">
        <f t="shared" si="16"/>
        <v>%</v>
      </c>
      <c r="AC50" s="229"/>
      <c r="AD50" s="235">
        <f>IF(F50="","",Regn2!IF56)</f>
        <v>0.28936316989871608</v>
      </c>
      <c r="AE50" s="229" t="str">
        <f t="shared" si="17"/>
        <v>kg</v>
      </c>
    </row>
    <row r="51" spans="2:31" x14ac:dyDescent="0.2">
      <c r="B51" s="233"/>
      <c r="C51" s="229"/>
      <c r="D51" s="229"/>
      <c r="E51" s="229"/>
      <c r="F51" s="229"/>
      <c r="G51" s="229"/>
      <c r="H51" s="229"/>
      <c r="I51" s="229"/>
      <c r="J51" s="229"/>
      <c r="K51" s="229"/>
      <c r="L51" s="234"/>
      <c r="M51" s="234"/>
      <c r="N51" s="229"/>
      <c r="O51" s="229"/>
      <c r="P51" s="229"/>
      <c r="Q51" s="229"/>
      <c r="R51" s="235"/>
      <c r="S51" s="229"/>
      <c r="T51" s="229"/>
      <c r="U51" s="235"/>
      <c r="V51" s="229"/>
      <c r="W51" s="229"/>
      <c r="X51" s="236"/>
      <c r="Y51" s="229"/>
      <c r="Z51" s="229"/>
      <c r="AA51" s="235"/>
      <c r="AB51" s="229"/>
      <c r="AC51" s="229"/>
      <c r="AD51" s="235"/>
      <c r="AE51" s="229"/>
    </row>
    <row r="52" spans="2:31" x14ac:dyDescent="0.2">
      <c r="B52" s="233" t="str">
        <f>Regn2!A58</f>
        <v>22-2</v>
      </c>
      <c r="C52" s="229"/>
      <c r="D52" s="229" t="str">
        <f>IF(ISERROR(VLOOKUP(Regn2!B58,Jordtype,2)),"",IF(F52="","",VLOOKUP(Regn2!B58,Jordtype,2)))</f>
        <v>JB 11</v>
      </c>
      <c r="E52" s="229"/>
      <c r="F52" s="229" t="str">
        <f>IF(OR(ISERROR(VLOOKUP(Regn2!R58,Afgr,2)),VLOOKUP(Regn2!R58,Afgr,2)=0),"",VLOOKUP(Regn2!R58,Afgr,2))</f>
        <v>Permanent græs</v>
      </c>
      <c r="G52" s="229"/>
      <c r="H52" s="229" t="str">
        <f>IF(Regn2!T58&lt;=1,"",VLOOKUP(Regn2!T58,Efgr,2))</f>
        <v/>
      </c>
      <c r="I52" s="229"/>
      <c r="J52" s="229" t="str">
        <f>IF(OR(ISERROR(VLOOKUP(Regn2!X58,Afgr,2)),VLOOKUP(Regn2!X58,Afgr,2)=0),"",VLOOKUP(Regn2!X58,Afgr,2))</f>
        <v>Permanent græs</v>
      </c>
      <c r="K52" s="229"/>
      <c r="L52" s="234">
        <f>IF(Regn2!Z58=0,"",Regn2!Z58)</f>
        <v>0.98</v>
      </c>
      <c r="M52" s="234" t="str">
        <f t="shared" si="12"/>
        <v>ha</v>
      </c>
      <c r="N52" s="229"/>
      <c r="O52" s="229">
        <f>IF(Regn2!AM58=0,"",Regn2!AM58)</f>
        <v>3000</v>
      </c>
      <c r="P52" s="229" t="str">
        <f>IF(O52="","",Regn2!AO58)</f>
        <v>FE</v>
      </c>
      <c r="Q52" s="229"/>
      <c r="R52" s="235">
        <f>IF(F52="","",IF(Regn2!S58=2,"Nedm.",Regn2!BC58))</f>
        <v>0</v>
      </c>
      <c r="S52" s="229" t="str">
        <f t="shared" si="13"/>
        <v>kg</v>
      </c>
      <c r="T52" s="229"/>
      <c r="U52" s="235">
        <f>IF(F52="","",Regn2!FR58)</f>
        <v>-62.951999999999984</v>
      </c>
      <c r="V52" s="229" t="str">
        <f t="shared" si="14"/>
        <v>kg</v>
      </c>
      <c r="W52" s="229"/>
      <c r="X52" s="236">
        <f>IF(F52="","",Regn2!IC58)</f>
        <v>0.82675191399633163</v>
      </c>
      <c r="Y52" s="229" t="str">
        <f t="shared" si="15"/>
        <v>kg</v>
      </c>
      <c r="Z52" s="229"/>
      <c r="AA52" s="235">
        <f>IF(F52="","",Regn2!IE58)</f>
        <v>65</v>
      </c>
      <c r="AB52" s="229" t="str">
        <f t="shared" si="16"/>
        <v>%</v>
      </c>
      <c r="AC52" s="229"/>
      <c r="AD52" s="235">
        <f>IF(F52="","",Regn2!IF58)</f>
        <v>0.28936316989871608</v>
      </c>
      <c r="AE52" s="229" t="str">
        <f t="shared" si="17"/>
        <v>kg</v>
      </c>
    </row>
    <row r="53" spans="2:31" x14ac:dyDescent="0.2">
      <c r="B53" s="233"/>
      <c r="C53" s="229"/>
      <c r="D53" s="229"/>
      <c r="E53" s="229"/>
      <c r="F53" s="229"/>
      <c r="G53" s="229"/>
      <c r="H53" s="229"/>
      <c r="I53" s="229"/>
      <c r="J53" s="229"/>
      <c r="K53" s="229"/>
      <c r="L53" s="234"/>
      <c r="M53" s="234"/>
      <c r="N53" s="229"/>
      <c r="O53" s="229"/>
      <c r="P53" s="229"/>
      <c r="Q53" s="229"/>
      <c r="R53" s="235"/>
      <c r="S53" s="229"/>
      <c r="T53" s="229"/>
      <c r="U53" s="235"/>
      <c r="V53" s="229"/>
      <c r="W53" s="229"/>
      <c r="X53" s="236"/>
      <c r="Y53" s="229"/>
      <c r="Z53" s="229"/>
      <c r="AA53" s="235"/>
      <c r="AB53" s="229"/>
      <c r="AC53" s="229"/>
      <c r="AD53" s="235"/>
      <c r="AE53" s="229"/>
    </row>
    <row r="54" spans="2:31" x14ac:dyDescent="0.2">
      <c r="B54" s="233" t="str">
        <f>Regn2!A60</f>
        <v>23-0</v>
      </c>
      <c r="C54" s="229"/>
      <c r="D54" s="229" t="str">
        <f>IF(ISERROR(VLOOKUP(Regn2!B60,Jordtype,2)),"",IF(F54="","",VLOOKUP(Regn2!B60,Jordtype,2)))</f>
        <v>JB 11</v>
      </c>
      <c r="E54" s="229"/>
      <c r="F54" s="229" t="str">
        <f>IF(OR(ISERROR(VLOOKUP(Regn2!R60,Afgr,2)),VLOOKUP(Regn2!R60,Afgr,2)=0),"",VLOOKUP(Regn2!R60,Afgr,2))</f>
        <v>Kløvergræs, 4 slæt</v>
      </c>
      <c r="G54" s="229"/>
      <c r="H54" s="229" t="str">
        <f>IF(Regn2!T60&lt;=1,"",VLOOKUP(Regn2!T60,Efgr,2))</f>
        <v/>
      </c>
      <c r="I54" s="229"/>
      <c r="J54" s="229" t="str">
        <f>IF(OR(ISERROR(VLOOKUP(Regn2!X60,Afgr,2)),VLOOKUP(Regn2!X60,Afgr,2)=0),"",VLOOKUP(Regn2!X60,Afgr,2))</f>
        <v>Kløvergræs, 4 slæt</v>
      </c>
      <c r="K54" s="229"/>
      <c r="L54" s="234">
        <f>IF(Regn2!Z60=0,"",Regn2!Z60)</f>
        <v>1.34</v>
      </c>
      <c r="M54" s="234" t="str">
        <f t="shared" si="12"/>
        <v>ha</v>
      </c>
      <c r="N54" s="229"/>
      <c r="O54" s="229">
        <f>IF(Regn2!AM60=0,"",Regn2!AM60)</f>
        <v>7100</v>
      </c>
      <c r="P54" s="229" t="str">
        <f>IF(O54="","",Regn2!AO60)</f>
        <v>FE</v>
      </c>
      <c r="Q54" s="229"/>
      <c r="R54" s="235">
        <f>IF(F54="","",IF(Regn2!S60=2,"Nedm.",Regn2!BC60))</f>
        <v>0</v>
      </c>
      <c r="S54" s="229" t="str">
        <f t="shared" si="13"/>
        <v>kg</v>
      </c>
      <c r="T54" s="229"/>
      <c r="U54" s="235">
        <f>IF(F54="","",Regn2!FR60)</f>
        <v>-20.102399999999989</v>
      </c>
      <c r="V54" s="229" t="str">
        <f t="shared" si="14"/>
        <v>kg</v>
      </c>
      <c r="W54" s="229"/>
      <c r="X54" s="236">
        <f>IF(F54="","",Regn2!IC60)</f>
        <v>1.6270642816768945</v>
      </c>
      <c r="Y54" s="229" t="str">
        <f t="shared" si="15"/>
        <v>kg</v>
      </c>
      <c r="Z54" s="229"/>
      <c r="AA54" s="235">
        <f>IF(F54="","",Regn2!IE60)</f>
        <v>65</v>
      </c>
      <c r="AB54" s="229" t="str">
        <f t="shared" si="16"/>
        <v>%</v>
      </c>
      <c r="AC54" s="229"/>
      <c r="AD54" s="235">
        <f>IF(F54="","",Regn2!IF60)</f>
        <v>0.56947249858691307</v>
      </c>
      <c r="AE54" s="229" t="str">
        <f t="shared" si="17"/>
        <v>kg</v>
      </c>
    </row>
    <row r="55" spans="2:31" x14ac:dyDescent="0.2">
      <c r="B55" s="233"/>
      <c r="C55" s="229"/>
      <c r="D55" s="229"/>
      <c r="E55" s="229"/>
      <c r="F55" s="229"/>
      <c r="G55" s="229"/>
      <c r="H55" s="229"/>
      <c r="I55" s="229"/>
      <c r="J55" s="229"/>
      <c r="K55" s="229"/>
      <c r="L55" s="234"/>
      <c r="M55" s="234"/>
      <c r="N55" s="229"/>
      <c r="O55" s="229"/>
      <c r="P55" s="229"/>
      <c r="Q55" s="229"/>
      <c r="R55" s="235"/>
      <c r="S55" s="229"/>
      <c r="T55" s="229"/>
      <c r="U55" s="235"/>
      <c r="V55" s="229"/>
      <c r="W55" s="229"/>
      <c r="X55" s="236"/>
      <c r="Y55" s="229"/>
      <c r="Z55" s="229"/>
      <c r="AA55" s="235"/>
      <c r="AB55" s="229"/>
      <c r="AC55" s="229"/>
      <c r="AD55" s="235"/>
      <c r="AE55" s="229"/>
    </row>
    <row r="56" spans="2:31" x14ac:dyDescent="0.2">
      <c r="B56" s="233" t="str">
        <f>Regn2!A62</f>
        <v>31-0</v>
      </c>
      <c r="C56" s="229"/>
      <c r="D56" s="229" t="str">
        <f>IF(ISERROR(VLOOKUP(Regn2!B62,Jordtype,2)),"",IF(F56="","",VLOOKUP(Regn2!B62,Jordtype,2)))</f>
        <v>JB 6</v>
      </c>
      <c r="E56" s="229"/>
      <c r="F56" s="229" t="str">
        <f>IF(OR(ISERROR(VLOOKUP(Regn2!R62,Afgr,2)),VLOOKUP(Regn2!R62,Afgr,2)=0),"",VLOOKUP(Regn2!R62,Afgr,2))</f>
        <v>Vårbyg, foder</v>
      </c>
      <c r="G56" s="229"/>
      <c r="H56" s="229" t="str">
        <f>IF(Regn2!T62&lt;=1,"",VLOOKUP(Regn2!T62,Efgr,2))</f>
        <v/>
      </c>
      <c r="I56" s="229"/>
      <c r="J56" s="229" t="str">
        <f>IF(OR(ISERROR(VLOOKUP(Regn2!X62,Afgr,2)),VLOOKUP(Regn2!X62,Afgr,2)=0),"",VLOOKUP(Regn2!X62,Afgr,2))</f>
        <v>Vinterhvede</v>
      </c>
      <c r="K56" s="229"/>
      <c r="L56" s="234">
        <f>IF(Regn2!Z62=0,"",Regn2!Z62)</f>
        <v>12.52</v>
      </c>
      <c r="M56" s="234" t="str">
        <f t="shared" si="12"/>
        <v>ha</v>
      </c>
      <c r="N56" s="229"/>
      <c r="O56" s="229">
        <f>IF(Regn2!AM62=0,"",Regn2!AM62)</f>
        <v>52</v>
      </c>
      <c r="P56" s="229" t="str">
        <f>IF(O56="","",Regn2!AO62)</f>
        <v>hkg</v>
      </c>
      <c r="Q56" s="229"/>
      <c r="R56" s="235" t="str">
        <f>IF(F56="","",IF(Regn2!S62=2,"Nedm.",Regn2!BC62))</f>
        <v>Nedm.</v>
      </c>
      <c r="S56" s="229" t="str">
        <f t="shared" si="13"/>
        <v>kg</v>
      </c>
      <c r="T56" s="229"/>
      <c r="U56" s="235">
        <f>IF(F56="","",Regn2!FR62)</f>
        <v>60.692000000000007</v>
      </c>
      <c r="V56" s="229" t="str">
        <f t="shared" si="14"/>
        <v>kg</v>
      </c>
      <c r="W56" s="229"/>
      <c r="X56" s="236">
        <f>IF(F56="","",Regn2!IC62)</f>
        <v>49.695310489602527</v>
      </c>
      <c r="Y56" s="229" t="str">
        <f t="shared" si="15"/>
        <v>kg</v>
      </c>
      <c r="Z56" s="229"/>
      <c r="AA56" s="235">
        <f>IF(F56="","",Regn2!IE62)</f>
        <v>65</v>
      </c>
      <c r="AB56" s="229" t="str">
        <f t="shared" si="16"/>
        <v>%</v>
      </c>
      <c r="AC56" s="229"/>
      <c r="AD56" s="235">
        <f>IF(F56="","",Regn2!IF62)</f>
        <v>17.393358671360883</v>
      </c>
      <c r="AE56" s="229" t="str">
        <f t="shared" si="17"/>
        <v>kg</v>
      </c>
    </row>
    <row r="57" spans="2:31" x14ac:dyDescent="0.2">
      <c r="B57" s="233"/>
      <c r="C57" s="229"/>
      <c r="D57" s="229"/>
      <c r="E57" s="229"/>
      <c r="F57" s="229"/>
      <c r="G57" s="229"/>
      <c r="H57" s="229"/>
      <c r="I57" s="229"/>
      <c r="J57" s="229"/>
      <c r="K57" s="229"/>
      <c r="L57" s="234"/>
      <c r="M57" s="234"/>
      <c r="N57" s="229"/>
      <c r="O57" s="229"/>
      <c r="P57" s="229"/>
      <c r="Q57" s="229"/>
      <c r="R57" s="235"/>
      <c r="S57" s="229"/>
      <c r="T57" s="229"/>
      <c r="U57" s="235"/>
      <c r="V57" s="229"/>
      <c r="W57" s="229"/>
      <c r="X57" s="236"/>
      <c r="Y57" s="229"/>
      <c r="Z57" s="229"/>
      <c r="AA57" s="235"/>
      <c r="AB57" s="229"/>
      <c r="AC57" s="229"/>
      <c r="AD57" s="235"/>
      <c r="AE57" s="229"/>
    </row>
    <row r="58" spans="2:31" x14ac:dyDescent="0.2">
      <c r="B58" s="233" t="str">
        <f>Regn2!A64</f>
        <v>33-0</v>
      </c>
      <c r="C58" s="229"/>
      <c r="D58" s="229" t="str">
        <f>IF(ISERROR(VLOOKUP(Regn2!B64,Jordtype,2)),"",IF(F58="","",VLOOKUP(Regn2!B64,Jordtype,2)))</f>
        <v>JB 11</v>
      </c>
      <c r="E58" s="229"/>
      <c r="F58" s="229" t="str">
        <f>IF(OR(ISERROR(VLOOKUP(Regn2!R64,Afgr,2)),VLOOKUP(Regn2!R64,Afgr,2)=0),"",VLOOKUP(Regn2!R64,Afgr,2))</f>
        <v>Kløvergræs, 4 slæt</v>
      </c>
      <c r="G58" s="229"/>
      <c r="H58" s="229" t="str">
        <f>IF(Regn2!T64&lt;=1,"",VLOOKUP(Regn2!T64,Efgr,2))</f>
        <v/>
      </c>
      <c r="I58" s="229"/>
      <c r="J58" s="229" t="str">
        <f>IF(OR(ISERROR(VLOOKUP(Regn2!X64,Afgr,2)),VLOOKUP(Regn2!X64,Afgr,2)=0),"",VLOOKUP(Regn2!X64,Afgr,2))</f>
        <v>Kløvergræs, 4 slæt</v>
      </c>
      <c r="K58" s="229"/>
      <c r="L58" s="234">
        <f>IF(Regn2!Z64=0,"",Regn2!Z64)</f>
        <v>0.92</v>
      </c>
      <c r="M58" s="234" t="str">
        <f t="shared" si="12"/>
        <v>ha</v>
      </c>
      <c r="N58" s="229"/>
      <c r="O58" s="229">
        <f>IF(Regn2!AM64=0,"",Regn2!AM64)</f>
        <v>7100</v>
      </c>
      <c r="P58" s="229" t="str">
        <f>IF(O58="","",Regn2!AO64)</f>
        <v>FE</v>
      </c>
      <c r="Q58" s="229"/>
      <c r="R58" s="235">
        <f>IF(F58="","",IF(Regn2!S64=2,"Nedm.",Regn2!BC64))</f>
        <v>0</v>
      </c>
      <c r="S58" s="229" t="str">
        <f t="shared" si="13"/>
        <v>kg</v>
      </c>
      <c r="T58" s="229"/>
      <c r="U58" s="235">
        <f>IF(F58="","",Regn2!FR64)</f>
        <v>-20.102399999999989</v>
      </c>
      <c r="V58" s="229" t="str">
        <f t="shared" si="14"/>
        <v>kg</v>
      </c>
      <c r="W58" s="229"/>
      <c r="X58" s="236">
        <f>IF(F58="","",Regn2!IC64)</f>
        <v>1.6270642816768945</v>
      </c>
      <c r="Y58" s="229" t="str">
        <f t="shared" si="15"/>
        <v>kg</v>
      </c>
      <c r="Z58" s="229"/>
      <c r="AA58" s="235">
        <f>IF(F58="","",Regn2!IE64)</f>
        <v>65</v>
      </c>
      <c r="AB58" s="229" t="str">
        <f t="shared" si="16"/>
        <v>%</v>
      </c>
      <c r="AC58" s="229"/>
      <c r="AD58" s="235">
        <f>IF(F58="","",Regn2!IF64)</f>
        <v>0.56947249858691307</v>
      </c>
      <c r="AE58" s="229" t="str">
        <f t="shared" si="17"/>
        <v>kg</v>
      </c>
    </row>
    <row r="59" spans="2:31" x14ac:dyDescent="0.2">
      <c r="B59" s="233"/>
      <c r="C59" s="229"/>
      <c r="D59" s="229"/>
      <c r="E59" s="229"/>
      <c r="F59" s="229"/>
      <c r="G59" s="229"/>
      <c r="H59" s="229"/>
      <c r="I59" s="229"/>
      <c r="J59" s="229"/>
      <c r="K59" s="229"/>
      <c r="L59" s="234"/>
      <c r="M59" s="234"/>
      <c r="N59" s="229"/>
      <c r="O59" s="229"/>
      <c r="P59" s="229"/>
      <c r="Q59" s="229"/>
      <c r="R59" s="235"/>
      <c r="S59" s="229"/>
      <c r="T59" s="229"/>
      <c r="U59" s="235"/>
      <c r="V59" s="229"/>
      <c r="W59" s="229"/>
      <c r="X59" s="236"/>
      <c r="Y59" s="229"/>
      <c r="Z59" s="229"/>
      <c r="AA59" s="235"/>
      <c r="AB59" s="229"/>
      <c r="AC59" s="229"/>
      <c r="AD59" s="235"/>
      <c r="AE59" s="229"/>
    </row>
    <row r="60" spans="2:31" x14ac:dyDescent="0.2">
      <c r="B60" s="233" t="str">
        <f>Regn2!A66</f>
        <v>47-0</v>
      </c>
      <c r="C60" s="229"/>
      <c r="D60" s="229" t="str">
        <f>IF(ISERROR(VLOOKUP(Regn2!B66,Jordtype,2)),"",IF(F60="","",VLOOKUP(Regn2!B66,Jordtype,2)))</f>
        <v>JB 6</v>
      </c>
      <c r="E60" s="229"/>
      <c r="F60" s="229" t="str">
        <f>IF(OR(ISERROR(VLOOKUP(Regn2!R66,Afgr,2)),VLOOKUP(Regn2!R66,Afgr,2)=0),"",VLOOKUP(Regn2!R66,Afgr,2))</f>
        <v>Vårbyg, foder</v>
      </c>
      <c r="G60" s="229"/>
      <c r="H60" s="229" t="str">
        <f>IF(Regn2!T66&lt;=1,"",VLOOKUP(Regn2!T66,Efgr,2))</f>
        <v>Græs E</v>
      </c>
      <c r="I60" s="229"/>
      <c r="J60" s="229" t="str">
        <f>IF(OR(ISERROR(VLOOKUP(Regn2!X66,Afgr,2)),VLOOKUP(Regn2!X66,Afgr,2)=0),"",VLOOKUP(Regn2!X66,Afgr,2))</f>
        <v>Vårbyg, foder</v>
      </c>
      <c r="K60" s="229"/>
      <c r="L60" s="234">
        <f>IF(Regn2!Z66=0,"",Regn2!Z66)</f>
        <v>6.29</v>
      </c>
      <c r="M60" s="234" t="str">
        <f t="shared" si="12"/>
        <v>ha</v>
      </c>
      <c r="N60" s="229"/>
      <c r="O60" s="229">
        <f>IF(Regn2!AM66=0,"",Regn2!AM66)</f>
        <v>70</v>
      </c>
      <c r="P60" s="229" t="str">
        <f>IF(O60="","",Regn2!AO66)</f>
        <v>hkg</v>
      </c>
      <c r="Q60" s="229"/>
      <c r="R60" s="235">
        <f>IF(F60="","",IF(Regn2!S66=2,"Nedm.",Regn2!BC66))</f>
        <v>3387.0967741935483</v>
      </c>
      <c r="S60" s="229" t="str">
        <f t="shared" si="13"/>
        <v>kg</v>
      </c>
      <c r="T60" s="229"/>
      <c r="U60" s="235">
        <f>IF(F60="","",Regn2!FR66)</f>
        <v>15.013906217336455</v>
      </c>
      <c r="V60" s="229" t="str">
        <f t="shared" si="14"/>
        <v>kg</v>
      </c>
      <c r="W60" s="229"/>
      <c r="X60" s="236">
        <f>IF(F60="","",Regn2!IC66)</f>
        <v>21.92236724023979</v>
      </c>
      <c r="Y60" s="229" t="str">
        <f t="shared" si="15"/>
        <v>kg</v>
      </c>
      <c r="Z60" s="229"/>
      <c r="AA60" s="235">
        <f>IF(F60="","",Regn2!IE66)</f>
        <v>65</v>
      </c>
      <c r="AB60" s="229" t="str">
        <f t="shared" si="16"/>
        <v>%</v>
      </c>
      <c r="AC60" s="229"/>
      <c r="AD60" s="235">
        <f>IF(F60="","",Regn2!IF66)</f>
        <v>7.6728285340839264</v>
      </c>
      <c r="AE60" s="229" t="str">
        <f t="shared" si="17"/>
        <v>kg</v>
      </c>
    </row>
    <row r="61" spans="2:31" x14ac:dyDescent="0.2">
      <c r="B61" s="233"/>
      <c r="C61" s="229"/>
      <c r="D61" s="229"/>
      <c r="E61" s="229"/>
      <c r="F61" s="229"/>
      <c r="G61" s="229"/>
      <c r="H61" s="229"/>
      <c r="I61" s="229"/>
      <c r="J61" s="229"/>
      <c r="K61" s="229"/>
      <c r="L61" s="234"/>
      <c r="M61" s="234"/>
      <c r="N61" s="229"/>
      <c r="O61" s="229"/>
      <c r="P61" s="229"/>
      <c r="Q61" s="229"/>
      <c r="R61" s="235"/>
      <c r="S61" s="229"/>
      <c r="T61" s="229"/>
      <c r="U61" s="235"/>
      <c r="V61" s="229"/>
      <c r="W61" s="229"/>
      <c r="X61" s="236"/>
      <c r="Y61" s="229"/>
      <c r="Z61" s="229"/>
      <c r="AA61" s="235"/>
      <c r="AB61" s="229"/>
      <c r="AC61" s="229"/>
      <c r="AD61" s="235"/>
      <c r="AE61" s="229"/>
    </row>
    <row r="62" spans="2:31" x14ac:dyDescent="0.2">
      <c r="B62" s="233" t="str">
        <f>Regn2!A68</f>
        <v>47-1</v>
      </c>
      <c r="C62" s="229"/>
      <c r="D62" s="229" t="str">
        <f>IF(ISERROR(VLOOKUP(Regn2!B68,Jordtype,2)),"",IF(F62="","",VLOOKUP(Regn2!B68,Jordtype,2)))</f>
        <v>JB 6</v>
      </c>
      <c r="E62" s="229"/>
      <c r="F62" s="229" t="str">
        <f>IF(OR(ISERROR(VLOOKUP(Regn2!R68,Afgr,2)),VLOOKUP(Regn2!R68,Afgr,2)=0),"",VLOOKUP(Regn2!R68,Afgr,2))</f>
        <v>Vårbyg, foder</v>
      </c>
      <c r="G62" s="229"/>
      <c r="H62" s="229" t="str">
        <f>IF(Regn2!T68&lt;=1,"",VLOOKUP(Regn2!T68,Efgr,2))</f>
        <v>Græs E</v>
      </c>
      <c r="I62" s="229"/>
      <c r="J62" s="229" t="str">
        <f>IF(OR(ISERROR(VLOOKUP(Regn2!X68,Afgr,2)),VLOOKUP(Regn2!X68,Afgr,2)=0),"",VLOOKUP(Regn2!X68,Afgr,2))</f>
        <v>Vårbyg, foder</v>
      </c>
      <c r="K62" s="229"/>
      <c r="L62" s="234">
        <f>IF(Regn2!Z68=0,"",Regn2!Z68)</f>
        <v>5.76</v>
      </c>
      <c r="M62" s="234" t="str">
        <f t="shared" si="12"/>
        <v>ha</v>
      </c>
      <c r="N62" s="229"/>
      <c r="O62" s="229">
        <f>IF(Regn2!AM68=0,"",Regn2!AM68)</f>
        <v>71</v>
      </c>
      <c r="P62" s="229" t="str">
        <f>IF(O62="","",Regn2!AO68)</f>
        <v>hkg</v>
      </c>
      <c r="Q62" s="229"/>
      <c r="R62" s="235">
        <f>IF(F62="","",IF(Regn2!S68=2,"Nedm.",Regn2!BC68))</f>
        <v>3803.5714285714284</v>
      </c>
      <c r="S62" s="229" t="str">
        <f t="shared" si="13"/>
        <v>kg</v>
      </c>
      <c r="T62" s="229"/>
      <c r="U62" s="235">
        <f>IF(F62="","",Regn2!FR68)</f>
        <v>14.572652513966489</v>
      </c>
      <c r="V62" s="229" t="str">
        <f t="shared" si="14"/>
        <v>kg</v>
      </c>
      <c r="W62" s="229"/>
      <c r="X62" s="236">
        <f>IF(F62="","",Regn2!IC68)</f>
        <v>19.722613263993662</v>
      </c>
      <c r="Y62" s="229" t="str">
        <f t="shared" si="15"/>
        <v>kg</v>
      </c>
      <c r="Z62" s="229"/>
      <c r="AA62" s="235">
        <f>IF(F62="","",Regn2!IE68)</f>
        <v>65</v>
      </c>
      <c r="AB62" s="229" t="str">
        <f t="shared" si="16"/>
        <v>%</v>
      </c>
      <c r="AC62" s="229"/>
      <c r="AD62" s="235">
        <f>IF(F62="","",Regn2!IF68)</f>
        <v>6.9029146423977821</v>
      </c>
      <c r="AE62" s="229" t="str">
        <f t="shared" si="17"/>
        <v>kg</v>
      </c>
    </row>
    <row r="63" spans="2:31" x14ac:dyDescent="0.2">
      <c r="B63" s="233"/>
      <c r="C63" s="229"/>
      <c r="D63" s="229"/>
      <c r="E63" s="229"/>
      <c r="F63" s="229"/>
      <c r="G63" s="229"/>
      <c r="H63" s="229"/>
      <c r="I63" s="229"/>
      <c r="J63" s="229"/>
      <c r="K63" s="229"/>
      <c r="L63" s="234"/>
      <c r="M63" s="234"/>
      <c r="N63" s="229"/>
      <c r="O63" s="229"/>
      <c r="P63" s="229"/>
      <c r="Q63" s="229"/>
      <c r="R63" s="235"/>
      <c r="S63" s="229"/>
      <c r="T63" s="229"/>
      <c r="U63" s="235"/>
      <c r="V63" s="229"/>
      <c r="W63" s="229"/>
      <c r="X63" s="236"/>
      <c r="Y63" s="229"/>
      <c r="Z63" s="229"/>
      <c r="AA63" s="235"/>
      <c r="AB63" s="229"/>
      <c r="AC63" s="229"/>
      <c r="AD63" s="235"/>
      <c r="AE63" s="229"/>
    </row>
    <row r="64" spans="2:31" x14ac:dyDescent="0.2">
      <c r="B64" s="233" t="str">
        <f>Regn2!A70</f>
        <v>49-0</v>
      </c>
      <c r="C64" s="229"/>
      <c r="D64" s="229" t="str">
        <f>IF(ISERROR(VLOOKUP(Regn2!B70,Jordtype,2)),"",IF(F64="","",VLOOKUP(Regn2!B70,Jordtype,2)))</f>
        <v>JB 6</v>
      </c>
      <c r="E64" s="229"/>
      <c r="F64" s="229" t="str">
        <f>IF(OR(ISERROR(VLOOKUP(Regn2!R70,Afgr,2)),VLOOKUP(Regn2!R70,Afgr,2)=0),"",VLOOKUP(Regn2!R70,Afgr,2))</f>
        <v>Vårbyg, foder</v>
      </c>
      <c r="G64" s="229"/>
      <c r="H64" s="229" t="str">
        <f>IF(Regn2!T70&lt;=1,"",VLOOKUP(Regn2!T70,Efgr,2))</f>
        <v>Græs E</v>
      </c>
      <c r="I64" s="229"/>
      <c r="J64" s="229" t="str">
        <f>IF(OR(ISERROR(VLOOKUP(Regn2!X70,Afgr,2)),VLOOKUP(Regn2!X70,Afgr,2)=0),"",VLOOKUP(Regn2!X70,Afgr,2))</f>
        <v>Vårbyg, foder</v>
      </c>
      <c r="K64" s="229"/>
      <c r="L64" s="234">
        <f>IF(Regn2!Z70=0,"",Regn2!Z70)</f>
        <v>15.41</v>
      </c>
      <c r="M64" s="234" t="str">
        <f t="shared" si="12"/>
        <v>ha</v>
      </c>
      <c r="N64" s="229"/>
      <c r="O64" s="229">
        <f>IF(Regn2!AM70=0,"",Regn2!AM70)</f>
        <v>75</v>
      </c>
      <c r="P64" s="229" t="str">
        <f>IF(O64="","",Regn2!AO70)</f>
        <v>hkg</v>
      </c>
      <c r="Q64" s="229"/>
      <c r="R64" s="235">
        <f>IF(F64="","",IF(Regn2!S70=2,"Nedm.",Regn2!BC70))</f>
        <v>4017.8571428571427</v>
      </c>
      <c r="S64" s="229" t="str">
        <f t="shared" si="13"/>
        <v>kg</v>
      </c>
      <c r="T64" s="229"/>
      <c r="U64" s="235">
        <f>IF(F64="","",Regn2!FR70)</f>
        <v>-77.687164245810052</v>
      </c>
      <c r="V64" s="229" t="str">
        <f t="shared" si="14"/>
        <v>kg</v>
      </c>
      <c r="W64" s="229"/>
      <c r="X64" s="236">
        <f>IF(F64="","",Regn2!IC70)</f>
        <v>17.994928569127211</v>
      </c>
      <c r="Y64" s="229" t="str">
        <f t="shared" si="15"/>
        <v>kg</v>
      </c>
      <c r="Z64" s="229"/>
      <c r="AA64" s="235">
        <f>IF(F64="","",Regn2!IE70)</f>
        <v>65</v>
      </c>
      <c r="AB64" s="229" t="str">
        <f t="shared" si="16"/>
        <v>%</v>
      </c>
      <c r="AC64" s="229"/>
      <c r="AD64" s="235">
        <f>IF(F64="","",Regn2!IF70)</f>
        <v>6.2982249991945238</v>
      </c>
      <c r="AE64" s="229" t="str">
        <f t="shared" si="17"/>
        <v>kg</v>
      </c>
    </row>
    <row r="65" spans="2:31" x14ac:dyDescent="0.2">
      <c r="B65" s="233"/>
      <c r="C65" s="229"/>
      <c r="D65" s="229"/>
      <c r="E65" s="229"/>
      <c r="F65" s="229"/>
      <c r="G65" s="229"/>
      <c r="H65" s="229"/>
      <c r="I65" s="229"/>
      <c r="J65" s="229"/>
      <c r="K65" s="229"/>
      <c r="L65" s="234"/>
      <c r="M65" s="234"/>
      <c r="N65" s="229"/>
      <c r="O65" s="229"/>
      <c r="P65" s="229"/>
      <c r="Q65" s="229"/>
      <c r="R65" s="235"/>
      <c r="S65" s="229"/>
      <c r="T65" s="229"/>
      <c r="U65" s="235"/>
      <c r="V65" s="229"/>
      <c r="W65" s="229"/>
      <c r="X65" s="236"/>
      <c r="Y65" s="229"/>
      <c r="Z65" s="229"/>
      <c r="AA65" s="235"/>
      <c r="AB65" s="229"/>
      <c r="AC65" s="229"/>
      <c r="AD65" s="235"/>
      <c r="AE65" s="229"/>
    </row>
    <row r="66" spans="2:31" x14ac:dyDescent="0.2">
      <c r="B66" s="233" t="str">
        <f>Regn2!A72</f>
        <v>980-0</v>
      </c>
      <c r="C66" s="229"/>
      <c r="D66" s="229" t="str">
        <f>IF(ISERROR(VLOOKUP(Regn2!B72,Jordtype,2)),"",IF(F66="","",VLOOKUP(Regn2!B72,Jordtype,2)))</f>
        <v>JB 6</v>
      </c>
      <c r="E66" s="229"/>
      <c r="F66" s="229" t="str">
        <f>IF(OR(ISERROR(VLOOKUP(Regn2!R72,Afgr,2)),VLOOKUP(Regn2!R72,Afgr,2)=0),"",VLOOKUP(Regn2!R72,Afgr,2))</f>
        <v>Randzone</v>
      </c>
      <c r="G66" s="229"/>
      <c r="H66" s="229" t="str">
        <f>IF(Regn2!T72&lt;=1,"",VLOOKUP(Regn2!T72,Efgr,2))</f>
        <v/>
      </c>
      <c r="I66" s="229"/>
      <c r="J66" s="229" t="str">
        <f>IF(OR(ISERROR(VLOOKUP(Regn2!X72,Afgr,2)),VLOOKUP(Regn2!X72,Afgr,2)=0),"",VLOOKUP(Regn2!X72,Afgr,2))</f>
        <v>Randzone</v>
      </c>
      <c r="K66" s="229"/>
      <c r="L66" s="234">
        <f>IF(Regn2!Z72=0,"",Regn2!Z72)</f>
        <v>1.66</v>
      </c>
      <c r="M66" s="234" t="str">
        <f t="shared" si="12"/>
        <v>ha</v>
      </c>
      <c r="N66" s="229"/>
      <c r="O66" s="229" t="str">
        <f>IF(Regn2!AM72=0,"",Regn2!AM72)</f>
        <v/>
      </c>
      <c r="P66" s="229" t="str">
        <f>IF(O66="","",Regn2!AO72)</f>
        <v/>
      </c>
      <c r="Q66" s="229"/>
      <c r="R66" s="235">
        <f>IF(F66="","",IF(Regn2!S72=2,"Nedm.",Regn2!BC72))</f>
        <v>0</v>
      </c>
      <c r="S66" s="229" t="str">
        <f t="shared" si="13"/>
        <v>kg</v>
      </c>
      <c r="T66" s="229"/>
      <c r="U66" s="235">
        <f>IF(F66="","",Regn2!FR72)</f>
        <v>15</v>
      </c>
      <c r="V66" s="229" t="str">
        <f t="shared" si="14"/>
        <v>kg</v>
      </c>
      <c r="W66" s="229"/>
      <c r="X66" s="236">
        <f>IF(F66="","",Regn2!IC72)</f>
        <v>9.0690864030581704</v>
      </c>
      <c r="Y66" s="229" t="str">
        <f t="shared" si="15"/>
        <v>kg</v>
      </c>
      <c r="Z66" s="229"/>
      <c r="AA66" s="235">
        <f>IF(F66="","",Regn2!IE72)</f>
        <v>65</v>
      </c>
      <c r="AB66" s="229" t="str">
        <f t="shared" si="16"/>
        <v>%</v>
      </c>
      <c r="AC66" s="229"/>
      <c r="AD66" s="235">
        <f>IF(F66="","",Regn2!IF72)</f>
        <v>3.1741802410703599</v>
      </c>
      <c r="AE66" s="229" t="str">
        <f t="shared" si="17"/>
        <v>kg</v>
      </c>
    </row>
    <row r="67" spans="2:31" x14ac:dyDescent="0.2">
      <c r="B67" s="233"/>
      <c r="C67" s="229"/>
      <c r="D67" s="229"/>
      <c r="E67" s="229"/>
      <c r="F67" s="229"/>
      <c r="G67" s="229"/>
      <c r="H67" s="229"/>
      <c r="I67" s="229"/>
      <c r="J67" s="229"/>
      <c r="K67" s="229"/>
      <c r="L67" s="234"/>
      <c r="M67" s="234"/>
      <c r="N67" s="229"/>
      <c r="O67" s="229"/>
      <c r="P67" s="229"/>
      <c r="Q67" s="229"/>
      <c r="R67" s="235"/>
      <c r="S67" s="229"/>
      <c r="T67" s="229"/>
      <c r="U67" s="235"/>
      <c r="V67" s="229"/>
      <c r="W67" s="229"/>
      <c r="X67" s="236"/>
      <c r="Y67" s="229"/>
      <c r="Z67" s="229"/>
      <c r="AA67" s="235"/>
      <c r="AB67" s="229"/>
      <c r="AC67" s="229"/>
      <c r="AD67" s="235"/>
      <c r="AE67" s="229"/>
    </row>
    <row r="68" spans="2:31" x14ac:dyDescent="0.2">
      <c r="B68" s="233">
        <f>Regn2!A74</f>
        <v>0</v>
      </c>
      <c r="C68" s="229"/>
      <c r="D68" s="229" t="str">
        <f>IF(ISERROR(VLOOKUP(Regn2!B74,Jordtype,2)),"",IF(F68="","",VLOOKUP(Regn2!B74,Jordtype,2)))</f>
        <v/>
      </c>
      <c r="E68" s="229"/>
      <c r="F68" s="229" t="str">
        <f>IF(OR(ISERROR(VLOOKUP(Regn2!R74,Afgr,2)),VLOOKUP(Regn2!R74,Afgr,2)=0),"",VLOOKUP(Regn2!R74,Afgr,2))</f>
        <v/>
      </c>
      <c r="G68" s="229"/>
      <c r="H68" s="229" t="str">
        <f>IF(Regn2!T74&lt;=1,"",VLOOKUP(Regn2!T74,Efgr,2))</f>
        <v/>
      </c>
      <c r="I68" s="229"/>
      <c r="J68" s="229" t="str">
        <f>IF(OR(ISERROR(VLOOKUP(Regn2!X74,Afgr,2)),VLOOKUP(Regn2!X74,Afgr,2)=0),"",VLOOKUP(Regn2!X74,Afgr,2))</f>
        <v/>
      </c>
      <c r="K68" s="229"/>
      <c r="L68" s="234" t="str">
        <f>IF(Regn2!Z74=0,"",Regn2!Z74)</f>
        <v/>
      </c>
      <c r="M68" s="234" t="str">
        <f t="shared" si="12"/>
        <v/>
      </c>
      <c r="N68" s="229"/>
      <c r="O68" s="229" t="str">
        <f>IF(Regn2!AM74=0,"",Regn2!AM74)</f>
        <v/>
      </c>
      <c r="P68" s="229" t="str">
        <f>IF(O68="","",Regn2!AO74)</f>
        <v/>
      </c>
      <c r="Q68" s="229"/>
      <c r="R68" s="235" t="str">
        <f>IF(F68="","",IF(Regn2!S74=2,"Nedm.",Regn2!BC74))</f>
        <v/>
      </c>
      <c r="S68" s="229" t="str">
        <f t="shared" si="13"/>
        <v/>
      </c>
      <c r="T68" s="229"/>
      <c r="U68" s="235" t="str">
        <f>IF(F68="","",Regn2!FR74)</f>
        <v/>
      </c>
      <c r="V68" s="229" t="str">
        <f t="shared" si="14"/>
        <v/>
      </c>
      <c r="W68" s="229"/>
      <c r="X68" s="236" t="str">
        <f>IF(F68="","",Regn2!IC74)</f>
        <v/>
      </c>
      <c r="Y68" s="229" t="str">
        <f t="shared" si="15"/>
        <v/>
      </c>
      <c r="Z68" s="229"/>
      <c r="AA68" s="235" t="str">
        <f>IF(F68="","",Regn2!IE74)</f>
        <v/>
      </c>
      <c r="AB68" s="229" t="str">
        <f t="shared" si="16"/>
        <v/>
      </c>
      <c r="AC68" s="229"/>
      <c r="AD68" s="235" t="str">
        <f>IF(F68="","",Regn2!IF74)</f>
        <v/>
      </c>
      <c r="AE68" s="229" t="str">
        <f t="shared" si="17"/>
        <v/>
      </c>
    </row>
    <row r="69" spans="2:31" x14ac:dyDescent="0.2">
      <c r="B69" s="233"/>
      <c r="C69" s="229"/>
      <c r="D69" s="229"/>
      <c r="E69" s="229"/>
      <c r="F69" s="229"/>
      <c r="G69" s="229"/>
      <c r="H69" s="229"/>
      <c r="I69" s="229"/>
      <c r="J69" s="229"/>
      <c r="K69" s="229"/>
      <c r="L69" s="234"/>
      <c r="M69" s="234"/>
      <c r="N69" s="229"/>
      <c r="O69" s="229"/>
      <c r="P69" s="229"/>
      <c r="Q69" s="229"/>
      <c r="R69" s="235"/>
      <c r="S69" s="229"/>
      <c r="T69" s="229"/>
      <c r="U69" s="235"/>
      <c r="V69" s="229"/>
      <c r="W69" s="229"/>
      <c r="X69" s="236"/>
      <c r="Y69" s="229"/>
      <c r="Z69" s="229"/>
      <c r="AA69" s="235"/>
      <c r="AB69" s="229"/>
      <c r="AC69" s="229"/>
      <c r="AD69" s="235"/>
      <c r="AE69" s="229"/>
    </row>
    <row r="70" spans="2:31" x14ac:dyDescent="0.2">
      <c r="B70" s="233">
        <f>Regn2!A76</f>
        <v>0</v>
      </c>
      <c r="C70" s="229"/>
      <c r="D70" s="229" t="str">
        <f>IF(ISERROR(VLOOKUP(Regn2!B76,Jordtype,2)),"",IF(F70="","",VLOOKUP(Regn2!B76,Jordtype,2)))</f>
        <v/>
      </c>
      <c r="E70" s="229"/>
      <c r="F70" s="229" t="str">
        <f>IF(OR(ISERROR(VLOOKUP(Regn2!R76,Afgr,2)),VLOOKUP(Regn2!R76,Afgr,2)=0),"",VLOOKUP(Regn2!R76,Afgr,2))</f>
        <v/>
      </c>
      <c r="G70" s="229"/>
      <c r="H70" s="229" t="str">
        <f>IF(Regn2!T76&lt;=1,"",VLOOKUP(Regn2!T76,Efgr,2))</f>
        <v/>
      </c>
      <c r="I70" s="229"/>
      <c r="J70" s="229" t="str">
        <f>IF(OR(ISERROR(VLOOKUP(Regn2!X76,Afgr,2)),VLOOKUP(Regn2!X76,Afgr,2)=0),"",VLOOKUP(Regn2!X76,Afgr,2))</f>
        <v/>
      </c>
      <c r="K70" s="229"/>
      <c r="L70" s="234" t="str">
        <f>IF(Regn2!Z76=0,"",Regn2!Z76)</f>
        <v/>
      </c>
      <c r="M70" s="234" t="str">
        <f t="shared" si="12"/>
        <v/>
      </c>
      <c r="N70" s="229"/>
      <c r="O70" s="229" t="str">
        <f>IF(Regn2!AM76=0,"",Regn2!AM76)</f>
        <v/>
      </c>
      <c r="P70" s="229" t="str">
        <f>IF(O70="","",Regn2!AO76)</f>
        <v/>
      </c>
      <c r="Q70" s="229"/>
      <c r="R70" s="235" t="str">
        <f>IF(F70="","",IF(Regn2!S76=2,"Nedm.",Regn2!BC76))</f>
        <v/>
      </c>
      <c r="S70" s="229" t="str">
        <f t="shared" si="13"/>
        <v/>
      </c>
      <c r="T70" s="229"/>
      <c r="U70" s="235" t="str">
        <f>IF(F70="","",Regn2!FR76)</f>
        <v/>
      </c>
      <c r="V70" s="229" t="str">
        <f t="shared" si="14"/>
        <v/>
      </c>
      <c r="W70" s="229"/>
      <c r="X70" s="236" t="str">
        <f>IF(F70="","",Regn2!IC76)</f>
        <v/>
      </c>
      <c r="Y70" s="229" t="str">
        <f t="shared" si="15"/>
        <v/>
      </c>
      <c r="Z70" s="229"/>
      <c r="AA70" s="235" t="str">
        <f>IF(F70="","",Regn2!IE76)</f>
        <v/>
      </c>
      <c r="AB70" s="229" t="str">
        <f t="shared" si="16"/>
        <v/>
      </c>
      <c r="AC70" s="229"/>
      <c r="AD70" s="235" t="str">
        <f>IF(F70="","",Regn2!IF76)</f>
        <v/>
      </c>
      <c r="AE70" s="229" t="str">
        <f t="shared" si="17"/>
        <v/>
      </c>
    </row>
    <row r="71" spans="2:31" x14ac:dyDescent="0.2">
      <c r="B71" s="233"/>
      <c r="C71" s="229"/>
      <c r="D71" s="229"/>
      <c r="E71" s="229"/>
      <c r="F71" s="229"/>
      <c r="G71" s="229"/>
      <c r="H71" s="229"/>
      <c r="I71" s="229"/>
      <c r="J71" s="229"/>
      <c r="K71" s="229"/>
      <c r="L71" s="234"/>
      <c r="M71" s="234"/>
      <c r="N71" s="229"/>
      <c r="O71" s="229"/>
      <c r="P71" s="229"/>
      <c r="Q71" s="229"/>
      <c r="R71" s="235"/>
      <c r="S71" s="229"/>
      <c r="T71" s="229"/>
      <c r="U71" s="235"/>
      <c r="V71" s="229"/>
      <c r="W71" s="229"/>
      <c r="X71" s="236"/>
      <c r="Y71" s="229"/>
      <c r="Z71" s="229"/>
      <c r="AA71" s="235"/>
      <c r="AB71" s="229"/>
      <c r="AC71" s="229"/>
      <c r="AD71" s="235"/>
      <c r="AE71" s="229"/>
    </row>
    <row r="72" spans="2:31" x14ac:dyDescent="0.2">
      <c r="B72" s="233">
        <f>Regn2!A78</f>
        <v>0</v>
      </c>
      <c r="C72" s="229"/>
      <c r="D72" s="229" t="str">
        <f>IF(ISERROR(VLOOKUP(Regn2!B78,Jordtype,2)),"",IF(F72="","",VLOOKUP(Regn2!B78,Jordtype,2)))</f>
        <v/>
      </c>
      <c r="E72" s="229"/>
      <c r="F72" s="229" t="str">
        <f>IF(OR(ISERROR(VLOOKUP(Regn2!R78,Afgr,2)),VLOOKUP(Regn2!R78,Afgr,2)=0),"",VLOOKUP(Regn2!R78,Afgr,2))</f>
        <v/>
      </c>
      <c r="G72" s="229"/>
      <c r="H72" s="229" t="str">
        <f>IF(Regn2!T78&lt;=1,"",VLOOKUP(Regn2!T78,Efgr,2))</f>
        <v/>
      </c>
      <c r="I72" s="229"/>
      <c r="J72" s="229" t="str">
        <f>IF(OR(ISERROR(VLOOKUP(Regn2!X78,Afgr,2)),VLOOKUP(Regn2!X78,Afgr,2)=0),"",VLOOKUP(Regn2!X78,Afgr,2))</f>
        <v/>
      </c>
      <c r="K72" s="229"/>
      <c r="L72" s="234" t="str">
        <f>IF(Regn2!Z78=0,"",Regn2!Z78)</f>
        <v/>
      </c>
      <c r="M72" s="234" t="str">
        <f t="shared" si="12"/>
        <v/>
      </c>
      <c r="N72" s="229"/>
      <c r="O72" s="229" t="str">
        <f>IF(Regn2!AM78=0,"",Regn2!AM78)</f>
        <v/>
      </c>
      <c r="P72" s="229" t="str">
        <f>IF(O72="","",Regn2!AO78)</f>
        <v/>
      </c>
      <c r="Q72" s="229"/>
      <c r="R72" s="235" t="str">
        <f>IF(F72="","",IF(Regn2!S78=2,"Nedm.",Regn2!BC78))</f>
        <v/>
      </c>
      <c r="S72" s="229" t="str">
        <f t="shared" si="13"/>
        <v/>
      </c>
      <c r="T72" s="229"/>
      <c r="U72" s="235" t="str">
        <f>IF(F72="","",Regn2!FR78)</f>
        <v/>
      </c>
      <c r="V72" s="229" t="str">
        <f t="shared" si="14"/>
        <v/>
      </c>
      <c r="W72" s="229"/>
      <c r="X72" s="236" t="str">
        <f>IF(F72="","",Regn2!IC78)</f>
        <v/>
      </c>
      <c r="Y72" s="229" t="str">
        <f t="shared" si="15"/>
        <v/>
      </c>
      <c r="Z72" s="229"/>
      <c r="AA72" s="235" t="str">
        <f>IF(F72="","",Regn2!IE78)</f>
        <v/>
      </c>
      <c r="AB72" s="229" t="str">
        <f t="shared" si="16"/>
        <v/>
      </c>
      <c r="AC72" s="229"/>
      <c r="AD72" s="235" t="str">
        <f>IF(F72="","",Regn2!IF78)</f>
        <v/>
      </c>
      <c r="AE72" s="229" t="str">
        <f t="shared" si="17"/>
        <v/>
      </c>
    </row>
    <row r="73" spans="2:31" x14ac:dyDescent="0.2">
      <c r="B73" s="233"/>
      <c r="C73" s="229"/>
      <c r="D73" s="229"/>
      <c r="E73" s="229"/>
      <c r="F73" s="229"/>
      <c r="G73" s="229"/>
      <c r="H73" s="229"/>
      <c r="I73" s="229"/>
      <c r="J73" s="229"/>
      <c r="K73" s="229"/>
      <c r="L73" s="234"/>
      <c r="M73" s="234"/>
      <c r="N73" s="229"/>
      <c r="O73" s="229"/>
      <c r="P73" s="229"/>
      <c r="Q73" s="229"/>
      <c r="R73" s="235"/>
      <c r="S73" s="229"/>
      <c r="T73" s="229"/>
      <c r="U73" s="235"/>
      <c r="V73" s="229"/>
      <c r="W73" s="229"/>
      <c r="X73" s="236"/>
      <c r="Y73" s="229"/>
      <c r="Z73" s="229"/>
      <c r="AA73" s="235"/>
      <c r="AB73" s="229"/>
      <c r="AC73" s="229"/>
      <c r="AD73" s="235"/>
      <c r="AE73" s="229"/>
    </row>
    <row r="74" spans="2:31" x14ac:dyDescent="0.2">
      <c r="B74" s="233">
        <f>Regn2!A80</f>
        <v>0</v>
      </c>
      <c r="C74" s="229"/>
      <c r="D74" s="229" t="str">
        <f>IF(ISERROR(VLOOKUP(Regn2!B80,Jordtype,2)),"",IF(F74="","",VLOOKUP(Regn2!B80,Jordtype,2)))</f>
        <v/>
      </c>
      <c r="E74" s="229"/>
      <c r="F74" s="229" t="str">
        <f>IF(OR(ISERROR(VLOOKUP(Regn2!R80,Afgr,2)),VLOOKUP(Regn2!R80,Afgr,2)=0),"",VLOOKUP(Regn2!R80,Afgr,2))</f>
        <v/>
      </c>
      <c r="G74" s="229"/>
      <c r="H74" s="229" t="str">
        <f>IF(Regn2!T80&lt;=1,"",VLOOKUP(Regn2!T80,Efgr,2))</f>
        <v/>
      </c>
      <c r="I74" s="229"/>
      <c r="J74" s="229" t="str">
        <f>IF(OR(ISERROR(VLOOKUP(Regn2!X80,Afgr,2)),VLOOKUP(Regn2!X80,Afgr,2)=0),"",VLOOKUP(Regn2!X80,Afgr,2))</f>
        <v/>
      </c>
      <c r="K74" s="229"/>
      <c r="L74" s="234" t="str">
        <f>IF(Regn2!Z80=0,"",Regn2!Z80)</f>
        <v/>
      </c>
      <c r="M74" s="234" t="str">
        <f t="shared" si="12"/>
        <v/>
      </c>
      <c r="N74" s="229"/>
      <c r="O74" s="229" t="str">
        <f>IF(Regn2!AM80=0,"",Regn2!AM80)</f>
        <v/>
      </c>
      <c r="P74" s="229" t="str">
        <f>IF(O74="","",Regn2!AO80)</f>
        <v/>
      </c>
      <c r="Q74" s="229"/>
      <c r="R74" s="235" t="str">
        <f>IF(F74="","",IF(Regn2!S80=2,"Nedm.",Regn2!BC80))</f>
        <v/>
      </c>
      <c r="S74" s="229" t="str">
        <f t="shared" si="13"/>
        <v/>
      </c>
      <c r="T74" s="229"/>
      <c r="U74" s="235" t="str">
        <f>IF(F74="","",Regn2!FR80)</f>
        <v/>
      </c>
      <c r="V74" s="229" t="str">
        <f t="shared" si="14"/>
        <v/>
      </c>
      <c r="W74" s="229"/>
      <c r="X74" s="236" t="str">
        <f>IF(F74="","",Regn2!IC80)</f>
        <v/>
      </c>
      <c r="Y74" s="229" t="str">
        <f t="shared" si="15"/>
        <v/>
      </c>
      <c r="Z74" s="229"/>
      <c r="AA74" s="235" t="str">
        <f>IF(F74="","",Regn2!IE80)</f>
        <v/>
      </c>
      <c r="AB74" s="229" t="str">
        <f t="shared" si="16"/>
        <v/>
      </c>
      <c r="AC74" s="229"/>
      <c r="AD74" s="235" t="str">
        <f>IF(F74="","",Regn2!IF80)</f>
        <v/>
      </c>
      <c r="AE74" s="229" t="str">
        <f t="shared" si="17"/>
        <v/>
      </c>
    </row>
    <row r="75" spans="2:31" x14ac:dyDescent="0.2">
      <c r="B75" s="233"/>
      <c r="C75" s="229"/>
      <c r="D75" s="229"/>
      <c r="E75" s="229"/>
      <c r="F75" s="229"/>
      <c r="G75" s="229"/>
      <c r="H75" s="229"/>
      <c r="I75" s="229"/>
      <c r="J75" s="229"/>
      <c r="K75" s="229"/>
      <c r="L75" s="234"/>
      <c r="M75" s="234"/>
      <c r="N75" s="229"/>
      <c r="O75" s="229"/>
      <c r="P75" s="229"/>
      <c r="Q75" s="229"/>
      <c r="R75" s="235"/>
      <c r="S75" s="229"/>
      <c r="T75" s="229"/>
      <c r="U75" s="235"/>
      <c r="V75" s="229"/>
      <c r="W75" s="229"/>
      <c r="X75" s="236"/>
      <c r="Y75" s="229"/>
      <c r="Z75" s="229"/>
      <c r="AA75" s="235"/>
      <c r="AB75" s="229"/>
      <c r="AC75" s="229"/>
      <c r="AD75" s="235"/>
      <c r="AE75" s="229"/>
    </row>
    <row r="76" spans="2:31" x14ac:dyDescent="0.2">
      <c r="B76" s="233">
        <f>Regn2!A82</f>
        <v>0</v>
      </c>
      <c r="C76" s="229"/>
      <c r="D76" s="229" t="str">
        <f>IF(ISERROR(VLOOKUP(Regn2!B82,Jordtype,2)),"",IF(F76="","",VLOOKUP(Regn2!B82,Jordtype,2)))</f>
        <v/>
      </c>
      <c r="E76" s="229"/>
      <c r="F76" s="229" t="str">
        <f>IF(OR(ISERROR(VLOOKUP(Regn2!R82,Afgr,2)),VLOOKUP(Regn2!R82,Afgr,2)=0),"",VLOOKUP(Regn2!R82,Afgr,2))</f>
        <v/>
      </c>
      <c r="G76" s="229"/>
      <c r="H76" s="229" t="str">
        <f>IF(Regn2!T82&lt;=1,"",VLOOKUP(Regn2!T82,Efgr,2))</f>
        <v/>
      </c>
      <c r="I76" s="229"/>
      <c r="J76" s="229" t="str">
        <f>IF(OR(ISERROR(VLOOKUP(Regn2!X82,Afgr,2)),VLOOKUP(Regn2!X82,Afgr,2)=0),"",VLOOKUP(Regn2!X82,Afgr,2))</f>
        <v/>
      </c>
      <c r="K76" s="229"/>
      <c r="L76" s="234" t="str">
        <f>IF(Regn2!Z82=0,"",Regn2!Z82)</f>
        <v/>
      </c>
      <c r="M76" s="234" t="str">
        <f t="shared" si="12"/>
        <v/>
      </c>
      <c r="N76" s="229"/>
      <c r="O76" s="229" t="str">
        <f>IF(Regn2!AM82=0,"",Regn2!AM82)</f>
        <v/>
      </c>
      <c r="P76" s="229" t="str">
        <f>IF(O76="","",Regn2!AO82)</f>
        <v/>
      </c>
      <c r="Q76" s="229"/>
      <c r="R76" s="235" t="str">
        <f>IF(F76="","",IF(Regn2!S82=2,"Nedm.",Regn2!BC82))</f>
        <v/>
      </c>
      <c r="S76" s="229" t="str">
        <f t="shared" si="13"/>
        <v/>
      </c>
      <c r="T76" s="229"/>
      <c r="U76" s="235" t="str">
        <f>IF(F76="","",Regn2!FR82)</f>
        <v/>
      </c>
      <c r="V76" s="229" t="str">
        <f t="shared" si="14"/>
        <v/>
      </c>
      <c r="W76" s="229"/>
      <c r="X76" s="236" t="str">
        <f>IF(F76="","",Regn2!IC82)</f>
        <v/>
      </c>
      <c r="Y76" s="229" t="str">
        <f t="shared" si="15"/>
        <v/>
      </c>
      <c r="Z76" s="229"/>
      <c r="AA76" s="235" t="str">
        <f>IF(F76="","",Regn2!IE82)</f>
        <v/>
      </c>
      <c r="AB76" s="229" t="str">
        <f t="shared" si="16"/>
        <v/>
      </c>
      <c r="AC76" s="229"/>
      <c r="AD76" s="235" t="str">
        <f>IF(F76="","",Regn2!IF82)</f>
        <v/>
      </c>
      <c r="AE76" s="229" t="str">
        <f t="shared" si="17"/>
        <v/>
      </c>
    </row>
    <row r="77" spans="2:31" x14ac:dyDescent="0.2">
      <c r="B77" s="233"/>
      <c r="C77" s="229"/>
      <c r="D77" s="229"/>
      <c r="E77" s="229"/>
      <c r="F77" s="229"/>
      <c r="G77" s="229"/>
      <c r="H77" s="229"/>
      <c r="I77" s="229"/>
      <c r="J77" s="229"/>
      <c r="K77" s="229"/>
      <c r="L77" s="234"/>
      <c r="M77" s="234"/>
      <c r="N77" s="229"/>
      <c r="O77" s="229"/>
      <c r="P77" s="229"/>
      <c r="Q77" s="229"/>
      <c r="R77" s="235"/>
      <c r="S77" s="229"/>
      <c r="T77" s="229"/>
      <c r="U77" s="235"/>
      <c r="V77" s="229"/>
      <c r="W77" s="229"/>
      <c r="X77" s="236"/>
      <c r="Y77" s="229"/>
      <c r="Z77" s="229"/>
      <c r="AA77" s="235"/>
      <c r="AB77" s="229"/>
      <c r="AC77" s="229"/>
      <c r="AD77" s="235"/>
      <c r="AE77" s="229"/>
    </row>
    <row r="78" spans="2:31" x14ac:dyDescent="0.2">
      <c r="B78" s="233">
        <f>Regn2!A84</f>
        <v>0</v>
      </c>
      <c r="C78" s="229"/>
      <c r="D78" s="229" t="str">
        <f>IF(ISERROR(VLOOKUP(Regn2!B84,Jordtype,2)),"",IF(F78="","",VLOOKUP(Regn2!B84,Jordtype,2)))</f>
        <v/>
      </c>
      <c r="E78" s="229"/>
      <c r="F78" s="229" t="str">
        <f>IF(OR(ISERROR(VLOOKUP(Regn2!R84,Afgr,2)),VLOOKUP(Regn2!R84,Afgr,2)=0),"",VLOOKUP(Regn2!R84,Afgr,2))</f>
        <v/>
      </c>
      <c r="G78" s="229"/>
      <c r="H78" s="229" t="str">
        <f>IF(Regn2!T84&lt;=1,"",VLOOKUP(Regn2!T84,Efgr,2))</f>
        <v/>
      </c>
      <c r="I78" s="229"/>
      <c r="J78" s="229" t="str">
        <f>IF(OR(ISERROR(VLOOKUP(Regn2!X84,Afgr,2)),VLOOKUP(Regn2!X84,Afgr,2)=0),"",VLOOKUP(Regn2!X84,Afgr,2))</f>
        <v/>
      </c>
      <c r="K78" s="229"/>
      <c r="L78" s="234" t="str">
        <f>IF(Regn2!Z84=0,"",Regn2!Z84)</f>
        <v/>
      </c>
      <c r="M78" s="234" t="str">
        <f t="shared" si="12"/>
        <v/>
      </c>
      <c r="N78" s="229"/>
      <c r="O78" s="229" t="str">
        <f>IF(Regn2!AM84=0,"",Regn2!AM84)</f>
        <v/>
      </c>
      <c r="P78" s="229" t="str">
        <f>IF(O78="","",Regn2!AO84)</f>
        <v/>
      </c>
      <c r="Q78" s="229"/>
      <c r="R78" s="235" t="str">
        <f>IF(F78="","",IF(Regn2!S84=2,"Nedm.",Regn2!BC84))</f>
        <v/>
      </c>
      <c r="S78" s="229" t="str">
        <f t="shared" si="13"/>
        <v/>
      </c>
      <c r="T78" s="229"/>
      <c r="U78" s="235" t="str">
        <f>IF(F78="","",Regn2!FR84)</f>
        <v/>
      </c>
      <c r="V78" s="229" t="str">
        <f t="shared" si="14"/>
        <v/>
      </c>
      <c r="W78" s="229"/>
      <c r="X78" s="236" t="str">
        <f>IF(F78="","",Regn2!IC84)</f>
        <v/>
      </c>
      <c r="Y78" s="229" t="str">
        <f t="shared" si="15"/>
        <v/>
      </c>
      <c r="Z78" s="229"/>
      <c r="AA78" s="235" t="str">
        <f>IF(F78="","",Regn2!IE84)</f>
        <v/>
      </c>
      <c r="AB78" s="229" t="str">
        <f t="shared" si="16"/>
        <v/>
      </c>
      <c r="AC78" s="229"/>
      <c r="AD78" s="235" t="str">
        <f>IF(F78="","",Regn2!IF84)</f>
        <v/>
      </c>
      <c r="AE78" s="229" t="str">
        <f t="shared" si="17"/>
        <v/>
      </c>
    </row>
    <row r="79" spans="2:31" x14ac:dyDescent="0.2">
      <c r="B79" s="233"/>
      <c r="C79" s="229"/>
      <c r="D79" s="229"/>
      <c r="E79" s="229"/>
      <c r="F79" s="229"/>
      <c r="G79" s="229"/>
      <c r="H79" s="229"/>
      <c r="I79" s="229"/>
      <c r="J79" s="229"/>
      <c r="K79" s="229"/>
      <c r="L79" s="234"/>
      <c r="M79" s="234"/>
      <c r="N79" s="229"/>
      <c r="O79" s="229"/>
      <c r="P79" s="229"/>
      <c r="Q79" s="229"/>
      <c r="R79" s="235"/>
      <c r="S79" s="229"/>
      <c r="T79" s="229"/>
      <c r="U79" s="235"/>
      <c r="V79" s="229"/>
      <c r="W79" s="229"/>
      <c r="X79" s="236"/>
      <c r="Y79" s="229"/>
      <c r="Z79" s="229"/>
      <c r="AA79" s="235"/>
      <c r="AB79" s="229"/>
      <c r="AC79" s="229"/>
      <c r="AD79" s="235"/>
      <c r="AE79" s="229"/>
    </row>
    <row r="80" spans="2:31" x14ac:dyDescent="0.2">
      <c r="B80" s="233">
        <f>Regn2!A86</f>
        <v>0</v>
      </c>
      <c r="C80" s="229"/>
      <c r="D80" s="229" t="str">
        <f>IF(ISERROR(VLOOKUP(Regn2!B86,Jordtype,2)),"",IF(F80="","",VLOOKUP(Regn2!B86,Jordtype,2)))</f>
        <v/>
      </c>
      <c r="E80" s="229"/>
      <c r="F80" s="229" t="str">
        <f>IF(OR(ISERROR(VLOOKUP(Regn2!R86,Afgr,2)),VLOOKUP(Regn2!R86,Afgr,2)=0),"",VLOOKUP(Regn2!R86,Afgr,2))</f>
        <v/>
      </c>
      <c r="G80" s="229"/>
      <c r="H80" s="229" t="str">
        <f>IF(Regn2!T86&lt;=1,"",VLOOKUP(Regn2!T86,Efgr,2))</f>
        <v/>
      </c>
      <c r="I80" s="229"/>
      <c r="J80" s="229" t="str">
        <f>IF(OR(ISERROR(VLOOKUP(Regn2!X86,Afgr,2)),VLOOKUP(Regn2!X86,Afgr,2)=0),"",VLOOKUP(Regn2!X86,Afgr,2))</f>
        <v/>
      </c>
      <c r="K80" s="229"/>
      <c r="L80" s="234" t="str">
        <f>IF(Regn2!Z86=0,"",Regn2!Z86)</f>
        <v/>
      </c>
      <c r="M80" s="234" t="str">
        <f t="shared" si="12"/>
        <v/>
      </c>
      <c r="N80" s="229"/>
      <c r="O80" s="229" t="str">
        <f>IF(Regn2!AM86=0,"",Regn2!AM86)</f>
        <v/>
      </c>
      <c r="P80" s="229" t="str">
        <f>IF(O80="","",Regn2!AO86)</f>
        <v/>
      </c>
      <c r="Q80" s="229"/>
      <c r="R80" s="235" t="str">
        <f>IF(F80="","",IF(Regn2!S86=2,"Nedm.",Regn2!BC86))</f>
        <v/>
      </c>
      <c r="S80" s="229" t="str">
        <f t="shared" si="13"/>
        <v/>
      </c>
      <c r="T80" s="229"/>
      <c r="U80" s="235" t="str">
        <f>IF(F80="","",Regn2!FR86)</f>
        <v/>
      </c>
      <c r="V80" s="229" t="str">
        <f t="shared" si="14"/>
        <v/>
      </c>
      <c r="W80" s="229"/>
      <c r="X80" s="236" t="str">
        <f>IF(F80="","",Regn2!IC86)</f>
        <v/>
      </c>
      <c r="Y80" s="229" t="str">
        <f t="shared" si="15"/>
        <v/>
      </c>
      <c r="Z80" s="229"/>
      <c r="AA80" s="235" t="str">
        <f>IF(F80="","",Regn2!IE86)</f>
        <v/>
      </c>
      <c r="AB80" s="229" t="str">
        <f t="shared" si="16"/>
        <v/>
      </c>
      <c r="AC80" s="229"/>
      <c r="AD80" s="235" t="str">
        <f>IF(F80="","",Regn2!IF86)</f>
        <v/>
      </c>
      <c r="AE80" s="229" t="str">
        <f t="shared" si="17"/>
        <v/>
      </c>
    </row>
    <row r="81" spans="2:31" x14ac:dyDescent="0.2">
      <c r="B81" s="233"/>
      <c r="C81" s="229"/>
      <c r="D81" s="229"/>
      <c r="E81" s="229"/>
      <c r="F81" s="229"/>
      <c r="G81" s="229"/>
      <c r="H81" s="229"/>
      <c r="I81" s="229"/>
      <c r="J81" s="229"/>
      <c r="K81" s="229"/>
      <c r="L81" s="234"/>
      <c r="M81" s="234"/>
      <c r="N81" s="229"/>
      <c r="O81" s="229"/>
      <c r="P81" s="229"/>
      <c r="Q81" s="229"/>
      <c r="R81" s="235"/>
      <c r="S81" s="229"/>
      <c r="T81" s="229"/>
      <c r="U81" s="235"/>
      <c r="V81" s="229"/>
      <c r="W81" s="229"/>
      <c r="X81" s="236"/>
      <c r="Y81" s="229"/>
      <c r="Z81" s="229"/>
      <c r="AA81" s="235"/>
      <c r="AB81" s="229"/>
      <c r="AC81" s="229"/>
      <c r="AD81" s="235"/>
      <c r="AE81" s="229"/>
    </row>
    <row r="82" spans="2:31" x14ac:dyDescent="0.2">
      <c r="B82" s="233">
        <f>Regn2!A88</f>
        <v>0</v>
      </c>
      <c r="C82" s="229"/>
      <c r="D82" s="229" t="str">
        <f>IF(ISERROR(VLOOKUP(Regn2!B88,Jordtype,2)),"",IF(F82="","",VLOOKUP(Regn2!B88,Jordtype,2)))</f>
        <v/>
      </c>
      <c r="E82" s="229"/>
      <c r="F82" s="229" t="str">
        <f>IF(OR(ISERROR(VLOOKUP(Regn2!R88,Afgr,2)),VLOOKUP(Regn2!R88,Afgr,2)=0),"",VLOOKUP(Regn2!R88,Afgr,2))</f>
        <v/>
      </c>
      <c r="G82" s="229"/>
      <c r="H82" s="229" t="str">
        <f>IF(Regn2!T88&lt;=1,"",VLOOKUP(Regn2!T88,Efgr,2))</f>
        <v/>
      </c>
      <c r="I82" s="229"/>
      <c r="J82" s="229" t="str">
        <f>IF(OR(ISERROR(VLOOKUP(Regn2!X88,Afgr,2)),VLOOKUP(Regn2!X88,Afgr,2)=0),"",VLOOKUP(Regn2!X88,Afgr,2))</f>
        <v/>
      </c>
      <c r="K82" s="229"/>
      <c r="L82" s="234" t="str">
        <f>IF(Regn2!Z88=0,"",Regn2!Z88)</f>
        <v/>
      </c>
      <c r="M82" s="234" t="str">
        <f t="shared" si="12"/>
        <v/>
      </c>
      <c r="N82" s="229"/>
      <c r="O82" s="229" t="str">
        <f>IF(Regn2!AM88=0,"",Regn2!AM88)</f>
        <v/>
      </c>
      <c r="P82" s="229" t="str">
        <f>IF(O82="","",Regn2!AO88)</f>
        <v/>
      </c>
      <c r="Q82" s="229"/>
      <c r="R82" s="235" t="str">
        <f>IF(F82="","",IF(Regn2!S88=2,"Nedm.",Regn2!BC88))</f>
        <v/>
      </c>
      <c r="S82" s="229" t="str">
        <f t="shared" si="13"/>
        <v/>
      </c>
      <c r="T82" s="229"/>
      <c r="U82" s="235" t="str">
        <f>IF(F82="","",Regn2!FR88)</f>
        <v/>
      </c>
      <c r="V82" s="229" t="str">
        <f t="shared" si="14"/>
        <v/>
      </c>
      <c r="W82" s="229"/>
      <c r="X82" s="236" t="str">
        <f>IF(F82="","",Regn2!IC88)</f>
        <v/>
      </c>
      <c r="Y82" s="229" t="str">
        <f t="shared" si="15"/>
        <v/>
      </c>
      <c r="Z82" s="229"/>
      <c r="AA82" s="235" t="str">
        <f>IF(F82="","",Regn2!IE88)</f>
        <v/>
      </c>
      <c r="AB82" s="229" t="str">
        <f t="shared" si="16"/>
        <v/>
      </c>
      <c r="AC82" s="229"/>
      <c r="AD82" s="235" t="str">
        <f>IF(F82="","",Regn2!IF88)</f>
        <v/>
      </c>
      <c r="AE82" s="229" t="str">
        <f t="shared" si="17"/>
        <v/>
      </c>
    </row>
    <row r="83" spans="2:31" x14ac:dyDescent="0.2">
      <c r="B83" s="233"/>
      <c r="C83" s="229"/>
      <c r="D83" s="229"/>
      <c r="E83" s="229"/>
      <c r="F83" s="229"/>
      <c r="G83" s="229"/>
      <c r="H83" s="229"/>
      <c r="I83" s="229"/>
      <c r="J83" s="229"/>
      <c r="K83" s="229"/>
      <c r="L83" s="234"/>
      <c r="M83" s="234"/>
      <c r="N83" s="229"/>
      <c r="O83" s="229"/>
      <c r="P83" s="229"/>
      <c r="Q83" s="229"/>
      <c r="R83" s="235"/>
      <c r="S83" s="229"/>
      <c r="T83" s="229"/>
      <c r="U83" s="235"/>
      <c r="V83" s="229"/>
      <c r="W83" s="229"/>
      <c r="X83" s="236"/>
      <c r="Y83" s="229"/>
      <c r="Z83" s="229"/>
      <c r="AA83" s="235"/>
      <c r="AB83" s="229"/>
      <c r="AC83" s="229"/>
      <c r="AD83" s="235"/>
      <c r="AE83" s="229"/>
    </row>
    <row r="84" spans="2:31" x14ac:dyDescent="0.2">
      <c r="B84" s="233">
        <f>Regn2!A90</f>
        <v>0</v>
      </c>
      <c r="C84" s="229"/>
      <c r="D84" s="229" t="str">
        <f>IF(ISERROR(VLOOKUP(Regn2!B90,Jordtype,2)),"",IF(F84="","",VLOOKUP(Regn2!B90,Jordtype,2)))</f>
        <v/>
      </c>
      <c r="E84" s="229"/>
      <c r="F84" s="229" t="str">
        <f>IF(OR(ISERROR(VLOOKUP(Regn2!R90,Afgr,2)),VLOOKUP(Regn2!R90,Afgr,2)=0),"",VLOOKUP(Regn2!R90,Afgr,2))</f>
        <v/>
      </c>
      <c r="G84" s="229"/>
      <c r="H84" s="229" t="str">
        <f>IF(Regn2!T90&lt;=1,"",VLOOKUP(Regn2!T90,Efgr,2))</f>
        <v/>
      </c>
      <c r="I84" s="229"/>
      <c r="J84" s="229" t="str">
        <f>IF(OR(ISERROR(VLOOKUP(Regn2!X90,Afgr,2)),VLOOKUP(Regn2!X90,Afgr,2)=0),"",VLOOKUP(Regn2!X90,Afgr,2))</f>
        <v/>
      </c>
      <c r="K84" s="229"/>
      <c r="L84" s="234" t="str">
        <f>IF(Regn2!Z90=0,"",Regn2!Z90)</f>
        <v/>
      </c>
      <c r="M84" s="234" t="str">
        <f t="shared" si="12"/>
        <v/>
      </c>
      <c r="N84" s="229"/>
      <c r="O84" s="229" t="str">
        <f>IF(Regn2!AM90=0,"",Regn2!AM90)</f>
        <v/>
      </c>
      <c r="P84" s="229" t="str">
        <f>IF(O84="","",Regn2!AO90)</f>
        <v/>
      </c>
      <c r="Q84" s="229"/>
      <c r="R84" s="235" t="str">
        <f>IF(F84="","",IF(Regn2!S90=2,"Nedm.",Regn2!BC90))</f>
        <v/>
      </c>
      <c r="S84" s="229" t="str">
        <f t="shared" si="13"/>
        <v/>
      </c>
      <c r="T84" s="229"/>
      <c r="U84" s="235" t="str">
        <f>IF(F84="","",Regn2!FR90)</f>
        <v/>
      </c>
      <c r="V84" s="229" t="str">
        <f t="shared" si="14"/>
        <v/>
      </c>
      <c r="W84" s="229"/>
      <c r="X84" s="236" t="str">
        <f>IF(F84="","",Regn2!IC90)</f>
        <v/>
      </c>
      <c r="Y84" s="229" t="str">
        <f t="shared" si="15"/>
        <v/>
      </c>
      <c r="Z84" s="229"/>
      <c r="AA84" s="235" t="str">
        <f>IF(F84="","",Regn2!IE90)</f>
        <v/>
      </c>
      <c r="AB84" s="229" t="str">
        <f t="shared" si="16"/>
        <v/>
      </c>
      <c r="AC84" s="229"/>
      <c r="AD84" s="235" t="str">
        <f>IF(F84="","",Regn2!IF90)</f>
        <v/>
      </c>
      <c r="AE84" s="229" t="str">
        <f t="shared" si="17"/>
        <v/>
      </c>
    </row>
    <row r="85" spans="2:31" x14ac:dyDescent="0.2">
      <c r="B85" s="233"/>
      <c r="C85" s="229"/>
      <c r="D85" s="229"/>
      <c r="E85" s="229"/>
      <c r="F85" s="229"/>
      <c r="G85" s="229"/>
      <c r="H85" s="229"/>
      <c r="I85" s="229"/>
      <c r="J85" s="229"/>
      <c r="K85" s="229"/>
      <c r="L85" s="234"/>
      <c r="M85" s="234"/>
      <c r="N85" s="229"/>
      <c r="O85" s="229"/>
      <c r="P85" s="229"/>
      <c r="Q85" s="229"/>
      <c r="R85" s="235"/>
      <c r="S85" s="229"/>
      <c r="T85" s="229"/>
      <c r="U85" s="235"/>
      <c r="V85" s="229"/>
      <c r="W85" s="229"/>
      <c r="X85" s="236"/>
      <c r="Y85" s="229"/>
      <c r="Z85" s="229"/>
      <c r="AA85" s="235"/>
      <c r="AB85" s="229"/>
      <c r="AC85" s="229"/>
      <c r="AD85" s="235"/>
      <c r="AE85" s="229"/>
    </row>
    <row r="86" spans="2:31" x14ac:dyDescent="0.2">
      <c r="B86" s="233">
        <f>Regn2!A92</f>
        <v>0</v>
      </c>
      <c r="C86" s="229"/>
      <c r="D86" s="229" t="str">
        <f>IF(ISERROR(VLOOKUP(Regn2!B92,Jordtype,2)),"",IF(F86="","",VLOOKUP(Regn2!B92,Jordtype,2)))</f>
        <v/>
      </c>
      <c r="E86" s="229"/>
      <c r="F86" s="229" t="str">
        <f>IF(OR(ISERROR(VLOOKUP(Regn2!R92,Afgr,2)),VLOOKUP(Regn2!R92,Afgr,2)=0),"",VLOOKUP(Regn2!R92,Afgr,2))</f>
        <v/>
      </c>
      <c r="G86" s="229"/>
      <c r="H86" s="229" t="str">
        <f>IF(Regn2!T92&lt;=1,"",VLOOKUP(Regn2!T92,Efgr,2))</f>
        <v/>
      </c>
      <c r="I86" s="229"/>
      <c r="J86" s="229" t="str">
        <f>IF(OR(ISERROR(VLOOKUP(Regn2!X92,Afgr,2)),VLOOKUP(Regn2!X92,Afgr,2)=0),"",VLOOKUP(Regn2!X92,Afgr,2))</f>
        <v/>
      </c>
      <c r="K86" s="229"/>
      <c r="L86" s="234" t="str">
        <f>IF(Regn2!Z92=0,"",Regn2!Z92)</f>
        <v/>
      </c>
      <c r="M86" s="234" t="str">
        <f t="shared" si="12"/>
        <v/>
      </c>
      <c r="N86" s="229"/>
      <c r="O86" s="229" t="str">
        <f>IF(Regn2!AM92=0,"",Regn2!AM92)</f>
        <v/>
      </c>
      <c r="P86" s="229" t="str">
        <f>IF(O86="","",Regn2!AO92)</f>
        <v/>
      </c>
      <c r="Q86" s="229"/>
      <c r="R86" s="235" t="str">
        <f>IF(F86="","",IF(Regn2!S92=2,"Nedm.",Regn2!BC92))</f>
        <v/>
      </c>
      <c r="S86" s="229" t="str">
        <f t="shared" si="13"/>
        <v/>
      </c>
      <c r="T86" s="229"/>
      <c r="U86" s="235" t="str">
        <f>IF(F86="","",Regn2!FR92)</f>
        <v/>
      </c>
      <c r="V86" s="229" t="str">
        <f t="shared" si="14"/>
        <v/>
      </c>
      <c r="W86" s="229"/>
      <c r="X86" s="236" t="str">
        <f>IF(F86="","",Regn2!IC92)</f>
        <v/>
      </c>
      <c r="Y86" s="229" t="str">
        <f t="shared" si="15"/>
        <v/>
      </c>
      <c r="Z86" s="229"/>
      <c r="AA86" s="235" t="str">
        <f>IF(F86="","",Regn2!IE92)</f>
        <v/>
      </c>
      <c r="AB86" s="229" t="str">
        <f t="shared" si="16"/>
        <v/>
      </c>
      <c r="AC86" s="229"/>
      <c r="AD86" s="235" t="str">
        <f>IF(F86="","",Regn2!IF92)</f>
        <v/>
      </c>
      <c r="AE86" s="229" t="str">
        <f t="shared" si="17"/>
        <v/>
      </c>
    </row>
    <row r="87" spans="2:31" x14ac:dyDescent="0.2">
      <c r="B87" s="233"/>
      <c r="C87" s="229"/>
      <c r="D87" s="229"/>
      <c r="E87" s="229"/>
      <c r="F87" s="229"/>
      <c r="G87" s="229"/>
      <c r="H87" s="229"/>
      <c r="I87" s="229"/>
      <c r="J87" s="229"/>
      <c r="K87" s="229"/>
      <c r="L87" s="234"/>
      <c r="M87" s="234"/>
      <c r="N87" s="229"/>
      <c r="O87" s="229"/>
      <c r="P87" s="229"/>
      <c r="Q87" s="229"/>
      <c r="R87" s="235"/>
      <c r="S87" s="229"/>
      <c r="T87" s="229"/>
      <c r="U87" s="235"/>
      <c r="V87" s="229"/>
      <c r="W87" s="229"/>
      <c r="X87" s="236"/>
      <c r="Y87" s="229"/>
      <c r="Z87" s="229"/>
      <c r="AA87" s="235"/>
      <c r="AB87" s="229"/>
      <c r="AC87" s="229"/>
      <c r="AD87" s="235"/>
      <c r="AE87" s="229"/>
    </row>
    <row r="88" spans="2:31" x14ac:dyDescent="0.2">
      <c r="B88" s="233">
        <f>Regn2!A94</f>
        <v>0</v>
      </c>
      <c r="C88" s="229"/>
      <c r="D88" s="229" t="str">
        <f>IF(ISERROR(VLOOKUP(Regn2!B94,Jordtype,2)),"",IF(F88="","",VLOOKUP(Regn2!B94,Jordtype,2)))</f>
        <v/>
      </c>
      <c r="E88" s="229"/>
      <c r="F88" s="229" t="str">
        <f>IF(OR(ISERROR(VLOOKUP(Regn2!R94,Afgr,2)),VLOOKUP(Regn2!R94,Afgr,2)=0),"",VLOOKUP(Regn2!R94,Afgr,2))</f>
        <v/>
      </c>
      <c r="G88" s="229"/>
      <c r="H88" s="229" t="str">
        <f>IF(Regn2!T94&lt;=1,"",VLOOKUP(Regn2!T94,Efgr,2))</f>
        <v/>
      </c>
      <c r="I88" s="229"/>
      <c r="J88" s="229" t="str">
        <f>IF(OR(ISERROR(VLOOKUP(Regn2!X94,Afgr,2)),VLOOKUP(Regn2!X94,Afgr,2)=0),"",VLOOKUP(Regn2!X94,Afgr,2))</f>
        <v/>
      </c>
      <c r="K88" s="229"/>
      <c r="L88" s="234" t="str">
        <f>IF(Regn2!Z94=0,"",Regn2!Z94)</f>
        <v/>
      </c>
      <c r="M88" s="234" t="str">
        <f t="shared" si="12"/>
        <v/>
      </c>
      <c r="N88" s="229"/>
      <c r="O88" s="229" t="str">
        <f>IF(Regn2!AM94=0,"",Regn2!AM94)</f>
        <v/>
      </c>
      <c r="P88" s="229" t="str">
        <f>IF(O88="","",Regn2!AO94)</f>
        <v/>
      </c>
      <c r="Q88" s="229"/>
      <c r="R88" s="235" t="str">
        <f>IF(F88="","",IF(Regn2!S94=2,"Nedm.",Regn2!BC94))</f>
        <v/>
      </c>
      <c r="S88" s="229" t="str">
        <f t="shared" si="13"/>
        <v/>
      </c>
      <c r="T88" s="229"/>
      <c r="U88" s="235" t="str">
        <f>IF(F88="","",Regn2!FR94)</f>
        <v/>
      </c>
      <c r="V88" s="229" t="str">
        <f t="shared" si="14"/>
        <v/>
      </c>
      <c r="W88" s="229"/>
      <c r="X88" s="236" t="str">
        <f>IF(F88="","",Regn2!IC94)</f>
        <v/>
      </c>
      <c r="Y88" s="229" t="str">
        <f t="shared" si="15"/>
        <v/>
      </c>
      <c r="Z88" s="229"/>
      <c r="AA88" s="235" t="str">
        <f>IF(F88="","",Regn2!IE94)</f>
        <v/>
      </c>
      <c r="AB88" s="229" t="str">
        <f t="shared" si="16"/>
        <v/>
      </c>
      <c r="AC88" s="229"/>
      <c r="AD88" s="235" t="str">
        <f>IF(F88="","",Regn2!IF94)</f>
        <v/>
      </c>
      <c r="AE88" s="229" t="str">
        <f t="shared" si="17"/>
        <v/>
      </c>
    </row>
    <row r="89" spans="2:31" x14ac:dyDescent="0.2">
      <c r="B89" s="233"/>
      <c r="C89" s="229"/>
      <c r="D89" s="229"/>
      <c r="E89" s="229"/>
      <c r="F89" s="229"/>
      <c r="G89" s="229"/>
      <c r="H89" s="229"/>
      <c r="I89" s="229"/>
      <c r="J89" s="229"/>
      <c r="K89" s="229"/>
      <c r="L89" s="234"/>
      <c r="M89" s="234"/>
      <c r="N89" s="229"/>
      <c r="O89" s="229"/>
      <c r="P89" s="229"/>
      <c r="Q89" s="229"/>
      <c r="R89" s="235"/>
      <c r="S89" s="229"/>
      <c r="T89" s="229"/>
      <c r="U89" s="235"/>
      <c r="V89" s="229"/>
      <c r="W89" s="229"/>
      <c r="X89" s="236"/>
      <c r="Y89" s="229"/>
      <c r="Z89" s="229"/>
      <c r="AA89" s="235"/>
      <c r="AB89" s="229"/>
      <c r="AC89" s="229"/>
      <c r="AD89" s="235"/>
      <c r="AE89" s="229"/>
    </row>
    <row r="90" spans="2:31" x14ac:dyDescent="0.2">
      <c r="B90" s="233">
        <f>Regn2!A96</f>
        <v>0</v>
      </c>
      <c r="C90" s="229"/>
      <c r="D90" s="229" t="str">
        <f>IF(ISERROR(VLOOKUP(Regn2!B96,Jordtype,2)),"",IF(F90="","",VLOOKUP(Regn2!B96,Jordtype,2)))</f>
        <v/>
      </c>
      <c r="E90" s="229"/>
      <c r="F90" s="229" t="str">
        <f>IF(OR(ISERROR(VLOOKUP(Regn2!R96,Afgr,2)),VLOOKUP(Regn2!R96,Afgr,2)=0),"",VLOOKUP(Regn2!R96,Afgr,2))</f>
        <v/>
      </c>
      <c r="G90" s="229"/>
      <c r="H90" s="229" t="str">
        <f>IF(Regn2!T96&lt;=1,"",VLOOKUP(Regn2!T96,Efgr,2))</f>
        <v/>
      </c>
      <c r="I90" s="229"/>
      <c r="J90" s="229" t="str">
        <f>IF(OR(ISERROR(VLOOKUP(Regn2!X96,Afgr,2)),VLOOKUP(Regn2!X96,Afgr,2)=0),"",VLOOKUP(Regn2!X96,Afgr,2))</f>
        <v/>
      </c>
      <c r="K90" s="229"/>
      <c r="L90" s="234" t="str">
        <f>IF(Regn2!Z96=0,"",Regn2!Z96)</f>
        <v/>
      </c>
      <c r="M90" s="234" t="str">
        <f t="shared" si="12"/>
        <v/>
      </c>
      <c r="N90" s="229"/>
      <c r="O90" s="229" t="str">
        <f>IF(Regn2!AM96=0,"",Regn2!AM96)</f>
        <v/>
      </c>
      <c r="P90" s="229" t="str">
        <f>IF(O90="","",Regn2!AO96)</f>
        <v/>
      </c>
      <c r="Q90" s="229"/>
      <c r="R90" s="235" t="str">
        <f>IF(F90="","",IF(Regn2!S96=2,"Nedm.",Regn2!BC96))</f>
        <v/>
      </c>
      <c r="S90" s="229" t="str">
        <f t="shared" si="13"/>
        <v/>
      </c>
      <c r="T90" s="229"/>
      <c r="U90" s="235" t="str">
        <f>IF(F90="","",Regn2!FR96)</f>
        <v/>
      </c>
      <c r="V90" s="229" t="str">
        <f t="shared" si="14"/>
        <v/>
      </c>
      <c r="W90" s="229"/>
      <c r="X90" s="236" t="str">
        <f>IF(F90="","",Regn2!IC96)</f>
        <v/>
      </c>
      <c r="Y90" s="229" t="str">
        <f t="shared" si="15"/>
        <v/>
      </c>
      <c r="Z90" s="229"/>
      <c r="AA90" s="235" t="str">
        <f>IF(F90="","",Regn2!IE96)</f>
        <v/>
      </c>
      <c r="AB90" s="229" t="str">
        <f t="shared" si="16"/>
        <v/>
      </c>
      <c r="AC90" s="229"/>
      <c r="AD90" s="235" t="str">
        <f>IF(F90="","",Regn2!IF96)</f>
        <v/>
      </c>
      <c r="AE90" s="229" t="str">
        <f t="shared" si="17"/>
        <v/>
      </c>
    </row>
    <row r="91" spans="2:31" x14ac:dyDescent="0.2">
      <c r="B91" s="233"/>
      <c r="C91" s="229"/>
      <c r="D91" s="229"/>
      <c r="E91" s="229"/>
      <c r="F91" s="229"/>
      <c r="G91" s="229"/>
      <c r="H91" s="229"/>
      <c r="I91" s="229"/>
      <c r="J91" s="229"/>
      <c r="K91" s="229"/>
      <c r="L91" s="234"/>
      <c r="M91" s="234"/>
      <c r="N91" s="229"/>
      <c r="O91" s="229"/>
      <c r="P91" s="229"/>
      <c r="Q91" s="229"/>
      <c r="R91" s="235"/>
      <c r="S91" s="229"/>
      <c r="T91" s="229"/>
      <c r="U91" s="235"/>
      <c r="V91" s="229"/>
      <c r="W91" s="229"/>
      <c r="X91" s="236"/>
      <c r="Y91" s="229"/>
      <c r="Z91" s="229"/>
      <c r="AA91" s="235"/>
      <c r="AB91" s="229"/>
      <c r="AC91" s="229"/>
      <c r="AD91" s="235"/>
      <c r="AE91" s="229"/>
    </row>
    <row r="92" spans="2:31" x14ac:dyDescent="0.2">
      <c r="B92" s="233">
        <f>Regn2!A98</f>
        <v>0</v>
      </c>
      <c r="C92" s="229"/>
      <c r="D92" s="229" t="str">
        <f>IF(ISERROR(VLOOKUP(Regn2!B98,Jordtype,2)),"",IF(F92="","",VLOOKUP(Regn2!B98,Jordtype,2)))</f>
        <v/>
      </c>
      <c r="E92" s="229"/>
      <c r="F92" s="229" t="str">
        <f>IF(OR(ISERROR(VLOOKUP(Regn2!R98,Afgr,2)),VLOOKUP(Regn2!R98,Afgr,2)=0),"",VLOOKUP(Regn2!R98,Afgr,2))</f>
        <v/>
      </c>
      <c r="G92" s="229"/>
      <c r="H92" s="229" t="str">
        <f>IF(Regn2!T98&lt;=1,"",VLOOKUP(Regn2!T98,Efgr,2))</f>
        <v/>
      </c>
      <c r="I92" s="229"/>
      <c r="J92" s="229" t="str">
        <f>IF(OR(ISERROR(VLOOKUP(Regn2!X98,Afgr,2)),VLOOKUP(Regn2!X98,Afgr,2)=0),"",VLOOKUP(Regn2!X98,Afgr,2))</f>
        <v/>
      </c>
      <c r="K92" s="229"/>
      <c r="L92" s="234" t="str">
        <f>IF(Regn2!Z98=0,"",Regn2!Z98)</f>
        <v/>
      </c>
      <c r="M92" s="234" t="str">
        <f t="shared" si="12"/>
        <v/>
      </c>
      <c r="N92" s="229"/>
      <c r="O92" s="229" t="str">
        <f>IF(Regn2!AM98=0,"",Regn2!AM98)</f>
        <v/>
      </c>
      <c r="P92" s="229" t="str">
        <f>IF(O92="","",Regn2!AO98)</f>
        <v/>
      </c>
      <c r="Q92" s="229"/>
      <c r="R92" s="235" t="str">
        <f>IF(F92="","",IF(Regn2!S98=2,"Nedm.",Regn2!BC98))</f>
        <v/>
      </c>
      <c r="S92" s="229" t="str">
        <f t="shared" si="13"/>
        <v/>
      </c>
      <c r="T92" s="229"/>
      <c r="U92" s="235" t="str">
        <f>IF(F92="","",Regn2!FR98)</f>
        <v/>
      </c>
      <c r="V92" s="229" t="str">
        <f t="shared" si="14"/>
        <v/>
      </c>
      <c r="W92" s="229"/>
      <c r="X92" s="236" t="str">
        <f>IF(F92="","",Regn2!IC98)</f>
        <v/>
      </c>
      <c r="Y92" s="229" t="str">
        <f t="shared" si="15"/>
        <v/>
      </c>
      <c r="Z92" s="229"/>
      <c r="AA92" s="235" t="str">
        <f>IF(F92="","",Regn2!IE98)</f>
        <v/>
      </c>
      <c r="AB92" s="229" t="str">
        <f t="shared" si="16"/>
        <v/>
      </c>
      <c r="AC92" s="229"/>
      <c r="AD92" s="235" t="str">
        <f>IF(F92="","",Regn2!IF98)</f>
        <v/>
      </c>
      <c r="AE92" s="229" t="str">
        <f t="shared" si="17"/>
        <v/>
      </c>
    </row>
    <row r="93" spans="2:31" x14ac:dyDescent="0.2">
      <c r="B93" s="233"/>
      <c r="C93" s="229"/>
      <c r="D93" s="229"/>
      <c r="E93" s="229"/>
      <c r="F93" s="229"/>
      <c r="G93" s="229"/>
      <c r="H93" s="229"/>
      <c r="I93" s="229"/>
      <c r="J93" s="229"/>
      <c r="K93" s="229"/>
      <c r="L93" s="234"/>
      <c r="M93" s="234"/>
      <c r="N93" s="229"/>
      <c r="O93" s="229"/>
      <c r="P93" s="229"/>
      <c r="Q93" s="229"/>
      <c r="R93" s="235"/>
      <c r="S93" s="229"/>
      <c r="T93" s="229"/>
      <c r="U93" s="235"/>
      <c r="V93" s="229"/>
      <c r="W93" s="229"/>
      <c r="X93" s="236"/>
      <c r="Y93" s="229"/>
      <c r="Z93" s="229"/>
      <c r="AA93" s="235"/>
      <c r="AB93" s="229"/>
      <c r="AC93" s="229"/>
      <c r="AD93" s="235"/>
      <c r="AE93" s="229"/>
    </row>
    <row r="94" spans="2:31" x14ac:dyDescent="0.2">
      <c r="B94" s="233">
        <f>Regn2!A100</f>
        <v>0</v>
      </c>
      <c r="C94" s="229"/>
      <c r="D94" s="229" t="str">
        <f>IF(ISERROR(VLOOKUP(Regn2!B100,Jordtype,2)),"",IF(F94="","",VLOOKUP(Regn2!B100,Jordtype,2)))</f>
        <v/>
      </c>
      <c r="E94" s="229"/>
      <c r="F94" s="229" t="str">
        <f>IF(OR(ISERROR(VLOOKUP(Regn2!R100,Afgr,2)),VLOOKUP(Regn2!R100,Afgr,2)=0),"",VLOOKUP(Regn2!R100,Afgr,2))</f>
        <v/>
      </c>
      <c r="G94" s="229"/>
      <c r="H94" s="229" t="str">
        <f>IF(Regn2!T100&lt;=1,"",VLOOKUP(Regn2!T100,Efgr,2))</f>
        <v/>
      </c>
      <c r="I94" s="229"/>
      <c r="J94" s="229" t="str">
        <f>IF(OR(ISERROR(VLOOKUP(Regn2!X100,Afgr,2)),VLOOKUP(Regn2!X100,Afgr,2)=0),"",VLOOKUP(Regn2!X100,Afgr,2))</f>
        <v/>
      </c>
      <c r="K94" s="229"/>
      <c r="L94" s="234" t="str">
        <f>IF(Regn2!Z100=0,"",Regn2!Z100)</f>
        <v/>
      </c>
      <c r="M94" s="234" t="str">
        <f t="shared" si="12"/>
        <v/>
      </c>
      <c r="N94" s="229"/>
      <c r="O94" s="229" t="str">
        <f>IF(Regn2!AM100=0,"",Regn2!AM100)</f>
        <v/>
      </c>
      <c r="P94" s="229" t="str">
        <f>IF(O94="","",Regn2!AO100)</f>
        <v/>
      </c>
      <c r="Q94" s="229"/>
      <c r="R94" s="235" t="str">
        <f>IF(F94="","",IF(Regn2!S100=2,"Nedm.",Regn2!BC100))</f>
        <v/>
      </c>
      <c r="S94" s="229" t="str">
        <f t="shared" si="13"/>
        <v/>
      </c>
      <c r="T94" s="229"/>
      <c r="U94" s="235" t="str">
        <f>IF(F94="","",Regn2!FR100)</f>
        <v/>
      </c>
      <c r="V94" s="229" t="str">
        <f t="shared" si="14"/>
        <v/>
      </c>
      <c r="W94" s="229"/>
      <c r="X94" s="236" t="str">
        <f>IF(F94="","",Regn2!IC100)</f>
        <v/>
      </c>
      <c r="Y94" s="229" t="str">
        <f t="shared" si="15"/>
        <v/>
      </c>
      <c r="Z94" s="229"/>
      <c r="AA94" s="235" t="str">
        <f>IF(F94="","",Regn2!IE100)</f>
        <v/>
      </c>
      <c r="AB94" s="229" t="str">
        <f t="shared" si="16"/>
        <v/>
      </c>
      <c r="AC94" s="229"/>
      <c r="AD94" s="235" t="str">
        <f>IF(F94="","",Regn2!IF100)</f>
        <v/>
      </c>
      <c r="AE94" s="229" t="str">
        <f t="shared" si="17"/>
        <v/>
      </c>
    </row>
    <row r="95" spans="2:31" x14ac:dyDescent="0.2">
      <c r="B95" s="233"/>
      <c r="C95" s="229"/>
      <c r="D95" s="229"/>
      <c r="E95" s="229"/>
      <c r="F95" s="229"/>
      <c r="G95" s="229"/>
      <c r="H95" s="229"/>
      <c r="I95" s="229"/>
      <c r="J95" s="229"/>
      <c r="K95" s="229"/>
      <c r="L95" s="234"/>
      <c r="M95" s="234"/>
      <c r="N95" s="229"/>
      <c r="O95" s="229"/>
      <c r="P95" s="229"/>
      <c r="Q95" s="229"/>
      <c r="R95" s="235"/>
      <c r="S95" s="229"/>
      <c r="T95" s="229"/>
      <c r="U95" s="235"/>
      <c r="V95" s="229"/>
      <c r="W95" s="229"/>
      <c r="X95" s="236"/>
      <c r="Y95" s="229"/>
      <c r="Z95" s="229"/>
      <c r="AA95" s="235"/>
      <c r="AB95" s="229"/>
      <c r="AC95" s="229"/>
      <c r="AD95" s="235"/>
      <c r="AE95" s="229"/>
    </row>
    <row r="96" spans="2:31" x14ac:dyDescent="0.2">
      <c r="B96" s="233"/>
      <c r="C96" s="229"/>
      <c r="D96" s="229"/>
      <c r="E96" s="229"/>
      <c r="F96" s="229"/>
      <c r="G96" s="229"/>
      <c r="H96" s="229"/>
      <c r="I96" s="229"/>
      <c r="J96" s="229"/>
      <c r="K96" s="229"/>
      <c r="L96" s="234"/>
      <c r="M96" s="234"/>
      <c r="N96" s="229"/>
      <c r="O96" s="229"/>
      <c r="P96" s="229"/>
      <c r="Q96" s="229"/>
      <c r="R96" s="235"/>
      <c r="S96" s="229"/>
      <c r="T96" s="229"/>
      <c r="U96" s="235"/>
      <c r="V96" s="229"/>
      <c r="W96" s="229"/>
      <c r="X96" s="236"/>
      <c r="Y96" s="229"/>
      <c r="Z96" s="229"/>
      <c r="AA96" s="235"/>
      <c r="AB96" s="229"/>
      <c r="AC96" s="229"/>
      <c r="AD96" s="235"/>
      <c r="AE96" s="229"/>
    </row>
    <row r="100" spans="2:13" ht="15.75" x14ac:dyDescent="0.25">
      <c r="B100" s="138" t="s">
        <v>2303</v>
      </c>
      <c r="C100" s="229"/>
      <c r="D100" s="229"/>
      <c r="E100" s="229"/>
      <c r="F100" s="229"/>
      <c r="G100" s="229"/>
      <c r="H100" s="245" t="s">
        <v>2318</v>
      </c>
      <c r="I100" s="232"/>
      <c r="J100" s="246" t="s">
        <v>1493</v>
      </c>
      <c r="K100" s="232"/>
      <c r="L100" s="232" t="s">
        <v>1499</v>
      </c>
      <c r="M100" s="229"/>
    </row>
    <row r="101" spans="2:13" x14ac:dyDescent="0.2">
      <c r="B101" s="229"/>
      <c r="C101" s="229"/>
      <c r="D101" s="229"/>
      <c r="E101" s="229"/>
      <c r="F101" s="229"/>
      <c r="G101" s="229"/>
      <c r="H101" s="229"/>
      <c r="I101" s="229"/>
      <c r="J101" s="247"/>
      <c r="K101" s="229"/>
      <c r="L101" s="229"/>
      <c r="M101" s="229"/>
    </row>
    <row r="102" spans="2:13" x14ac:dyDescent="0.2">
      <c r="B102" s="229" t="s">
        <v>2242</v>
      </c>
      <c r="C102" s="229"/>
      <c r="D102" s="229"/>
      <c r="E102" s="229"/>
      <c r="F102" s="229"/>
      <c r="G102" s="229"/>
      <c r="H102" s="236">
        <f>Regn2!FG102</f>
        <v>5801.0499999999993</v>
      </c>
      <c r="I102" s="229"/>
      <c r="J102" s="248">
        <f>Regn2!CS102</f>
        <v>0</v>
      </c>
      <c r="K102" s="229"/>
      <c r="L102" s="236">
        <f>Regn2!DA102</f>
        <v>0</v>
      </c>
      <c r="M102" s="229"/>
    </row>
    <row r="103" spans="2:13" x14ac:dyDescent="0.2">
      <c r="B103" s="229" t="s">
        <v>138</v>
      </c>
      <c r="C103" s="229"/>
      <c r="D103" s="229"/>
      <c r="E103" s="229"/>
      <c r="F103" s="229"/>
      <c r="G103" s="229"/>
      <c r="H103" s="236">
        <f>Regn2!FI102</f>
        <v>10270.1</v>
      </c>
      <c r="I103" s="229"/>
      <c r="J103" s="248">
        <f>Regn2!CV102</f>
        <v>2001.2500000000002</v>
      </c>
      <c r="K103" s="229"/>
      <c r="L103" s="236">
        <f>Regn2!DD102</f>
        <v>6263.5100000000011</v>
      </c>
      <c r="M103" s="229"/>
    </row>
    <row r="104" spans="2:13" x14ac:dyDescent="0.2">
      <c r="B104" s="229" t="s">
        <v>1753</v>
      </c>
      <c r="C104" s="229"/>
      <c r="D104" s="229"/>
      <c r="E104" s="229"/>
      <c r="F104" s="229"/>
      <c r="G104" s="229"/>
      <c r="H104" s="236">
        <f>Regn2!FO102</f>
        <v>770.94071999999994</v>
      </c>
      <c r="I104" s="229"/>
      <c r="J104" s="247"/>
      <c r="K104" s="229"/>
      <c r="L104" s="229"/>
      <c r="M104" s="229"/>
    </row>
    <row r="105" spans="2:13" x14ac:dyDescent="0.2">
      <c r="B105" s="229" t="s">
        <v>2</v>
      </c>
      <c r="C105" s="229"/>
      <c r="D105" s="229"/>
      <c r="E105" s="229"/>
      <c r="F105" s="229"/>
      <c r="G105" s="229"/>
      <c r="H105" s="236">
        <f>Regn2!FK102</f>
        <v>242.17136480000002</v>
      </c>
      <c r="I105" s="229"/>
      <c r="J105" s="247"/>
      <c r="K105" s="229"/>
      <c r="L105" s="229"/>
      <c r="M105" s="229"/>
    </row>
    <row r="106" spans="2:13" x14ac:dyDescent="0.2">
      <c r="B106" s="229" t="s">
        <v>261</v>
      </c>
      <c r="C106" s="229"/>
      <c r="D106" s="229"/>
      <c r="E106" s="229"/>
      <c r="F106" s="229"/>
      <c r="G106" s="229"/>
      <c r="H106" s="236">
        <f>Regn2!FM102</f>
        <v>1844.7</v>
      </c>
      <c r="I106" s="229"/>
      <c r="J106" s="247"/>
      <c r="K106" s="229"/>
      <c r="L106" s="229"/>
      <c r="M106" s="229"/>
    </row>
    <row r="107" spans="2:13" x14ac:dyDescent="0.2">
      <c r="B107" s="229"/>
      <c r="C107" s="229"/>
      <c r="D107" s="229"/>
      <c r="E107" s="229"/>
      <c r="F107" s="229"/>
      <c r="G107" s="229"/>
      <c r="H107" s="229"/>
      <c r="I107" s="229"/>
      <c r="J107" s="247"/>
      <c r="K107" s="229"/>
      <c r="L107" s="229"/>
      <c r="M107" s="229"/>
    </row>
    <row r="108" spans="2:13" x14ac:dyDescent="0.2">
      <c r="B108" s="232" t="s">
        <v>2338</v>
      </c>
      <c r="C108" s="232"/>
      <c r="D108" s="232"/>
      <c r="E108" s="232"/>
      <c r="F108" s="232"/>
      <c r="G108" s="232"/>
      <c r="H108" s="244">
        <f>Regn2!FS102</f>
        <v>18928.962084800001</v>
      </c>
      <c r="I108" s="232"/>
      <c r="J108" s="249">
        <f>Regn2!FX102</f>
        <v>2001.2500000000002</v>
      </c>
      <c r="K108" s="232"/>
      <c r="L108" s="244">
        <f>Regn2!GE102</f>
        <v>6263.5100000000011</v>
      </c>
      <c r="M108" s="229"/>
    </row>
    <row r="109" spans="2:13" x14ac:dyDescent="0.2">
      <c r="B109" s="229"/>
      <c r="C109" s="229"/>
      <c r="D109" s="229"/>
      <c r="E109" s="229"/>
      <c r="F109" s="229"/>
      <c r="G109" s="229"/>
      <c r="H109" s="229"/>
      <c r="I109" s="229"/>
      <c r="J109" s="247"/>
      <c r="K109" s="229"/>
      <c r="L109" s="229"/>
      <c r="M109" s="229"/>
    </row>
    <row r="110" spans="2:13" x14ac:dyDescent="0.2">
      <c r="B110" s="229" t="s">
        <v>256</v>
      </c>
      <c r="C110" s="229"/>
      <c r="D110" s="229"/>
      <c r="E110" s="229"/>
      <c r="F110" s="229"/>
      <c r="G110" s="229"/>
      <c r="H110" s="236">
        <f>Regn2!DQ102</f>
        <v>12349.241315182229</v>
      </c>
      <c r="I110" s="229"/>
      <c r="J110" s="248">
        <f>Regn2!DT102</f>
        <v>2330.286298</v>
      </c>
      <c r="K110" s="229"/>
      <c r="L110" s="236">
        <f>Regn2!DW102</f>
        <v>4644.7953150000003</v>
      </c>
      <c r="M110" s="229"/>
    </row>
    <row r="111" spans="2:13" x14ac:dyDescent="0.2">
      <c r="B111" s="229" t="s">
        <v>2339</v>
      </c>
      <c r="C111" s="229"/>
      <c r="D111" s="229"/>
      <c r="E111" s="229"/>
      <c r="F111" s="229"/>
      <c r="G111" s="229"/>
      <c r="H111" s="236">
        <f>Regn2!EC102</f>
        <v>1633.0945927242753</v>
      </c>
      <c r="I111" s="229"/>
      <c r="J111" s="248">
        <f>Regn2!EF102</f>
        <v>239.67383947644652</v>
      </c>
      <c r="K111" s="229"/>
      <c r="L111" s="236">
        <f>Regn2!EI102</f>
        <v>3432.912889315583</v>
      </c>
      <c r="M111" s="229"/>
    </row>
    <row r="112" spans="2:13" x14ac:dyDescent="0.2">
      <c r="B112" s="229" t="s">
        <v>78</v>
      </c>
      <c r="C112" s="229"/>
      <c r="D112" s="229"/>
      <c r="E112" s="229"/>
      <c r="F112" s="229"/>
      <c r="G112" s="229"/>
      <c r="H112" s="236">
        <f>Regn2!EM102</f>
        <v>0</v>
      </c>
      <c r="I112" s="229"/>
      <c r="J112" s="248">
        <f>Regn2!EP102</f>
        <v>0</v>
      </c>
      <c r="K112" s="229"/>
      <c r="L112" s="236">
        <f>Regn2!ES102</f>
        <v>0</v>
      </c>
      <c r="M112" s="229"/>
    </row>
    <row r="113" spans="2:13" x14ac:dyDescent="0.2">
      <c r="B113" s="229"/>
      <c r="C113" s="229"/>
      <c r="D113" s="229"/>
      <c r="E113" s="229"/>
      <c r="F113" s="229"/>
      <c r="G113" s="229"/>
      <c r="H113" s="229"/>
      <c r="I113" s="229"/>
      <c r="J113" s="247"/>
      <c r="K113" s="229"/>
      <c r="L113" s="229"/>
      <c r="M113" s="229"/>
    </row>
    <row r="114" spans="2:13" x14ac:dyDescent="0.2">
      <c r="B114" s="232" t="s">
        <v>2340</v>
      </c>
      <c r="C114" s="232"/>
      <c r="D114" s="232"/>
      <c r="E114" s="232"/>
      <c r="F114" s="232"/>
      <c r="G114" s="232"/>
      <c r="H114" s="244">
        <f>Regn2!FT102</f>
        <v>13982.335907906501</v>
      </c>
      <c r="I114" s="232"/>
      <c r="J114" s="249">
        <f>Regn2!FZ102</f>
        <v>2569.960137476447</v>
      </c>
      <c r="K114" s="232"/>
      <c r="L114" s="244">
        <f>Regn2!GG102</f>
        <v>8077.7082043155824</v>
      </c>
      <c r="M114" s="229"/>
    </row>
    <row r="115" spans="2:13" x14ac:dyDescent="0.2">
      <c r="B115" s="232"/>
      <c r="C115" s="232"/>
      <c r="D115" s="232"/>
      <c r="E115" s="232"/>
      <c r="F115" s="232"/>
      <c r="G115" s="232"/>
      <c r="H115" s="232"/>
      <c r="I115" s="232"/>
      <c r="J115" s="246"/>
      <c r="K115" s="232"/>
      <c r="L115" s="232"/>
      <c r="M115" s="229"/>
    </row>
    <row r="116" spans="2:13" x14ac:dyDescent="0.2">
      <c r="B116" s="232" t="s">
        <v>2341</v>
      </c>
      <c r="C116" s="232"/>
      <c r="D116" s="232"/>
      <c r="E116" s="232"/>
      <c r="F116" s="232"/>
      <c r="G116" s="232"/>
      <c r="H116" s="244">
        <f>Regn2!FU102</f>
        <v>4946.6261768934928</v>
      </c>
      <c r="I116" s="232"/>
      <c r="J116" s="249">
        <f>Regn2!GB102</f>
        <v>-568.71013747644656</v>
      </c>
      <c r="K116" s="232"/>
      <c r="L116" s="244">
        <f>Regn2!GI102</f>
        <v>-1814.1982043155826</v>
      </c>
      <c r="M116" s="229"/>
    </row>
    <row r="117" spans="2:13" x14ac:dyDescent="0.2">
      <c r="B117" s="229"/>
      <c r="C117" s="229"/>
      <c r="D117" s="229"/>
      <c r="E117" s="229"/>
      <c r="F117" s="229"/>
      <c r="G117" s="229"/>
      <c r="H117" s="229"/>
      <c r="I117" s="229"/>
      <c r="J117" s="247"/>
      <c r="K117" s="229"/>
      <c r="L117" s="229"/>
      <c r="M117" s="229"/>
    </row>
    <row r="118" spans="2:13" x14ac:dyDescent="0.2">
      <c r="B118" s="229" t="s">
        <v>1482</v>
      </c>
      <c r="C118" s="229"/>
      <c r="D118" s="229"/>
      <c r="E118" s="229"/>
      <c r="F118" s="229"/>
      <c r="G118" s="229"/>
      <c r="H118" s="236">
        <f>Regn2!ID102</f>
        <v>3873.816196817219</v>
      </c>
      <c r="I118" s="229"/>
      <c r="J118" s="247"/>
      <c r="K118" s="229"/>
      <c r="L118" s="229"/>
      <c r="M118" s="229"/>
    </row>
    <row r="119" spans="2:13" x14ac:dyDescent="0.2">
      <c r="B119" s="229" t="s">
        <v>1484</v>
      </c>
      <c r="C119" s="229"/>
      <c r="D119" s="229"/>
      <c r="E119" s="229"/>
      <c r="F119" s="229"/>
      <c r="G119" s="229"/>
      <c r="H119" s="236">
        <f>Regn2!IG102</f>
        <v>1355.8356688860267</v>
      </c>
      <c r="I119" s="229"/>
      <c r="J119" s="247"/>
      <c r="K119" s="229"/>
      <c r="L119" s="229"/>
      <c r="M119" s="229"/>
    </row>
  </sheetData>
  <sheetProtection sheet="1" objects="1" scenarios="1"/>
  <mergeCells count="4">
    <mergeCell ref="U10:V10"/>
    <mergeCell ref="X10:Y10"/>
    <mergeCell ref="AA10:AB10"/>
    <mergeCell ref="AD10:AE10"/>
  </mergeCells>
  <pageMargins left="0.7" right="0.7"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5"/>
  <dimension ref="B1:AN67"/>
  <sheetViews>
    <sheetView workbookViewId="0">
      <selection activeCell="J5" sqref="J5"/>
    </sheetView>
  </sheetViews>
  <sheetFormatPr defaultRowHeight="15" x14ac:dyDescent="0.25"/>
  <cols>
    <col min="1" max="1" width="2.5703125" style="15" customWidth="1"/>
    <col min="2" max="2" width="11.28515625" style="15" customWidth="1"/>
    <col min="3" max="8" width="5.7109375" style="15" customWidth="1"/>
    <col min="9" max="9" width="4.7109375" style="15" customWidth="1"/>
    <col min="10" max="14" width="5.7109375" style="15" customWidth="1"/>
    <col min="15" max="15" width="7.85546875" style="15" customWidth="1"/>
    <col min="16" max="21" width="5.7109375" style="15" customWidth="1"/>
    <col min="22" max="22" width="4.7109375" style="15" customWidth="1"/>
    <col min="23" max="26" width="5.7109375" style="15" customWidth="1"/>
    <col min="27" max="40" width="5.7109375" style="15" hidden="1" customWidth="1"/>
    <col min="41" max="46" width="5.7109375" style="15" customWidth="1"/>
    <col min="47" max="16384" width="9.140625" style="15"/>
  </cols>
  <sheetData>
    <row r="1" spans="2:24" ht="18.75" x14ac:dyDescent="0.3">
      <c r="B1" s="52" t="s">
        <v>1755</v>
      </c>
    </row>
    <row r="2" spans="2:24" ht="9.9499999999999993" customHeight="1" x14ac:dyDescent="0.25"/>
    <row r="3" spans="2:24" x14ac:dyDescent="0.25">
      <c r="B3" s="267" t="s">
        <v>498</v>
      </c>
      <c r="C3" s="267"/>
      <c r="D3" s="267"/>
      <c r="E3" s="267"/>
      <c r="F3" s="267"/>
      <c r="G3" s="267"/>
      <c r="H3" s="267"/>
      <c r="O3" s="15" t="s">
        <v>1777</v>
      </c>
      <c r="T3" s="32">
        <f>Data!M45</f>
        <v>145</v>
      </c>
      <c r="U3" s="15" t="s">
        <v>440</v>
      </c>
      <c r="W3" s="16"/>
      <c r="X3" s="15" t="s">
        <v>440</v>
      </c>
    </row>
    <row r="4" spans="2:24" ht="8.1" customHeight="1" x14ac:dyDescent="0.25"/>
    <row r="5" spans="2:24" x14ac:dyDescent="0.25">
      <c r="B5" s="15" t="s">
        <v>507</v>
      </c>
      <c r="G5" s="33">
        <f>Data!L80</f>
        <v>8.4499999999999993</v>
      </c>
      <c r="H5" s="15" t="s">
        <v>188</v>
      </c>
      <c r="J5" s="38"/>
      <c r="K5" s="15" t="s">
        <v>188</v>
      </c>
      <c r="O5" s="15" t="s">
        <v>1778</v>
      </c>
      <c r="T5" s="32">
        <f>Data!M46</f>
        <v>170</v>
      </c>
      <c r="U5" s="15" t="s">
        <v>440</v>
      </c>
      <c r="W5" s="16"/>
      <c r="X5" s="15" t="s">
        <v>440</v>
      </c>
    </row>
    <row r="6" spans="2:24" ht="8.1" customHeight="1" x14ac:dyDescent="0.25"/>
    <row r="7" spans="2:24" x14ac:dyDescent="0.25">
      <c r="B7" s="15" t="s">
        <v>508</v>
      </c>
      <c r="G7" s="33">
        <f>Data!L81</f>
        <v>13.9</v>
      </c>
      <c r="H7" s="15" t="s">
        <v>188</v>
      </c>
      <c r="J7" s="38"/>
      <c r="K7" s="15" t="s">
        <v>188</v>
      </c>
      <c r="O7" s="15" t="s">
        <v>1762</v>
      </c>
      <c r="T7" s="32">
        <f>Data!M40</f>
        <v>145</v>
      </c>
      <c r="U7" s="15" t="s">
        <v>440</v>
      </c>
      <c r="W7" s="16"/>
      <c r="X7" s="15" t="s">
        <v>440</v>
      </c>
    </row>
    <row r="8" spans="2:24" ht="8.1" customHeight="1" x14ac:dyDescent="0.25"/>
    <row r="9" spans="2:24" x14ac:dyDescent="0.25">
      <c r="B9" s="15" t="s">
        <v>509</v>
      </c>
      <c r="G9" s="33">
        <f>Data!L82</f>
        <v>6.5</v>
      </c>
      <c r="H9" s="15" t="s">
        <v>188</v>
      </c>
      <c r="J9" s="38"/>
      <c r="K9" s="15" t="s">
        <v>188</v>
      </c>
      <c r="O9" s="15" t="s">
        <v>1779</v>
      </c>
      <c r="T9" s="32">
        <f>Data!M41</f>
        <v>165</v>
      </c>
      <c r="U9" s="15" t="s">
        <v>440</v>
      </c>
      <c r="W9" s="16"/>
      <c r="X9" s="15" t="s">
        <v>440</v>
      </c>
    </row>
    <row r="10" spans="2:24" ht="8.1" customHeight="1" x14ac:dyDescent="0.25"/>
    <row r="11" spans="2:24" x14ac:dyDescent="0.25">
      <c r="B11" s="15" t="s">
        <v>1756</v>
      </c>
      <c r="G11" s="32">
        <v>100</v>
      </c>
      <c r="H11" s="15" t="s">
        <v>205</v>
      </c>
      <c r="J11" s="17"/>
      <c r="K11" s="15" t="s">
        <v>205</v>
      </c>
      <c r="O11" s="15" t="s">
        <v>1763</v>
      </c>
      <c r="T11" s="32">
        <f>Data!M39</f>
        <v>145</v>
      </c>
      <c r="U11" s="15" t="s">
        <v>440</v>
      </c>
      <c r="W11" s="16"/>
      <c r="X11" s="15" t="s">
        <v>440</v>
      </c>
    </row>
    <row r="12" spans="2:24" ht="8.1" customHeight="1" x14ac:dyDescent="0.25"/>
    <row r="13" spans="2:24" x14ac:dyDescent="0.25">
      <c r="B13" s="15" t="s">
        <v>1757</v>
      </c>
      <c r="G13" s="32">
        <v>100</v>
      </c>
      <c r="H13" s="15" t="s">
        <v>205</v>
      </c>
      <c r="J13" s="17"/>
      <c r="K13" s="15" t="s">
        <v>205</v>
      </c>
      <c r="O13" s="15" t="s">
        <v>1764</v>
      </c>
      <c r="T13" s="32">
        <f>Data!M38</f>
        <v>135</v>
      </c>
      <c r="U13" s="15" t="s">
        <v>440</v>
      </c>
      <c r="W13" s="16"/>
      <c r="X13" s="15" t="s">
        <v>440</v>
      </c>
    </row>
    <row r="14" spans="2:24" ht="8.1" customHeight="1" x14ac:dyDescent="0.25"/>
    <row r="15" spans="2:24" x14ac:dyDescent="0.25">
      <c r="B15" s="15" t="s">
        <v>1759</v>
      </c>
      <c r="G15" s="32">
        <v>100</v>
      </c>
      <c r="H15" s="15" t="s">
        <v>205</v>
      </c>
      <c r="J15" s="17"/>
      <c r="K15" s="15" t="s">
        <v>205</v>
      </c>
      <c r="O15" s="15" t="s">
        <v>1765</v>
      </c>
      <c r="T15" s="32">
        <f>Data!M43</f>
        <v>135</v>
      </c>
      <c r="U15" s="15" t="s">
        <v>440</v>
      </c>
      <c r="W15" s="16"/>
      <c r="X15" s="15" t="s">
        <v>440</v>
      </c>
    </row>
    <row r="16" spans="2:24" ht="8.1" customHeight="1" x14ac:dyDescent="0.25"/>
    <row r="17" spans="2:24" x14ac:dyDescent="0.25">
      <c r="B17" s="15" t="s">
        <v>1758</v>
      </c>
      <c r="G17" s="32">
        <f>Data!L99</f>
        <v>15</v>
      </c>
      <c r="H17" s="15" t="s">
        <v>440</v>
      </c>
      <c r="J17" s="17"/>
      <c r="K17" s="15" t="s">
        <v>440</v>
      </c>
      <c r="O17" s="15" t="s">
        <v>1767</v>
      </c>
      <c r="T17" s="32">
        <f>Data!M17</f>
        <v>130</v>
      </c>
      <c r="U17" s="15" t="s">
        <v>440</v>
      </c>
      <c r="W17" s="16"/>
      <c r="X17" s="15" t="s">
        <v>440</v>
      </c>
    </row>
    <row r="18" spans="2:24" ht="8.1" customHeight="1" x14ac:dyDescent="0.25"/>
    <row r="19" spans="2:24" x14ac:dyDescent="0.25">
      <c r="B19" s="15" t="s">
        <v>2012</v>
      </c>
      <c r="G19" s="33">
        <f>Data!L100</f>
        <v>0.1</v>
      </c>
      <c r="H19" s="15" t="s">
        <v>1531</v>
      </c>
      <c r="J19" s="38"/>
      <c r="K19" s="15" t="s">
        <v>1531</v>
      </c>
      <c r="O19" s="15" t="s">
        <v>1766</v>
      </c>
      <c r="T19" s="32">
        <f>Data!M42</f>
        <v>320</v>
      </c>
      <c r="U19" s="15" t="s">
        <v>440</v>
      </c>
      <c r="W19" s="16"/>
      <c r="X19" s="15" t="s">
        <v>440</v>
      </c>
    </row>
    <row r="20" spans="2:24" ht="8.1" customHeight="1" x14ac:dyDescent="0.25"/>
    <row r="21" spans="2:24" x14ac:dyDescent="0.25">
      <c r="B21" s="15" t="s">
        <v>1785</v>
      </c>
      <c r="G21" s="33">
        <f>Data!L102</f>
        <v>1</v>
      </c>
      <c r="H21" s="15" t="s">
        <v>1786</v>
      </c>
      <c r="J21" s="38"/>
      <c r="K21" s="15" t="s">
        <v>1786</v>
      </c>
      <c r="O21" s="15" t="s">
        <v>1784</v>
      </c>
      <c r="T21" s="32">
        <f>Data!M29</f>
        <v>120</v>
      </c>
      <c r="U21" s="15" t="s">
        <v>440</v>
      </c>
      <c r="W21" s="37"/>
      <c r="X21" s="15" t="s">
        <v>440</v>
      </c>
    </row>
    <row r="22" spans="2:24" ht="8.1" customHeight="1" x14ac:dyDescent="0.25"/>
    <row r="23" spans="2:24" x14ac:dyDescent="0.25">
      <c r="B23" s="15" t="s">
        <v>1789</v>
      </c>
      <c r="G23" s="32">
        <f>Data!T196</f>
        <v>95</v>
      </c>
      <c r="H23" s="15" t="s">
        <v>82</v>
      </c>
      <c r="J23" s="17"/>
      <c r="K23" s="15" t="s">
        <v>82</v>
      </c>
      <c r="O23" s="15" t="s">
        <v>1780</v>
      </c>
      <c r="T23" s="32">
        <f>Data!M30</f>
        <v>150</v>
      </c>
      <c r="U23" s="15" t="s">
        <v>440</v>
      </c>
      <c r="W23" s="16"/>
      <c r="X23" s="15" t="s">
        <v>440</v>
      </c>
    </row>
    <row r="24" spans="2:24" ht="8.1" customHeight="1" x14ac:dyDescent="0.25"/>
    <row r="25" spans="2:24" x14ac:dyDescent="0.25">
      <c r="B25" s="15" t="s">
        <v>1787</v>
      </c>
      <c r="G25" s="32">
        <f>Data!U196</f>
        <v>18</v>
      </c>
      <c r="H25" s="15" t="s">
        <v>1504</v>
      </c>
      <c r="J25" s="17"/>
      <c r="K25" s="15" t="s">
        <v>1504</v>
      </c>
      <c r="O25" s="15" t="s">
        <v>2221</v>
      </c>
      <c r="T25" s="32">
        <f>Data!M21</f>
        <v>150</v>
      </c>
      <c r="U25" s="15" t="s">
        <v>440</v>
      </c>
      <c r="W25" s="16"/>
      <c r="X25" s="15" t="s">
        <v>440</v>
      </c>
    </row>
    <row r="26" spans="2:24" ht="8.1" customHeight="1" x14ac:dyDescent="0.25"/>
    <row r="27" spans="2:24" x14ac:dyDescent="0.25">
      <c r="B27" s="15" t="s">
        <v>1788</v>
      </c>
      <c r="G27" s="32">
        <f>Data!V196</f>
        <v>48</v>
      </c>
      <c r="H27" s="15" t="s">
        <v>1793</v>
      </c>
      <c r="J27" s="17"/>
      <c r="K27" s="15" t="s">
        <v>1793</v>
      </c>
      <c r="O27" s="15" t="s">
        <v>1768</v>
      </c>
      <c r="T27" s="32">
        <f>Data!M7</f>
        <v>1100</v>
      </c>
      <c r="U27" s="15" t="s">
        <v>440</v>
      </c>
      <c r="W27" s="16"/>
      <c r="X27" s="15" t="s">
        <v>440</v>
      </c>
    </row>
    <row r="28" spans="2:24" ht="8.1" customHeight="1" x14ac:dyDescent="0.25"/>
    <row r="29" spans="2:24" x14ac:dyDescent="0.25">
      <c r="B29" s="15" t="s">
        <v>1790</v>
      </c>
      <c r="G29" s="32">
        <f>Data!T195</f>
        <v>100</v>
      </c>
      <c r="H29" s="15" t="s">
        <v>82</v>
      </c>
      <c r="J29" s="17"/>
      <c r="K29" s="15" t="s">
        <v>82</v>
      </c>
      <c r="O29" s="15" t="s">
        <v>1769</v>
      </c>
      <c r="T29" s="32">
        <f>Data!M8</f>
        <v>1200</v>
      </c>
      <c r="U29" s="15" t="s">
        <v>440</v>
      </c>
      <c r="W29" s="16"/>
      <c r="X29" s="15" t="s">
        <v>440</v>
      </c>
    </row>
    <row r="30" spans="2:24" ht="8.1" customHeight="1" x14ac:dyDescent="0.25"/>
    <row r="31" spans="2:24" x14ac:dyDescent="0.25">
      <c r="B31" s="15" t="s">
        <v>1791</v>
      </c>
      <c r="G31" s="32">
        <f>Data!U195</f>
        <v>16</v>
      </c>
      <c r="H31" s="15" t="s">
        <v>1504</v>
      </c>
      <c r="J31" s="17"/>
      <c r="K31" s="15" t="s">
        <v>1504</v>
      </c>
      <c r="O31" s="15" t="s">
        <v>1770</v>
      </c>
      <c r="T31" s="25">
        <f>Data!M12</f>
        <v>1550</v>
      </c>
      <c r="U31" s="15" t="s">
        <v>440</v>
      </c>
      <c r="W31" s="16"/>
      <c r="X31" s="15" t="s">
        <v>440</v>
      </c>
    </row>
    <row r="32" spans="2:24" ht="8.1" customHeight="1" x14ac:dyDescent="0.25"/>
    <row r="33" spans="2:30" x14ac:dyDescent="0.25">
      <c r="B33" s="15" t="s">
        <v>1792</v>
      </c>
      <c r="G33" s="32">
        <f>Data!V195</f>
        <v>94</v>
      </c>
      <c r="H33" s="15" t="s">
        <v>1793</v>
      </c>
      <c r="J33" s="17"/>
      <c r="K33" s="15" t="s">
        <v>1793</v>
      </c>
      <c r="O33" s="15" t="s">
        <v>1771</v>
      </c>
      <c r="T33" s="25">
        <f>Data!M13</f>
        <v>1750</v>
      </c>
      <c r="U33" s="15" t="s">
        <v>440</v>
      </c>
      <c r="W33" s="16"/>
      <c r="X33" s="15" t="s">
        <v>440</v>
      </c>
    </row>
    <row r="34" spans="2:30" ht="8.1" customHeight="1" x14ac:dyDescent="0.25"/>
    <row r="35" spans="2:30" x14ac:dyDescent="0.25">
      <c r="B35" s="15" t="s">
        <v>1339</v>
      </c>
      <c r="G35" s="25">
        <f>TilskudRandzStand</f>
        <v>2100</v>
      </c>
      <c r="H35" s="15" t="s">
        <v>188</v>
      </c>
      <c r="J35" s="16"/>
      <c r="K35" s="15" t="s">
        <v>188</v>
      </c>
      <c r="O35" s="15" t="s">
        <v>1782</v>
      </c>
      <c r="T35" s="32">
        <f>Data!M35</f>
        <v>875</v>
      </c>
      <c r="U35" s="15" t="s">
        <v>440</v>
      </c>
      <c r="W35" s="16"/>
      <c r="X35" s="15" t="s">
        <v>440</v>
      </c>
    </row>
    <row r="36" spans="2:30" ht="8.1" customHeight="1" x14ac:dyDescent="0.25">
      <c r="J36" s="18"/>
    </row>
    <row r="37" spans="2:30" x14ac:dyDescent="0.25">
      <c r="B37" s="15" t="s">
        <v>1340</v>
      </c>
      <c r="G37" s="25">
        <f>TilskudVadomrStand</f>
        <v>1500</v>
      </c>
      <c r="H37" s="15" t="s">
        <v>188</v>
      </c>
      <c r="J37" s="16"/>
      <c r="K37" s="15" t="s">
        <v>188</v>
      </c>
      <c r="O37" s="15" t="s">
        <v>1772</v>
      </c>
      <c r="T37" s="32">
        <f>Data!M36</f>
        <v>120</v>
      </c>
      <c r="U37" s="15" t="s">
        <v>440</v>
      </c>
      <c r="W37" s="16"/>
      <c r="X37" s="15" t="s">
        <v>440</v>
      </c>
    </row>
    <row r="38" spans="2:30" ht="8.1" customHeight="1" x14ac:dyDescent="0.25">
      <c r="AD38" s="15" t="s">
        <v>1781</v>
      </c>
    </row>
    <row r="39" spans="2:30" x14ac:dyDescent="0.25">
      <c r="B39" s="15" t="s">
        <v>1341</v>
      </c>
      <c r="G39" s="25">
        <f>TilskudEnegipilStand</f>
        <v>500</v>
      </c>
      <c r="H39" s="15" t="s">
        <v>188</v>
      </c>
      <c r="J39" s="16"/>
      <c r="K39" s="15" t="s">
        <v>188</v>
      </c>
      <c r="O39" s="15" t="s">
        <v>1773</v>
      </c>
      <c r="T39" s="32">
        <f>Data!M37</f>
        <v>48</v>
      </c>
      <c r="U39" s="15" t="s">
        <v>440</v>
      </c>
      <c r="W39" s="16"/>
      <c r="X39" s="15" t="s">
        <v>440</v>
      </c>
      <c r="AD39" s="111">
        <v>1</v>
      </c>
    </row>
    <row r="40" spans="2:30" ht="8.1" customHeight="1" x14ac:dyDescent="0.25"/>
    <row r="41" spans="2:30" x14ac:dyDescent="0.25">
      <c r="B41" s="15" t="s">
        <v>1399</v>
      </c>
      <c r="O41" s="15" t="s">
        <v>1774</v>
      </c>
      <c r="T41" s="32">
        <f>Data!M26</f>
        <v>150</v>
      </c>
      <c r="U41" s="15" t="s">
        <v>440</v>
      </c>
      <c r="W41" s="16"/>
      <c r="X41" s="15" t="s">
        <v>440</v>
      </c>
    </row>
    <row r="42" spans="2:30" ht="8.1" customHeight="1" x14ac:dyDescent="0.25"/>
    <row r="43" spans="2:30" x14ac:dyDescent="0.25">
      <c r="B43" s="15" t="s">
        <v>1400</v>
      </c>
      <c r="H43" s="15" t="str">
        <f>VLOOKUP(IF(AD39=1,2,1),Arbejdslon,2)</f>
        <v>Ekskl. arbejdsløn</v>
      </c>
      <c r="O43" s="15" t="s">
        <v>1775</v>
      </c>
      <c r="T43" s="32">
        <f>Data!M14</f>
        <v>33</v>
      </c>
      <c r="U43" s="15" t="s">
        <v>440</v>
      </c>
      <c r="W43" s="38"/>
      <c r="X43" s="15" t="s">
        <v>440</v>
      </c>
    </row>
    <row r="44" spans="2:30" ht="8.1" customHeight="1" x14ac:dyDescent="0.25"/>
    <row r="45" spans="2:30" x14ac:dyDescent="0.25">
      <c r="B45" s="15" t="s">
        <v>1796</v>
      </c>
      <c r="G45" s="32">
        <f>Data!AD57</f>
        <v>280</v>
      </c>
      <c r="H45" s="15" t="s">
        <v>188</v>
      </c>
      <c r="J45" s="17"/>
      <c r="K45" s="15" t="s">
        <v>188</v>
      </c>
      <c r="O45" s="15" t="s">
        <v>1776</v>
      </c>
      <c r="T45" s="32">
        <f>Data!M25</f>
        <v>50</v>
      </c>
      <c r="U45" s="15" t="s">
        <v>1783</v>
      </c>
      <c r="W45" s="16"/>
      <c r="X45" s="15" t="s">
        <v>1783</v>
      </c>
    </row>
    <row r="46" spans="2:30" ht="8.1" customHeight="1" x14ac:dyDescent="0.25"/>
    <row r="47" spans="2:30" x14ac:dyDescent="0.25">
      <c r="B47" s="15" t="s">
        <v>1797</v>
      </c>
      <c r="G47" s="32">
        <f>Data!AD60</f>
        <v>160</v>
      </c>
      <c r="H47" s="15" t="s">
        <v>188</v>
      </c>
      <c r="J47" s="17"/>
      <c r="K47" s="15" t="s">
        <v>188</v>
      </c>
      <c r="O47" s="15" t="s">
        <v>1825</v>
      </c>
      <c r="T47" s="32">
        <f>Data!M27</f>
        <v>70</v>
      </c>
      <c r="U47" s="15" t="s">
        <v>1783</v>
      </c>
      <c r="W47" s="37"/>
      <c r="X47" s="15" t="s">
        <v>1783</v>
      </c>
    </row>
    <row r="48" spans="2:30" ht="8.1" customHeight="1" x14ac:dyDescent="0.25"/>
    <row r="49" spans="2:31" x14ac:dyDescent="0.25">
      <c r="B49" s="15" t="s">
        <v>1798</v>
      </c>
      <c r="G49" s="32">
        <f>Data!AD59</f>
        <v>300</v>
      </c>
      <c r="H49" s="15" t="s">
        <v>188</v>
      </c>
      <c r="J49" s="17"/>
      <c r="K49" s="15" t="s">
        <v>188</v>
      </c>
      <c r="O49" s="15" t="s">
        <v>1824</v>
      </c>
      <c r="T49" s="15">
        <f>Data!M10</f>
        <v>68</v>
      </c>
      <c r="U49" s="15" t="s">
        <v>1783</v>
      </c>
      <c r="W49" s="17"/>
      <c r="X49" s="15" t="s">
        <v>1783</v>
      </c>
    </row>
    <row r="50" spans="2:31" ht="8.1" customHeight="1" x14ac:dyDescent="0.25"/>
    <row r="51" spans="2:31" x14ac:dyDescent="0.25">
      <c r="B51" s="267" t="s">
        <v>2232</v>
      </c>
      <c r="C51" s="267"/>
      <c r="D51" s="267"/>
      <c r="E51" s="267"/>
      <c r="F51" s="262"/>
      <c r="G51" s="32">
        <f>Data!L302</f>
        <v>75</v>
      </c>
      <c r="H51" s="15" t="s">
        <v>188</v>
      </c>
      <c r="J51" s="17"/>
      <c r="K51" s="15" t="s">
        <v>188</v>
      </c>
      <c r="O51" s="15" t="s">
        <v>1838</v>
      </c>
      <c r="T51" s="33">
        <f>Data!$L$109</f>
        <v>1.2</v>
      </c>
      <c r="U51" s="15" t="s">
        <v>1531</v>
      </c>
      <c r="W51" s="38"/>
      <c r="X51" s="15" t="s">
        <v>1531</v>
      </c>
    </row>
    <row r="52" spans="2:31" ht="8.1" customHeight="1" x14ac:dyDescent="0.25"/>
    <row r="53" spans="2:31" x14ac:dyDescent="0.25">
      <c r="B53" s="15" t="s">
        <v>2233</v>
      </c>
      <c r="G53" s="32">
        <f>Data!L303</f>
        <v>55</v>
      </c>
      <c r="H53" s="15" t="s">
        <v>188</v>
      </c>
      <c r="J53" s="16"/>
      <c r="K53" s="15" t="s">
        <v>188</v>
      </c>
      <c r="O53" s="15" t="s">
        <v>1839</v>
      </c>
      <c r="T53" s="33">
        <f>Data!L108</f>
        <v>0.5</v>
      </c>
      <c r="U53" s="15" t="s">
        <v>1840</v>
      </c>
      <c r="W53" s="38"/>
      <c r="X53" s="15" t="s">
        <v>1840</v>
      </c>
    </row>
    <row r="54" spans="2:31" ht="8.1" customHeight="1" x14ac:dyDescent="0.25"/>
    <row r="55" spans="2:31" x14ac:dyDescent="0.25">
      <c r="B55" s="15" t="s">
        <v>1799</v>
      </c>
      <c r="G55" s="32">
        <f>Data!L304</f>
        <v>180</v>
      </c>
      <c r="H55" s="15" t="s">
        <v>188</v>
      </c>
      <c r="J55" s="17"/>
      <c r="K55" s="15" t="s">
        <v>188</v>
      </c>
    </row>
    <row r="57" spans="2:31" x14ac:dyDescent="0.25">
      <c r="B57" s="15" t="s">
        <v>1800</v>
      </c>
      <c r="G57" s="32">
        <f>Data!L305</f>
        <v>200</v>
      </c>
      <c r="H57" s="15" t="s">
        <v>188</v>
      </c>
      <c r="J57" s="17"/>
      <c r="K57" s="15" t="s">
        <v>188</v>
      </c>
    </row>
    <row r="59" spans="2:31" x14ac:dyDescent="0.25">
      <c r="B59" s="26" t="s">
        <v>2000</v>
      </c>
    </row>
    <row r="60" spans="2:31" x14ac:dyDescent="0.25">
      <c r="B60" s="27" t="s">
        <v>2234</v>
      </c>
      <c r="G60" s="15">
        <v>75</v>
      </c>
      <c r="H60" s="15" t="s">
        <v>188</v>
      </c>
      <c r="AD60" s="15" t="s">
        <v>1897</v>
      </c>
    </row>
    <row r="61" spans="2:31" x14ac:dyDescent="0.25">
      <c r="B61" s="27" t="s">
        <v>2001</v>
      </c>
      <c r="G61" s="15">
        <v>185</v>
      </c>
      <c r="H61" s="15" t="s">
        <v>188</v>
      </c>
      <c r="AC61" s="140" t="s">
        <v>1941</v>
      </c>
      <c r="AD61" s="17">
        <v>1</v>
      </c>
      <c r="AE61" s="15" t="s">
        <v>1940</v>
      </c>
    </row>
    <row r="62" spans="2:31" x14ac:dyDescent="0.25">
      <c r="B62" s="27" t="s">
        <v>2002</v>
      </c>
      <c r="G62" s="15">
        <v>350</v>
      </c>
      <c r="H62" s="15" t="s">
        <v>188</v>
      </c>
      <c r="AD62" s="15" t="s">
        <v>1898</v>
      </c>
    </row>
    <row r="63" spans="2:31" x14ac:dyDescent="0.25">
      <c r="B63" s="27"/>
      <c r="AC63" s="140" t="s">
        <v>1354</v>
      </c>
      <c r="AD63" s="17">
        <v>1</v>
      </c>
    </row>
    <row r="65" spans="29:38" x14ac:dyDescent="0.25">
      <c r="AC65" s="15" t="s">
        <v>1905</v>
      </c>
      <c r="AH65" s="15">
        <f>Data!L90</f>
        <v>6</v>
      </c>
      <c r="AI65" s="15" t="s">
        <v>188</v>
      </c>
      <c r="AK65" s="17"/>
      <c r="AL65" s="15" t="s">
        <v>188</v>
      </c>
    </row>
    <row r="67" spans="29:38" x14ac:dyDescent="0.25">
      <c r="AC67" s="15" t="s">
        <v>1903</v>
      </c>
      <c r="AH67" s="15">
        <f>Data!L91</f>
        <v>1</v>
      </c>
      <c r="AI67" s="15" t="s">
        <v>1904</v>
      </c>
      <c r="AK67" s="17"/>
      <c r="AL67" s="15" t="s">
        <v>1904</v>
      </c>
    </row>
  </sheetData>
  <sheetProtection sheet="1" objects="1" scenarios="1"/>
  <mergeCells count="2">
    <mergeCell ref="B3:H3"/>
    <mergeCell ref="B51:F51"/>
  </mergeCells>
  <conditionalFormatting sqref="G5 G7 G9 G11 G13 G15 G17 G21 G23 G25 G27 G29 G31 G33 G35 G37 G39 G45 G47 T3 T5 T7 T9 T11 T13 T15 T17 T19 T21 T23 T27 T29 T31 T33 T35 T37 T39 T41 T43 T47 T51 G49 G51 G55 G57 T45">
    <cfRule type="expression" dxfId="8" priority="10" stopIfTrue="1">
      <formula>J3&lt;&gt;""</formula>
    </cfRule>
  </conditionalFormatting>
  <conditionalFormatting sqref="H5 H7 H9 H11 H13 H15 H17 H21 H23 H25 H27 H29 H31 H33 H35 H37 H39 H45 H47 U3 U5 U7 U9 U11 U13 U15 U17 U19 U21 U23 U27 U29 U31 U33 U35 U37 U39 U41 U43 U47 U51 H49 H51 H55 H57">
    <cfRule type="expression" dxfId="7" priority="9" stopIfTrue="1">
      <formula>J3&lt;&gt;""</formula>
    </cfRule>
  </conditionalFormatting>
  <conditionalFormatting sqref="U45">
    <cfRule type="expression" dxfId="6" priority="8" stopIfTrue="1">
      <formula>W45&lt;&gt;""</formula>
    </cfRule>
  </conditionalFormatting>
  <conditionalFormatting sqref="G19">
    <cfRule type="expression" dxfId="5" priority="7" stopIfTrue="1">
      <formula>J19&lt;&gt;""</formula>
    </cfRule>
  </conditionalFormatting>
  <conditionalFormatting sqref="H19">
    <cfRule type="expression" dxfId="4" priority="6" stopIfTrue="1">
      <formula>J19&lt;&gt;""</formula>
    </cfRule>
  </conditionalFormatting>
  <conditionalFormatting sqref="U25">
    <cfRule type="expression" dxfId="3" priority="5" stopIfTrue="1">
      <formula>W25&lt;&gt;""</formula>
    </cfRule>
  </conditionalFormatting>
  <conditionalFormatting sqref="T25">
    <cfRule type="expression" dxfId="2" priority="4" stopIfTrue="1">
      <formula>W25&lt;&gt;""</formula>
    </cfRule>
  </conditionalFormatting>
  <conditionalFormatting sqref="G53">
    <cfRule type="expression" dxfId="1" priority="2" stopIfTrue="1">
      <formula>J53&lt;&gt;""</formula>
    </cfRule>
  </conditionalFormatting>
  <conditionalFormatting sqref="H53">
    <cfRule type="expression" dxfId="0" priority="1" stopIfTrue="1">
      <formula>J53&lt;&gt;""</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121" r:id="rId3" name="Drop Down 1">
              <controlPr defaultSize="0" autoLine="0" autoPict="0">
                <anchor moveWithCells="1">
                  <from>
                    <xdr:col>9</xdr:col>
                    <xdr:colOff>0</xdr:colOff>
                    <xdr:row>2</xdr:row>
                    <xdr:rowOff>0</xdr:rowOff>
                  </from>
                  <to>
                    <xdr:col>10</xdr:col>
                    <xdr:colOff>200025</xdr:colOff>
                    <xdr:row>3</xdr:row>
                    <xdr:rowOff>9525</xdr:rowOff>
                  </to>
                </anchor>
              </controlPr>
            </control>
          </mc:Choice>
        </mc:AlternateContent>
        <mc:AlternateContent xmlns:mc="http://schemas.openxmlformats.org/markup-compatibility/2006">
          <mc:Choice Requires="x14">
            <control shapeId="5122" r:id="rId4" name="Drop Down 2">
              <controlPr defaultSize="0" autoLine="0" autoPict="0">
                <anchor moveWithCells="1">
                  <from>
                    <xdr:col>7</xdr:col>
                    <xdr:colOff>38100</xdr:colOff>
                    <xdr:row>40</xdr:row>
                    <xdr:rowOff>0</xdr:rowOff>
                  </from>
                  <to>
                    <xdr:col>10</xdr:col>
                    <xdr:colOff>76200</xdr:colOff>
                    <xdr:row>41</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1"/>
  <dimension ref="A1:JU225"/>
  <sheetViews>
    <sheetView workbookViewId="0">
      <selection activeCell="M31" sqref="M31"/>
    </sheetView>
  </sheetViews>
  <sheetFormatPr defaultRowHeight="15" x14ac:dyDescent="0.25"/>
  <cols>
    <col min="1" max="1" width="1" style="15" customWidth="1"/>
    <col min="2" max="2" width="2.42578125" style="15" customWidth="1"/>
    <col min="3" max="3" width="4.7109375" style="15" customWidth="1"/>
    <col min="4" max="10" width="5.7109375" style="15" customWidth="1"/>
    <col min="11" max="11" width="6.7109375" style="15" customWidth="1"/>
    <col min="12" max="12" width="2.140625" style="15" customWidth="1"/>
    <col min="13" max="24" width="5.7109375" style="15" customWidth="1"/>
    <col min="25" max="25" width="1.7109375" style="15" customWidth="1"/>
    <col min="26" max="26" width="7" style="15" customWidth="1"/>
    <col min="27" max="27" width="2.7109375" style="15" customWidth="1"/>
    <col min="28" max="28" width="1.7109375" style="15" customWidth="1"/>
    <col min="29" max="29" width="7" style="15" customWidth="1"/>
    <col min="30" max="31" width="2.7109375" style="15" customWidth="1"/>
    <col min="32" max="32" width="18" style="15" customWidth="1"/>
    <col min="33" max="33" width="2.7109375" style="15" customWidth="1"/>
    <col min="34" max="34" width="8.140625" style="15" customWidth="1"/>
    <col min="35" max="35" width="4.7109375" style="15" customWidth="1"/>
    <col min="36" max="36" width="2.7109375" style="15" customWidth="1"/>
    <col min="37" max="37" width="6.7109375" style="15" customWidth="1"/>
    <col min="38" max="38" width="4.7109375" style="15" customWidth="1"/>
    <col min="39" max="39" width="2.7109375" style="15" customWidth="1"/>
    <col min="40" max="41" width="5.7109375" style="15" customWidth="1"/>
    <col min="42" max="42" width="2.7109375" style="15" customWidth="1"/>
    <col min="43" max="44" width="5.7109375" style="15" customWidth="1"/>
    <col min="45" max="45" width="2.7109375" style="15" customWidth="1"/>
    <col min="46" max="46" width="8.28515625" style="15" customWidth="1"/>
    <col min="47" max="47" width="5.7109375" style="15" customWidth="1"/>
    <col min="48" max="48" width="2.7109375" style="15" customWidth="1"/>
    <col min="49" max="49" width="8.42578125" style="15" customWidth="1"/>
    <col min="50" max="50" width="4.7109375" style="15" customWidth="1"/>
    <col min="51" max="51" width="2.7109375" style="15" customWidth="1"/>
    <col min="52" max="53" width="5.7109375" style="15" customWidth="1"/>
    <col min="54" max="54" width="2.7109375" style="15" customWidth="1"/>
    <col min="55" max="56" width="5.7109375" style="15" customWidth="1"/>
    <col min="57" max="57" width="2.7109375" style="15" customWidth="1"/>
    <col min="58" max="59" width="5.7109375" style="15" customWidth="1"/>
    <col min="60" max="60" width="2.7109375" style="15" customWidth="1"/>
    <col min="61" max="62" width="5.7109375" style="15" customWidth="1"/>
    <col min="63" max="63" width="2.7109375" style="15" customWidth="1"/>
    <col min="64" max="65" width="5.7109375" style="15" customWidth="1"/>
    <col min="66" max="66" width="2.7109375" style="15" customWidth="1"/>
    <col min="67" max="68" width="5.7109375" style="15" customWidth="1"/>
    <col min="69" max="69" width="2.7109375" style="15" customWidth="1"/>
    <col min="70" max="70" width="5.7109375" style="15" customWidth="1"/>
    <col min="71" max="71" width="4.7109375" style="15" customWidth="1"/>
    <col min="72" max="72" width="1.7109375" style="15" customWidth="1"/>
    <col min="73" max="73" width="18.7109375" style="15" customWidth="1"/>
    <col min="74" max="74" width="2.7109375" style="15" customWidth="1"/>
    <col min="75" max="76" width="5.7109375" style="15" customWidth="1"/>
    <col min="77" max="77" width="2.7109375" style="15" customWidth="1"/>
    <col min="78" max="79" width="5.7109375" style="15" customWidth="1"/>
    <col min="80" max="80" width="2.7109375" style="15" customWidth="1"/>
    <col min="81" max="82" width="5.7109375" style="15" customWidth="1"/>
    <col min="83" max="83" width="2.7109375" style="15" customWidth="1"/>
    <col min="84" max="85" width="5.7109375" style="15" customWidth="1"/>
    <col min="86" max="86" width="2.7109375" style="15" customWidth="1"/>
    <col min="87" max="88" width="5.7109375" style="15" customWidth="1"/>
    <col min="89" max="89" width="2.7109375" style="15" customWidth="1"/>
    <col min="90" max="91" width="5.7109375" style="15" customWidth="1"/>
    <col min="92" max="92" width="2.7109375" style="15" customWidth="1"/>
    <col min="93" max="94" width="5.7109375" style="15" customWidth="1"/>
    <col min="95" max="95" width="2.7109375" style="15" customWidth="1"/>
    <col min="96" max="97" width="5.7109375" style="15" customWidth="1"/>
    <col min="98" max="98" width="2.7109375" style="15" customWidth="1"/>
    <col min="99" max="100" width="5.7109375" style="15" customWidth="1"/>
    <col min="101" max="101" width="2.7109375" style="15" customWidth="1"/>
    <col min="102" max="102" width="17.140625" style="15" customWidth="1"/>
    <col min="103" max="103" width="2.7109375" style="15" customWidth="1"/>
    <col min="104" max="104" width="5.7109375" style="15" customWidth="1"/>
    <col min="105" max="105" width="4.7109375" style="15" customWidth="1"/>
    <col min="106" max="106" width="2.7109375" style="15" customWidth="1"/>
    <col min="107" max="107" width="5.7109375" style="15" customWidth="1"/>
    <col min="108" max="108" width="4.7109375" style="15" customWidth="1"/>
    <col min="109" max="109" width="2.7109375" style="15" customWidth="1"/>
    <col min="110" max="112" width="5.7109375" style="15" customWidth="1"/>
    <col min="113" max="113" width="2.7109375" style="15" customWidth="1"/>
    <col min="114" max="115" width="5.7109375" style="15" customWidth="1"/>
    <col min="116" max="116" width="2.7109375" style="15" customWidth="1"/>
    <col min="117" max="118" width="5.7109375" style="15" customWidth="1"/>
    <col min="119" max="119" width="2.7109375" style="15" customWidth="1"/>
    <col min="120" max="121" width="5.7109375" style="15" customWidth="1"/>
    <col min="122" max="122" width="2.7109375" style="15" customWidth="1"/>
    <col min="123" max="124" width="5.7109375" style="15" customWidth="1"/>
    <col min="125" max="125" width="2.7109375" style="15" customWidth="1"/>
    <col min="126" max="127" width="5.7109375" style="15" customWidth="1"/>
    <col min="128" max="128" width="2.7109375" style="15" customWidth="1"/>
    <col min="129" max="130" width="5.7109375" style="15" customWidth="1"/>
    <col min="131" max="131" width="4.7109375" style="15" customWidth="1"/>
    <col min="132" max="132" width="17" style="15" customWidth="1"/>
    <col min="133" max="133" width="2.7109375" style="15" customWidth="1"/>
    <col min="134" max="135" width="5.7109375" style="15" customWidth="1"/>
    <col min="136" max="136" width="2.7109375" style="15" customWidth="1"/>
    <col min="137" max="138" width="5.7109375" style="15" customWidth="1"/>
    <col min="139" max="139" width="2.7109375" style="15" customWidth="1"/>
    <col min="140" max="141" width="5.7109375" style="15" customWidth="1"/>
    <col min="142" max="142" width="2.7109375" style="15" customWidth="1"/>
    <col min="143" max="144" width="5.7109375" style="15" customWidth="1"/>
    <col min="145" max="145" width="2.7109375" style="15" customWidth="1"/>
    <col min="146" max="147" width="5.7109375" style="15" customWidth="1"/>
    <col min="148" max="148" width="2.7109375" style="15" customWidth="1"/>
    <col min="149" max="150" width="5.7109375" style="15" customWidth="1"/>
    <col min="151" max="151" width="2.7109375" style="15" customWidth="1"/>
    <col min="152" max="153" width="5.7109375" style="15" customWidth="1"/>
    <col min="154" max="154" width="2.7109375" style="15" customWidth="1"/>
    <col min="155" max="159" width="5.7109375" style="15" customWidth="1"/>
    <col min="160" max="160" width="2.7109375" style="15" customWidth="1"/>
    <col min="161" max="162" width="5.7109375" style="15" customWidth="1"/>
    <col min="163" max="163" width="2.7109375" style="15" customWidth="1"/>
    <col min="164" max="165" width="5.7109375" style="15" customWidth="1"/>
    <col min="166" max="166" width="2.7109375" style="15" customWidth="1"/>
    <col min="167" max="168" width="5.7109375" style="15" customWidth="1"/>
    <col min="169" max="169" width="2.7109375" style="15" customWidth="1"/>
    <col min="170" max="171" width="5.7109375" style="15" customWidth="1"/>
    <col min="172" max="172" width="2.7109375" style="15" customWidth="1"/>
    <col min="173" max="174" width="5.7109375" style="15" customWidth="1"/>
    <col min="175" max="175" width="2.7109375" style="15" customWidth="1"/>
    <col min="176" max="177" width="5.7109375" style="15" customWidth="1"/>
    <col min="178" max="178" width="2.7109375" style="15" customWidth="1"/>
    <col min="179" max="180" width="5.7109375" style="15" customWidth="1"/>
    <col min="181" max="181" width="2.7109375" style="15" customWidth="1"/>
    <col min="182" max="183" width="5.7109375" style="15" customWidth="1"/>
    <col min="184" max="184" width="2.7109375" style="15" customWidth="1"/>
    <col min="185" max="186" width="5.7109375" style="15" customWidth="1"/>
    <col min="187" max="187" width="2.7109375" style="15" customWidth="1"/>
    <col min="188" max="189" width="5.7109375" style="15" customWidth="1"/>
    <col min="190" max="190" width="2.7109375" style="15" customWidth="1"/>
    <col min="191" max="192" width="5.7109375" style="15" customWidth="1"/>
    <col min="193" max="193" width="2.7109375" style="15" customWidth="1"/>
    <col min="194" max="195" width="5.7109375" style="15" customWidth="1"/>
    <col min="196" max="196" width="2.7109375" style="15" customWidth="1"/>
    <col min="197" max="198" width="5.7109375" style="15" customWidth="1"/>
    <col min="199" max="199" width="2.7109375" style="15" customWidth="1"/>
    <col min="200" max="201" width="5.7109375" style="15" customWidth="1"/>
    <col min="202" max="202" width="2.7109375" style="15" customWidth="1"/>
    <col min="203" max="204" width="5.7109375" style="15" customWidth="1"/>
    <col min="205" max="205" width="2.7109375" style="15" customWidth="1"/>
    <col min="206" max="210" width="5.7109375" style="15" customWidth="1"/>
    <col min="211" max="211" width="2.7109375" style="15" customWidth="1"/>
    <col min="212" max="212" width="5.7109375" style="15" customWidth="1"/>
    <col min="213" max="214" width="4.7109375" style="15" customWidth="1"/>
    <col min="215" max="215" width="17.7109375" style="15" customWidth="1"/>
    <col min="216" max="216" width="2.7109375" style="15" customWidth="1"/>
    <col min="217" max="218" width="5.7109375" style="15" customWidth="1"/>
    <col min="219" max="219" width="2.7109375" style="15" customWidth="1"/>
    <col min="220" max="221" width="5.7109375" style="15" customWidth="1"/>
    <col min="222" max="222" width="2.7109375" style="15" customWidth="1"/>
    <col min="223" max="224" width="5.7109375" style="15" customWidth="1"/>
    <col min="225" max="225" width="2.7109375" style="15" customWidth="1"/>
    <col min="226" max="227" width="5.7109375" style="15" customWidth="1"/>
    <col min="228" max="228" width="2.7109375" style="15" customWidth="1"/>
    <col min="229" max="230" width="5.7109375" style="15" customWidth="1"/>
    <col min="231" max="231" width="2.7109375" style="15" customWidth="1"/>
    <col min="232" max="233" width="5.7109375" style="15" customWidth="1"/>
    <col min="234" max="234" width="2.7109375" style="15" customWidth="1"/>
    <col min="235" max="236" width="5.7109375" style="15" customWidth="1"/>
    <col min="237" max="237" width="2.7109375" style="15" customWidth="1"/>
    <col min="238" max="242" width="5.7109375" style="15" customWidth="1"/>
    <col min="243" max="243" width="2.7109375" style="15" customWidth="1"/>
    <col min="244" max="245" width="5.7109375" style="15" customWidth="1"/>
    <col min="246" max="246" width="2.7109375" style="15" customWidth="1"/>
    <col min="247" max="248" width="5.7109375" style="15" customWidth="1"/>
    <col min="249" max="249" width="2.7109375" style="15" customWidth="1"/>
    <col min="250" max="251" width="5.7109375" style="15" customWidth="1"/>
    <col min="252" max="252" width="2.7109375" style="15" customWidth="1"/>
    <col min="253" max="254" width="5.7109375" style="15" customWidth="1"/>
    <col min="255" max="255" width="2.7109375" style="15" customWidth="1"/>
    <col min="256" max="257" width="5.7109375" style="15" customWidth="1"/>
    <col min="258" max="258" width="2.7109375" style="15" customWidth="1"/>
    <col min="259" max="260" width="5.7109375" style="15" customWidth="1"/>
    <col min="261" max="261" width="2.7109375" style="15" customWidth="1"/>
    <col min="262" max="263" width="5.7109375" style="15" customWidth="1"/>
    <col min="264" max="264" width="2.7109375" style="15" customWidth="1"/>
    <col min="265" max="266" width="5.7109375" style="15" customWidth="1"/>
    <col min="267" max="267" width="2.7109375" style="15" customWidth="1"/>
    <col min="268" max="269" width="5.7109375" style="15" customWidth="1"/>
    <col min="270" max="270" width="2.7109375" style="15" customWidth="1"/>
    <col min="271" max="272" width="5.7109375" style="15" customWidth="1"/>
    <col min="273" max="273" width="2.7109375" style="15" customWidth="1"/>
    <col min="274" max="275" width="5.7109375" style="15" customWidth="1"/>
    <col min="276" max="276" width="2.7109375" style="15" customWidth="1"/>
    <col min="277" max="278" width="5.7109375" style="15" customWidth="1"/>
    <col min="279" max="279" width="2.7109375" style="15" customWidth="1"/>
    <col min="280" max="303" width="5.7109375" style="15" customWidth="1"/>
    <col min="304" max="16384" width="9.140625" style="15"/>
  </cols>
  <sheetData>
    <row r="1" spans="3:27" ht="23.25" x14ac:dyDescent="0.35">
      <c r="C1" s="104" t="s">
        <v>1659</v>
      </c>
    </row>
    <row r="3" spans="3:27" ht="18.75" x14ac:dyDescent="0.3">
      <c r="C3" s="52" t="s">
        <v>1822</v>
      </c>
    </row>
    <row r="4" spans="3:27" ht="5.0999999999999996" customHeight="1" x14ac:dyDescent="0.25"/>
    <row r="5" spans="3:27" x14ac:dyDescent="0.25">
      <c r="C5" s="27" t="s">
        <v>1355</v>
      </c>
      <c r="E5" s="269"/>
      <c r="F5" s="270"/>
      <c r="G5" s="270"/>
      <c r="H5" s="270"/>
      <c r="I5" s="271"/>
      <c r="K5" s="15" t="s">
        <v>1823</v>
      </c>
      <c r="M5" s="269"/>
      <c r="N5" s="270"/>
      <c r="O5" s="270"/>
      <c r="P5" s="271"/>
      <c r="R5" s="120" t="s">
        <v>1138</v>
      </c>
      <c r="S5" s="39">
        <v>8382</v>
      </c>
      <c r="T5" s="27" t="str">
        <f>IF(Postnr="","Husk postnummer",IF(ISERROR(VLOOKUP(Postnr,PostnrNavn,2,FALSE)),"Forkert postnummer",VLOOKUP(Postnr,PostnrNavn,2)))</f>
        <v>Hinnerup</v>
      </c>
    </row>
    <row r="6" spans="3:27" ht="9.9499999999999993" customHeight="1" x14ac:dyDescent="0.25">
      <c r="C6" s="27"/>
    </row>
    <row r="7" spans="3:27" x14ac:dyDescent="0.25">
      <c r="C7" s="27" t="s">
        <v>1463</v>
      </c>
      <c r="K7" s="15">
        <f>HdgDEIalt</f>
        <v>0</v>
      </c>
      <c r="L7" s="15" t="s">
        <v>1469</v>
      </c>
    </row>
    <row r="8" spans="3:27" ht="9.9499999999999993" customHeight="1" x14ac:dyDescent="0.25">
      <c r="C8" s="27"/>
    </row>
    <row r="9" spans="3:27" x14ac:dyDescent="0.25">
      <c r="C9" s="27" t="s">
        <v>1660</v>
      </c>
      <c r="K9" s="17"/>
      <c r="L9" s="15" t="s">
        <v>1247</v>
      </c>
    </row>
    <row r="10" spans="3:27" x14ac:dyDescent="0.25">
      <c r="P10" s="25"/>
    </row>
    <row r="11" spans="3:27" ht="21.75" thickBot="1" x14ac:dyDescent="0.4">
      <c r="C11" s="185" t="s">
        <v>1816</v>
      </c>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row>
    <row r="12" spans="3:27" ht="8.1" customHeight="1" x14ac:dyDescent="0.25">
      <c r="C12" s="26"/>
      <c r="E12" s="43"/>
      <c r="F12" s="43"/>
      <c r="G12" s="43"/>
      <c r="H12" s="43"/>
      <c r="I12" s="43"/>
      <c r="J12" s="18"/>
    </row>
    <row r="13" spans="3:27" x14ac:dyDescent="0.25">
      <c r="C13" s="27" t="s">
        <v>1558</v>
      </c>
      <c r="E13" s="269"/>
      <c r="F13" s="270"/>
      <c r="G13" s="270"/>
      <c r="H13" s="270"/>
      <c r="I13" s="271"/>
      <c r="J13" s="18"/>
      <c r="N13" s="272" t="s">
        <v>1837</v>
      </c>
      <c r="O13" s="273"/>
      <c r="P13" s="273"/>
    </row>
    <row r="14" spans="3:27" ht="9.9499999999999993" customHeight="1" x14ac:dyDescent="0.25"/>
    <row r="15" spans="3:27" x14ac:dyDescent="0.25">
      <c r="C15" s="27" t="s">
        <v>1539</v>
      </c>
      <c r="K15" s="123"/>
      <c r="L15" s="15" t="s">
        <v>85</v>
      </c>
      <c r="N15" s="15">
        <f>-K15*KvoteredukHa12</f>
        <v>0</v>
      </c>
      <c r="O15" s="15" t="s">
        <v>82</v>
      </c>
      <c r="Q15" s="267"/>
      <c r="R15" s="267"/>
      <c r="S15" s="267"/>
      <c r="T15" s="267"/>
      <c r="U15" s="267"/>
      <c r="V15" s="15" t="str">
        <f>IF(Regler12=1,"Ikke aktuel efter 2010-regler","")</f>
        <v/>
      </c>
    </row>
    <row r="16" spans="3:27" ht="9.9499999999999993" customHeight="1" x14ac:dyDescent="0.25">
      <c r="C16" s="27"/>
    </row>
    <row r="17" spans="1:281" x14ac:dyDescent="0.25">
      <c r="C17" s="27" t="s">
        <v>1843</v>
      </c>
      <c r="K17" s="123"/>
      <c r="L17" s="15" t="s">
        <v>85</v>
      </c>
      <c r="N17" s="15">
        <f>K17*KvoteTillaegHa12</f>
        <v>0</v>
      </c>
      <c r="O17" s="15" t="s">
        <v>82</v>
      </c>
      <c r="Q17" s="267"/>
      <c r="R17" s="267"/>
      <c r="S17" s="267"/>
      <c r="T17" s="267"/>
      <c r="U17" s="267"/>
      <c r="V17" s="15" t="str">
        <f>IF(Regler12=1,"Ikke aktuel efter 2010-regler","")</f>
        <v/>
      </c>
    </row>
    <row r="18" spans="1:281" ht="9.9499999999999993" customHeight="1" x14ac:dyDescent="0.25">
      <c r="C18" s="27"/>
    </row>
    <row r="19" spans="1:281" x14ac:dyDescent="0.25">
      <c r="C19" s="27" t="s">
        <v>1535</v>
      </c>
      <c r="H19" s="32">
        <f>IF(NnormIalt12=0,100,IF(NtilpasMetode12=1,(NnormIalt12+Kvotereduk12+KvoteTillaeg12)*100/NnormIalt12,100))</f>
        <v>100</v>
      </c>
      <c r="I19" s="15" t="s">
        <v>205</v>
      </c>
      <c r="K19" s="17"/>
      <c r="L19" s="15" t="s">
        <v>1216</v>
      </c>
    </row>
    <row r="20" spans="1:281" ht="9.9499999999999993" customHeight="1" x14ac:dyDescent="0.25">
      <c r="C20" s="27"/>
    </row>
    <row r="21" spans="1:281" x14ac:dyDescent="0.25">
      <c r="C21" s="27" t="s">
        <v>1312</v>
      </c>
      <c r="K21" s="123"/>
      <c r="L21" s="15" t="s">
        <v>85</v>
      </c>
      <c r="V21" s="15" t="str">
        <f>IF(Regler12=1,"Ikke aktuel efter 2010-regler","")</f>
        <v/>
      </c>
    </row>
    <row r="22" spans="1:281" ht="9.9499999999999993" customHeight="1" x14ac:dyDescent="0.25">
      <c r="C22" s="27"/>
    </row>
    <row r="23" spans="1:281" x14ac:dyDescent="0.25">
      <c r="C23" s="27" t="s">
        <v>1292</v>
      </c>
      <c r="K23" s="17"/>
      <c r="L23" s="15" t="s">
        <v>1247</v>
      </c>
      <c r="V23" s="15" t="str">
        <f>IF(Regler12=1,"Ikke aktuel efter 2010-regler","")</f>
        <v/>
      </c>
    </row>
    <row r="24" spans="1:281" ht="9.9499999999999993" customHeight="1" x14ac:dyDescent="0.25">
      <c r="C24" s="27"/>
    </row>
    <row r="25" spans="1:281" x14ac:dyDescent="0.25">
      <c r="C25" s="27" t="s">
        <v>1538</v>
      </c>
      <c r="K25" s="16"/>
      <c r="L25" s="15" t="s">
        <v>1845</v>
      </c>
      <c r="N25" s="29">
        <f>K25*8*0.0001</f>
        <v>0</v>
      </c>
      <c r="O25" s="15" t="s">
        <v>85</v>
      </c>
      <c r="Q25" s="15" t="s">
        <v>1426</v>
      </c>
      <c r="S25" s="29">
        <f>IF(ISERROR(IF((K25*8*0.0001)*100/DyrkAreal12&gt;3,DyrkAreal12*0.03,(K25*8*0.0001))),0,IF((K25*8*0.0001)*100/DyrkAreal12&gt;3,DyrkAreal12*0.03,(K25*8*0.0001)))</f>
        <v>0</v>
      </c>
      <c r="T25" s="267" t="s">
        <v>85</v>
      </c>
      <c r="U25" s="267"/>
      <c r="V25" s="15" t="str">
        <f>IF(Regler12=1,"Ikke aktuel efter 2010-regler","")</f>
        <v/>
      </c>
    </row>
    <row r="26" spans="1:281" ht="8.1" customHeight="1" x14ac:dyDescent="0.25">
      <c r="C26" s="27"/>
    </row>
    <row r="28" spans="1:281" ht="21" x14ac:dyDescent="0.35">
      <c r="C28" s="186" t="s">
        <v>1817</v>
      </c>
      <c r="D28" s="143"/>
      <c r="E28" s="143"/>
      <c r="F28" s="192" t="s">
        <v>2216</v>
      </c>
      <c r="G28" s="143"/>
      <c r="H28" s="143"/>
      <c r="I28" s="143"/>
      <c r="J28" s="143"/>
      <c r="K28" s="143"/>
      <c r="L28" s="143"/>
      <c r="M28" s="143"/>
      <c r="N28" s="143"/>
      <c r="O28" s="143"/>
      <c r="P28" s="143"/>
      <c r="Q28" s="143"/>
      <c r="R28" s="143"/>
      <c r="S28" s="143"/>
      <c r="T28" s="143"/>
    </row>
    <row r="29" spans="1:281" ht="8.1" customHeight="1" x14ac:dyDescent="0.25"/>
    <row r="30" spans="1:281" x14ac:dyDescent="0.25">
      <c r="C30" s="27" t="s">
        <v>87</v>
      </c>
      <c r="K30" s="27" t="s">
        <v>84</v>
      </c>
      <c r="M30" s="254">
        <v>1</v>
      </c>
      <c r="N30" s="255"/>
      <c r="O30" s="15" t="s">
        <v>85</v>
      </c>
      <c r="P30" s="141" t="s">
        <v>1475</v>
      </c>
      <c r="S30" s="17">
        <v>60</v>
      </c>
      <c r="T30" s="15" t="s">
        <v>205</v>
      </c>
      <c r="U30" s="15" t="s">
        <v>1943</v>
      </c>
      <c r="AD30" s="15" t="s">
        <v>1946</v>
      </c>
    </row>
    <row r="31" spans="1:281" ht="15" customHeight="1" x14ac:dyDescent="0.25">
      <c r="CX31" s="26" t="s">
        <v>1844</v>
      </c>
      <c r="EB31" s="26" t="s">
        <v>328</v>
      </c>
      <c r="FB31" s="26" t="s">
        <v>348</v>
      </c>
      <c r="HG31" s="26" t="s">
        <v>329</v>
      </c>
      <c r="IG31" s="26" t="s">
        <v>417</v>
      </c>
    </row>
    <row r="32" spans="1:281" s="26" customFormat="1" ht="32.1" customHeight="1" x14ac:dyDescent="0.35">
      <c r="A32" s="276"/>
      <c r="B32" s="262"/>
      <c r="C32" s="256" t="s">
        <v>76</v>
      </c>
      <c r="D32" s="257"/>
      <c r="E32" s="257"/>
      <c r="F32" s="257"/>
      <c r="G32" s="258" t="s">
        <v>79</v>
      </c>
      <c r="H32" s="259"/>
      <c r="I32" s="259"/>
      <c r="J32" s="257"/>
      <c r="K32" s="183" t="s">
        <v>1350</v>
      </c>
      <c r="L32" s="184"/>
      <c r="M32" s="268" t="s">
        <v>28</v>
      </c>
      <c r="N32" s="268"/>
      <c r="O32" s="268"/>
      <c r="P32" s="268"/>
      <c r="Q32" s="258" t="s">
        <v>1543</v>
      </c>
      <c r="R32" s="259"/>
      <c r="S32" s="259"/>
      <c r="T32" s="263"/>
      <c r="U32" s="260" t="s">
        <v>83</v>
      </c>
      <c r="V32" s="260"/>
      <c r="W32" s="260"/>
      <c r="X32" s="262"/>
      <c r="Z32" s="26" t="s">
        <v>84</v>
      </c>
      <c r="AC32" s="264" t="s">
        <v>1886</v>
      </c>
      <c r="AD32" s="265"/>
      <c r="AF32" s="26" t="s">
        <v>28</v>
      </c>
      <c r="AH32" s="26" t="s">
        <v>178</v>
      </c>
      <c r="AN32" s="26" t="s">
        <v>200</v>
      </c>
      <c r="AT32" s="26" t="s">
        <v>184</v>
      </c>
      <c r="AZ32" s="26" t="s">
        <v>1337</v>
      </c>
      <c r="BF32" s="26" t="s">
        <v>189</v>
      </c>
      <c r="BL32" s="261" t="s">
        <v>1547</v>
      </c>
      <c r="BM32" s="267"/>
      <c r="BO32" s="26" t="s">
        <v>198</v>
      </c>
      <c r="BU32" s="26" t="s">
        <v>28</v>
      </c>
      <c r="BW32" s="260" t="s">
        <v>437</v>
      </c>
      <c r="BX32" s="260"/>
      <c r="BY32" s="260"/>
      <c r="BZ32" s="260"/>
      <c r="CC32" s="261" t="s">
        <v>86</v>
      </c>
      <c r="CD32" s="260"/>
      <c r="CF32" s="261" t="s">
        <v>1544</v>
      </c>
      <c r="CG32" s="262"/>
      <c r="CH32" s="108"/>
      <c r="CI32" s="260" t="s">
        <v>456</v>
      </c>
      <c r="CJ32" s="260"/>
      <c r="CL32" s="261" t="s">
        <v>476</v>
      </c>
      <c r="CM32" s="260"/>
      <c r="CN32" s="260"/>
      <c r="CO32" s="262"/>
      <c r="CR32" s="261" t="s">
        <v>1545</v>
      </c>
      <c r="CS32" s="267"/>
      <c r="CU32" s="261" t="s">
        <v>1546</v>
      </c>
      <c r="CV32" s="267"/>
      <c r="CX32" s="30" t="s">
        <v>1543</v>
      </c>
      <c r="CZ32" s="26" t="s">
        <v>219</v>
      </c>
      <c r="DF32" s="261" t="s">
        <v>1548</v>
      </c>
      <c r="DG32" s="260"/>
      <c r="DH32" s="260"/>
      <c r="DJ32" s="26" t="s">
        <v>86</v>
      </c>
      <c r="DP32" s="261" t="s">
        <v>476</v>
      </c>
      <c r="DQ32" s="267"/>
      <c r="DR32" s="267"/>
      <c r="DV32" s="261" t="s">
        <v>1545</v>
      </c>
      <c r="DW32" s="267"/>
      <c r="DY32" s="261" t="s">
        <v>1546</v>
      </c>
      <c r="DZ32" s="267"/>
      <c r="EB32" s="26" t="s">
        <v>28</v>
      </c>
      <c r="ED32" s="26" t="s">
        <v>2</v>
      </c>
      <c r="EJ32" s="26" t="s">
        <v>523</v>
      </c>
      <c r="EP32" s="26" t="s">
        <v>3</v>
      </c>
      <c r="EV32" s="261" t="s">
        <v>1549</v>
      </c>
      <c r="EW32" s="260"/>
      <c r="EX32" s="260"/>
      <c r="EY32" s="260"/>
      <c r="EZ32" s="267"/>
      <c r="FB32" s="26" t="s">
        <v>360</v>
      </c>
      <c r="FH32" s="26" t="s">
        <v>363</v>
      </c>
      <c r="FN32" s="26" t="s">
        <v>364</v>
      </c>
      <c r="FT32" s="26" t="s">
        <v>365</v>
      </c>
      <c r="FZ32" s="26" t="s">
        <v>104</v>
      </c>
      <c r="GL32" s="261" t="s">
        <v>1550</v>
      </c>
      <c r="GM32" s="260"/>
      <c r="GN32" s="260"/>
      <c r="GO32" s="260"/>
      <c r="GP32" s="260"/>
      <c r="GR32" s="261" t="s">
        <v>1551</v>
      </c>
      <c r="GS32" s="260"/>
      <c r="GT32" s="260"/>
      <c r="GU32" s="260"/>
      <c r="GV32" s="260"/>
      <c r="GX32" s="26" t="s">
        <v>435</v>
      </c>
      <c r="HG32" s="30" t="s">
        <v>1543</v>
      </c>
      <c r="HI32" s="26" t="s">
        <v>2</v>
      </c>
      <c r="HO32" s="26" t="s">
        <v>523</v>
      </c>
      <c r="HU32" s="26" t="s">
        <v>3</v>
      </c>
      <c r="IA32" s="26" t="s">
        <v>415</v>
      </c>
      <c r="IG32" s="26" t="s">
        <v>20</v>
      </c>
      <c r="IM32" s="26" t="s">
        <v>364</v>
      </c>
      <c r="IS32" s="26" t="s">
        <v>365</v>
      </c>
      <c r="IY32" s="26" t="s">
        <v>104</v>
      </c>
      <c r="JK32" s="261" t="s">
        <v>1552</v>
      </c>
      <c r="JL32" s="260"/>
      <c r="JM32" s="260"/>
      <c r="JN32" s="260"/>
      <c r="JO32" s="260"/>
      <c r="JQ32" s="261" t="s">
        <v>1553</v>
      </c>
      <c r="JR32" s="260"/>
      <c r="JS32" s="260"/>
      <c r="JT32" s="260"/>
      <c r="JU32" s="260"/>
    </row>
    <row r="33" spans="2:281" ht="12" customHeight="1" x14ac:dyDescent="0.25">
      <c r="U33" s="134" t="str">
        <f>IF(OR(Regn!$K34&gt;1,Regn!$E36=1),"",VLOOKUP(Regn!$E36,Afgr,2))</f>
        <v/>
      </c>
    </row>
    <row r="34" spans="2:281" x14ac:dyDescent="0.25">
      <c r="B34" s="15">
        <v>1</v>
      </c>
      <c r="Z34" s="36">
        <v>1</v>
      </c>
      <c r="AA34" s="15" t="s">
        <v>85</v>
      </c>
      <c r="AC34" s="53">
        <f>Regn!M34</f>
        <v>1</v>
      </c>
      <c r="AD34" s="15" t="s">
        <v>85</v>
      </c>
      <c r="AF34" s="15" t="str">
        <f>IF(Regn!$E34&lt;=1,"",VLOOKUP(Regn!$E34,Afgr,2))</f>
        <v>Vinterraps</v>
      </c>
      <c r="AH34" s="55">
        <f>IF(Regn!$E34&gt;1,Regn!BH34,"")</f>
        <v>40</v>
      </c>
      <c r="AI34" s="15" t="str">
        <f>IF(Regn!BK34&lt;&gt;0,Regn!BK34,"")</f>
        <v>hkg</v>
      </c>
      <c r="AK34" s="16"/>
      <c r="AL34" s="15" t="str">
        <f>IF(Regn!BK34&lt;&gt;0,Regn!BK34,"")</f>
        <v>hkg</v>
      </c>
      <c r="AN34" s="33">
        <f>IF(Regn!$E34&gt;1,Regn!DP34,"")</f>
        <v>23</v>
      </c>
      <c r="AO34" s="15" t="s">
        <v>201</v>
      </c>
      <c r="AQ34" s="38"/>
      <c r="AR34" s="15" t="s">
        <v>201</v>
      </c>
      <c r="AT34" s="55">
        <f>IF(Regn!$E34&gt;1,Regn!BN34,"")</f>
        <v>320</v>
      </c>
      <c r="AU34" s="15" t="s">
        <v>188</v>
      </c>
      <c r="AW34" s="124"/>
      <c r="AX34" s="15" t="s">
        <v>188</v>
      </c>
      <c r="AZ34" s="25">
        <f>IF(Regn!$E34&gt;1,Regn!BS34,"")</f>
        <v>0</v>
      </c>
      <c r="BA34" s="15" t="s">
        <v>188</v>
      </c>
      <c r="BC34" s="17"/>
      <c r="BD34" s="15" t="s">
        <v>188</v>
      </c>
      <c r="BF34" s="25">
        <f>IF(Regn!$E34&gt;1,Regn!BX34,"")</f>
        <v>3000</v>
      </c>
      <c r="BG34" s="15" t="s">
        <v>192</v>
      </c>
      <c r="BI34" s="16"/>
      <c r="BJ34" s="15" t="s">
        <v>192</v>
      </c>
      <c r="BO34" s="33">
        <f>IF(Regn!$E34&gt;1,Regn!CE34,"")</f>
        <v>0.5</v>
      </c>
      <c r="BP34" s="15" t="s">
        <v>188</v>
      </c>
      <c r="BR34" s="38"/>
      <c r="BS34" s="15" t="s">
        <v>188</v>
      </c>
      <c r="BU34" s="15" t="str">
        <f>IF(Regn!$E34&lt;=1,"",VLOOKUP(Regn!$E34,Afgr,2))</f>
        <v>Vinterraps</v>
      </c>
      <c r="BW34" s="32">
        <f>IF(Regn!$E34&gt;1,Regn!Y34,"")</f>
        <v>230.95238095238096</v>
      </c>
      <c r="BX34" s="15" t="s">
        <v>82</v>
      </c>
      <c r="BZ34" s="37"/>
      <c r="CA34" s="15" t="s">
        <v>82</v>
      </c>
      <c r="CC34" s="32">
        <f>IF(Regn!$E34&gt;1,Regn!S34,"")</f>
        <v>194</v>
      </c>
      <c r="CD34" s="15" t="s">
        <v>82</v>
      </c>
      <c r="CF34" s="32">
        <f>IF(Regn!$E34&gt;1,Regn!U34,"")</f>
        <v>194</v>
      </c>
      <c r="CG34" s="15" t="s">
        <v>82</v>
      </c>
      <c r="CI34" s="37"/>
      <c r="CJ34" s="15" t="s">
        <v>82</v>
      </c>
      <c r="CL34" s="32">
        <f>IF(Regn!$E34&gt;1,Regn!AS34,"")</f>
        <v>0</v>
      </c>
      <c r="CM34" s="15" t="s">
        <v>82</v>
      </c>
      <c r="CO34" s="37"/>
      <c r="CP34" s="15" t="s">
        <v>82</v>
      </c>
      <c r="CR34" s="32">
        <f>IF(Regn!$E34&gt;1,UdnKrav,"")</f>
        <v>75</v>
      </c>
      <c r="CS34" s="15" t="s">
        <v>205</v>
      </c>
      <c r="CU34" s="32">
        <f>IF(Regn!$E34&gt;1,Regn!AY34,"")</f>
        <v>0</v>
      </c>
      <c r="CV34" s="15" t="s">
        <v>82</v>
      </c>
      <c r="CX34" s="15" t="str">
        <f>IF(Regn!$G34&lt;=1,"",VLOOKUP(Regn!$G34,Efgr,2))</f>
        <v/>
      </c>
      <c r="CZ34" s="25" t="str">
        <f>IF(Regn!$G34&gt;1,Regn!DC34,"")</f>
        <v/>
      </c>
      <c r="DA34" s="15" t="str">
        <f>IF(Regn!$G34&gt;1,Regn!DF34,"")</f>
        <v/>
      </c>
      <c r="DC34" s="16"/>
      <c r="DD34" s="15" t="str">
        <f>IF(Regn!$G34&gt;1,Regn!DF34,"")</f>
        <v/>
      </c>
      <c r="DJ34" s="25" t="str">
        <f>IF(Regn!$G34&gt;1,Regn!CL34,"")</f>
        <v/>
      </c>
      <c r="DK34" s="15" t="s">
        <v>82</v>
      </c>
      <c r="DM34" s="16"/>
      <c r="DN34" s="15" t="s">
        <v>82</v>
      </c>
      <c r="DP34" s="25" t="str">
        <f>IF(Regn!$G34&gt;1,Regn!CR34,"")</f>
        <v/>
      </c>
      <c r="DQ34" s="15" t="s">
        <v>82</v>
      </c>
      <c r="DS34" s="16"/>
      <c r="DT34" s="15" t="s">
        <v>82</v>
      </c>
      <c r="DV34" s="25" t="str">
        <f>IF(Regn!$G34&gt;1,UdnKrav,"")</f>
        <v/>
      </c>
      <c r="DW34" s="15" t="s">
        <v>205</v>
      </c>
      <c r="DY34" s="25" t="str">
        <f>IF(Regn!$G34&gt;1,Regn!CX34,"")</f>
        <v/>
      </c>
      <c r="DZ34" s="15" t="s">
        <v>82</v>
      </c>
      <c r="EB34" s="15" t="str">
        <f>IF(Regn!$E34&lt;=1,"",VLOOKUP(Regn!$E34,Afgr,2))</f>
        <v>Vinterraps</v>
      </c>
      <c r="ED34" s="25">
        <f>IF(Regn!$E34&gt;1,Regn!IB34,"")</f>
        <v>500</v>
      </c>
      <c r="EE34" s="15" t="s">
        <v>188</v>
      </c>
      <c r="EG34" s="16"/>
      <c r="EH34" s="15" t="s">
        <v>188</v>
      </c>
      <c r="EJ34" s="25">
        <f>IF(Regn!$E34&gt;1,Regn!IX34,"")</f>
        <v>2749.75</v>
      </c>
      <c r="EK34" s="15" t="s">
        <v>188</v>
      </c>
      <c r="EM34" s="16"/>
      <c r="EN34" s="15" t="s">
        <v>188</v>
      </c>
      <c r="EP34" s="25">
        <f>IF(Regn!$E34&gt;1,Regn!JB34,"")</f>
        <v>755</v>
      </c>
      <c r="EQ34" s="15" t="s">
        <v>188</v>
      </c>
      <c r="ES34" s="16"/>
      <c r="ET34" s="15" t="s">
        <v>188</v>
      </c>
      <c r="EV34" s="25">
        <f>IF(Regn!$E34&gt;1,Regn!JF34,"")</f>
        <v>80</v>
      </c>
      <c r="EW34" s="15" t="s">
        <v>188</v>
      </c>
      <c r="EY34" s="16"/>
      <c r="EZ34" s="15" t="s">
        <v>188</v>
      </c>
      <c r="FB34" s="25">
        <f>IF(Regn!$E34&gt;1,Regn!JL34,"")</f>
        <v>600</v>
      </c>
      <c r="FC34" s="15" t="s">
        <v>362</v>
      </c>
      <c r="FE34" s="16"/>
      <c r="FF34" s="15" t="s">
        <v>188</v>
      </c>
      <c r="FH34" s="25">
        <f>IF(Regn!$E34&gt;1,Regn!JY34,"")</f>
        <v>350</v>
      </c>
      <c r="FI34" s="15" t="s">
        <v>188</v>
      </c>
      <c r="FK34" s="16"/>
      <c r="FL34" s="15" t="s">
        <v>188</v>
      </c>
      <c r="FN34" s="25">
        <f>IF(Regn!$E34&gt;1,Regn!KC34,"")</f>
        <v>280</v>
      </c>
      <c r="FO34" s="15" t="s">
        <v>188</v>
      </c>
      <c r="FQ34" s="16"/>
      <c r="FR34" s="15" t="s">
        <v>188</v>
      </c>
      <c r="FT34" s="25">
        <f>IF(Regn!$E34&gt;1,Regn!KG34,"")</f>
        <v>450</v>
      </c>
      <c r="FU34" s="15" t="s">
        <v>188</v>
      </c>
      <c r="FW34" s="16"/>
      <c r="FX34" s="15" t="s">
        <v>188</v>
      </c>
      <c r="FZ34" s="25">
        <f>IF(Regn!$E34&gt;1,Regn!KK34,"")</f>
        <v>0</v>
      </c>
      <c r="GA34" s="15" t="s">
        <v>531</v>
      </c>
      <c r="GC34" s="16"/>
      <c r="GD34" s="15" t="s">
        <v>531</v>
      </c>
      <c r="GF34" s="25">
        <f>IF(Regn!$E34&gt;1,Regn!KM34,"")</f>
        <v>0</v>
      </c>
      <c r="GG34" s="15" t="s">
        <v>188</v>
      </c>
      <c r="GI34" s="16"/>
      <c r="GJ34" s="15" t="s">
        <v>188</v>
      </c>
      <c r="GL34" s="25">
        <f>IF(Regn!$E34&gt;1,Regn!KT34,"")</f>
        <v>1335.7142857142856</v>
      </c>
      <c r="GM34" s="15" t="s">
        <v>188</v>
      </c>
      <c r="GO34" s="16"/>
      <c r="GP34" s="15" t="s">
        <v>405</v>
      </c>
      <c r="GR34" s="25">
        <f>IF(Regn!$E34&gt;1,Regn!KZ34,"")</f>
        <v>725</v>
      </c>
      <c r="GS34" s="15" t="s">
        <v>188</v>
      </c>
      <c r="GU34" s="16"/>
      <c r="GV34" s="15" t="s">
        <v>188</v>
      </c>
      <c r="HA34" s="25">
        <f>IF(Regn!$E34&gt;1,Regn!LD34,"")</f>
        <v>680.40000000000009</v>
      </c>
      <c r="HB34" s="15" t="s">
        <v>188</v>
      </c>
      <c r="HD34" s="16"/>
      <c r="HE34" s="15" t="s">
        <v>188</v>
      </c>
      <c r="HG34" s="15" t="str">
        <f>IF(Regn!$G34&lt;=1,"",VLOOKUP(Regn!$G34,Efgr,2))</f>
        <v/>
      </c>
      <c r="HI34" s="25" t="str">
        <f>IF(Regn!$G34&gt;1,Regn!LH34,"")</f>
        <v/>
      </c>
      <c r="HJ34" s="15" t="s">
        <v>188</v>
      </c>
      <c r="HL34" s="16"/>
      <c r="HM34" s="15" t="s">
        <v>188</v>
      </c>
      <c r="HO34" s="25" t="str">
        <f>IF(Regn!$G34&gt;1,Regn!MA34,"")</f>
        <v/>
      </c>
      <c r="HP34" s="15" t="s">
        <v>188</v>
      </c>
      <c r="HR34" s="16"/>
      <c r="HS34" s="15" t="s">
        <v>188</v>
      </c>
      <c r="HU34" s="25" t="str">
        <f>IF(Regn!$G34&gt;1,Regn!ME34,"")</f>
        <v/>
      </c>
      <c r="HV34" s="15" t="s">
        <v>188</v>
      </c>
      <c r="HX34" s="16"/>
      <c r="HY34" s="15" t="s">
        <v>188</v>
      </c>
      <c r="IA34" s="25" t="str">
        <f>IF(Regn!$G34&gt;1,Regn!MI34,"")</f>
        <v/>
      </c>
      <c r="IB34" s="15" t="s">
        <v>188</v>
      </c>
      <c r="ID34" s="16"/>
      <c r="IE34" s="15" t="s">
        <v>188</v>
      </c>
      <c r="IG34" s="25" t="str">
        <f>IF(Regn!$G34&gt;1,Regn!MO34,"")</f>
        <v/>
      </c>
      <c r="IH34" s="15" t="s">
        <v>188</v>
      </c>
      <c r="IJ34" s="16"/>
      <c r="IK34" s="15" t="s">
        <v>188</v>
      </c>
      <c r="IM34" s="25" t="str">
        <f>IF(Regn!$G34&gt;1,Regn!MS34,"")</f>
        <v/>
      </c>
      <c r="IN34" s="15" t="s">
        <v>188</v>
      </c>
      <c r="IP34" s="16"/>
      <c r="IQ34" s="15" t="s">
        <v>188</v>
      </c>
      <c r="IS34" s="25" t="str">
        <f>IF(Regn!$G34&gt;1,Regn!MW34,"")</f>
        <v/>
      </c>
      <c r="IT34" s="15" t="s">
        <v>188</v>
      </c>
      <c r="IV34" s="16"/>
      <c r="IW34" s="15" t="s">
        <v>188</v>
      </c>
      <c r="IY34" s="25" t="str">
        <f>IF(Regn!$G34&gt;1,Regn!NA34,"")</f>
        <v/>
      </c>
      <c r="IZ34" s="15" t="s">
        <v>531</v>
      </c>
      <c r="JB34" s="16"/>
      <c r="JC34" s="15" t="s">
        <v>531</v>
      </c>
      <c r="JE34" s="25" t="str">
        <f>IF(Regn!$G34&gt;1,Regn!NC34,"")</f>
        <v/>
      </c>
      <c r="JF34" s="15" t="s">
        <v>188</v>
      </c>
      <c r="JH34" s="16"/>
      <c r="JI34" s="15" t="s">
        <v>188</v>
      </c>
      <c r="JK34" s="25" t="str">
        <f>IF(Regn!$G34&gt;1,Regn!NI34,"")</f>
        <v/>
      </c>
      <c r="JL34" s="15" t="s">
        <v>188</v>
      </c>
      <c r="JN34" s="16"/>
      <c r="JO34" s="15" t="s">
        <v>188</v>
      </c>
      <c r="JQ34" s="25" t="str">
        <f>IF(Regn!$G34&gt;1,Regn!NM34,"")</f>
        <v/>
      </c>
      <c r="JR34" s="15" t="s">
        <v>188</v>
      </c>
      <c r="JT34" s="16"/>
      <c r="JU34" s="15" t="s">
        <v>188</v>
      </c>
    </row>
    <row r="35" spans="2:281" ht="12" customHeight="1" x14ac:dyDescent="0.25">
      <c r="B35" s="28"/>
      <c r="C35" s="133" t="str">
        <f>IF(OR(Regn!$B36&gt;1,Regn!E34=1),"",VLOOKUP(Regn!$E34,Afgr,2))</f>
        <v/>
      </c>
      <c r="G35" s="134" t="str">
        <f>IF(OR(Regn!$C36&gt;1,Regn!$G34=1),"",VLOOKUP(Regn!$G34,Efgr,2))</f>
        <v/>
      </c>
      <c r="U35" s="134" t="str">
        <f>IF(OR(Regn!$K36&gt;1,Regn!$E38=1),"",VLOOKUP(Regn!$E38,Afgr,2))</f>
        <v/>
      </c>
    </row>
    <row r="36" spans="2:281" x14ac:dyDescent="0.25">
      <c r="B36" s="28">
        <v>2</v>
      </c>
      <c r="Z36" s="36"/>
      <c r="AA36" s="15" t="s">
        <v>85</v>
      </c>
      <c r="AC36" s="53">
        <f>Regn!M36</f>
        <v>0</v>
      </c>
      <c r="AD36" s="15" t="s">
        <v>85</v>
      </c>
      <c r="AF36" s="15" t="str">
        <f>IF(Regn!$E36&lt;=1,"",VLOOKUP(Regn!$E36,Afgr,2))</f>
        <v>Vinterhvede</v>
      </c>
      <c r="AH36" s="55">
        <f>IF(Regn!$E36&gt;1,Regn!BH36,"")</f>
        <v>89</v>
      </c>
      <c r="AI36" s="15" t="str">
        <f>IF(Regn!BK36&lt;&gt;0,Regn!BK36,"")</f>
        <v>hkg</v>
      </c>
      <c r="AK36" s="16"/>
      <c r="AL36" s="15" t="str">
        <f>IF(Regn!BK36&lt;&gt;0,Regn!BK36,"")</f>
        <v>hkg</v>
      </c>
      <c r="AN36" s="33">
        <f>IF(Regn!$E36&gt;1,Regn!DP36,"")</f>
        <v>10.7</v>
      </c>
      <c r="AO36" s="15" t="s">
        <v>201</v>
      </c>
      <c r="AQ36" s="38"/>
      <c r="AR36" s="15" t="s">
        <v>201</v>
      </c>
      <c r="AT36" s="55">
        <f>IF(Regn!$E36&gt;1,Regn!BN36,"")</f>
        <v>145</v>
      </c>
      <c r="AU36" s="15" t="s">
        <v>188</v>
      </c>
      <c r="AW36" s="124"/>
      <c r="AX36" s="15" t="s">
        <v>188</v>
      </c>
      <c r="AZ36" s="25">
        <f>IF(Regn!$E36&gt;1,Regn!BS36,"")</f>
        <v>0</v>
      </c>
      <c r="BA36" s="15" t="s">
        <v>188</v>
      </c>
      <c r="BC36" s="17"/>
      <c r="BD36" s="15" t="s">
        <v>188</v>
      </c>
      <c r="BF36" s="25">
        <f>IF(Regn!$E36&gt;1,Regn!BX36,"")</f>
        <v>4700</v>
      </c>
      <c r="BG36" s="15" t="s">
        <v>192</v>
      </c>
      <c r="BI36" s="16"/>
      <c r="BJ36" s="15" t="s">
        <v>192</v>
      </c>
      <c r="BO36" s="33">
        <f>IF(Regn!$E36&gt;1,Regn!CE36,"")</f>
        <v>0.5</v>
      </c>
      <c r="BP36" s="15" t="s">
        <v>188</v>
      </c>
      <c r="BR36" s="38"/>
      <c r="BS36" s="15" t="s">
        <v>188</v>
      </c>
      <c r="BU36" s="15" t="str">
        <f>IF(Regn!$E36&lt;=1,"",VLOOKUP(Regn!$E36,Afgr,2))</f>
        <v>Vinterhvede</v>
      </c>
      <c r="BW36" s="32">
        <f>IF(Regn!$E36&gt;1,Regn!Y36,"")</f>
        <v>163.0952380952381</v>
      </c>
      <c r="BX36" s="15" t="s">
        <v>82</v>
      </c>
      <c r="BZ36" s="37"/>
      <c r="CA36" s="15" t="s">
        <v>82</v>
      </c>
      <c r="CC36" s="32">
        <f>IF(Regn!$E36&gt;1,Regn!S36,"")</f>
        <v>137</v>
      </c>
      <c r="CD36" s="15" t="s">
        <v>82</v>
      </c>
      <c r="CF36" s="32">
        <f>IF(Regn!$E36&gt;1,Regn!U36,"")</f>
        <v>137</v>
      </c>
      <c r="CG36" s="15" t="s">
        <v>82</v>
      </c>
      <c r="CI36" s="37"/>
      <c r="CJ36" s="15" t="s">
        <v>82</v>
      </c>
      <c r="CL36" s="32">
        <f>IF(Regn!$E36&gt;1,Regn!AS36,"")</f>
        <v>0</v>
      </c>
      <c r="CM36" s="15" t="s">
        <v>82</v>
      </c>
      <c r="CO36" s="37"/>
      <c r="CP36" s="15" t="s">
        <v>82</v>
      </c>
      <c r="CR36" s="32">
        <f>IF(Regn!$E36&gt;1,UdnKrav,"")</f>
        <v>75</v>
      </c>
      <c r="CS36" s="15" t="s">
        <v>205</v>
      </c>
      <c r="CU36" s="32">
        <f>IF(Regn!$E36&gt;1,Regn!AY36,"")</f>
        <v>0</v>
      </c>
      <c r="CV36" s="15" t="s">
        <v>82</v>
      </c>
      <c r="CX36" s="15" t="str">
        <f>IF(Regn!$G36&lt;=1,"",VLOOKUP(Regn!$G36,Efgr,2))</f>
        <v/>
      </c>
      <c r="CZ36" s="25" t="str">
        <f>IF(Regn!$G36&gt;1,Regn!DC36,"")</f>
        <v/>
      </c>
      <c r="DA36" s="15" t="str">
        <f>IF(Regn!$G36&gt;1,Regn!DF36,"")</f>
        <v/>
      </c>
      <c r="DC36" s="16"/>
      <c r="DD36" s="15" t="str">
        <f>IF(Regn!$G36&gt;1,Regn!DF36,"")</f>
        <v/>
      </c>
      <c r="DJ36" s="25" t="str">
        <f>IF(Regn!$G36&gt;1,Regn!CL36,"")</f>
        <v/>
      </c>
      <c r="DK36" s="15" t="s">
        <v>82</v>
      </c>
      <c r="DM36" s="16"/>
      <c r="DN36" s="15" t="s">
        <v>82</v>
      </c>
      <c r="DP36" s="25" t="str">
        <f>IF(Regn!$G36&gt;1,Regn!CR36,"")</f>
        <v/>
      </c>
      <c r="DQ36" s="15" t="s">
        <v>82</v>
      </c>
      <c r="DS36" s="16"/>
      <c r="DT36" s="15" t="s">
        <v>82</v>
      </c>
      <c r="DV36" s="25" t="str">
        <f>IF(Regn!$G36&gt;1,UdnKrav,"")</f>
        <v/>
      </c>
      <c r="DW36" s="15" t="s">
        <v>205</v>
      </c>
      <c r="DY36" s="25" t="str">
        <f>IF(Regn!$G36&gt;1,Regn!CX36,"")</f>
        <v/>
      </c>
      <c r="DZ36" s="15" t="s">
        <v>82</v>
      </c>
      <c r="EB36" s="15" t="str">
        <f>IF(Regn!$E36&lt;=1,"",VLOOKUP(Regn!$E36,Afgr,2))</f>
        <v>Vinterhvede</v>
      </c>
      <c r="ED36" s="25">
        <f>IF(Regn!$E36&gt;1,Regn!IB36,"")</f>
        <v>578</v>
      </c>
      <c r="EE36" s="15" t="s">
        <v>188</v>
      </c>
      <c r="EG36" s="16"/>
      <c r="EH36" s="15" t="s">
        <v>188</v>
      </c>
      <c r="EJ36" s="25">
        <f>IF(Regn!$E36&gt;1,Regn!IX36,"")</f>
        <v>2190.6898499999998</v>
      </c>
      <c r="EK36" s="15" t="s">
        <v>188</v>
      </c>
      <c r="EM36" s="16"/>
      <c r="EN36" s="15" t="s">
        <v>188</v>
      </c>
      <c r="EP36" s="25">
        <f>IF(Regn!$E36&gt;1,Regn!JB36,"")</f>
        <v>703</v>
      </c>
      <c r="EQ36" s="15" t="s">
        <v>188</v>
      </c>
      <c r="ES36" s="16"/>
      <c r="ET36" s="15" t="s">
        <v>188</v>
      </c>
      <c r="EV36" s="25">
        <f>IF(Regn!$E36&gt;1,Regn!JF36,"")</f>
        <v>0</v>
      </c>
      <c r="EW36" s="15" t="s">
        <v>188</v>
      </c>
      <c r="EY36" s="16"/>
      <c r="EZ36" s="15" t="s">
        <v>188</v>
      </c>
      <c r="FB36" s="25">
        <f>IF(Regn!$E36&gt;1,Regn!JL36,"")</f>
        <v>600</v>
      </c>
      <c r="FC36" s="15" t="s">
        <v>362</v>
      </c>
      <c r="FE36" s="16"/>
      <c r="FF36" s="15" t="s">
        <v>188</v>
      </c>
      <c r="FH36" s="25">
        <f>IF(Regn!$E36&gt;1,Regn!JY36,"")</f>
        <v>350</v>
      </c>
      <c r="FI36" s="15" t="s">
        <v>188</v>
      </c>
      <c r="FK36" s="16"/>
      <c r="FL36" s="15" t="s">
        <v>188</v>
      </c>
      <c r="FN36" s="25">
        <f>IF(Regn!$E36&gt;1,Regn!KC36,"")</f>
        <v>280</v>
      </c>
      <c r="FO36" s="15" t="s">
        <v>188</v>
      </c>
      <c r="FQ36" s="16"/>
      <c r="FR36" s="15" t="s">
        <v>188</v>
      </c>
      <c r="FT36" s="25">
        <f>IF(Regn!$E36&gt;1,Regn!KG36,"")</f>
        <v>450</v>
      </c>
      <c r="FU36" s="15" t="s">
        <v>188</v>
      </c>
      <c r="FW36" s="16"/>
      <c r="FX36" s="15" t="s">
        <v>188</v>
      </c>
      <c r="FZ36" s="25">
        <f>IF(Regn!$E36&gt;1,Regn!KK36,"")</f>
        <v>0</v>
      </c>
      <c r="GA36" s="15" t="s">
        <v>531</v>
      </c>
      <c r="GC36" s="16"/>
      <c r="GD36" s="15" t="s">
        <v>531</v>
      </c>
      <c r="GF36" s="25">
        <f>IF(Regn!$E36&gt;1,Regn!KM36,"")</f>
        <v>0</v>
      </c>
      <c r="GG36" s="15" t="s">
        <v>188</v>
      </c>
      <c r="GI36" s="16"/>
      <c r="GJ36" s="15" t="s">
        <v>188</v>
      </c>
      <c r="GL36" s="25">
        <f>IF(Regn!$E36&gt;1,Regn!KT36,"")</f>
        <v>1261.4705882352941</v>
      </c>
      <c r="GM36" s="15" t="s">
        <v>188</v>
      </c>
      <c r="GO36" s="16"/>
      <c r="GP36" s="15" t="s">
        <v>405</v>
      </c>
      <c r="GR36" s="25">
        <f>IF(Regn!$E36&gt;1,Regn!KZ36,"")</f>
        <v>987.08333333333326</v>
      </c>
      <c r="GS36" s="15" t="s">
        <v>188</v>
      </c>
      <c r="GU36" s="16"/>
      <c r="GV36" s="15" t="s">
        <v>188</v>
      </c>
      <c r="HA36" s="25">
        <f>IF(Regn!$E36&gt;1,Regn!LD36,"")</f>
        <v>822.36000000000013</v>
      </c>
      <c r="HB36" s="15" t="s">
        <v>188</v>
      </c>
      <c r="HD36" s="16"/>
      <c r="HE36" s="15" t="s">
        <v>188</v>
      </c>
      <c r="HG36" s="15" t="str">
        <f>IF(Regn!$G36&lt;=1,"",VLOOKUP(Regn!$G36,Efgr,2))</f>
        <v/>
      </c>
      <c r="HI36" s="25" t="str">
        <f>IF(Regn!$G36&gt;1,Regn!LH36,"")</f>
        <v/>
      </c>
      <c r="HJ36" s="15" t="s">
        <v>188</v>
      </c>
      <c r="HL36" s="16"/>
      <c r="HM36" s="15" t="s">
        <v>188</v>
      </c>
      <c r="HO36" s="25" t="str">
        <f>IF(Regn!$G36&gt;1,Regn!MA36,"")</f>
        <v/>
      </c>
      <c r="HP36" s="15" t="s">
        <v>188</v>
      </c>
      <c r="HR36" s="16"/>
      <c r="HS36" s="15" t="s">
        <v>188</v>
      </c>
      <c r="HU36" s="25" t="str">
        <f>IF(Regn!$G36&gt;1,Regn!ME36,"")</f>
        <v/>
      </c>
      <c r="HV36" s="15" t="s">
        <v>188</v>
      </c>
      <c r="HX36" s="16"/>
      <c r="HY36" s="15" t="s">
        <v>188</v>
      </c>
      <c r="IA36" s="25" t="str">
        <f>IF(Regn!$G36&gt;1,Regn!MI36,"")</f>
        <v/>
      </c>
      <c r="IB36" s="15" t="s">
        <v>188</v>
      </c>
      <c r="ID36" s="16"/>
      <c r="IE36" s="15" t="s">
        <v>188</v>
      </c>
      <c r="IG36" s="25" t="str">
        <f>IF(Regn!$G36&gt;1,Regn!MO36,"")</f>
        <v/>
      </c>
      <c r="IH36" s="15" t="s">
        <v>188</v>
      </c>
      <c r="IJ36" s="16"/>
      <c r="IK36" s="15" t="s">
        <v>188</v>
      </c>
      <c r="IM36" s="25" t="str">
        <f>IF(Regn!$G36&gt;1,Regn!MS36,"")</f>
        <v/>
      </c>
      <c r="IN36" s="15" t="s">
        <v>188</v>
      </c>
      <c r="IP36" s="16"/>
      <c r="IQ36" s="15" t="s">
        <v>188</v>
      </c>
      <c r="IS36" s="25" t="str">
        <f>IF(Regn!$G36&gt;1,Regn!MW36,"")</f>
        <v/>
      </c>
      <c r="IT36" s="15" t="s">
        <v>188</v>
      </c>
      <c r="IV36" s="16"/>
      <c r="IW36" s="15" t="s">
        <v>188</v>
      </c>
      <c r="IY36" s="25" t="str">
        <f>IF(Regn!$G36&gt;1,Regn!NA36,"")</f>
        <v/>
      </c>
      <c r="IZ36" s="15" t="s">
        <v>531</v>
      </c>
      <c r="JB36" s="16"/>
      <c r="JC36" s="15" t="s">
        <v>531</v>
      </c>
      <c r="JE36" s="25" t="str">
        <f>IF(Regn!$G36&gt;1,Regn!NC36,"")</f>
        <v/>
      </c>
      <c r="JF36" s="15" t="s">
        <v>188</v>
      </c>
      <c r="JH36" s="16"/>
      <c r="JI36" s="15" t="s">
        <v>188</v>
      </c>
      <c r="JK36" s="25" t="str">
        <f>IF(Regn!$G36&gt;1,Regn!NI36,"")</f>
        <v/>
      </c>
      <c r="JL36" s="15" t="s">
        <v>188</v>
      </c>
      <c r="JN36" s="16"/>
      <c r="JO36" s="15" t="s">
        <v>188</v>
      </c>
      <c r="JQ36" s="25" t="str">
        <f>IF(Regn!$G36&gt;1,Regn!NM36,"")</f>
        <v/>
      </c>
      <c r="JR36" s="15" t="s">
        <v>188</v>
      </c>
      <c r="JT36" s="16"/>
      <c r="JU36" s="15" t="s">
        <v>188</v>
      </c>
    </row>
    <row r="37" spans="2:281" ht="12" customHeight="1" x14ac:dyDescent="0.25">
      <c r="B37" s="28"/>
      <c r="C37" s="133" t="str">
        <f>IF(OR(Regn!$B38&gt;1,Regn!E36=1),"",VLOOKUP(Regn!$E36,Afgr,2))</f>
        <v>Vinterhvede</v>
      </c>
      <c r="G37" s="134" t="str">
        <f>IF(OR(Regn!$C38&gt;1,Regn!$G36=1),"",VLOOKUP(Regn!$G36,Efgr,2))</f>
        <v/>
      </c>
      <c r="O37" s="34"/>
      <c r="U37" s="134" t="str">
        <f>IF(OR(Regn!$K38&gt;1,Regn!$E40=1),"",VLOOKUP(Regn!$E40,Afgr,2))</f>
        <v/>
      </c>
    </row>
    <row r="38" spans="2:281" x14ac:dyDescent="0.25">
      <c r="B38" s="28">
        <v>3</v>
      </c>
      <c r="Z38" s="36"/>
      <c r="AA38" s="15" t="s">
        <v>85</v>
      </c>
      <c r="AC38" s="53">
        <f>Regn!M38</f>
        <v>0</v>
      </c>
      <c r="AD38" s="15" t="s">
        <v>85</v>
      </c>
      <c r="AF38" s="15" t="str">
        <f>IF(Regn!$E38&lt;=1,"",VLOOKUP(Regn!$E38,Afgr,2))</f>
        <v/>
      </c>
      <c r="AH38" s="55" t="str">
        <f>IF(Regn!$E38&gt;1,Regn!BH38,"")</f>
        <v/>
      </c>
      <c r="AI38" s="15" t="str">
        <f>IF(Regn!BK38&lt;&gt;0,Regn!BK38,"")</f>
        <v/>
      </c>
      <c r="AK38" s="16"/>
      <c r="AL38" s="15" t="str">
        <f>IF(Regn!BK38&lt;&gt;0,Regn!BK38,"")</f>
        <v/>
      </c>
      <c r="AN38" s="33" t="str">
        <f>IF(Regn!$E38&gt;1,Regn!DP38,"")</f>
        <v/>
      </c>
      <c r="AO38" s="15" t="s">
        <v>201</v>
      </c>
      <c r="AQ38" s="38"/>
      <c r="AR38" s="15" t="s">
        <v>201</v>
      </c>
      <c r="AT38" s="55" t="str">
        <f>IF(Regn!$E38&gt;1,Regn!BN38,"")</f>
        <v/>
      </c>
      <c r="AU38" s="15" t="s">
        <v>188</v>
      </c>
      <c r="AW38" s="124"/>
      <c r="AX38" s="15" t="s">
        <v>188</v>
      </c>
      <c r="AZ38" s="25" t="str">
        <f>IF(Regn!$E38&gt;1,Regn!BS38,"")</f>
        <v/>
      </c>
      <c r="BA38" s="15" t="s">
        <v>188</v>
      </c>
      <c r="BC38" s="17"/>
      <c r="BD38" s="15" t="s">
        <v>188</v>
      </c>
      <c r="BF38" s="25" t="str">
        <f>IF(Regn!$E38&gt;1,Regn!BX38,"")</f>
        <v/>
      </c>
      <c r="BG38" s="15" t="s">
        <v>192</v>
      </c>
      <c r="BI38" s="16"/>
      <c r="BJ38" s="15" t="s">
        <v>192</v>
      </c>
      <c r="BO38" s="33" t="str">
        <f>IF(Regn!$E38&gt;1,Regn!CE38,"")</f>
        <v/>
      </c>
      <c r="BP38" s="15" t="s">
        <v>188</v>
      </c>
      <c r="BR38" s="38"/>
      <c r="BS38" s="15" t="s">
        <v>188</v>
      </c>
      <c r="BU38" s="15" t="str">
        <f>IF(Regn!$E38&lt;=1,"",VLOOKUP(Regn!$E38,Afgr,2))</f>
        <v/>
      </c>
      <c r="BW38" s="32" t="str">
        <f>IF(Regn!$E38&gt;1,Regn!Y38,"")</f>
        <v/>
      </c>
      <c r="BX38" s="15" t="s">
        <v>82</v>
      </c>
      <c r="BZ38" s="37"/>
      <c r="CA38" s="15" t="s">
        <v>82</v>
      </c>
      <c r="CC38" s="32" t="str">
        <f>IF(Regn!$E38&gt;1,Regn!S38,"")</f>
        <v/>
      </c>
      <c r="CD38" s="15" t="s">
        <v>82</v>
      </c>
      <c r="CF38" s="32" t="str">
        <f>IF(Regn!$E38&gt;1,Regn!U38,"")</f>
        <v/>
      </c>
      <c r="CG38" s="15" t="s">
        <v>82</v>
      </c>
      <c r="CI38" s="37"/>
      <c r="CJ38" s="15" t="s">
        <v>82</v>
      </c>
      <c r="CL38" s="32" t="str">
        <f>IF(Regn!$E38&gt;1,Regn!AS38,"")</f>
        <v/>
      </c>
      <c r="CM38" s="15" t="s">
        <v>82</v>
      </c>
      <c r="CO38" s="37"/>
      <c r="CP38" s="15" t="s">
        <v>82</v>
      </c>
      <c r="CR38" s="32" t="str">
        <f>IF(Regn!$E38&gt;1,UdnKrav,"")</f>
        <v/>
      </c>
      <c r="CS38" s="15" t="s">
        <v>205</v>
      </c>
      <c r="CU38" s="32" t="str">
        <f>IF(Regn!$E38&gt;1,Regn!AY38,"")</f>
        <v/>
      </c>
      <c r="CV38" s="15" t="s">
        <v>82</v>
      </c>
      <c r="CX38" s="15" t="str">
        <f>IF(Regn!$G38&lt;=1,"",VLOOKUP(Regn!$G38,Efgr,2))</f>
        <v/>
      </c>
      <c r="CZ38" s="25" t="str">
        <f>IF(Regn!$G38&gt;1,Regn!DC38,"")</f>
        <v/>
      </c>
      <c r="DA38" s="15" t="str">
        <f>IF(Regn!$G38&gt;1,Regn!DF38,"")</f>
        <v/>
      </c>
      <c r="DC38" s="16"/>
      <c r="DD38" s="15" t="str">
        <f>IF(Regn!$G38&gt;1,Regn!DF38,"")</f>
        <v/>
      </c>
      <c r="DJ38" s="25" t="str">
        <f>IF(Regn!$G38&gt;1,Regn!CL38,"")</f>
        <v/>
      </c>
      <c r="DK38" s="15" t="s">
        <v>82</v>
      </c>
      <c r="DM38" s="16"/>
      <c r="DN38" s="15" t="s">
        <v>82</v>
      </c>
      <c r="DP38" s="25" t="str">
        <f>IF(Regn!$G38&gt;1,Regn!CR38,"")</f>
        <v/>
      </c>
      <c r="DQ38" s="15" t="s">
        <v>82</v>
      </c>
      <c r="DS38" s="16"/>
      <c r="DT38" s="15" t="s">
        <v>82</v>
      </c>
      <c r="DV38" s="25" t="str">
        <f>IF(Regn!$G38&gt;1,UdnKrav,"")</f>
        <v/>
      </c>
      <c r="DW38" s="15" t="s">
        <v>205</v>
      </c>
      <c r="DY38" s="25" t="str">
        <f>IF(Regn!$G38&gt;1,Regn!CX38,"")</f>
        <v/>
      </c>
      <c r="DZ38" s="15" t="s">
        <v>82</v>
      </c>
      <c r="EB38" s="15" t="str">
        <f>IF(Regn!$E38&lt;=1,"",VLOOKUP(Regn!$E38,Afgr,2))</f>
        <v/>
      </c>
      <c r="ED38" s="25" t="str">
        <f>IF(Regn!$E38&gt;1,Regn!IB38,"")</f>
        <v/>
      </c>
      <c r="EE38" s="15" t="s">
        <v>188</v>
      </c>
      <c r="EG38" s="16"/>
      <c r="EH38" s="15" t="s">
        <v>188</v>
      </c>
      <c r="EJ38" s="25" t="str">
        <f>IF(Regn!$E38&gt;1,Regn!IX38,"")</f>
        <v/>
      </c>
      <c r="EK38" s="15" t="s">
        <v>188</v>
      </c>
      <c r="EM38" s="16"/>
      <c r="EN38" s="15" t="s">
        <v>188</v>
      </c>
      <c r="EP38" s="25" t="str">
        <f>IF(Regn!$E38&gt;1,Regn!JB38,"")</f>
        <v/>
      </c>
      <c r="EQ38" s="15" t="s">
        <v>188</v>
      </c>
      <c r="ES38" s="16"/>
      <c r="ET38" s="15" t="s">
        <v>188</v>
      </c>
      <c r="EV38" s="25" t="str">
        <f>IF(Regn!$E38&gt;1,Regn!JF38,"")</f>
        <v/>
      </c>
      <c r="EW38" s="15" t="s">
        <v>188</v>
      </c>
      <c r="EY38" s="16"/>
      <c r="EZ38" s="15" t="s">
        <v>188</v>
      </c>
      <c r="FB38" s="25" t="str">
        <f>IF(Regn!$E38&gt;1,Regn!JL38,"")</f>
        <v/>
      </c>
      <c r="FC38" s="15" t="s">
        <v>362</v>
      </c>
      <c r="FE38" s="16"/>
      <c r="FF38" s="15" t="s">
        <v>188</v>
      </c>
      <c r="FH38" s="25" t="str">
        <f>IF(Regn!$E38&gt;1,Regn!JY38,"")</f>
        <v/>
      </c>
      <c r="FI38" s="15" t="s">
        <v>188</v>
      </c>
      <c r="FK38" s="16"/>
      <c r="FL38" s="15" t="s">
        <v>188</v>
      </c>
      <c r="FN38" s="25" t="str">
        <f>IF(Regn!$E38&gt;1,Regn!KC38,"")</f>
        <v/>
      </c>
      <c r="FO38" s="15" t="s">
        <v>188</v>
      </c>
      <c r="FQ38" s="16"/>
      <c r="FR38" s="15" t="s">
        <v>188</v>
      </c>
      <c r="FT38" s="25" t="str">
        <f>IF(Regn!$E38&gt;1,Regn!KG38,"")</f>
        <v/>
      </c>
      <c r="FU38" s="15" t="s">
        <v>188</v>
      </c>
      <c r="FW38" s="16"/>
      <c r="FX38" s="15" t="s">
        <v>188</v>
      </c>
      <c r="FZ38" s="25" t="str">
        <f>IF(Regn!$E38&gt;1,Regn!KK38,"")</f>
        <v/>
      </c>
      <c r="GA38" s="15" t="s">
        <v>531</v>
      </c>
      <c r="GC38" s="16"/>
      <c r="GD38" s="15" t="s">
        <v>531</v>
      </c>
      <c r="GF38" s="25" t="str">
        <f>IF(Regn!$E38&gt;1,Regn!KM38,"")</f>
        <v/>
      </c>
      <c r="GG38" s="15" t="s">
        <v>188</v>
      </c>
      <c r="GI38" s="16"/>
      <c r="GJ38" s="15" t="s">
        <v>188</v>
      </c>
      <c r="GL38" s="25" t="str">
        <f>IF(Regn!$E38&gt;1,Regn!KT38,"")</f>
        <v/>
      </c>
      <c r="GM38" s="15" t="s">
        <v>188</v>
      </c>
      <c r="GO38" s="16"/>
      <c r="GP38" s="15" t="s">
        <v>405</v>
      </c>
      <c r="GR38" s="25" t="str">
        <f>IF(Regn!$E38&gt;1,Regn!KZ38,"")</f>
        <v/>
      </c>
      <c r="GS38" s="15" t="s">
        <v>188</v>
      </c>
      <c r="GU38" s="16"/>
      <c r="GV38" s="15" t="s">
        <v>188</v>
      </c>
      <c r="HA38" s="25" t="str">
        <f>IF(Regn!$E38&gt;1,Regn!LD38,"")</f>
        <v/>
      </c>
      <c r="HB38" s="15" t="s">
        <v>188</v>
      </c>
      <c r="HD38" s="16"/>
      <c r="HE38" s="15" t="s">
        <v>188</v>
      </c>
      <c r="HG38" s="15" t="str">
        <f>IF(Regn!$G38&lt;=1,"",VLOOKUP(Regn!$G38,Efgr,2))</f>
        <v/>
      </c>
      <c r="HI38" s="25" t="str">
        <f>IF(Regn!$G38&gt;1,Regn!LH38,"")</f>
        <v/>
      </c>
      <c r="HJ38" s="15" t="s">
        <v>188</v>
      </c>
      <c r="HL38" s="16"/>
      <c r="HM38" s="15" t="s">
        <v>188</v>
      </c>
      <c r="HO38" s="25" t="str">
        <f>IF(Regn!$G38&gt;1,Regn!MA38,"")</f>
        <v/>
      </c>
      <c r="HP38" s="15" t="s">
        <v>188</v>
      </c>
      <c r="HR38" s="16"/>
      <c r="HS38" s="15" t="s">
        <v>188</v>
      </c>
      <c r="HU38" s="25" t="str">
        <f>IF(Regn!$G38&gt;1,Regn!ME38,"")</f>
        <v/>
      </c>
      <c r="HV38" s="15" t="s">
        <v>188</v>
      </c>
      <c r="HX38" s="16"/>
      <c r="HY38" s="15" t="s">
        <v>188</v>
      </c>
      <c r="IA38" s="25" t="str">
        <f>IF(Regn!$G38&gt;1,Regn!MI38,"")</f>
        <v/>
      </c>
      <c r="IB38" s="15" t="s">
        <v>188</v>
      </c>
      <c r="ID38" s="16"/>
      <c r="IE38" s="15" t="s">
        <v>188</v>
      </c>
      <c r="IG38" s="25" t="str">
        <f>IF(Regn!$G38&gt;1,Regn!MO38,"")</f>
        <v/>
      </c>
      <c r="IH38" s="15" t="s">
        <v>188</v>
      </c>
      <c r="IJ38" s="16"/>
      <c r="IK38" s="15" t="s">
        <v>188</v>
      </c>
      <c r="IM38" s="25" t="str">
        <f>IF(Regn!$G38&gt;1,Regn!MS38,"")</f>
        <v/>
      </c>
      <c r="IN38" s="15" t="s">
        <v>188</v>
      </c>
      <c r="IP38" s="16"/>
      <c r="IQ38" s="15" t="s">
        <v>188</v>
      </c>
      <c r="IS38" s="25" t="str">
        <f>IF(Regn!$G38&gt;1,Regn!MW38,"")</f>
        <v/>
      </c>
      <c r="IT38" s="15" t="s">
        <v>188</v>
      </c>
      <c r="IV38" s="16"/>
      <c r="IW38" s="15" t="s">
        <v>188</v>
      </c>
      <c r="IY38" s="25" t="str">
        <f>IF(Regn!$G38&gt;1,Regn!NA38,"")</f>
        <v/>
      </c>
      <c r="IZ38" s="15" t="s">
        <v>531</v>
      </c>
      <c r="JB38" s="16"/>
      <c r="JC38" s="15" t="s">
        <v>531</v>
      </c>
      <c r="JE38" s="25" t="str">
        <f>IF(Regn!$G38&gt;1,Regn!NC38,"")</f>
        <v/>
      </c>
      <c r="JF38" s="15" t="s">
        <v>188</v>
      </c>
      <c r="JH38" s="16"/>
      <c r="JI38" s="15" t="s">
        <v>188</v>
      </c>
      <c r="JK38" s="25" t="str">
        <f>IF(Regn!$G38&gt;1,Regn!NI38,"")</f>
        <v/>
      </c>
      <c r="JL38" s="15" t="s">
        <v>188</v>
      </c>
      <c r="JN38" s="16"/>
      <c r="JO38" s="15" t="s">
        <v>188</v>
      </c>
      <c r="JQ38" s="25" t="str">
        <f>IF(Regn!$G38&gt;1,Regn!NM38,"")</f>
        <v/>
      </c>
      <c r="JR38" s="15" t="s">
        <v>188</v>
      </c>
      <c r="JT38" s="16"/>
      <c r="JU38" s="15" t="s">
        <v>188</v>
      </c>
    </row>
    <row r="39" spans="2:281" ht="12" customHeight="1" x14ac:dyDescent="0.25">
      <c r="B39" s="28"/>
      <c r="C39" s="133" t="str">
        <f>IF(OR(Regn!$B40&gt;1,Regn!E38=1),"",VLOOKUP(Regn!$E38,Afgr,2))</f>
        <v/>
      </c>
      <c r="G39" s="134" t="str">
        <f>IF(OR(Regn!$C40&gt;1,Regn!$G38=1),"",VLOOKUP(Regn!$G38,Efgr,2))</f>
        <v/>
      </c>
      <c r="U39" s="134" t="str">
        <f>IF(OR(Regn!$K40&gt;1,Regn!$E42=1),"",VLOOKUP(Regn!$E42,Afgr,2))</f>
        <v/>
      </c>
    </row>
    <row r="40" spans="2:281" x14ac:dyDescent="0.25">
      <c r="B40" s="28">
        <v>4</v>
      </c>
      <c r="Z40" s="36"/>
      <c r="AA40" s="15" t="s">
        <v>85</v>
      </c>
      <c r="AC40" s="53">
        <f>Regn!M40</f>
        <v>0</v>
      </c>
      <c r="AD40" s="15" t="s">
        <v>85</v>
      </c>
      <c r="AF40" s="15" t="str">
        <f>IF(Regn!$E40&lt;=1,"",VLOOKUP(Regn!$E40,Afgr,2))</f>
        <v/>
      </c>
      <c r="AH40" s="55" t="str">
        <f>IF(Regn!$E40&gt;1,Regn!BH40,"")</f>
        <v/>
      </c>
      <c r="AI40" s="15" t="str">
        <f>IF(Regn!BK40&lt;&gt;0,Regn!BK40,"")</f>
        <v/>
      </c>
      <c r="AK40" s="16"/>
      <c r="AL40" s="15" t="str">
        <f>IF(Regn!BK40&lt;&gt;0,Regn!BK40,"")</f>
        <v/>
      </c>
      <c r="AN40" s="33" t="str">
        <f>IF(Regn!$E40&gt;1,Regn!DP40,"")</f>
        <v/>
      </c>
      <c r="AO40" s="15" t="s">
        <v>201</v>
      </c>
      <c r="AQ40" s="38"/>
      <c r="AR40" s="15" t="s">
        <v>201</v>
      </c>
      <c r="AT40" s="55" t="str">
        <f>IF(Regn!$E40&gt;1,Regn!BN40,"")</f>
        <v/>
      </c>
      <c r="AU40" s="15" t="s">
        <v>188</v>
      </c>
      <c r="AW40" s="124"/>
      <c r="AX40" s="15" t="s">
        <v>188</v>
      </c>
      <c r="AZ40" s="25" t="str">
        <f>IF(Regn!$E40&gt;1,Regn!BS40,"")</f>
        <v/>
      </c>
      <c r="BA40" s="15" t="s">
        <v>188</v>
      </c>
      <c r="BC40" s="17"/>
      <c r="BD40" s="15" t="s">
        <v>188</v>
      </c>
      <c r="BF40" s="25" t="str">
        <f>IF(Regn!$E40&gt;1,Regn!BX40,"")</f>
        <v/>
      </c>
      <c r="BG40" s="15" t="s">
        <v>192</v>
      </c>
      <c r="BI40" s="16"/>
      <c r="BJ40" s="15" t="s">
        <v>192</v>
      </c>
      <c r="BO40" s="33" t="str">
        <f>IF(Regn!$E40&gt;1,Regn!CE40,"")</f>
        <v/>
      </c>
      <c r="BP40" s="15" t="s">
        <v>188</v>
      </c>
      <c r="BR40" s="38"/>
      <c r="BS40" s="15" t="s">
        <v>188</v>
      </c>
      <c r="BU40" s="15" t="str">
        <f>IF(Regn!$E40&lt;=1,"",VLOOKUP(Regn!$E40,Afgr,2))</f>
        <v/>
      </c>
      <c r="BW40" s="32" t="str">
        <f>IF(Regn!$E40&gt;1,Regn!Y40,"")</f>
        <v/>
      </c>
      <c r="BX40" s="15" t="s">
        <v>82</v>
      </c>
      <c r="BZ40" s="37"/>
      <c r="CA40" s="15" t="s">
        <v>82</v>
      </c>
      <c r="CC40" s="32" t="str">
        <f>IF(Regn!$E40&gt;1,Regn!S40,"")</f>
        <v/>
      </c>
      <c r="CD40" s="15" t="s">
        <v>82</v>
      </c>
      <c r="CF40" s="32" t="str">
        <f>IF(Regn!$E40&gt;1,Regn!U40,"")</f>
        <v/>
      </c>
      <c r="CG40" s="15" t="s">
        <v>82</v>
      </c>
      <c r="CI40" s="37"/>
      <c r="CJ40" s="15" t="s">
        <v>82</v>
      </c>
      <c r="CL40" s="32" t="str">
        <f>IF(Regn!$E40&gt;1,Regn!AS40,"")</f>
        <v/>
      </c>
      <c r="CM40" s="15" t="s">
        <v>82</v>
      </c>
      <c r="CO40" s="37"/>
      <c r="CP40" s="15" t="s">
        <v>82</v>
      </c>
      <c r="CR40" s="32" t="str">
        <f>IF(Regn!$E40&gt;1,UdnKrav,"")</f>
        <v/>
      </c>
      <c r="CS40" s="15" t="s">
        <v>205</v>
      </c>
      <c r="CU40" s="32" t="str">
        <f>IF(Regn!$E40&gt;1,Regn!AY40,"")</f>
        <v/>
      </c>
      <c r="CV40" s="15" t="s">
        <v>82</v>
      </c>
      <c r="CX40" s="15" t="str">
        <f>IF(Regn!$G40&lt;=1,"",VLOOKUP(Regn!$G40,Efgr,2))</f>
        <v/>
      </c>
      <c r="CZ40" s="25" t="str">
        <f>IF(Regn!$G40&gt;1,Regn!DC40,"")</f>
        <v/>
      </c>
      <c r="DA40" s="15" t="str">
        <f>IF(Regn!$G40&gt;1,Regn!DF40,"")</f>
        <v/>
      </c>
      <c r="DC40" s="16"/>
      <c r="DD40" s="15" t="str">
        <f>IF(Regn!$G40&gt;1,Regn!DF40,"")</f>
        <v/>
      </c>
      <c r="DJ40" s="25" t="str">
        <f>IF(Regn!$G40&gt;1,Regn!CL40,"")</f>
        <v/>
      </c>
      <c r="DK40" s="15" t="s">
        <v>82</v>
      </c>
      <c r="DM40" s="16"/>
      <c r="DN40" s="15" t="s">
        <v>82</v>
      </c>
      <c r="DP40" s="25" t="str">
        <f>IF(Regn!$G40&gt;1,Regn!CR40,"")</f>
        <v/>
      </c>
      <c r="DQ40" s="15" t="s">
        <v>82</v>
      </c>
      <c r="DS40" s="16"/>
      <c r="DT40" s="15" t="s">
        <v>82</v>
      </c>
      <c r="DV40" s="25" t="str">
        <f>IF(Regn!$G40&gt;1,UdnKrav,"")</f>
        <v/>
      </c>
      <c r="DW40" s="15" t="s">
        <v>205</v>
      </c>
      <c r="DY40" s="25" t="str">
        <f>IF(Regn!$G40&gt;1,Regn!CX40,"")</f>
        <v/>
      </c>
      <c r="DZ40" s="15" t="s">
        <v>82</v>
      </c>
      <c r="EB40" s="15" t="str">
        <f>IF(Regn!$E40&lt;=1,"",VLOOKUP(Regn!$E40,Afgr,2))</f>
        <v/>
      </c>
      <c r="ED40" s="25" t="str">
        <f>IF(Regn!$E40&gt;1,Regn!IB40,"")</f>
        <v/>
      </c>
      <c r="EE40" s="15" t="s">
        <v>188</v>
      </c>
      <c r="EG40" s="16"/>
      <c r="EH40" s="15" t="s">
        <v>188</v>
      </c>
      <c r="EJ40" s="25" t="str">
        <f>IF(Regn!$E40&gt;1,Regn!IX40,"")</f>
        <v/>
      </c>
      <c r="EK40" s="15" t="s">
        <v>188</v>
      </c>
      <c r="EM40" s="16"/>
      <c r="EN40" s="15" t="s">
        <v>188</v>
      </c>
      <c r="EP40" s="25" t="str">
        <f>IF(Regn!$E40&gt;1,Regn!JB40,"")</f>
        <v/>
      </c>
      <c r="EQ40" s="15" t="s">
        <v>188</v>
      </c>
      <c r="ES40" s="16"/>
      <c r="ET40" s="15" t="s">
        <v>188</v>
      </c>
      <c r="EV40" s="25" t="str">
        <f>IF(Regn!$E40&gt;1,Regn!JF40,"")</f>
        <v/>
      </c>
      <c r="EW40" s="15" t="s">
        <v>188</v>
      </c>
      <c r="EY40" s="16"/>
      <c r="EZ40" s="15" t="s">
        <v>188</v>
      </c>
      <c r="FB40" s="25" t="str">
        <f>IF(Regn!$E40&gt;1,Regn!JL40,"")</f>
        <v/>
      </c>
      <c r="FC40" s="15" t="s">
        <v>362</v>
      </c>
      <c r="FE40" s="16"/>
      <c r="FF40" s="15" t="s">
        <v>188</v>
      </c>
      <c r="FH40" s="25" t="str">
        <f>IF(Regn!$E40&gt;1,Regn!JY40,"")</f>
        <v/>
      </c>
      <c r="FI40" s="15" t="s">
        <v>188</v>
      </c>
      <c r="FK40" s="16"/>
      <c r="FL40" s="15" t="s">
        <v>188</v>
      </c>
      <c r="FN40" s="25" t="str">
        <f>IF(Regn!$E40&gt;1,Regn!KC40,"")</f>
        <v/>
      </c>
      <c r="FO40" s="15" t="s">
        <v>188</v>
      </c>
      <c r="FQ40" s="16"/>
      <c r="FR40" s="15" t="s">
        <v>188</v>
      </c>
      <c r="FT40" s="25" t="str">
        <f>IF(Regn!$E40&gt;1,Regn!KG40,"")</f>
        <v/>
      </c>
      <c r="FU40" s="15" t="s">
        <v>188</v>
      </c>
      <c r="FW40" s="16"/>
      <c r="FX40" s="15" t="s">
        <v>188</v>
      </c>
      <c r="FZ40" s="25" t="str">
        <f>IF(Regn!$E40&gt;1,Regn!KK40,"")</f>
        <v/>
      </c>
      <c r="GA40" s="15" t="s">
        <v>531</v>
      </c>
      <c r="GC40" s="16"/>
      <c r="GD40" s="15" t="s">
        <v>531</v>
      </c>
      <c r="GF40" s="25" t="str">
        <f>IF(Regn!$E40&gt;1,Regn!KM40,"")</f>
        <v/>
      </c>
      <c r="GG40" s="15" t="s">
        <v>188</v>
      </c>
      <c r="GI40" s="16"/>
      <c r="GJ40" s="15" t="s">
        <v>188</v>
      </c>
      <c r="GL40" s="25" t="str">
        <f>IF(Regn!$E40&gt;1,Regn!KT40,"")</f>
        <v/>
      </c>
      <c r="GM40" s="15" t="s">
        <v>188</v>
      </c>
      <c r="GO40" s="16"/>
      <c r="GP40" s="15" t="s">
        <v>405</v>
      </c>
      <c r="GR40" s="25" t="str">
        <f>IF(Regn!$E40&gt;1,Regn!KZ40,"")</f>
        <v/>
      </c>
      <c r="GS40" s="15" t="s">
        <v>188</v>
      </c>
      <c r="GU40" s="16"/>
      <c r="GV40" s="15" t="s">
        <v>188</v>
      </c>
      <c r="HA40" s="25" t="str">
        <f>IF(Regn!$E40&gt;1,Regn!LD40,"")</f>
        <v/>
      </c>
      <c r="HB40" s="15" t="s">
        <v>188</v>
      </c>
      <c r="HD40" s="16"/>
      <c r="HE40" s="15" t="s">
        <v>188</v>
      </c>
      <c r="HG40" s="15" t="str">
        <f>IF(Regn!$G40&lt;=1,"",VLOOKUP(Regn!$G40,Efgr,2))</f>
        <v/>
      </c>
      <c r="HI40" s="25" t="str">
        <f>IF(Regn!$G40&gt;1,Regn!LH40,"")</f>
        <v/>
      </c>
      <c r="HJ40" s="15" t="s">
        <v>188</v>
      </c>
      <c r="HL40" s="16"/>
      <c r="HM40" s="15" t="s">
        <v>188</v>
      </c>
      <c r="HO40" s="25" t="str">
        <f>IF(Regn!$G40&gt;1,Regn!MA40,"")</f>
        <v/>
      </c>
      <c r="HP40" s="15" t="s">
        <v>188</v>
      </c>
      <c r="HR40" s="16"/>
      <c r="HS40" s="15" t="s">
        <v>188</v>
      </c>
      <c r="HU40" s="25" t="str">
        <f>IF(Regn!$G40&gt;1,Regn!ME40,"")</f>
        <v/>
      </c>
      <c r="HV40" s="15" t="s">
        <v>188</v>
      </c>
      <c r="HX40" s="16"/>
      <c r="HY40" s="15" t="s">
        <v>188</v>
      </c>
      <c r="IA40" s="25" t="str">
        <f>IF(Regn!$G40&gt;1,Regn!MI40,"")</f>
        <v/>
      </c>
      <c r="IB40" s="15" t="s">
        <v>188</v>
      </c>
      <c r="ID40" s="16"/>
      <c r="IE40" s="15" t="s">
        <v>188</v>
      </c>
      <c r="IG40" s="25" t="str">
        <f>IF(Regn!$G40&gt;1,Regn!MO40,"")</f>
        <v/>
      </c>
      <c r="IH40" s="15" t="s">
        <v>188</v>
      </c>
      <c r="IJ40" s="16"/>
      <c r="IK40" s="15" t="s">
        <v>188</v>
      </c>
      <c r="IM40" s="25" t="str">
        <f>IF(Regn!$G40&gt;1,Regn!MS40,"")</f>
        <v/>
      </c>
      <c r="IN40" s="15" t="s">
        <v>188</v>
      </c>
      <c r="IP40" s="16"/>
      <c r="IQ40" s="15" t="s">
        <v>188</v>
      </c>
      <c r="IS40" s="25" t="str">
        <f>IF(Regn!$G40&gt;1,Regn!MW40,"")</f>
        <v/>
      </c>
      <c r="IT40" s="15" t="s">
        <v>188</v>
      </c>
      <c r="IV40" s="16"/>
      <c r="IW40" s="15" t="s">
        <v>188</v>
      </c>
      <c r="IY40" s="25" t="str">
        <f>IF(Regn!$G40&gt;1,Regn!NA40,"")</f>
        <v/>
      </c>
      <c r="IZ40" s="15" t="s">
        <v>531</v>
      </c>
      <c r="JB40" s="16"/>
      <c r="JC40" s="15" t="s">
        <v>531</v>
      </c>
      <c r="JE40" s="25" t="str">
        <f>IF(Regn!$G40&gt;1,Regn!NC40,"")</f>
        <v/>
      </c>
      <c r="JF40" s="15" t="s">
        <v>188</v>
      </c>
      <c r="JH40" s="16"/>
      <c r="JI40" s="15" t="s">
        <v>188</v>
      </c>
      <c r="JK40" s="25" t="str">
        <f>IF(Regn!$G40&gt;1,Regn!NI40,"")</f>
        <v/>
      </c>
      <c r="JL40" s="15" t="s">
        <v>188</v>
      </c>
      <c r="JN40" s="16"/>
      <c r="JO40" s="15" t="s">
        <v>188</v>
      </c>
      <c r="JQ40" s="25" t="str">
        <f>IF(Regn!$G40&gt;1,Regn!NM40,"")</f>
        <v/>
      </c>
      <c r="JR40" s="15" t="s">
        <v>188</v>
      </c>
      <c r="JT40" s="16"/>
      <c r="JU40" s="15" t="s">
        <v>188</v>
      </c>
    </row>
    <row r="41" spans="2:281" ht="12" customHeight="1" x14ac:dyDescent="0.25">
      <c r="B41" s="28"/>
      <c r="C41" s="133" t="str">
        <f>IF(OR(Regn!$B42&gt;1,Regn!E40=1),"",VLOOKUP(Regn!$E40,Afgr,2))</f>
        <v/>
      </c>
      <c r="G41" s="134" t="str">
        <f>IF(OR(Regn!$C42&gt;1,Regn!$G40=1),"",VLOOKUP(Regn!$G40,Efgr,2))</f>
        <v/>
      </c>
      <c r="U41" s="134" t="str">
        <f>IF(OR(Regn!$K42&gt;1,Regn!$E44=1),"",VLOOKUP(Regn!$E44,Afgr,2))</f>
        <v/>
      </c>
    </row>
    <row r="42" spans="2:281" x14ac:dyDescent="0.25">
      <c r="B42" s="28">
        <v>5</v>
      </c>
      <c r="Z42" s="36"/>
      <c r="AA42" s="15" t="s">
        <v>85</v>
      </c>
      <c r="AC42" s="53">
        <f>Regn!M42</f>
        <v>0</v>
      </c>
      <c r="AD42" s="15" t="s">
        <v>85</v>
      </c>
      <c r="AF42" s="15" t="str">
        <f>IF(Regn!$E42&lt;=1,"",VLOOKUP(Regn!$E42,Afgr,2))</f>
        <v/>
      </c>
      <c r="AH42" s="55" t="str">
        <f>IF(Regn!$E42&gt;1,Regn!BH42,"")</f>
        <v/>
      </c>
      <c r="AI42" s="15" t="str">
        <f>IF(Regn!BK42&lt;&gt;0,Regn!BK42,"")</f>
        <v/>
      </c>
      <c r="AK42" s="16"/>
      <c r="AL42" s="15" t="str">
        <f>IF(Regn!BK42&lt;&gt;0,Regn!BK42,"")</f>
        <v/>
      </c>
      <c r="AN42" s="33" t="str">
        <f>IF(Regn!$E42&gt;1,Regn!DP42,"")</f>
        <v/>
      </c>
      <c r="AO42" s="15" t="s">
        <v>201</v>
      </c>
      <c r="AQ42" s="38"/>
      <c r="AR42" s="15" t="s">
        <v>201</v>
      </c>
      <c r="AT42" s="55" t="str">
        <f>IF(Regn!$E42&gt;1,Regn!BN42,"")</f>
        <v/>
      </c>
      <c r="AU42" s="15" t="s">
        <v>188</v>
      </c>
      <c r="AW42" s="124"/>
      <c r="AX42" s="15" t="s">
        <v>188</v>
      </c>
      <c r="AZ42" s="25" t="str">
        <f>IF(Regn!$E42&gt;1,Regn!BS42,"")</f>
        <v/>
      </c>
      <c r="BA42" s="15" t="s">
        <v>188</v>
      </c>
      <c r="BC42" s="17"/>
      <c r="BD42" s="15" t="s">
        <v>188</v>
      </c>
      <c r="BF42" s="25" t="str">
        <f>IF(Regn!$E42&gt;1,Regn!BX42,"")</f>
        <v/>
      </c>
      <c r="BG42" s="15" t="s">
        <v>192</v>
      </c>
      <c r="BI42" s="16"/>
      <c r="BJ42" s="15" t="s">
        <v>192</v>
      </c>
      <c r="BO42" s="33" t="str">
        <f>IF(Regn!$E42&gt;1,Regn!CE42,"")</f>
        <v/>
      </c>
      <c r="BP42" s="15" t="s">
        <v>188</v>
      </c>
      <c r="BR42" s="38"/>
      <c r="BS42" s="15" t="s">
        <v>188</v>
      </c>
      <c r="BU42" s="15" t="str">
        <f>IF(Regn!$E42&lt;=1,"",VLOOKUP(Regn!$E42,Afgr,2))</f>
        <v/>
      </c>
      <c r="BW42" s="32" t="str">
        <f>IF(Regn!$E42&gt;1,Regn!Y42,"")</f>
        <v/>
      </c>
      <c r="BX42" s="15" t="s">
        <v>82</v>
      </c>
      <c r="BZ42" s="37"/>
      <c r="CA42" s="15" t="s">
        <v>82</v>
      </c>
      <c r="CC42" s="32" t="str">
        <f>IF(Regn!$E42&gt;1,Regn!S42,"")</f>
        <v/>
      </c>
      <c r="CD42" s="15" t="s">
        <v>82</v>
      </c>
      <c r="CF42" s="32" t="str">
        <f>IF(Regn!$E42&gt;1,Regn!U42,"")</f>
        <v/>
      </c>
      <c r="CG42" s="15" t="s">
        <v>82</v>
      </c>
      <c r="CI42" s="37"/>
      <c r="CJ42" s="15" t="s">
        <v>82</v>
      </c>
      <c r="CL42" s="32" t="str">
        <f>IF(Regn!$E42&gt;1,Regn!AS42,"")</f>
        <v/>
      </c>
      <c r="CM42" s="15" t="s">
        <v>82</v>
      </c>
      <c r="CO42" s="37"/>
      <c r="CP42" s="15" t="s">
        <v>82</v>
      </c>
      <c r="CR42" s="32" t="str">
        <f>IF(Regn!$E42&gt;1,UdnKrav,"")</f>
        <v/>
      </c>
      <c r="CS42" s="15" t="s">
        <v>205</v>
      </c>
      <c r="CU42" s="32" t="str">
        <f>IF(Regn!$E42&gt;1,Regn!AY42,"")</f>
        <v/>
      </c>
      <c r="CV42" s="15" t="s">
        <v>82</v>
      </c>
      <c r="CX42" s="15" t="str">
        <f>IF(Regn!$G42&lt;=1,"",VLOOKUP(Regn!$G42,Efgr,2))</f>
        <v/>
      </c>
      <c r="CZ42" s="25" t="str">
        <f>IF(Regn!$G42&gt;1,Regn!DC42,"")</f>
        <v/>
      </c>
      <c r="DA42" s="15" t="str">
        <f>IF(Regn!$G42&gt;1,Regn!DF42,"")</f>
        <v/>
      </c>
      <c r="DC42" s="16"/>
      <c r="DD42" s="15" t="str">
        <f>IF(Regn!$G42&gt;1,Regn!DF42,"")</f>
        <v/>
      </c>
      <c r="DJ42" s="25" t="str">
        <f>IF(Regn!$G42&gt;1,Regn!CL42,"")</f>
        <v/>
      </c>
      <c r="DK42" s="15" t="s">
        <v>82</v>
      </c>
      <c r="DM42" s="16"/>
      <c r="DN42" s="15" t="s">
        <v>82</v>
      </c>
      <c r="DP42" s="25" t="str">
        <f>IF(Regn!$G42&gt;1,Regn!CR42,"")</f>
        <v/>
      </c>
      <c r="DQ42" s="15" t="s">
        <v>82</v>
      </c>
      <c r="DS42" s="16"/>
      <c r="DT42" s="15" t="s">
        <v>82</v>
      </c>
      <c r="DV42" s="25" t="str">
        <f>IF(Regn!$G42&gt;1,UdnKrav,"")</f>
        <v/>
      </c>
      <c r="DW42" s="15" t="s">
        <v>205</v>
      </c>
      <c r="DY42" s="25" t="str">
        <f>IF(Regn!$G42&gt;1,Regn!CX42,"")</f>
        <v/>
      </c>
      <c r="DZ42" s="15" t="s">
        <v>82</v>
      </c>
      <c r="EB42" s="15" t="str">
        <f>IF(Regn!$E42&lt;=1,"",VLOOKUP(Regn!$E42,Afgr,2))</f>
        <v/>
      </c>
      <c r="ED42" s="25" t="str">
        <f>IF(Regn!$E42&gt;1,Regn!IB42,"")</f>
        <v/>
      </c>
      <c r="EE42" s="15" t="s">
        <v>188</v>
      </c>
      <c r="EG42" s="16"/>
      <c r="EH42" s="15" t="s">
        <v>188</v>
      </c>
      <c r="EJ42" s="25" t="str">
        <f>IF(Regn!$E42&gt;1,Regn!IX42,"")</f>
        <v/>
      </c>
      <c r="EK42" s="15" t="s">
        <v>188</v>
      </c>
      <c r="EM42" s="16"/>
      <c r="EN42" s="15" t="s">
        <v>188</v>
      </c>
      <c r="EP42" s="25" t="str">
        <f>IF(Regn!$E42&gt;1,Regn!JB42,"")</f>
        <v/>
      </c>
      <c r="EQ42" s="15" t="s">
        <v>188</v>
      </c>
      <c r="ES42" s="16"/>
      <c r="ET42" s="15" t="s">
        <v>188</v>
      </c>
      <c r="EV42" s="25" t="str">
        <f>IF(Regn!$E42&gt;1,Regn!JF42,"")</f>
        <v/>
      </c>
      <c r="EW42" s="15" t="s">
        <v>188</v>
      </c>
      <c r="EY42" s="16"/>
      <c r="EZ42" s="15" t="s">
        <v>188</v>
      </c>
      <c r="FB42" s="25" t="str">
        <f>IF(Regn!$E42&gt;1,Regn!JL42,"")</f>
        <v/>
      </c>
      <c r="FC42" s="15" t="s">
        <v>362</v>
      </c>
      <c r="FE42" s="16"/>
      <c r="FF42" s="15" t="s">
        <v>188</v>
      </c>
      <c r="FH42" s="25" t="str">
        <f>IF(Regn!$E42&gt;1,Regn!JY42,"")</f>
        <v/>
      </c>
      <c r="FI42" s="15" t="s">
        <v>188</v>
      </c>
      <c r="FK42" s="16"/>
      <c r="FL42" s="15" t="s">
        <v>188</v>
      </c>
      <c r="FN42" s="25" t="str">
        <f>IF(Regn!$E42&gt;1,Regn!KC42,"")</f>
        <v/>
      </c>
      <c r="FO42" s="15" t="s">
        <v>188</v>
      </c>
      <c r="FQ42" s="16"/>
      <c r="FR42" s="15" t="s">
        <v>188</v>
      </c>
      <c r="FT42" s="25" t="str">
        <f>IF(Regn!$E42&gt;1,Regn!KG42,"")</f>
        <v/>
      </c>
      <c r="FU42" s="15" t="s">
        <v>188</v>
      </c>
      <c r="FW42" s="16"/>
      <c r="FX42" s="15" t="s">
        <v>188</v>
      </c>
      <c r="FZ42" s="25" t="str">
        <f>IF(Regn!$E42&gt;1,Regn!KK42,"")</f>
        <v/>
      </c>
      <c r="GA42" s="15" t="s">
        <v>531</v>
      </c>
      <c r="GC42" s="16"/>
      <c r="GD42" s="15" t="s">
        <v>531</v>
      </c>
      <c r="GF42" s="25" t="str">
        <f>IF(Regn!$E42&gt;1,Regn!KM42,"")</f>
        <v/>
      </c>
      <c r="GG42" s="15" t="s">
        <v>188</v>
      </c>
      <c r="GI42" s="16"/>
      <c r="GJ42" s="15" t="s">
        <v>188</v>
      </c>
      <c r="GL42" s="25" t="str">
        <f>IF(Regn!$E42&gt;1,Regn!KT42,"")</f>
        <v/>
      </c>
      <c r="GM42" s="15" t="s">
        <v>188</v>
      </c>
      <c r="GO42" s="16"/>
      <c r="GP42" s="15" t="s">
        <v>405</v>
      </c>
      <c r="GR42" s="25" t="str">
        <f>IF(Regn!$E42&gt;1,Regn!KZ42,"")</f>
        <v/>
      </c>
      <c r="GS42" s="15" t="s">
        <v>188</v>
      </c>
      <c r="GU42" s="16"/>
      <c r="GV42" s="15" t="s">
        <v>188</v>
      </c>
      <c r="HA42" s="25" t="str">
        <f>IF(Regn!$E42&gt;1,Regn!LD42,"")</f>
        <v/>
      </c>
      <c r="HB42" s="15" t="s">
        <v>188</v>
      </c>
      <c r="HD42" s="16"/>
      <c r="HE42" s="15" t="s">
        <v>188</v>
      </c>
      <c r="HG42" s="15" t="str">
        <f>IF(Regn!$G42&lt;=1,"",VLOOKUP(Regn!$G42,Efgr,2))</f>
        <v/>
      </c>
      <c r="HI42" s="25" t="str">
        <f>IF(Regn!$G42&gt;1,Regn!LH42,"")</f>
        <v/>
      </c>
      <c r="HJ42" s="15" t="s">
        <v>188</v>
      </c>
      <c r="HL42" s="16"/>
      <c r="HM42" s="15" t="s">
        <v>188</v>
      </c>
      <c r="HO42" s="25" t="str">
        <f>IF(Regn!$G42&gt;1,Regn!MA42,"")</f>
        <v/>
      </c>
      <c r="HP42" s="15" t="s">
        <v>188</v>
      </c>
      <c r="HR42" s="16"/>
      <c r="HS42" s="15" t="s">
        <v>188</v>
      </c>
      <c r="HU42" s="25" t="str">
        <f>IF(Regn!$G42&gt;1,Regn!ME42,"")</f>
        <v/>
      </c>
      <c r="HV42" s="15" t="s">
        <v>188</v>
      </c>
      <c r="HX42" s="16"/>
      <c r="HY42" s="15" t="s">
        <v>188</v>
      </c>
      <c r="IA42" s="25" t="str">
        <f>IF(Regn!$G42&gt;1,Regn!MI42,"")</f>
        <v/>
      </c>
      <c r="IB42" s="15" t="s">
        <v>188</v>
      </c>
      <c r="ID42" s="16"/>
      <c r="IE42" s="15" t="s">
        <v>188</v>
      </c>
      <c r="IG42" s="25" t="str">
        <f>IF(Regn!$G42&gt;1,Regn!MO42,"")</f>
        <v/>
      </c>
      <c r="IH42" s="15" t="s">
        <v>188</v>
      </c>
      <c r="IJ42" s="16"/>
      <c r="IK42" s="15" t="s">
        <v>188</v>
      </c>
      <c r="IM42" s="25" t="str">
        <f>IF(Regn!$G42&gt;1,Regn!MS42,"")</f>
        <v/>
      </c>
      <c r="IN42" s="15" t="s">
        <v>188</v>
      </c>
      <c r="IP42" s="16"/>
      <c r="IQ42" s="15" t="s">
        <v>188</v>
      </c>
      <c r="IS42" s="25" t="str">
        <f>IF(Regn!$G42&gt;1,Regn!MW42,"")</f>
        <v/>
      </c>
      <c r="IT42" s="15" t="s">
        <v>188</v>
      </c>
      <c r="IV42" s="16"/>
      <c r="IW42" s="15" t="s">
        <v>188</v>
      </c>
      <c r="IY42" s="25" t="str">
        <f>IF(Regn!$G42&gt;1,Regn!NA42,"")</f>
        <v/>
      </c>
      <c r="IZ42" s="15" t="s">
        <v>531</v>
      </c>
      <c r="JB42" s="16"/>
      <c r="JC42" s="15" t="s">
        <v>531</v>
      </c>
      <c r="JE42" s="25" t="str">
        <f>IF(Regn!$G42&gt;1,Regn!NC42,"")</f>
        <v/>
      </c>
      <c r="JF42" s="15" t="s">
        <v>188</v>
      </c>
      <c r="JH42" s="16"/>
      <c r="JI42" s="15" t="s">
        <v>188</v>
      </c>
      <c r="JK42" s="25" t="str">
        <f>IF(Regn!$G42&gt;1,Regn!NI42,"")</f>
        <v/>
      </c>
      <c r="JL42" s="15" t="s">
        <v>188</v>
      </c>
      <c r="JN42" s="16"/>
      <c r="JO42" s="15" t="s">
        <v>188</v>
      </c>
      <c r="JQ42" s="25" t="str">
        <f>IF(Regn!$G42&gt;1,Regn!NM42,"")</f>
        <v/>
      </c>
      <c r="JR42" s="15" t="s">
        <v>188</v>
      </c>
      <c r="JT42" s="16"/>
      <c r="JU42" s="15" t="s">
        <v>188</v>
      </c>
    </row>
    <row r="43" spans="2:281" ht="12" customHeight="1" x14ac:dyDescent="0.25">
      <c r="B43" s="28"/>
      <c r="C43" s="133" t="str">
        <f>IF(OR(Regn!$B44&gt;1,Regn!E42=1),"",VLOOKUP(Regn!$E42,Afgr,2))</f>
        <v/>
      </c>
      <c r="G43" s="134" t="str">
        <f>IF(OR(Regn!$C44&gt;1,Regn!$G42=1),"",VLOOKUP(Regn!$G42,Efgr,2))</f>
        <v/>
      </c>
      <c r="U43" s="134" t="str">
        <f>IF(OR(Regn!$K44&gt;1,Regn!$E46=1),"",VLOOKUP(Regn!$E46,Afgr,2))</f>
        <v/>
      </c>
    </row>
    <row r="44" spans="2:281" x14ac:dyDescent="0.25">
      <c r="B44" s="28">
        <v>6</v>
      </c>
      <c r="Z44" s="36"/>
      <c r="AA44" s="15" t="s">
        <v>85</v>
      </c>
      <c r="AC44" s="53">
        <f>Regn!M44</f>
        <v>0</v>
      </c>
      <c r="AD44" s="15" t="s">
        <v>85</v>
      </c>
      <c r="AF44" s="15" t="str">
        <f>IF(Regn!$E44&lt;=1,"",VLOOKUP(Regn!$E44,Afgr,2))</f>
        <v/>
      </c>
      <c r="AH44" s="55" t="str">
        <f>IF(Regn!$E44&gt;1,Regn!BH44,"")</f>
        <v/>
      </c>
      <c r="AI44" s="15" t="str">
        <f>IF(Regn!BK44&lt;&gt;0,Regn!BK44,"")</f>
        <v/>
      </c>
      <c r="AK44" s="16"/>
      <c r="AL44" s="15" t="str">
        <f>IF(Regn!BK44&lt;&gt;0,Regn!BK44,"")</f>
        <v/>
      </c>
      <c r="AN44" s="33" t="str">
        <f>IF(Regn!$E44&gt;1,Regn!DP44,"")</f>
        <v/>
      </c>
      <c r="AO44" s="15" t="s">
        <v>201</v>
      </c>
      <c r="AQ44" s="38"/>
      <c r="AR44" s="15" t="s">
        <v>201</v>
      </c>
      <c r="AT44" s="55" t="str">
        <f>IF(Regn!$E44&gt;1,Regn!BN44,"")</f>
        <v/>
      </c>
      <c r="AU44" s="15" t="s">
        <v>188</v>
      </c>
      <c r="AW44" s="124"/>
      <c r="AX44" s="15" t="s">
        <v>188</v>
      </c>
      <c r="AZ44" s="25" t="str">
        <f>IF(Regn!$E44&gt;1,Regn!BS44,"")</f>
        <v/>
      </c>
      <c r="BA44" s="15" t="s">
        <v>188</v>
      </c>
      <c r="BC44" s="17"/>
      <c r="BD44" s="15" t="s">
        <v>188</v>
      </c>
      <c r="BF44" s="25" t="str">
        <f>IF(Regn!$E44&gt;1,Regn!BX44,"")</f>
        <v/>
      </c>
      <c r="BG44" s="15" t="s">
        <v>192</v>
      </c>
      <c r="BI44" s="16"/>
      <c r="BJ44" s="15" t="s">
        <v>192</v>
      </c>
      <c r="BO44" s="33" t="str">
        <f>IF(Regn!$E44&gt;1,Regn!CE44,"")</f>
        <v/>
      </c>
      <c r="BP44" s="15" t="s">
        <v>188</v>
      </c>
      <c r="BR44" s="38"/>
      <c r="BS44" s="15" t="s">
        <v>188</v>
      </c>
      <c r="BU44" s="15" t="str">
        <f>IF(Regn!$E44&lt;=1,"",VLOOKUP(Regn!$E44,Afgr,2))</f>
        <v/>
      </c>
      <c r="BW44" s="32" t="str">
        <f>IF(Regn!$E44&gt;1,Regn!Y44,"")</f>
        <v/>
      </c>
      <c r="BX44" s="15" t="s">
        <v>82</v>
      </c>
      <c r="BZ44" s="37"/>
      <c r="CA44" s="15" t="s">
        <v>82</v>
      </c>
      <c r="CC44" s="32" t="str">
        <f>IF(Regn!$E44&gt;1,Regn!S44,"")</f>
        <v/>
      </c>
      <c r="CD44" s="15" t="s">
        <v>82</v>
      </c>
      <c r="CF44" s="32" t="str">
        <f>IF(Regn!$E44&gt;1,Regn!U44,"")</f>
        <v/>
      </c>
      <c r="CG44" s="15" t="s">
        <v>82</v>
      </c>
      <c r="CI44" s="37"/>
      <c r="CJ44" s="15" t="s">
        <v>82</v>
      </c>
      <c r="CL44" s="32" t="str">
        <f>IF(Regn!$E44&gt;1,Regn!AS44,"")</f>
        <v/>
      </c>
      <c r="CM44" s="15" t="s">
        <v>82</v>
      </c>
      <c r="CO44" s="37"/>
      <c r="CP44" s="15" t="s">
        <v>82</v>
      </c>
      <c r="CR44" s="32" t="str">
        <f>IF(Regn!$E44&gt;1,UdnKrav,"")</f>
        <v/>
      </c>
      <c r="CS44" s="15" t="s">
        <v>205</v>
      </c>
      <c r="CU44" s="32" t="str">
        <f>IF(Regn!$E44&gt;1,Regn!AY44,"")</f>
        <v/>
      </c>
      <c r="CV44" s="15" t="s">
        <v>82</v>
      </c>
      <c r="CX44" s="15" t="str">
        <f>IF(Regn!$G44&lt;=1,"",VLOOKUP(Regn!$G44,Efgr,2))</f>
        <v/>
      </c>
      <c r="CZ44" s="25" t="str">
        <f>IF(Regn!$G44&gt;1,Regn!DC44,"")</f>
        <v/>
      </c>
      <c r="DA44" s="15" t="str">
        <f>IF(Regn!$G44&gt;1,Regn!DF44,"")</f>
        <v/>
      </c>
      <c r="DC44" s="16"/>
      <c r="DD44" s="15" t="str">
        <f>IF(Regn!$G44&gt;1,Regn!DF44,"")</f>
        <v/>
      </c>
      <c r="DJ44" s="25" t="str">
        <f>IF(Regn!$G44&gt;1,Regn!CL44,"")</f>
        <v/>
      </c>
      <c r="DK44" s="15" t="s">
        <v>82</v>
      </c>
      <c r="DM44" s="16"/>
      <c r="DN44" s="15" t="s">
        <v>82</v>
      </c>
      <c r="DP44" s="25" t="str">
        <f>IF(Regn!$G44&gt;1,Regn!CR44,"")</f>
        <v/>
      </c>
      <c r="DQ44" s="15" t="s">
        <v>82</v>
      </c>
      <c r="DS44" s="16"/>
      <c r="DT44" s="15" t="s">
        <v>82</v>
      </c>
      <c r="DV44" s="25" t="str">
        <f>IF(Regn!$G44&gt;1,UdnKrav,"")</f>
        <v/>
      </c>
      <c r="DW44" s="15" t="s">
        <v>205</v>
      </c>
      <c r="DY44" s="25" t="str">
        <f>IF(Regn!$G44&gt;1,Regn!CX44,"")</f>
        <v/>
      </c>
      <c r="DZ44" s="15" t="s">
        <v>82</v>
      </c>
      <c r="EB44" s="15" t="str">
        <f>IF(Regn!$E44&lt;=1,"",VLOOKUP(Regn!$E44,Afgr,2))</f>
        <v/>
      </c>
      <c r="ED44" s="25" t="str">
        <f>IF(Regn!$E44&gt;1,Regn!IB44,"")</f>
        <v/>
      </c>
      <c r="EE44" s="15" t="s">
        <v>188</v>
      </c>
      <c r="EG44" s="16"/>
      <c r="EH44" s="15" t="s">
        <v>188</v>
      </c>
      <c r="EJ44" s="25" t="str">
        <f>IF(Regn!$E44&gt;1,Regn!IX44,"")</f>
        <v/>
      </c>
      <c r="EK44" s="15" t="s">
        <v>188</v>
      </c>
      <c r="EM44" s="16"/>
      <c r="EN44" s="15" t="s">
        <v>188</v>
      </c>
      <c r="EP44" s="25" t="str">
        <f>IF(Regn!$E44&gt;1,Regn!JB44,"")</f>
        <v/>
      </c>
      <c r="EQ44" s="15" t="s">
        <v>188</v>
      </c>
      <c r="ES44" s="16"/>
      <c r="ET44" s="15" t="s">
        <v>188</v>
      </c>
      <c r="EV44" s="25" t="str">
        <f>IF(Regn!$E44&gt;1,Regn!JF44,"")</f>
        <v/>
      </c>
      <c r="EW44" s="15" t="s">
        <v>188</v>
      </c>
      <c r="EY44" s="16"/>
      <c r="EZ44" s="15" t="s">
        <v>188</v>
      </c>
      <c r="FB44" s="25" t="str">
        <f>IF(Regn!$E44&gt;1,Regn!JL44,"")</f>
        <v/>
      </c>
      <c r="FC44" s="15" t="s">
        <v>362</v>
      </c>
      <c r="FE44" s="16"/>
      <c r="FF44" s="15" t="s">
        <v>188</v>
      </c>
      <c r="FH44" s="25" t="str">
        <f>IF(Regn!$E44&gt;1,Regn!JY44,"")</f>
        <v/>
      </c>
      <c r="FI44" s="15" t="s">
        <v>188</v>
      </c>
      <c r="FK44" s="16"/>
      <c r="FL44" s="15" t="s">
        <v>188</v>
      </c>
      <c r="FN44" s="25" t="str">
        <f>IF(Regn!$E44&gt;1,Regn!KC44,"")</f>
        <v/>
      </c>
      <c r="FO44" s="15" t="s">
        <v>188</v>
      </c>
      <c r="FQ44" s="16"/>
      <c r="FR44" s="15" t="s">
        <v>188</v>
      </c>
      <c r="FT44" s="25" t="str">
        <f>IF(Regn!$E44&gt;1,Regn!KG44,"")</f>
        <v/>
      </c>
      <c r="FU44" s="15" t="s">
        <v>188</v>
      </c>
      <c r="FW44" s="16"/>
      <c r="FX44" s="15" t="s">
        <v>188</v>
      </c>
      <c r="FZ44" s="25" t="str">
        <f>IF(Regn!$E44&gt;1,Regn!KK44,"")</f>
        <v/>
      </c>
      <c r="GA44" s="15" t="s">
        <v>531</v>
      </c>
      <c r="GC44" s="16"/>
      <c r="GD44" s="15" t="s">
        <v>531</v>
      </c>
      <c r="GF44" s="25" t="str">
        <f>IF(Regn!$E44&gt;1,Regn!KM44,"")</f>
        <v/>
      </c>
      <c r="GG44" s="15" t="s">
        <v>188</v>
      </c>
      <c r="GI44" s="16"/>
      <c r="GJ44" s="15" t="s">
        <v>188</v>
      </c>
      <c r="GL44" s="25" t="str">
        <f>IF(Regn!$E44&gt;1,Regn!KT44,"")</f>
        <v/>
      </c>
      <c r="GM44" s="15" t="s">
        <v>188</v>
      </c>
      <c r="GO44" s="16"/>
      <c r="GP44" s="15" t="s">
        <v>405</v>
      </c>
      <c r="GR44" s="25" t="str">
        <f>IF(Regn!$E44&gt;1,Regn!KZ44,"")</f>
        <v/>
      </c>
      <c r="GS44" s="15" t="s">
        <v>188</v>
      </c>
      <c r="GU44" s="16"/>
      <c r="GV44" s="15" t="s">
        <v>188</v>
      </c>
      <c r="HA44" s="25" t="str">
        <f>IF(Regn!$E44&gt;1,Regn!LD44,"")</f>
        <v/>
      </c>
      <c r="HB44" s="15" t="s">
        <v>188</v>
      </c>
      <c r="HD44" s="16"/>
      <c r="HE44" s="15" t="s">
        <v>188</v>
      </c>
      <c r="HG44" s="15" t="str">
        <f>IF(Regn!$G44&lt;=1,"",VLOOKUP(Regn!$G44,Efgr,2))</f>
        <v/>
      </c>
      <c r="HI44" s="25" t="str">
        <f>IF(Regn!$G44&gt;1,Regn!LH44,"")</f>
        <v/>
      </c>
      <c r="HJ44" s="15" t="s">
        <v>188</v>
      </c>
      <c r="HL44" s="16"/>
      <c r="HM44" s="15" t="s">
        <v>188</v>
      </c>
      <c r="HO44" s="25" t="str">
        <f>IF(Regn!$G44&gt;1,Regn!MA44,"")</f>
        <v/>
      </c>
      <c r="HP44" s="15" t="s">
        <v>188</v>
      </c>
      <c r="HR44" s="16"/>
      <c r="HS44" s="15" t="s">
        <v>188</v>
      </c>
      <c r="HU44" s="25" t="str">
        <f>IF(Regn!$G44&gt;1,Regn!ME44,"")</f>
        <v/>
      </c>
      <c r="HV44" s="15" t="s">
        <v>188</v>
      </c>
      <c r="HX44" s="16"/>
      <c r="HY44" s="15" t="s">
        <v>188</v>
      </c>
      <c r="IA44" s="25" t="str">
        <f>IF(Regn!$G44&gt;1,Regn!MI44,"")</f>
        <v/>
      </c>
      <c r="IB44" s="15" t="s">
        <v>188</v>
      </c>
      <c r="ID44" s="16"/>
      <c r="IE44" s="15" t="s">
        <v>188</v>
      </c>
      <c r="IG44" s="25" t="str">
        <f>IF(Regn!$G44&gt;1,Regn!MO44,"")</f>
        <v/>
      </c>
      <c r="IH44" s="15" t="s">
        <v>188</v>
      </c>
      <c r="IJ44" s="16"/>
      <c r="IK44" s="15" t="s">
        <v>188</v>
      </c>
      <c r="IM44" s="25" t="str">
        <f>IF(Regn!$G44&gt;1,Regn!MS44,"")</f>
        <v/>
      </c>
      <c r="IN44" s="15" t="s">
        <v>188</v>
      </c>
      <c r="IP44" s="16"/>
      <c r="IQ44" s="15" t="s">
        <v>188</v>
      </c>
      <c r="IS44" s="25" t="str">
        <f>IF(Regn!$G44&gt;1,Regn!MW44,"")</f>
        <v/>
      </c>
      <c r="IT44" s="15" t="s">
        <v>188</v>
      </c>
      <c r="IV44" s="16"/>
      <c r="IW44" s="15" t="s">
        <v>188</v>
      </c>
      <c r="IY44" s="25" t="str">
        <f>IF(Regn!$G44&gt;1,Regn!NA44,"")</f>
        <v/>
      </c>
      <c r="IZ44" s="15" t="s">
        <v>531</v>
      </c>
      <c r="JB44" s="16"/>
      <c r="JC44" s="15" t="s">
        <v>531</v>
      </c>
      <c r="JE44" s="25" t="str">
        <f>IF(Regn!$G44&gt;1,Regn!NC44,"")</f>
        <v/>
      </c>
      <c r="JF44" s="15" t="s">
        <v>188</v>
      </c>
      <c r="JH44" s="16"/>
      <c r="JI44" s="15" t="s">
        <v>188</v>
      </c>
      <c r="JK44" s="25" t="str">
        <f>IF(Regn!$G44&gt;1,Regn!NI44,"")</f>
        <v/>
      </c>
      <c r="JL44" s="15" t="s">
        <v>188</v>
      </c>
      <c r="JN44" s="16"/>
      <c r="JO44" s="15" t="s">
        <v>188</v>
      </c>
      <c r="JQ44" s="25" t="str">
        <f>IF(Regn!$G44&gt;1,Regn!NM44,"")</f>
        <v/>
      </c>
      <c r="JR44" s="15" t="s">
        <v>188</v>
      </c>
      <c r="JT44" s="16"/>
      <c r="JU44" s="15" t="s">
        <v>188</v>
      </c>
    </row>
    <row r="45" spans="2:281" ht="12" customHeight="1" x14ac:dyDescent="0.25">
      <c r="B45" s="28"/>
      <c r="C45" s="133" t="str">
        <f>IF(OR(Regn!$B46&gt;1,Regn!E44=1),"",VLOOKUP(Regn!$E44,Afgr,2))</f>
        <v/>
      </c>
      <c r="G45" s="134" t="str">
        <f>IF(OR(Regn!$C46&gt;1,Regn!$G44=1),"",VLOOKUP(Regn!$G44,Efgr,2))</f>
        <v/>
      </c>
      <c r="U45" s="134" t="str">
        <f>IF(OR(Regn!$K46&gt;1,Regn!$E48=1),"",VLOOKUP(Regn!$E48,Afgr,2))</f>
        <v/>
      </c>
    </row>
    <row r="46" spans="2:281" x14ac:dyDescent="0.25">
      <c r="B46" s="28">
        <v>7</v>
      </c>
      <c r="Z46" s="36"/>
      <c r="AA46" s="15" t="s">
        <v>85</v>
      </c>
      <c r="AC46" s="53">
        <f>Regn!M46</f>
        <v>0</v>
      </c>
      <c r="AD46" s="15" t="s">
        <v>85</v>
      </c>
      <c r="AF46" s="15" t="str">
        <f>IF(Regn!$E46&lt;=1,"",VLOOKUP(Regn!$E46,Afgr,2))</f>
        <v/>
      </c>
      <c r="AH46" s="55" t="str">
        <f>IF(Regn!$E46&gt;1,Regn!BH46,"")</f>
        <v/>
      </c>
      <c r="AI46" s="15" t="str">
        <f>IF(Regn!BK46&lt;&gt;0,Regn!BK46,"")</f>
        <v/>
      </c>
      <c r="AK46" s="16"/>
      <c r="AL46" s="15" t="str">
        <f>IF(Regn!BK46&lt;&gt;0,Regn!BK46,"")</f>
        <v/>
      </c>
      <c r="AN46" s="33" t="str">
        <f>IF(Regn!$E46&gt;1,Regn!DP46,"")</f>
        <v/>
      </c>
      <c r="AO46" s="15" t="s">
        <v>201</v>
      </c>
      <c r="AQ46" s="38"/>
      <c r="AR46" s="15" t="s">
        <v>201</v>
      </c>
      <c r="AT46" s="55" t="str">
        <f>IF(Regn!$E46&gt;1,Regn!BN46,"")</f>
        <v/>
      </c>
      <c r="AU46" s="15" t="s">
        <v>188</v>
      </c>
      <c r="AW46" s="124"/>
      <c r="AX46" s="15" t="s">
        <v>188</v>
      </c>
      <c r="AZ46" s="25" t="str">
        <f>IF(Regn!$E46&gt;1,Regn!BS46,"")</f>
        <v/>
      </c>
      <c r="BA46" s="15" t="s">
        <v>188</v>
      </c>
      <c r="BC46" s="17"/>
      <c r="BD46" s="15" t="s">
        <v>188</v>
      </c>
      <c r="BF46" s="25" t="str">
        <f>IF(Regn!$E46&gt;1,Regn!BX46,"")</f>
        <v/>
      </c>
      <c r="BG46" s="15" t="s">
        <v>192</v>
      </c>
      <c r="BI46" s="16"/>
      <c r="BJ46" s="15" t="s">
        <v>192</v>
      </c>
      <c r="BO46" s="33" t="str">
        <f>IF(Regn!$E46&gt;1,Regn!CE46,"")</f>
        <v/>
      </c>
      <c r="BP46" s="15" t="s">
        <v>188</v>
      </c>
      <c r="BR46" s="38"/>
      <c r="BS46" s="15" t="s">
        <v>188</v>
      </c>
      <c r="BU46" s="15" t="str">
        <f>IF(Regn!$E46&lt;=1,"",VLOOKUP(Regn!$E46,Afgr,2))</f>
        <v/>
      </c>
      <c r="BW46" s="32" t="str">
        <f>IF(Regn!$E46&gt;1,Regn!Y46,"")</f>
        <v/>
      </c>
      <c r="BX46" s="15" t="s">
        <v>82</v>
      </c>
      <c r="BZ46" s="37"/>
      <c r="CA46" s="15" t="s">
        <v>82</v>
      </c>
      <c r="CC46" s="32" t="str">
        <f>IF(Regn!$E46&gt;1,Regn!S46,"")</f>
        <v/>
      </c>
      <c r="CD46" s="15" t="s">
        <v>82</v>
      </c>
      <c r="CF46" s="32" t="str">
        <f>IF(Regn!$E46&gt;1,Regn!U46,"")</f>
        <v/>
      </c>
      <c r="CG46" s="15" t="s">
        <v>82</v>
      </c>
      <c r="CI46" s="37"/>
      <c r="CJ46" s="15" t="s">
        <v>82</v>
      </c>
      <c r="CL46" s="32" t="str">
        <f>IF(Regn!$E46&gt;1,Regn!AS46,"")</f>
        <v/>
      </c>
      <c r="CM46" s="15" t="s">
        <v>82</v>
      </c>
      <c r="CO46" s="37"/>
      <c r="CP46" s="15" t="s">
        <v>82</v>
      </c>
      <c r="CR46" s="32" t="str">
        <f>IF(Regn!$E46&gt;1,UdnKrav,"")</f>
        <v/>
      </c>
      <c r="CS46" s="15" t="s">
        <v>205</v>
      </c>
      <c r="CU46" s="32" t="str">
        <f>IF(Regn!$E46&gt;1,Regn!AY46,"")</f>
        <v/>
      </c>
      <c r="CV46" s="15" t="s">
        <v>82</v>
      </c>
      <c r="CX46" s="15" t="str">
        <f>IF(Regn!$G46&lt;=1,"",VLOOKUP(Regn!$G46,Efgr,2))</f>
        <v/>
      </c>
      <c r="CZ46" s="25" t="str">
        <f>IF(Regn!$G46&gt;1,Regn!DC46,"")</f>
        <v/>
      </c>
      <c r="DA46" s="15" t="str">
        <f>IF(Regn!$G46&gt;1,Regn!DF46,"")</f>
        <v/>
      </c>
      <c r="DC46" s="16"/>
      <c r="DD46" s="15" t="str">
        <f>IF(Regn!$G46&gt;1,Regn!DF46,"")</f>
        <v/>
      </c>
      <c r="DJ46" s="25" t="str">
        <f>IF(Regn!$G46&gt;1,Regn!CL46,"")</f>
        <v/>
      </c>
      <c r="DK46" s="15" t="s">
        <v>82</v>
      </c>
      <c r="DM46" s="16"/>
      <c r="DN46" s="15" t="s">
        <v>82</v>
      </c>
      <c r="DP46" s="25" t="str">
        <f>IF(Regn!$G46&gt;1,Regn!CR46,"")</f>
        <v/>
      </c>
      <c r="DQ46" s="15" t="s">
        <v>82</v>
      </c>
      <c r="DS46" s="16"/>
      <c r="DT46" s="15" t="s">
        <v>82</v>
      </c>
      <c r="DV46" s="25" t="str">
        <f>IF(Regn!$G46&gt;1,UdnKrav,"")</f>
        <v/>
      </c>
      <c r="DW46" s="15" t="s">
        <v>205</v>
      </c>
      <c r="DY46" s="25" t="str">
        <f>IF(Regn!$G46&gt;1,Regn!CX46,"")</f>
        <v/>
      </c>
      <c r="DZ46" s="15" t="s">
        <v>82</v>
      </c>
      <c r="EB46" s="15" t="str">
        <f>IF(Regn!$E46&lt;=1,"",VLOOKUP(Regn!$E46,Afgr,2))</f>
        <v/>
      </c>
      <c r="ED46" s="25" t="str">
        <f>IF(Regn!$E46&gt;1,Regn!IB46,"")</f>
        <v/>
      </c>
      <c r="EE46" s="15" t="s">
        <v>188</v>
      </c>
      <c r="EG46" s="16"/>
      <c r="EH46" s="15" t="s">
        <v>188</v>
      </c>
      <c r="EJ46" s="25" t="str">
        <f>IF(Regn!$E46&gt;1,Regn!IX46,"")</f>
        <v/>
      </c>
      <c r="EK46" s="15" t="s">
        <v>188</v>
      </c>
      <c r="EM46" s="16"/>
      <c r="EN46" s="15" t="s">
        <v>188</v>
      </c>
      <c r="EP46" s="25" t="str">
        <f>IF(Regn!$E46&gt;1,Regn!JB46,"")</f>
        <v/>
      </c>
      <c r="EQ46" s="15" t="s">
        <v>188</v>
      </c>
      <c r="ES46" s="16"/>
      <c r="ET46" s="15" t="s">
        <v>188</v>
      </c>
      <c r="EV46" s="25" t="str">
        <f>IF(Regn!$E46&gt;1,Regn!JF46,"")</f>
        <v/>
      </c>
      <c r="EW46" s="15" t="s">
        <v>188</v>
      </c>
      <c r="EY46" s="16"/>
      <c r="EZ46" s="15" t="s">
        <v>188</v>
      </c>
      <c r="FB46" s="25" t="str">
        <f>IF(Regn!$E46&gt;1,Regn!JL46,"")</f>
        <v/>
      </c>
      <c r="FC46" s="15" t="s">
        <v>362</v>
      </c>
      <c r="FE46" s="16"/>
      <c r="FF46" s="15" t="s">
        <v>188</v>
      </c>
      <c r="FH46" s="25" t="str">
        <f>IF(Regn!$E46&gt;1,Regn!JY46,"")</f>
        <v/>
      </c>
      <c r="FI46" s="15" t="s">
        <v>188</v>
      </c>
      <c r="FK46" s="16"/>
      <c r="FL46" s="15" t="s">
        <v>188</v>
      </c>
      <c r="FN46" s="25" t="str">
        <f>IF(Regn!$E46&gt;1,Regn!KC46,"")</f>
        <v/>
      </c>
      <c r="FO46" s="15" t="s">
        <v>188</v>
      </c>
      <c r="FQ46" s="16"/>
      <c r="FR46" s="15" t="s">
        <v>188</v>
      </c>
      <c r="FT46" s="25" t="str">
        <f>IF(Regn!$E46&gt;1,Regn!KG46,"")</f>
        <v/>
      </c>
      <c r="FU46" s="15" t="s">
        <v>188</v>
      </c>
      <c r="FW46" s="16"/>
      <c r="FX46" s="15" t="s">
        <v>188</v>
      </c>
      <c r="FZ46" s="25" t="str">
        <f>IF(Regn!$E46&gt;1,Regn!KK46,"")</f>
        <v/>
      </c>
      <c r="GA46" s="15" t="s">
        <v>531</v>
      </c>
      <c r="GC46" s="16"/>
      <c r="GD46" s="15" t="s">
        <v>531</v>
      </c>
      <c r="GF46" s="25" t="str">
        <f>IF(Regn!$E46&gt;1,Regn!KM46,"")</f>
        <v/>
      </c>
      <c r="GG46" s="15" t="s">
        <v>188</v>
      </c>
      <c r="GI46" s="16"/>
      <c r="GJ46" s="15" t="s">
        <v>188</v>
      </c>
      <c r="GL46" s="25" t="str">
        <f>IF(Regn!$E46&gt;1,Regn!KT46,"")</f>
        <v/>
      </c>
      <c r="GM46" s="15" t="s">
        <v>188</v>
      </c>
      <c r="GO46" s="16"/>
      <c r="GP46" s="15" t="s">
        <v>405</v>
      </c>
      <c r="GR46" s="25" t="str">
        <f>IF(Regn!$E46&gt;1,Regn!KZ46,"")</f>
        <v/>
      </c>
      <c r="GS46" s="15" t="s">
        <v>188</v>
      </c>
      <c r="GU46" s="16"/>
      <c r="GV46" s="15" t="s">
        <v>188</v>
      </c>
      <c r="HA46" s="25" t="str">
        <f>IF(Regn!$E46&gt;1,Regn!LD46,"")</f>
        <v/>
      </c>
      <c r="HB46" s="15" t="s">
        <v>188</v>
      </c>
      <c r="HD46" s="16"/>
      <c r="HE46" s="15" t="s">
        <v>188</v>
      </c>
      <c r="HG46" s="15" t="str">
        <f>IF(Regn!$G46&lt;=1,"",VLOOKUP(Regn!$G46,Efgr,2))</f>
        <v/>
      </c>
      <c r="HI46" s="25" t="str">
        <f>IF(Regn!$G46&gt;1,Regn!LH46,"")</f>
        <v/>
      </c>
      <c r="HJ46" s="15" t="s">
        <v>188</v>
      </c>
      <c r="HL46" s="16"/>
      <c r="HM46" s="15" t="s">
        <v>188</v>
      </c>
      <c r="HO46" s="25" t="str">
        <f>IF(Regn!$G46&gt;1,Regn!MA46,"")</f>
        <v/>
      </c>
      <c r="HP46" s="15" t="s">
        <v>188</v>
      </c>
      <c r="HR46" s="16"/>
      <c r="HS46" s="15" t="s">
        <v>188</v>
      </c>
      <c r="HU46" s="25" t="str">
        <f>IF(Regn!$G46&gt;1,Regn!ME46,"")</f>
        <v/>
      </c>
      <c r="HV46" s="15" t="s">
        <v>188</v>
      </c>
      <c r="HX46" s="16"/>
      <c r="HY46" s="15" t="s">
        <v>188</v>
      </c>
      <c r="IA46" s="25" t="str">
        <f>IF(Regn!$G46&gt;1,Regn!MI46,"")</f>
        <v/>
      </c>
      <c r="IB46" s="15" t="s">
        <v>188</v>
      </c>
      <c r="ID46" s="16"/>
      <c r="IE46" s="15" t="s">
        <v>188</v>
      </c>
      <c r="IG46" s="25" t="str">
        <f>IF(Regn!$G46&gt;1,Regn!MO46,"")</f>
        <v/>
      </c>
      <c r="IH46" s="15" t="s">
        <v>188</v>
      </c>
      <c r="IJ46" s="16"/>
      <c r="IK46" s="15" t="s">
        <v>188</v>
      </c>
      <c r="IM46" s="25" t="str">
        <f>IF(Regn!$G46&gt;1,Regn!MS46,"")</f>
        <v/>
      </c>
      <c r="IN46" s="15" t="s">
        <v>188</v>
      </c>
      <c r="IP46" s="16"/>
      <c r="IQ46" s="15" t="s">
        <v>188</v>
      </c>
      <c r="IS46" s="25" t="str">
        <f>IF(Regn!$G46&gt;1,Regn!MW46,"")</f>
        <v/>
      </c>
      <c r="IT46" s="15" t="s">
        <v>188</v>
      </c>
      <c r="IV46" s="16"/>
      <c r="IW46" s="15" t="s">
        <v>188</v>
      </c>
      <c r="IY46" s="25" t="str">
        <f>IF(Regn!$G46&gt;1,Regn!NA46,"")</f>
        <v/>
      </c>
      <c r="IZ46" s="15" t="s">
        <v>531</v>
      </c>
      <c r="JB46" s="16"/>
      <c r="JC46" s="15" t="s">
        <v>531</v>
      </c>
      <c r="JE46" s="25" t="str">
        <f>IF(Regn!$G46&gt;1,Regn!NC46,"")</f>
        <v/>
      </c>
      <c r="JF46" s="15" t="s">
        <v>188</v>
      </c>
      <c r="JH46" s="16"/>
      <c r="JI46" s="15" t="s">
        <v>188</v>
      </c>
      <c r="JK46" s="25" t="str">
        <f>IF(Regn!$G46&gt;1,Regn!NI46,"")</f>
        <v/>
      </c>
      <c r="JL46" s="15" t="s">
        <v>188</v>
      </c>
      <c r="JN46" s="16"/>
      <c r="JO46" s="15" t="s">
        <v>188</v>
      </c>
      <c r="JQ46" s="25" t="str">
        <f>IF(Regn!$G46&gt;1,Regn!NM46,"")</f>
        <v/>
      </c>
      <c r="JR46" s="15" t="s">
        <v>188</v>
      </c>
      <c r="JT46" s="16"/>
      <c r="JU46" s="15" t="s">
        <v>188</v>
      </c>
    </row>
    <row r="47" spans="2:281" ht="12" customHeight="1" x14ac:dyDescent="0.25">
      <c r="B47" s="28"/>
      <c r="C47" s="133" t="str">
        <f>IF(OR(Regn!$B48&gt;1,Regn!E46=1),"",VLOOKUP(Regn!$E46,Afgr,2))</f>
        <v/>
      </c>
      <c r="G47" s="134" t="str">
        <f>IF(OR(Regn!$C48&gt;1,Regn!$G46=1),"",VLOOKUP(Regn!$G46,Efgr,2))</f>
        <v/>
      </c>
      <c r="U47" s="134"/>
    </row>
    <row r="48" spans="2:281" x14ac:dyDescent="0.25">
      <c r="B48" s="28">
        <v>8</v>
      </c>
      <c r="Z48" s="36"/>
      <c r="AA48" s="15" t="s">
        <v>85</v>
      </c>
      <c r="AC48" s="53">
        <f>Regn!M48</f>
        <v>0</v>
      </c>
      <c r="AD48" s="15" t="s">
        <v>85</v>
      </c>
      <c r="AF48" s="15" t="str">
        <f>IF(Regn!$E48&lt;=1,"",VLOOKUP(Regn!$E48,Afgr,2))</f>
        <v/>
      </c>
      <c r="AH48" s="55" t="str">
        <f>IF(Regn!$E48&gt;1,Regn!BH48,"")</f>
        <v/>
      </c>
      <c r="AI48" s="15" t="str">
        <f>IF(Regn!BK48&lt;&gt;0,Regn!BK48,"")</f>
        <v/>
      </c>
      <c r="AK48" s="16"/>
      <c r="AL48" s="15" t="str">
        <f>IF(Regn!BK48&lt;&gt;0,Regn!BK48,"")</f>
        <v/>
      </c>
      <c r="AN48" s="33" t="str">
        <f>IF(Regn!$E48&gt;1,Regn!DP48,"")</f>
        <v/>
      </c>
      <c r="AO48" s="15" t="s">
        <v>201</v>
      </c>
      <c r="AQ48" s="38"/>
      <c r="AR48" s="15" t="s">
        <v>201</v>
      </c>
      <c r="AT48" s="55" t="str">
        <f>IF(Regn!$E48&gt;1,Regn!BN48,"")</f>
        <v/>
      </c>
      <c r="AU48" s="15" t="s">
        <v>188</v>
      </c>
      <c r="AW48" s="124"/>
      <c r="AX48" s="15" t="s">
        <v>188</v>
      </c>
      <c r="AZ48" s="25" t="str">
        <f>IF(Regn!$E48&gt;1,Regn!BS48,"")</f>
        <v/>
      </c>
      <c r="BA48" s="15" t="s">
        <v>188</v>
      </c>
      <c r="BC48" s="17"/>
      <c r="BD48" s="15" t="s">
        <v>188</v>
      </c>
      <c r="BF48" s="25" t="str">
        <f>IF(Regn!$E48&gt;1,Regn!BX48,"")</f>
        <v/>
      </c>
      <c r="BG48" s="15" t="s">
        <v>192</v>
      </c>
      <c r="BI48" s="16"/>
      <c r="BJ48" s="15" t="s">
        <v>192</v>
      </c>
      <c r="BO48" s="33" t="str">
        <f>IF(Regn!$E48&gt;1,Regn!CE48,"")</f>
        <v/>
      </c>
      <c r="BP48" s="15" t="s">
        <v>188</v>
      </c>
      <c r="BR48" s="38"/>
      <c r="BS48" s="15" t="s">
        <v>188</v>
      </c>
      <c r="BU48" s="15" t="str">
        <f>IF(Regn!$E48&lt;=1,"",VLOOKUP(Regn!$E48,Afgr,2))</f>
        <v/>
      </c>
      <c r="BW48" s="32" t="str">
        <f>IF(Regn!$E48&gt;1,Regn!Y48,"")</f>
        <v/>
      </c>
      <c r="BX48" s="15" t="s">
        <v>82</v>
      </c>
      <c r="BZ48" s="37"/>
      <c r="CA48" s="15" t="s">
        <v>82</v>
      </c>
      <c r="CC48" s="32" t="str">
        <f>IF(Regn!$E48&gt;1,Regn!S48,"")</f>
        <v/>
      </c>
      <c r="CD48" s="15" t="s">
        <v>82</v>
      </c>
      <c r="CF48" s="32" t="str">
        <f>IF(Regn!$E48&gt;1,Regn!U48,"")</f>
        <v/>
      </c>
      <c r="CG48" s="15" t="s">
        <v>82</v>
      </c>
      <c r="CI48" s="37"/>
      <c r="CJ48" s="15" t="s">
        <v>82</v>
      </c>
      <c r="CL48" s="32" t="str">
        <f>IF(Regn!$E48&gt;1,Regn!AS48,"")</f>
        <v/>
      </c>
      <c r="CM48" s="15" t="s">
        <v>82</v>
      </c>
      <c r="CO48" s="37"/>
      <c r="CP48" s="15" t="s">
        <v>82</v>
      </c>
      <c r="CR48" s="32" t="str">
        <f>IF(Regn!$E48&gt;1,UdnKrav,"")</f>
        <v/>
      </c>
      <c r="CS48" s="15" t="s">
        <v>205</v>
      </c>
      <c r="CU48" s="32" t="str">
        <f>IF(Regn!$E48&gt;1,Regn!AY48,"")</f>
        <v/>
      </c>
      <c r="CV48" s="15" t="s">
        <v>82</v>
      </c>
      <c r="CX48" s="15" t="str">
        <f>IF(Regn!$G48&lt;=1,"",VLOOKUP(Regn!$G48,Efgr,2))</f>
        <v/>
      </c>
      <c r="CZ48" s="25" t="str">
        <f>IF(Regn!$G48&gt;1,Regn!DC48,"")</f>
        <v/>
      </c>
      <c r="DA48" s="15" t="str">
        <f>IF(Regn!$G48&gt;1,Regn!DF48,"")</f>
        <v/>
      </c>
      <c r="DC48" s="16"/>
      <c r="DD48" s="15" t="str">
        <f>IF(Regn!$G48&gt;1,Regn!DF48,"")</f>
        <v/>
      </c>
      <c r="DJ48" s="25" t="str">
        <f>IF(Regn!$G48&gt;1,Regn!CL48,"")</f>
        <v/>
      </c>
      <c r="DK48" s="15" t="s">
        <v>82</v>
      </c>
      <c r="DM48" s="16"/>
      <c r="DN48" s="15" t="s">
        <v>82</v>
      </c>
      <c r="DP48" s="25" t="str">
        <f>IF(Regn!$G48&gt;1,Regn!CR48,"")</f>
        <v/>
      </c>
      <c r="DQ48" s="15" t="s">
        <v>82</v>
      </c>
      <c r="DS48" s="16"/>
      <c r="DT48" s="15" t="s">
        <v>82</v>
      </c>
      <c r="DV48" s="25" t="str">
        <f>IF(Regn!$G48&gt;1,UdnKrav,"")</f>
        <v/>
      </c>
      <c r="DW48" s="15" t="s">
        <v>205</v>
      </c>
      <c r="DY48" s="25" t="str">
        <f>IF(Regn!$G48&gt;1,Regn!CX48,"")</f>
        <v/>
      </c>
      <c r="DZ48" s="15" t="s">
        <v>82</v>
      </c>
      <c r="EB48" s="15" t="str">
        <f>IF(Regn!$E48&lt;=1,"",VLOOKUP(Regn!$E48,Afgr,2))</f>
        <v/>
      </c>
      <c r="ED48" s="25" t="str">
        <f>IF(Regn!$E48&gt;1,Regn!IB48,"")</f>
        <v/>
      </c>
      <c r="EE48" s="15" t="s">
        <v>188</v>
      </c>
      <c r="EG48" s="16"/>
      <c r="EH48" s="15" t="s">
        <v>188</v>
      </c>
      <c r="EJ48" s="25" t="str">
        <f>IF(Regn!$E48&gt;1,Regn!IX48,"")</f>
        <v/>
      </c>
      <c r="EK48" s="15" t="s">
        <v>188</v>
      </c>
      <c r="EM48" s="16"/>
      <c r="EN48" s="15" t="s">
        <v>188</v>
      </c>
      <c r="EP48" s="25" t="str">
        <f>IF(Regn!$E48&gt;1,Regn!JB48,"")</f>
        <v/>
      </c>
      <c r="EQ48" s="15" t="s">
        <v>188</v>
      </c>
      <c r="ES48" s="16"/>
      <c r="ET48" s="15" t="s">
        <v>188</v>
      </c>
      <c r="EV48" s="25" t="str">
        <f>IF(Regn!$E48&gt;1,Regn!JF48,"")</f>
        <v/>
      </c>
      <c r="EW48" s="15" t="s">
        <v>188</v>
      </c>
      <c r="EY48" s="16"/>
      <c r="EZ48" s="15" t="s">
        <v>188</v>
      </c>
      <c r="FB48" s="25" t="str">
        <f>IF(Regn!$E48&gt;1,Regn!JL48,"")</f>
        <v/>
      </c>
      <c r="FC48" s="15" t="s">
        <v>362</v>
      </c>
      <c r="FE48" s="16"/>
      <c r="FF48" s="15" t="s">
        <v>188</v>
      </c>
      <c r="FH48" s="25" t="str">
        <f>IF(Regn!$E48&gt;1,Regn!JY48,"")</f>
        <v/>
      </c>
      <c r="FI48" s="15" t="s">
        <v>188</v>
      </c>
      <c r="FK48" s="16"/>
      <c r="FL48" s="15" t="s">
        <v>188</v>
      </c>
      <c r="FN48" s="25" t="str">
        <f>IF(Regn!$E48&gt;1,Regn!KC48,"")</f>
        <v/>
      </c>
      <c r="FO48" s="15" t="s">
        <v>188</v>
      </c>
      <c r="FQ48" s="16"/>
      <c r="FR48" s="15" t="s">
        <v>188</v>
      </c>
      <c r="FT48" s="25" t="str">
        <f>IF(Regn!$E48&gt;1,Regn!KG48,"")</f>
        <v/>
      </c>
      <c r="FU48" s="15" t="s">
        <v>188</v>
      </c>
      <c r="FW48" s="16"/>
      <c r="FX48" s="15" t="s">
        <v>188</v>
      </c>
      <c r="FZ48" s="25" t="str">
        <f>IF(Regn!$E48&gt;1,Regn!KK48,"")</f>
        <v/>
      </c>
      <c r="GA48" s="15" t="s">
        <v>531</v>
      </c>
      <c r="GC48" s="16"/>
      <c r="GD48" s="15" t="s">
        <v>531</v>
      </c>
      <c r="GF48" s="25" t="str">
        <f>IF(Regn!$E48&gt;1,Regn!KM48,"")</f>
        <v/>
      </c>
      <c r="GG48" s="15" t="s">
        <v>188</v>
      </c>
      <c r="GI48" s="16"/>
      <c r="GJ48" s="15" t="s">
        <v>188</v>
      </c>
      <c r="GL48" s="25" t="str">
        <f>IF(Regn!$E48&gt;1,Regn!KT48,"")</f>
        <v/>
      </c>
      <c r="GM48" s="15" t="s">
        <v>188</v>
      </c>
      <c r="GO48" s="16"/>
      <c r="GP48" s="15" t="s">
        <v>405</v>
      </c>
      <c r="GR48" s="25" t="str">
        <f>IF(Regn!$E48&gt;1,Regn!KZ48,"")</f>
        <v/>
      </c>
      <c r="GS48" s="15" t="s">
        <v>188</v>
      </c>
      <c r="GU48" s="16"/>
      <c r="GV48" s="15" t="s">
        <v>188</v>
      </c>
      <c r="HA48" s="25" t="str">
        <f>IF(Regn!$E48&gt;1,Regn!LD48,"")</f>
        <v/>
      </c>
      <c r="HB48" s="15" t="s">
        <v>188</v>
      </c>
      <c r="HD48" s="16"/>
      <c r="HE48" s="15" t="s">
        <v>188</v>
      </c>
      <c r="HG48" s="15" t="str">
        <f>IF(Regn!$G48&lt;=1,"",VLOOKUP(Regn!$G48,Efgr,2))</f>
        <v/>
      </c>
      <c r="HI48" s="25" t="str">
        <f>IF(Regn!$G48&gt;1,Regn!LH48,"")</f>
        <v/>
      </c>
      <c r="HJ48" s="15" t="s">
        <v>188</v>
      </c>
      <c r="HL48" s="16"/>
      <c r="HM48" s="15" t="s">
        <v>188</v>
      </c>
      <c r="HO48" s="25" t="str">
        <f>IF(Regn!$G48&gt;1,Regn!MA48,"")</f>
        <v/>
      </c>
      <c r="HP48" s="15" t="s">
        <v>188</v>
      </c>
      <c r="HR48" s="16"/>
      <c r="HS48" s="15" t="s">
        <v>188</v>
      </c>
      <c r="HU48" s="25" t="str">
        <f>IF(Regn!$G48&gt;1,Regn!ME48,"")</f>
        <v/>
      </c>
      <c r="HV48" s="15" t="s">
        <v>188</v>
      </c>
      <c r="HX48" s="16"/>
      <c r="HY48" s="15" t="s">
        <v>188</v>
      </c>
      <c r="IA48" s="25" t="str">
        <f>IF(Regn!$G48&gt;1,Regn!MI48,"")</f>
        <v/>
      </c>
      <c r="IB48" s="15" t="s">
        <v>188</v>
      </c>
      <c r="ID48" s="16"/>
      <c r="IE48" s="15" t="s">
        <v>188</v>
      </c>
      <c r="IG48" s="25" t="str">
        <f>IF(Regn!$G48&gt;1,Regn!MO48,"")</f>
        <v/>
      </c>
      <c r="IH48" s="15" t="s">
        <v>188</v>
      </c>
      <c r="IJ48" s="16"/>
      <c r="IK48" s="15" t="s">
        <v>188</v>
      </c>
      <c r="IM48" s="25" t="str">
        <f>IF(Regn!$G48&gt;1,Regn!MS48,"")</f>
        <v/>
      </c>
      <c r="IN48" s="15" t="s">
        <v>188</v>
      </c>
      <c r="IP48" s="16"/>
      <c r="IQ48" s="15" t="s">
        <v>188</v>
      </c>
      <c r="IS48" s="25" t="str">
        <f>IF(Regn!$G48&gt;1,Regn!MW48,"")</f>
        <v/>
      </c>
      <c r="IT48" s="15" t="s">
        <v>188</v>
      </c>
      <c r="IV48" s="16"/>
      <c r="IW48" s="15" t="s">
        <v>188</v>
      </c>
      <c r="IY48" s="25" t="str">
        <f>IF(Regn!$G48&gt;1,Regn!NA48,"")</f>
        <v/>
      </c>
      <c r="IZ48" s="15" t="s">
        <v>531</v>
      </c>
      <c r="JB48" s="16"/>
      <c r="JC48" s="15" t="s">
        <v>531</v>
      </c>
      <c r="JE48" s="25" t="str">
        <f>IF(Regn!$G48&gt;1,Regn!NC48,"")</f>
        <v/>
      </c>
      <c r="JF48" s="15" t="s">
        <v>188</v>
      </c>
      <c r="JH48" s="16"/>
      <c r="JI48" s="15" t="s">
        <v>188</v>
      </c>
      <c r="JK48" s="25" t="str">
        <f>IF(Regn!$G48&gt;1,Regn!NI48,"")</f>
        <v/>
      </c>
      <c r="JL48" s="15" t="s">
        <v>188</v>
      </c>
      <c r="JN48" s="16"/>
      <c r="JO48" s="15" t="s">
        <v>188</v>
      </c>
      <c r="JQ48" s="25" t="str">
        <f>IF(Regn!$G48&gt;1,Regn!NM48,"")</f>
        <v/>
      </c>
      <c r="JR48" s="15" t="s">
        <v>188</v>
      </c>
      <c r="JT48" s="16"/>
      <c r="JU48" s="15" t="s">
        <v>188</v>
      </c>
    </row>
    <row r="49" spans="2:281" x14ac:dyDescent="0.25">
      <c r="B49" s="31"/>
    </row>
    <row r="50" spans="2:281" ht="21" x14ac:dyDescent="0.35">
      <c r="C50" s="187" t="s">
        <v>1818</v>
      </c>
      <c r="D50" s="143"/>
      <c r="E50" s="143"/>
      <c r="F50" s="192" t="s">
        <v>2216</v>
      </c>
      <c r="G50" s="143"/>
      <c r="H50" s="143"/>
      <c r="I50" s="143"/>
      <c r="J50" s="143"/>
      <c r="K50" s="143"/>
      <c r="L50" s="143"/>
      <c r="M50" s="143"/>
      <c r="N50" s="143"/>
      <c r="O50" s="143"/>
      <c r="P50" s="143"/>
      <c r="Q50" s="143"/>
      <c r="R50" s="143"/>
      <c r="S50" s="143"/>
      <c r="T50" s="143"/>
      <c r="Z50" s="146">
        <f>Regn!N50</f>
        <v>1</v>
      </c>
      <c r="AA50" s="147" t="s">
        <v>85</v>
      </c>
      <c r="AB50" s="147"/>
      <c r="AC50" s="146">
        <f>DyrkAreal1</f>
        <v>1</v>
      </c>
      <c r="AD50" s="147" t="s">
        <v>85</v>
      </c>
    </row>
    <row r="51" spans="2:281" ht="8.1" customHeight="1" x14ac:dyDescent="0.25">
      <c r="B51" s="31"/>
    </row>
    <row r="52" spans="2:281" x14ac:dyDescent="0.25">
      <c r="B52" s="31"/>
      <c r="C52" s="15" t="s">
        <v>87</v>
      </c>
      <c r="K52" s="27" t="s">
        <v>84</v>
      </c>
      <c r="M52" s="254"/>
      <c r="N52" s="255"/>
      <c r="O52" s="15" t="s">
        <v>85</v>
      </c>
      <c r="P52" s="141" t="s">
        <v>1475</v>
      </c>
      <c r="S52" s="17">
        <v>60</v>
      </c>
      <c r="T52" s="15" t="s">
        <v>205</v>
      </c>
      <c r="U52" s="15" t="s">
        <v>1943</v>
      </c>
      <c r="AD52" s="15" t="s">
        <v>1946</v>
      </c>
    </row>
    <row r="53" spans="2:281" ht="15" customHeight="1" x14ac:dyDescent="0.25">
      <c r="B53" s="31"/>
      <c r="EB53" s="26" t="s">
        <v>328</v>
      </c>
      <c r="FB53" s="26" t="s">
        <v>348</v>
      </c>
      <c r="IG53" s="26" t="s">
        <v>417</v>
      </c>
    </row>
    <row r="54" spans="2:281" s="26" customFormat="1" ht="32.1" customHeight="1" x14ac:dyDescent="0.35">
      <c r="C54" s="256" t="s">
        <v>76</v>
      </c>
      <c r="D54" s="257"/>
      <c r="E54" s="257"/>
      <c r="F54" s="257"/>
      <c r="G54" s="258" t="s">
        <v>79</v>
      </c>
      <c r="H54" s="259"/>
      <c r="I54" s="259"/>
      <c r="J54" s="257"/>
      <c r="K54" s="183" t="s">
        <v>1350</v>
      </c>
      <c r="L54" s="184"/>
      <c r="M54" s="268" t="s">
        <v>28</v>
      </c>
      <c r="N54" s="268"/>
      <c r="O54" s="268"/>
      <c r="P54" s="280"/>
      <c r="Q54" s="258" t="s">
        <v>1543</v>
      </c>
      <c r="R54" s="259"/>
      <c r="S54" s="259"/>
      <c r="T54" s="263"/>
      <c r="U54" s="260" t="s">
        <v>83</v>
      </c>
      <c r="V54" s="260"/>
      <c r="W54" s="260"/>
      <c r="X54" s="262"/>
      <c r="Z54" s="26" t="s">
        <v>84</v>
      </c>
      <c r="AC54" s="264" t="s">
        <v>1886</v>
      </c>
      <c r="AD54" s="265"/>
      <c r="AF54" s="26" t="s">
        <v>28</v>
      </c>
      <c r="AH54" s="26" t="s">
        <v>178</v>
      </c>
      <c r="AN54" s="26" t="s">
        <v>200</v>
      </c>
      <c r="AT54" s="26" t="s">
        <v>184</v>
      </c>
      <c r="AZ54" s="26" t="s">
        <v>1337</v>
      </c>
      <c r="BF54" s="26" t="s">
        <v>189</v>
      </c>
      <c r="BL54" s="261" t="s">
        <v>1547</v>
      </c>
      <c r="BM54" s="267"/>
      <c r="BO54" s="26" t="s">
        <v>198</v>
      </c>
      <c r="BU54" s="26" t="s">
        <v>28</v>
      </c>
      <c r="BW54" s="260" t="s">
        <v>437</v>
      </c>
      <c r="BX54" s="260"/>
      <c r="BY54" s="260"/>
      <c r="BZ54" s="260"/>
      <c r="CC54" s="261" t="s">
        <v>86</v>
      </c>
      <c r="CD54" s="260"/>
      <c r="CF54" s="261" t="s">
        <v>1544</v>
      </c>
      <c r="CG54" s="260"/>
      <c r="CI54" s="261" t="s">
        <v>456</v>
      </c>
      <c r="CJ54" s="260"/>
      <c r="CL54" s="261" t="s">
        <v>476</v>
      </c>
      <c r="CM54" s="260"/>
      <c r="CN54" s="260"/>
      <c r="CO54" s="262"/>
      <c r="CR54" s="261" t="s">
        <v>1545</v>
      </c>
      <c r="CS54" s="267"/>
      <c r="CU54" s="261" t="s">
        <v>1546</v>
      </c>
      <c r="CV54" s="267"/>
      <c r="CX54" s="30" t="s">
        <v>1543</v>
      </c>
      <c r="CZ54" s="26" t="s">
        <v>219</v>
      </c>
      <c r="DF54" s="261" t="s">
        <v>1548</v>
      </c>
      <c r="DG54" s="260"/>
      <c r="DH54" s="260"/>
      <c r="DJ54" s="26" t="s">
        <v>86</v>
      </c>
      <c r="DM54" s="26" t="s">
        <v>456</v>
      </c>
      <c r="DP54" s="261" t="s">
        <v>476</v>
      </c>
      <c r="DQ54" s="267"/>
      <c r="DR54" s="267"/>
      <c r="DV54" s="261" t="s">
        <v>1545</v>
      </c>
      <c r="DW54" s="267"/>
      <c r="DY54" s="261" t="s">
        <v>1546</v>
      </c>
      <c r="DZ54" s="267"/>
      <c r="EB54" s="26" t="s">
        <v>28</v>
      </c>
      <c r="ED54" s="26" t="s">
        <v>2</v>
      </c>
      <c r="EJ54" s="26" t="s">
        <v>523</v>
      </c>
      <c r="EP54" s="26" t="s">
        <v>3</v>
      </c>
      <c r="EV54" s="261" t="s">
        <v>1549</v>
      </c>
      <c r="EW54" s="260"/>
      <c r="EX54" s="260"/>
      <c r="EY54" s="260"/>
      <c r="EZ54" s="267"/>
      <c r="FB54" s="26" t="s">
        <v>360</v>
      </c>
      <c r="FH54" s="26" t="s">
        <v>363</v>
      </c>
      <c r="FN54" s="26" t="s">
        <v>364</v>
      </c>
      <c r="FT54" s="26" t="s">
        <v>365</v>
      </c>
      <c r="FZ54" s="26" t="s">
        <v>104</v>
      </c>
      <c r="GL54" s="261" t="s">
        <v>1550</v>
      </c>
      <c r="GM54" s="260"/>
      <c r="GN54" s="260"/>
      <c r="GO54" s="260"/>
      <c r="GP54" s="260"/>
      <c r="GR54" s="261" t="s">
        <v>1551</v>
      </c>
      <c r="GS54" s="260"/>
      <c r="GT54" s="260"/>
      <c r="GU54" s="260"/>
      <c r="GV54" s="260"/>
      <c r="GX54" s="26" t="s">
        <v>435</v>
      </c>
      <c r="HG54" s="30" t="s">
        <v>1543</v>
      </c>
      <c r="HI54" s="26" t="s">
        <v>2</v>
      </c>
      <c r="HO54" s="26" t="s">
        <v>523</v>
      </c>
      <c r="HU54" s="26" t="s">
        <v>3</v>
      </c>
      <c r="IA54" s="26" t="s">
        <v>415</v>
      </c>
      <c r="IG54" s="26" t="s">
        <v>20</v>
      </c>
      <c r="IM54" s="26" t="s">
        <v>364</v>
      </c>
      <c r="IS54" s="26" t="s">
        <v>365</v>
      </c>
      <c r="IY54" s="26" t="s">
        <v>104</v>
      </c>
      <c r="JK54" s="261" t="s">
        <v>1552</v>
      </c>
      <c r="JL54" s="260"/>
      <c r="JM54" s="260"/>
      <c r="JN54" s="260"/>
      <c r="JO54" s="260"/>
      <c r="JQ54" s="261" t="s">
        <v>1553</v>
      </c>
      <c r="JR54" s="260"/>
      <c r="JS54" s="260"/>
      <c r="JT54" s="260"/>
      <c r="JU54" s="260"/>
    </row>
    <row r="55" spans="2:281" ht="12" customHeight="1" x14ac:dyDescent="0.25">
      <c r="B55" s="31"/>
      <c r="U55" s="134" t="str">
        <f>IF(OR(Regn!$K56&gt;1,Regn!$E58=1),"",VLOOKUP(Regn!$E58,Afgr,2))</f>
        <v/>
      </c>
    </row>
    <row r="56" spans="2:281" x14ac:dyDescent="0.25">
      <c r="B56" s="28">
        <v>1</v>
      </c>
      <c r="Z56" s="36"/>
      <c r="AA56" s="15" t="s">
        <v>85</v>
      </c>
      <c r="AC56" s="53">
        <f>Regn!M56</f>
        <v>0</v>
      </c>
      <c r="AD56" s="15" t="s">
        <v>85</v>
      </c>
      <c r="AF56" s="15" t="str">
        <f>IF(Regn!$E56&lt;=1,"",VLOOKUP(Regn!$E56,Afgr,2))</f>
        <v/>
      </c>
      <c r="AH56" s="55" t="str">
        <f>IF(Regn!$E56&gt;1,Regn!BH56,"")</f>
        <v/>
      </c>
      <c r="AI56" s="15" t="str">
        <f>IF(Regn!BK56&lt;&gt;0,Regn!BK56,"")</f>
        <v/>
      </c>
      <c r="AK56" s="16"/>
      <c r="AL56" s="15" t="str">
        <f>IF(Regn!BK56&lt;&gt;0,Regn!BK56,"")</f>
        <v/>
      </c>
      <c r="AN56" s="33" t="str">
        <f>IF(Regn!$E56&gt;1,Regn!DP56,"")</f>
        <v/>
      </c>
      <c r="AO56" s="15" t="s">
        <v>201</v>
      </c>
      <c r="AQ56" s="38"/>
      <c r="AR56" s="15" t="s">
        <v>201</v>
      </c>
      <c r="AT56" s="55" t="str">
        <f>IF(Regn!$E56&gt;1,Regn!BN56,"")</f>
        <v/>
      </c>
      <c r="AU56" s="15" t="s">
        <v>188</v>
      </c>
      <c r="AW56" s="124"/>
      <c r="AX56" s="15" t="s">
        <v>188</v>
      </c>
      <c r="AZ56" s="25" t="str">
        <f>IF(Regn!$E56&gt;1,Regn!BS56,"")</f>
        <v/>
      </c>
      <c r="BA56" s="15" t="s">
        <v>188</v>
      </c>
      <c r="BC56" s="17"/>
      <c r="BD56" s="15" t="s">
        <v>188</v>
      </c>
      <c r="BF56" s="25" t="str">
        <f>IF(Regn!$E56&gt;1,Regn!BX56,"")</f>
        <v/>
      </c>
      <c r="BG56" s="15" t="s">
        <v>192</v>
      </c>
      <c r="BI56" s="16"/>
      <c r="BJ56" s="15" t="s">
        <v>192</v>
      </c>
      <c r="BO56" s="33" t="str">
        <f>IF(Regn!$E56&gt;1,Regn!CE56,"")</f>
        <v/>
      </c>
      <c r="BP56" s="15" t="s">
        <v>188</v>
      </c>
      <c r="BR56" s="38"/>
      <c r="BS56" s="15" t="s">
        <v>188</v>
      </c>
      <c r="BU56" s="15" t="str">
        <f>IF(Regn!$E56&lt;=1,"",VLOOKUP(Regn!$E56,Afgr,2))</f>
        <v/>
      </c>
      <c r="BW56" s="32" t="str">
        <f>IF(Regn!$E56&gt;1,Regn!Y56,"")</f>
        <v/>
      </c>
      <c r="BX56" s="15" t="s">
        <v>82</v>
      </c>
      <c r="BZ56" s="37"/>
      <c r="CA56" s="15" t="s">
        <v>82</v>
      </c>
      <c r="CC56" s="32" t="str">
        <f>IF(Regn!$E56&gt;1,Regn!S56,"")</f>
        <v/>
      </c>
      <c r="CD56" s="15" t="s">
        <v>82</v>
      </c>
      <c r="CF56" s="32" t="str">
        <f>IF(Regn!$E56&gt;1,Regn!U56,"")</f>
        <v/>
      </c>
      <c r="CG56" s="15" t="s">
        <v>82</v>
      </c>
      <c r="CI56" s="37"/>
      <c r="CJ56" s="15" t="s">
        <v>82</v>
      </c>
      <c r="CL56" s="32" t="str">
        <f>IF(Regn!$E56&gt;1,Regn!AS56,"")</f>
        <v/>
      </c>
      <c r="CM56" s="15" t="s">
        <v>82</v>
      </c>
      <c r="CO56" s="37"/>
      <c r="CP56" s="15" t="s">
        <v>82</v>
      </c>
      <c r="CR56" s="32" t="str">
        <f>IF(Regn!$E56&gt;1,UdnKrav,"")</f>
        <v/>
      </c>
      <c r="CS56" s="15" t="s">
        <v>205</v>
      </c>
      <c r="CU56" s="32" t="str">
        <f>IF(Regn!$E56&gt;1,Regn!AY56,"")</f>
        <v/>
      </c>
      <c r="CV56" s="15" t="s">
        <v>82</v>
      </c>
      <c r="CX56" s="15" t="str">
        <f>IF(Regn!$G56&lt;=1,"",VLOOKUP(Regn!$G56,Efgr,2))</f>
        <v/>
      </c>
      <c r="CZ56" s="25" t="str">
        <f>IF(Regn!$G56&gt;1,Regn!DC56,"")</f>
        <v/>
      </c>
      <c r="DA56" s="15" t="str">
        <f>IF(Regn!$G56&gt;1,Regn!DF56,"")</f>
        <v/>
      </c>
      <c r="DC56" s="16"/>
      <c r="DD56" s="15" t="str">
        <f>IF(Regn!$G56&gt;1,Regn!DF56,"")</f>
        <v/>
      </c>
      <c r="DJ56" s="25" t="str">
        <f>IF(Regn!$G56&gt;1,Regn!CL56,"")</f>
        <v/>
      </c>
      <c r="DK56" s="15" t="s">
        <v>82</v>
      </c>
      <c r="DM56" s="16"/>
      <c r="DN56" s="15" t="s">
        <v>82</v>
      </c>
      <c r="DP56" s="25" t="str">
        <f>IF(Regn!$G56&gt;1,Regn!CR56,"")</f>
        <v/>
      </c>
      <c r="DQ56" s="15" t="s">
        <v>82</v>
      </c>
      <c r="DS56" s="16"/>
      <c r="DT56" s="15" t="s">
        <v>82</v>
      </c>
      <c r="DV56" s="25" t="str">
        <f>IF(Regn!$G56&gt;1,UdnKrav,"")</f>
        <v/>
      </c>
      <c r="DW56" s="15" t="s">
        <v>205</v>
      </c>
      <c r="DY56" s="25" t="str">
        <f>IF(Regn!$G56&gt;1,Regn!CX56,"")</f>
        <v/>
      </c>
      <c r="DZ56" s="15" t="s">
        <v>82</v>
      </c>
      <c r="EB56" s="15" t="str">
        <f>IF(Regn!$E56&lt;=1,"",VLOOKUP(Regn!$E56,Afgr,2))</f>
        <v/>
      </c>
      <c r="ED56" s="25" t="str">
        <f>IF(Regn!$E56&gt;1,Regn!IB56,"")</f>
        <v/>
      </c>
      <c r="EE56" s="15" t="s">
        <v>188</v>
      </c>
      <c r="EG56" s="16"/>
      <c r="EH56" s="15" t="s">
        <v>188</v>
      </c>
      <c r="EJ56" s="25" t="str">
        <f>IF(Regn!$E56&gt;1,Regn!IX56,"")</f>
        <v/>
      </c>
      <c r="EK56" s="15" t="s">
        <v>188</v>
      </c>
      <c r="EM56" s="16"/>
      <c r="EN56" s="15" t="s">
        <v>188</v>
      </c>
      <c r="EP56" s="25" t="str">
        <f>IF(Regn!$E56&gt;1,Regn!JB56,"")</f>
        <v/>
      </c>
      <c r="EQ56" s="15" t="s">
        <v>188</v>
      </c>
      <c r="ES56" s="16"/>
      <c r="ET56" s="15" t="s">
        <v>188</v>
      </c>
      <c r="EV56" s="25" t="str">
        <f>IF(Regn!$E56&gt;1,Regn!JF56,"")</f>
        <v/>
      </c>
      <c r="EW56" s="15" t="s">
        <v>188</v>
      </c>
      <c r="EY56" s="16"/>
      <c r="EZ56" s="15" t="s">
        <v>188</v>
      </c>
      <c r="FB56" s="25" t="str">
        <f>IF(Regn!$E56&gt;1,Regn!JL56,"")</f>
        <v/>
      </c>
      <c r="FC56" s="15" t="s">
        <v>362</v>
      </c>
      <c r="FE56" s="16"/>
      <c r="FF56" s="15" t="s">
        <v>188</v>
      </c>
      <c r="FH56" s="25" t="str">
        <f>IF(Regn!$E56&gt;1,Regn!JY56,"")</f>
        <v/>
      </c>
      <c r="FI56" s="15" t="s">
        <v>188</v>
      </c>
      <c r="FK56" s="16"/>
      <c r="FL56" s="15" t="s">
        <v>188</v>
      </c>
      <c r="FN56" s="25" t="str">
        <f>IF(Regn!$E56&gt;1,Regn!KC56,"")</f>
        <v/>
      </c>
      <c r="FO56" s="15" t="s">
        <v>188</v>
      </c>
      <c r="FQ56" s="16"/>
      <c r="FR56" s="15" t="s">
        <v>188</v>
      </c>
      <c r="FT56" s="25" t="str">
        <f>IF(Regn!$E56&gt;1,Regn!KG56,"")</f>
        <v/>
      </c>
      <c r="FU56" s="15" t="s">
        <v>188</v>
      </c>
      <c r="FW56" s="16"/>
      <c r="FX56" s="15" t="s">
        <v>188</v>
      </c>
      <c r="FZ56" s="25" t="str">
        <f>IF(Regn!$E56&gt;1,Regn!KK56,"")</f>
        <v/>
      </c>
      <c r="GA56" s="15" t="s">
        <v>531</v>
      </c>
      <c r="GC56" s="16"/>
      <c r="GD56" s="15" t="s">
        <v>531</v>
      </c>
      <c r="GF56" s="25" t="str">
        <f>IF(Regn!$E56&gt;1,Regn!KM56,"")</f>
        <v/>
      </c>
      <c r="GG56" s="15" t="s">
        <v>188</v>
      </c>
      <c r="GI56" s="16"/>
      <c r="GJ56" s="15" t="s">
        <v>188</v>
      </c>
      <c r="GL56" s="25" t="str">
        <f>IF(Regn!$E56&gt;1,Regn!KT56,"")</f>
        <v/>
      </c>
      <c r="GM56" s="15" t="s">
        <v>188</v>
      </c>
      <c r="GO56" s="16"/>
      <c r="GP56" s="15" t="s">
        <v>405</v>
      </c>
      <c r="GR56" s="25" t="str">
        <f>IF(Regn!$E56&gt;1,Regn!KZ56,"")</f>
        <v/>
      </c>
      <c r="GS56" s="15" t="s">
        <v>188</v>
      </c>
      <c r="GU56" s="16"/>
      <c r="GV56" s="15" t="s">
        <v>188</v>
      </c>
      <c r="HA56" s="25" t="str">
        <f>IF(Regn!$E56&gt;1,Regn!LD56,"")</f>
        <v/>
      </c>
      <c r="HB56" s="15" t="s">
        <v>188</v>
      </c>
      <c r="HD56" s="16"/>
      <c r="HE56" s="15" t="s">
        <v>188</v>
      </c>
      <c r="HG56" s="15" t="str">
        <f>IF(Regn!$G56&lt;=1,"",VLOOKUP(Regn!$G56,Efgr,2))</f>
        <v/>
      </c>
      <c r="HI56" s="25" t="str">
        <f>IF(Regn!$G56&gt;1,Regn!LH56,"")</f>
        <v/>
      </c>
      <c r="HJ56" s="15" t="s">
        <v>188</v>
      </c>
      <c r="HL56" s="16"/>
      <c r="HM56" s="15" t="s">
        <v>188</v>
      </c>
      <c r="HO56" s="25" t="str">
        <f>IF(Regn!$G56&gt;1,Regn!MA56,"")</f>
        <v/>
      </c>
      <c r="HP56" s="15" t="s">
        <v>188</v>
      </c>
      <c r="HR56" s="16"/>
      <c r="HS56" s="15" t="s">
        <v>188</v>
      </c>
      <c r="HU56" s="25" t="str">
        <f>IF(Regn!$G56&gt;1,Regn!ME56,"")</f>
        <v/>
      </c>
      <c r="HV56" s="15" t="s">
        <v>188</v>
      </c>
      <c r="HX56" s="16"/>
      <c r="HY56" s="15" t="s">
        <v>188</v>
      </c>
      <c r="IA56" s="25" t="str">
        <f>IF(Regn!$G56&gt;1,Regn!MI56,"")</f>
        <v/>
      </c>
      <c r="IB56" s="15" t="s">
        <v>188</v>
      </c>
      <c r="ID56" s="16"/>
      <c r="IE56" s="15" t="s">
        <v>188</v>
      </c>
      <c r="IG56" s="25" t="str">
        <f>IF(Regn!$G56&gt;1,Regn!MO56,"")</f>
        <v/>
      </c>
      <c r="IH56" s="15" t="s">
        <v>188</v>
      </c>
      <c r="IJ56" s="16"/>
      <c r="IK56" s="15" t="s">
        <v>188</v>
      </c>
      <c r="IM56" s="25" t="str">
        <f>IF(Regn!$G56&gt;1,Regn!MS56,"")</f>
        <v/>
      </c>
      <c r="IN56" s="15" t="s">
        <v>188</v>
      </c>
      <c r="IP56" s="16"/>
      <c r="IQ56" s="15" t="s">
        <v>188</v>
      </c>
      <c r="IS56" s="25" t="str">
        <f>IF(Regn!$G56&gt;1,Regn!MW56,"")</f>
        <v/>
      </c>
      <c r="IT56" s="15" t="s">
        <v>188</v>
      </c>
      <c r="IV56" s="16"/>
      <c r="IW56" s="15" t="s">
        <v>188</v>
      </c>
      <c r="IY56" s="25" t="str">
        <f>IF(Regn!$G56&gt;1,Regn!NA56,"")</f>
        <v/>
      </c>
      <c r="IZ56" s="15" t="s">
        <v>531</v>
      </c>
      <c r="JB56" s="16"/>
      <c r="JC56" s="15" t="s">
        <v>531</v>
      </c>
      <c r="JE56" s="25" t="str">
        <f>IF(Regn!$G56&gt;1,Regn!NC56,"")</f>
        <v/>
      </c>
      <c r="JF56" s="15" t="s">
        <v>188</v>
      </c>
      <c r="JH56" s="16"/>
      <c r="JI56" s="15" t="s">
        <v>188</v>
      </c>
      <c r="JK56" s="25" t="str">
        <f>IF(Regn!$G56&gt;1,Regn!NI56,"")</f>
        <v/>
      </c>
      <c r="JL56" s="15" t="s">
        <v>188</v>
      </c>
      <c r="JN56" s="16"/>
      <c r="JO56" s="15" t="s">
        <v>188</v>
      </c>
      <c r="JQ56" s="25" t="str">
        <f>IF(Regn!$G56&gt;1,Regn!NM56,"")</f>
        <v/>
      </c>
      <c r="JR56" s="15" t="s">
        <v>188</v>
      </c>
      <c r="JT56" s="16"/>
      <c r="JU56" s="15" t="s">
        <v>188</v>
      </c>
    </row>
    <row r="57" spans="2:281" ht="12" customHeight="1" x14ac:dyDescent="0.25">
      <c r="B57" s="28"/>
      <c r="C57" s="133" t="str">
        <f>IF(OR(Regn!$B58&gt;1,Regn!$E56=1),"",VLOOKUP(Regn!$E56,Afgr,2))</f>
        <v/>
      </c>
      <c r="G57" s="134" t="str">
        <f>IF(OR(Regn!$C58&gt;1,Regn!$G56=1),"",VLOOKUP(Regn!$G56,Efgr,2))</f>
        <v/>
      </c>
      <c r="U57" s="134" t="str">
        <f>IF(OR(Regn!$K58&gt;1,Regn!$E60=1),"",VLOOKUP(Regn!$E60,Afgr,2))</f>
        <v/>
      </c>
    </row>
    <row r="58" spans="2:281" x14ac:dyDescent="0.25">
      <c r="B58" s="28">
        <v>2</v>
      </c>
      <c r="Z58" s="36"/>
      <c r="AA58" s="15" t="s">
        <v>85</v>
      </c>
      <c r="AC58" s="53">
        <f>Regn!M58</f>
        <v>0</v>
      </c>
      <c r="AD58" s="15" t="s">
        <v>85</v>
      </c>
      <c r="AF58" s="15" t="str">
        <f>IF(Regn!$E58&lt;=1,"",VLOOKUP(Regn!$E58,Afgr,2))</f>
        <v/>
      </c>
      <c r="AH58" s="55" t="str">
        <f>IF(Regn!$E58&gt;1,Regn!BH58,"")</f>
        <v/>
      </c>
      <c r="AI58" s="15" t="str">
        <f>IF(Regn!BK58&lt;&gt;0,Regn!BK58,"")</f>
        <v/>
      </c>
      <c r="AK58" s="16"/>
      <c r="AL58" s="15" t="str">
        <f>IF(Regn!BK58&lt;&gt;0,Regn!BK58,"")</f>
        <v/>
      </c>
      <c r="AN58" s="33" t="str">
        <f>IF(Regn!$E58&gt;1,Regn!DP58,"")</f>
        <v/>
      </c>
      <c r="AO58" s="15" t="s">
        <v>201</v>
      </c>
      <c r="AQ58" s="38"/>
      <c r="AR58" s="15" t="s">
        <v>201</v>
      </c>
      <c r="AT58" s="55" t="str">
        <f>IF(Regn!$E58&gt;1,Regn!BN58,"")</f>
        <v/>
      </c>
      <c r="AU58" s="15" t="s">
        <v>188</v>
      </c>
      <c r="AW58" s="124"/>
      <c r="AX58" s="15" t="s">
        <v>188</v>
      </c>
      <c r="AZ58" s="25" t="str">
        <f>IF(Regn!$E58&gt;1,Regn!BS58,"")</f>
        <v/>
      </c>
      <c r="BA58" s="15" t="s">
        <v>188</v>
      </c>
      <c r="BC58" s="17"/>
      <c r="BD58" s="15" t="s">
        <v>188</v>
      </c>
      <c r="BF58" s="25" t="str">
        <f>IF(Regn!$E58&gt;1,Regn!BX58,"")</f>
        <v/>
      </c>
      <c r="BG58" s="15" t="s">
        <v>192</v>
      </c>
      <c r="BI58" s="16"/>
      <c r="BJ58" s="15" t="s">
        <v>192</v>
      </c>
      <c r="BO58" s="33" t="str">
        <f>IF(Regn!$E58&gt;1,Regn!CE58,"")</f>
        <v/>
      </c>
      <c r="BP58" s="15" t="s">
        <v>188</v>
      </c>
      <c r="BR58" s="38"/>
      <c r="BS58" s="15" t="s">
        <v>188</v>
      </c>
      <c r="BU58" s="15" t="str">
        <f>IF(Regn!$E58&lt;=1,"",VLOOKUP(Regn!$E58,Afgr,2))</f>
        <v/>
      </c>
      <c r="BW58" s="32" t="str">
        <f>IF(Regn!$E58&gt;1,Regn!Y58,"")</f>
        <v/>
      </c>
      <c r="BX58" s="15" t="s">
        <v>82</v>
      </c>
      <c r="BZ58" s="37"/>
      <c r="CA58" s="15" t="s">
        <v>82</v>
      </c>
      <c r="CC58" s="32" t="str">
        <f>IF(Regn!$E58&gt;1,Regn!S58,"")</f>
        <v/>
      </c>
      <c r="CD58" s="15" t="s">
        <v>82</v>
      </c>
      <c r="CF58" s="32" t="str">
        <f>IF(Regn!$E58&gt;1,Regn!U58,"")</f>
        <v/>
      </c>
      <c r="CG58" s="15" t="s">
        <v>82</v>
      </c>
      <c r="CI58" s="37"/>
      <c r="CJ58" s="15" t="s">
        <v>82</v>
      </c>
      <c r="CL58" s="32" t="str">
        <f>IF(Regn!$E58&gt;1,Regn!AS58,"")</f>
        <v/>
      </c>
      <c r="CM58" s="15" t="s">
        <v>82</v>
      </c>
      <c r="CO58" s="37"/>
      <c r="CP58" s="15" t="s">
        <v>82</v>
      </c>
      <c r="CR58" s="32" t="str">
        <f>IF(Regn!$E58&gt;1,UdnKrav,"")</f>
        <v/>
      </c>
      <c r="CS58" s="15" t="s">
        <v>205</v>
      </c>
      <c r="CU58" s="32" t="str">
        <f>IF(Regn!$E58&gt;1,Regn!AY58,"")</f>
        <v/>
      </c>
      <c r="CV58" s="15" t="s">
        <v>82</v>
      </c>
      <c r="CX58" s="15" t="str">
        <f>IF(Regn!$G58&lt;=1,"",VLOOKUP(Regn!$G58,Efgr,2))</f>
        <v/>
      </c>
      <c r="CZ58" s="25" t="str">
        <f>IF(Regn!$G58&gt;1,Regn!DC58,"")</f>
        <v/>
      </c>
      <c r="DA58" s="15" t="str">
        <f>IF(Regn!$G58&gt;1,Regn!DF58,"")</f>
        <v/>
      </c>
      <c r="DC58" s="16"/>
      <c r="DD58" s="15" t="str">
        <f>IF(Regn!$G58&gt;1,Regn!DF58,"")</f>
        <v/>
      </c>
      <c r="DJ58" s="25" t="str">
        <f>IF(Regn!$G58&gt;1,Regn!CL58,"")</f>
        <v/>
      </c>
      <c r="DK58" s="15" t="s">
        <v>82</v>
      </c>
      <c r="DM58" s="16"/>
      <c r="DN58" s="15" t="s">
        <v>82</v>
      </c>
      <c r="DP58" s="25" t="str">
        <f>IF(Regn!$G58&gt;1,Regn!CR58,"")</f>
        <v/>
      </c>
      <c r="DQ58" s="15" t="s">
        <v>82</v>
      </c>
      <c r="DS58" s="16"/>
      <c r="DT58" s="15" t="s">
        <v>82</v>
      </c>
      <c r="DV58" s="25" t="str">
        <f>IF(Regn!$G58&gt;1,UdnKrav,"")</f>
        <v/>
      </c>
      <c r="DW58" s="15" t="s">
        <v>205</v>
      </c>
      <c r="DY58" s="25" t="str">
        <f>IF(Regn!$G58&gt;1,Regn!CX58,"")</f>
        <v/>
      </c>
      <c r="DZ58" s="15" t="s">
        <v>82</v>
      </c>
      <c r="EB58" s="15" t="str">
        <f>IF(Regn!$E58&lt;=1,"",VLOOKUP(Regn!$E58,Afgr,2))</f>
        <v/>
      </c>
      <c r="ED58" s="25" t="str">
        <f>IF(Regn!$E58&gt;1,Regn!IB58,"")</f>
        <v/>
      </c>
      <c r="EE58" s="15" t="s">
        <v>188</v>
      </c>
      <c r="EG58" s="16"/>
      <c r="EH58" s="15" t="s">
        <v>188</v>
      </c>
      <c r="EJ58" s="25" t="str">
        <f>IF(Regn!$E58&gt;1,Regn!IX58,"")</f>
        <v/>
      </c>
      <c r="EK58" s="15" t="s">
        <v>188</v>
      </c>
      <c r="EM58" s="16"/>
      <c r="EN58" s="15" t="s">
        <v>188</v>
      </c>
      <c r="EP58" s="25" t="str">
        <f>IF(Regn!$E58&gt;1,Regn!JB58,"")</f>
        <v/>
      </c>
      <c r="EQ58" s="15" t="s">
        <v>188</v>
      </c>
      <c r="ES58" s="16"/>
      <c r="ET58" s="15" t="s">
        <v>188</v>
      </c>
      <c r="EV58" s="25" t="str">
        <f>IF(Regn!$E58&gt;1,Regn!JF58,"")</f>
        <v/>
      </c>
      <c r="EW58" s="15" t="s">
        <v>188</v>
      </c>
      <c r="EY58" s="16"/>
      <c r="EZ58" s="15" t="s">
        <v>188</v>
      </c>
      <c r="FB58" s="25" t="str">
        <f>IF(Regn!$E58&gt;1,Regn!JL58,"")</f>
        <v/>
      </c>
      <c r="FC58" s="15" t="s">
        <v>362</v>
      </c>
      <c r="FE58" s="16"/>
      <c r="FF58" s="15" t="s">
        <v>188</v>
      </c>
      <c r="FH58" s="25" t="str">
        <f>IF(Regn!$E58&gt;1,Regn!JY58,"")</f>
        <v/>
      </c>
      <c r="FI58" s="15" t="s">
        <v>188</v>
      </c>
      <c r="FK58" s="16"/>
      <c r="FL58" s="15" t="s">
        <v>188</v>
      </c>
      <c r="FN58" s="25" t="str">
        <f>IF(Regn!$E58&gt;1,Regn!KC58,"")</f>
        <v/>
      </c>
      <c r="FO58" s="15" t="s">
        <v>188</v>
      </c>
      <c r="FQ58" s="16"/>
      <c r="FR58" s="15" t="s">
        <v>188</v>
      </c>
      <c r="FT58" s="25" t="str">
        <f>IF(Regn!$E58&gt;1,Regn!KG58,"")</f>
        <v/>
      </c>
      <c r="FU58" s="15" t="s">
        <v>188</v>
      </c>
      <c r="FW58" s="16"/>
      <c r="FX58" s="15" t="s">
        <v>188</v>
      </c>
      <c r="FZ58" s="25" t="str">
        <f>IF(Regn!$E58&gt;1,Regn!KK58,"")</f>
        <v/>
      </c>
      <c r="GA58" s="15" t="s">
        <v>531</v>
      </c>
      <c r="GC58" s="16"/>
      <c r="GD58" s="15" t="s">
        <v>531</v>
      </c>
      <c r="GF58" s="25" t="str">
        <f>IF(Regn!$E58&gt;1,Regn!KM58,"")</f>
        <v/>
      </c>
      <c r="GG58" s="15" t="s">
        <v>188</v>
      </c>
      <c r="GI58" s="16"/>
      <c r="GJ58" s="15" t="s">
        <v>188</v>
      </c>
      <c r="GL58" s="25" t="str">
        <f>IF(Regn!$E58&gt;1,Regn!KT58,"")</f>
        <v/>
      </c>
      <c r="GM58" s="15" t="s">
        <v>188</v>
      </c>
      <c r="GO58" s="16"/>
      <c r="GP58" s="15" t="s">
        <v>405</v>
      </c>
      <c r="GR58" s="25" t="str">
        <f>IF(Regn!$E58&gt;1,Regn!KZ58,"")</f>
        <v/>
      </c>
      <c r="GS58" s="15" t="s">
        <v>188</v>
      </c>
      <c r="GU58" s="16"/>
      <c r="GV58" s="15" t="s">
        <v>188</v>
      </c>
      <c r="HA58" s="25" t="str">
        <f>IF(Regn!$E58&gt;1,Regn!LD58,"")</f>
        <v/>
      </c>
      <c r="HB58" s="15" t="s">
        <v>188</v>
      </c>
      <c r="HD58" s="16"/>
      <c r="HE58" s="15" t="s">
        <v>188</v>
      </c>
      <c r="HG58" s="15" t="str">
        <f>IF(Regn!$G58&lt;=1,"",VLOOKUP(Regn!$G58,Efgr,2))</f>
        <v/>
      </c>
      <c r="HI58" s="25" t="str">
        <f>IF(Regn!$G58&gt;1,Regn!LH58,"")</f>
        <v/>
      </c>
      <c r="HJ58" s="15" t="s">
        <v>188</v>
      </c>
      <c r="HL58" s="16"/>
      <c r="HM58" s="15" t="s">
        <v>188</v>
      </c>
      <c r="HO58" s="25" t="str">
        <f>IF(Regn!$G58&gt;1,Regn!MA58,"")</f>
        <v/>
      </c>
      <c r="HP58" s="15" t="s">
        <v>188</v>
      </c>
      <c r="HR58" s="16"/>
      <c r="HS58" s="15" t="s">
        <v>188</v>
      </c>
      <c r="HU58" s="25" t="str">
        <f>IF(Regn!$G58&gt;1,Regn!ME58,"")</f>
        <v/>
      </c>
      <c r="HV58" s="15" t="s">
        <v>188</v>
      </c>
      <c r="HX58" s="16"/>
      <c r="HY58" s="15" t="s">
        <v>188</v>
      </c>
      <c r="IA58" s="25" t="str">
        <f>IF(Regn!$G58&gt;1,Regn!MI58,"")</f>
        <v/>
      </c>
      <c r="IB58" s="15" t="s">
        <v>188</v>
      </c>
      <c r="ID58" s="16"/>
      <c r="IE58" s="15" t="s">
        <v>188</v>
      </c>
      <c r="IG58" s="25" t="str">
        <f>IF(Regn!$G58&gt;1,Regn!MO58,"")</f>
        <v/>
      </c>
      <c r="IH58" s="15" t="s">
        <v>188</v>
      </c>
      <c r="IJ58" s="16"/>
      <c r="IK58" s="15" t="s">
        <v>188</v>
      </c>
      <c r="IM58" s="25" t="str">
        <f>IF(Regn!$G58&gt;1,Regn!MS58,"")</f>
        <v/>
      </c>
      <c r="IN58" s="15" t="s">
        <v>188</v>
      </c>
      <c r="IP58" s="16"/>
      <c r="IQ58" s="15" t="s">
        <v>188</v>
      </c>
      <c r="IS58" s="25" t="str">
        <f>IF(Regn!$G58&gt;1,Regn!MW58,"")</f>
        <v/>
      </c>
      <c r="IT58" s="15" t="s">
        <v>188</v>
      </c>
      <c r="IV58" s="16"/>
      <c r="IW58" s="15" t="s">
        <v>188</v>
      </c>
      <c r="IY58" s="25" t="str">
        <f>IF(Regn!$G58&gt;1,Regn!NA58,"")</f>
        <v/>
      </c>
      <c r="IZ58" s="15" t="s">
        <v>531</v>
      </c>
      <c r="JB58" s="16"/>
      <c r="JC58" s="15" t="s">
        <v>531</v>
      </c>
      <c r="JE58" s="25" t="str">
        <f>IF(Regn!$G58&gt;1,Regn!NC58,"")</f>
        <v/>
      </c>
      <c r="JF58" s="15" t="s">
        <v>188</v>
      </c>
      <c r="JH58" s="16"/>
      <c r="JI58" s="15" t="s">
        <v>188</v>
      </c>
      <c r="JK58" s="25" t="str">
        <f>IF(Regn!$G58&gt;1,Regn!NI58,"")</f>
        <v/>
      </c>
      <c r="JL58" s="15" t="s">
        <v>188</v>
      </c>
      <c r="JN58" s="16"/>
      <c r="JO58" s="15" t="s">
        <v>188</v>
      </c>
      <c r="JQ58" s="25" t="str">
        <f>IF(Regn!$G58&gt;1,Regn!NM58,"")</f>
        <v/>
      </c>
      <c r="JR58" s="15" t="s">
        <v>188</v>
      </c>
      <c r="JT58" s="16"/>
      <c r="JU58" s="15" t="s">
        <v>188</v>
      </c>
    </row>
    <row r="59" spans="2:281" ht="12" customHeight="1" x14ac:dyDescent="0.25">
      <c r="B59" s="28"/>
      <c r="C59" s="133" t="str">
        <f>IF(OR(Regn!$B60&gt;1,Regn!E58=1),"",VLOOKUP(Regn!$E58,Afgr,2))</f>
        <v/>
      </c>
      <c r="G59" s="134" t="str">
        <f>IF(OR(Regn!$C60&gt;1,Regn!$G58=1),"",VLOOKUP(Regn!$G58,Efgr,2))</f>
        <v/>
      </c>
      <c r="U59" s="134" t="str">
        <f>IF(OR(Regn!$K60&gt;1,Regn!$E62=1),"",VLOOKUP(Regn!$E62,Afgr,2))</f>
        <v/>
      </c>
    </row>
    <row r="60" spans="2:281" x14ac:dyDescent="0.25">
      <c r="B60" s="28">
        <v>3</v>
      </c>
      <c r="Z60" s="36"/>
      <c r="AA60" s="15" t="s">
        <v>85</v>
      </c>
      <c r="AC60" s="53">
        <f>Regn!M60</f>
        <v>0</v>
      </c>
      <c r="AD60" s="15" t="s">
        <v>85</v>
      </c>
      <c r="AF60" s="15" t="str">
        <f>IF(Regn!$E60&lt;=1,"",VLOOKUP(Regn!$E60,Afgr,2))</f>
        <v/>
      </c>
      <c r="AH60" s="55" t="str">
        <f>IF(Regn!$E60&gt;1,Regn!BH60,"")</f>
        <v/>
      </c>
      <c r="AI60" s="15" t="str">
        <f>IF(Regn!BK60&lt;&gt;0,Regn!BK60,"")</f>
        <v/>
      </c>
      <c r="AK60" s="16"/>
      <c r="AL60" s="15" t="str">
        <f>IF(Regn!BK60&lt;&gt;0,Regn!BK60,"")</f>
        <v/>
      </c>
      <c r="AN60" s="33" t="str">
        <f>IF(Regn!$E60&gt;1,Regn!DP60,"")</f>
        <v/>
      </c>
      <c r="AO60" s="15" t="s">
        <v>201</v>
      </c>
      <c r="AQ60" s="38"/>
      <c r="AR60" s="15" t="s">
        <v>201</v>
      </c>
      <c r="AT60" s="55" t="str">
        <f>IF(Regn!$E60&gt;1,Regn!BN60,"")</f>
        <v/>
      </c>
      <c r="AU60" s="15" t="s">
        <v>188</v>
      </c>
      <c r="AW60" s="124"/>
      <c r="AX60" s="15" t="s">
        <v>188</v>
      </c>
      <c r="AZ60" s="25" t="str">
        <f>IF(Regn!$E60&gt;1,Regn!BS60,"")</f>
        <v/>
      </c>
      <c r="BA60" s="15" t="s">
        <v>188</v>
      </c>
      <c r="BC60" s="17"/>
      <c r="BD60" s="15" t="s">
        <v>188</v>
      </c>
      <c r="BF60" s="25" t="str">
        <f>IF(Regn!$E60&gt;1,Regn!BX60,"")</f>
        <v/>
      </c>
      <c r="BG60" s="15" t="s">
        <v>192</v>
      </c>
      <c r="BI60" s="16"/>
      <c r="BJ60" s="15" t="s">
        <v>192</v>
      </c>
      <c r="BO60" s="33" t="str">
        <f>IF(Regn!$E60&gt;1,Regn!CE60,"")</f>
        <v/>
      </c>
      <c r="BP60" s="15" t="s">
        <v>188</v>
      </c>
      <c r="BR60" s="38"/>
      <c r="BS60" s="15" t="s">
        <v>188</v>
      </c>
      <c r="BU60" s="15" t="str">
        <f>IF(Regn!$E60&lt;=1,"",VLOOKUP(Regn!$E60,Afgr,2))</f>
        <v/>
      </c>
      <c r="BW60" s="32" t="str">
        <f>IF(Regn!$E60&gt;1,Regn!Y60,"")</f>
        <v/>
      </c>
      <c r="BX60" s="15" t="s">
        <v>82</v>
      </c>
      <c r="BZ60" s="37"/>
      <c r="CA60" s="15" t="s">
        <v>82</v>
      </c>
      <c r="CC60" s="32" t="str">
        <f>IF(Regn!$E60&gt;1,Regn!S60,"")</f>
        <v/>
      </c>
      <c r="CD60" s="15" t="s">
        <v>82</v>
      </c>
      <c r="CF60" s="32" t="str">
        <f>IF(Regn!$E60&gt;1,Regn!U60,"")</f>
        <v/>
      </c>
      <c r="CG60" s="15" t="s">
        <v>82</v>
      </c>
      <c r="CI60" s="37"/>
      <c r="CJ60" s="15" t="s">
        <v>82</v>
      </c>
      <c r="CL60" s="32" t="str">
        <f>IF(Regn!$E60&gt;1,Regn!AS60,"")</f>
        <v/>
      </c>
      <c r="CM60" s="15" t="s">
        <v>82</v>
      </c>
      <c r="CO60" s="37"/>
      <c r="CP60" s="15" t="s">
        <v>82</v>
      </c>
      <c r="CR60" s="32" t="str">
        <f>IF(Regn!$E60&gt;1,UdnKrav,"")</f>
        <v/>
      </c>
      <c r="CS60" s="15" t="s">
        <v>205</v>
      </c>
      <c r="CU60" s="32" t="str">
        <f>IF(Regn!$E60&gt;1,Regn!AY60,"")</f>
        <v/>
      </c>
      <c r="CV60" s="15" t="s">
        <v>82</v>
      </c>
      <c r="CX60" s="15" t="str">
        <f>IF(Regn!$G60&lt;=1,"",VLOOKUP(Regn!$G60,Efgr,2))</f>
        <v/>
      </c>
      <c r="CZ60" s="25" t="str">
        <f>IF(Regn!$G60&gt;1,Regn!DC60,"")</f>
        <v/>
      </c>
      <c r="DA60" s="15" t="str">
        <f>IF(Regn!$G60&gt;1,Regn!DF60,"")</f>
        <v/>
      </c>
      <c r="DC60" s="16"/>
      <c r="DD60" s="15" t="str">
        <f>IF(Regn!$G60&gt;1,Regn!DF60,"")</f>
        <v/>
      </c>
      <c r="DJ60" s="25" t="str">
        <f>IF(Regn!$G60&gt;1,Regn!CL60,"")</f>
        <v/>
      </c>
      <c r="DK60" s="15" t="s">
        <v>82</v>
      </c>
      <c r="DM60" s="16"/>
      <c r="DN60" s="15" t="s">
        <v>82</v>
      </c>
      <c r="DP60" s="25" t="str">
        <f>IF(Regn!$G60&gt;1,Regn!CR60,"")</f>
        <v/>
      </c>
      <c r="DQ60" s="15" t="s">
        <v>82</v>
      </c>
      <c r="DS60" s="16"/>
      <c r="DT60" s="15" t="s">
        <v>82</v>
      </c>
      <c r="DV60" s="25" t="str">
        <f>IF(Regn!$G60&gt;1,UdnKrav,"")</f>
        <v/>
      </c>
      <c r="DW60" s="15" t="s">
        <v>205</v>
      </c>
      <c r="DY60" s="25" t="str">
        <f>IF(Regn!$G60&gt;1,Regn!CX60,"")</f>
        <v/>
      </c>
      <c r="DZ60" s="15" t="s">
        <v>82</v>
      </c>
      <c r="EB60" s="15" t="str">
        <f>IF(Regn!$E60&lt;=1,"",VLOOKUP(Regn!$E60,Afgr,2))</f>
        <v/>
      </c>
      <c r="ED60" s="25" t="str">
        <f>IF(Regn!$E60&gt;1,Regn!IB60,"")</f>
        <v/>
      </c>
      <c r="EE60" s="15" t="s">
        <v>188</v>
      </c>
      <c r="EG60" s="16"/>
      <c r="EH60" s="15" t="s">
        <v>188</v>
      </c>
      <c r="EJ60" s="25" t="str">
        <f>IF(Regn!$E60&gt;1,Regn!IX60,"")</f>
        <v/>
      </c>
      <c r="EK60" s="15" t="s">
        <v>188</v>
      </c>
      <c r="EM60" s="16"/>
      <c r="EN60" s="15" t="s">
        <v>188</v>
      </c>
      <c r="EP60" s="25" t="str">
        <f>IF(Regn!$E60&gt;1,Regn!JB60,"")</f>
        <v/>
      </c>
      <c r="EQ60" s="15" t="s">
        <v>188</v>
      </c>
      <c r="ES60" s="16"/>
      <c r="ET60" s="15" t="s">
        <v>188</v>
      </c>
      <c r="EV60" s="25" t="str">
        <f>IF(Regn!$E60&gt;1,Regn!JF60,"")</f>
        <v/>
      </c>
      <c r="EW60" s="15" t="s">
        <v>188</v>
      </c>
      <c r="EY60" s="16"/>
      <c r="EZ60" s="15" t="s">
        <v>188</v>
      </c>
      <c r="FB60" s="25" t="str">
        <f>IF(Regn!$E60&gt;1,Regn!JL60,"")</f>
        <v/>
      </c>
      <c r="FC60" s="15" t="s">
        <v>362</v>
      </c>
      <c r="FE60" s="16"/>
      <c r="FF60" s="15" t="s">
        <v>188</v>
      </c>
      <c r="FH60" s="25" t="str">
        <f>IF(Regn!$E60&gt;1,Regn!JY60,"")</f>
        <v/>
      </c>
      <c r="FI60" s="15" t="s">
        <v>188</v>
      </c>
      <c r="FK60" s="16"/>
      <c r="FL60" s="15" t="s">
        <v>188</v>
      </c>
      <c r="FN60" s="25" t="str">
        <f>IF(Regn!$E60&gt;1,Regn!KC60,"")</f>
        <v/>
      </c>
      <c r="FO60" s="15" t="s">
        <v>188</v>
      </c>
      <c r="FQ60" s="16"/>
      <c r="FR60" s="15" t="s">
        <v>188</v>
      </c>
      <c r="FT60" s="25" t="str">
        <f>IF(Regn!$E60&gt;1,Regn!KG60,"")</f>
        <v/>
      </c>
      <c r="FU60" s="15" t="s">
        <v>188</v>
      </c>
      <c r="FW60" s="16"/>
      <c r="FX60" s="15" t="s">
        <v>188</v>
      </c>
      <c r="FZ60" s="25" t="str">
        <f>IF(Regn!$E60&gt;1,Regn!KK60,"")</f>
        <v/>
      </c>
      <c r="GA60" s="15" t="s">
        <v>531</v>
      </c>
      <c r="GC60" s="16"/>
      <c r="GD60" s="15" t="s">
        <v>531</v>
      </c>
      <c r="GF60" s="25" t="str">
        <f>IF(Regn!$E60&gt;1,Regn!KM60,"")</f>
        <v/>
      </c>
      <c r="GG60" s="15" t="s">
        <v>188</v>
      </c>
      <c r="GI60" s="16"/>
      <c r="GJ60" s="15" t="s">
        <v>188</v>
      </c>
      <c r="GL60" s="25" t="str">
        <f>IF(Regn!$E60&gt;1,Regn!KT60,"")</f>
        <v/>
      </c>
      <c r="GM60" s="15" t="s">
        <v>188</v>
      </c>
      <c r="GO60" s="16"/>
      <c r="GP60" s="15" t="s">
        <v>405</v>
      </c>
      <c r="GR60" s="25" t="str">
        <f>IF(Regn!$E60&gt;1,Regn!KZ60,"")</f>
        <v/>
      </c>
      <c r="GS60" s="15" t="s">
        <v>188</v>
      </c>
      <c r="GU60" s="16"/>
      <c r="GV60" s="15" t="s">
        <v>188</v>
      </c>
      <c r="HA60" s="25" t="str">
        <f>IF(Regn!$E60&gt;1,Regn!LD60,"")</f>
        <v/>
      </c>
      <c r="HB60" s="15" t="s">
        <v>188</v>
      </c>
      <c r="HD60" s="16"/>
      <c r="HE60" s="15" t="s">
        <v>188</v>
      </c>
      <c r="HG60" s="15" t="str">
        <f>IF(Regn!$G60&lt;=1,"",VLOOKUP(Regn!$G60,Efgr,2))</f>
        <v/>
      </c>
      <c r="HI60" s="25" t="str">
        <f>IF(Regn!$G60&gt;1,Regn!LH60,"")</f>
        <v/>
      </c>
      <c r="HJ60" s="15" t="s">
        <v>188</v>
      </c>
      <c r="HL60" s="16"/>
      <c r="HM60" s="15" t="s">
        <v>188</v>
      </c>
      <c r="HO60" s="25" t="str">
        <f>IF(Regn!$G60&gt;1,Regn!MA60,"")</f>
        <v/>
      </c>
      <c r="HP60" s="15" t="s">
        <v>188</v>
      </c>
      <c r="HR60" s="16"/>
      <c r="HS60" s="15" t="s">
        <v>188</v>
      </c>
      <c r="HU60" s="25" t="str">
        <f>IF(Regn!$G60&gt;1,Regn!ME60,"")</f>
        <v/>
      </c>
      <c r="HV60" s="15" t="s">
        <v>188</v>
      </c>
      <c r="HX60" s="16"/>
      <c r="HY60" s="15" t="s">
        <v>188</v>
      </c>
      <c r="IA60" s="25" t="str">
        <f>IF(Regn!$G60&gt;1,Regn!MI60,"")</f>
        <v/>
      </c>
      <c r="IB60" s="15" t="s">
        <v>188</v>
      </c>
      <c r="ID60" s="16"/>
      <c r="IE60" s="15" t="s">
        <v>188</v>
      </c>
      <c r="IG60" s="25" t="str">
        <f>IF(Regn!$G60&gt;1,Regn!MO60,"")</f>
        <v/>
      </c>
      <c r="IH60" s="15" t="s">
        <v>188</v>
      </c>
      <c r="IJ60" s="16"/>
      <c r="IK60" s="15" t="s">
        <v>188</v>
      </c>
      <c r="IM60" s="25" t="str">
        <f>IF(Regn!$G60&gt;1,Regn!MS60,"")</f>
        <v/>
      </c>
      <c r="IN60" s="15" t="s">
        <v>188</v>
      </c>
      <c r="IP60" s="16"/>
      <c r="IQ60" s="15" t="s">
        <v>188</v>
      </c>
      <c r="IS60" s="25" t="str">
        <f>IF(Regn!$G60&gt;1,Regn!MW60,"")</f>
        <v/>
      </c>
      <c r="IT60" s="15" t="s">
        <v>188</v>
      </c>
      <c r="IV60" s="16"/>
      <c r="IW60" s="15" t="s">
        <v>188</v>
      </c>
      <c r="IY60" s="25" t="str">
        <f>IF(Regn!$G60&gt;1,Regn!NA60,"")</f>
        <v/>
      </c>
      <c r="IZ60" s="15" t="s">
        <v>531</v>
      </c>
      <c r="JB60" s="16"/>
      <c r="JC60" s="15" t="s">
        <v>531</v>
      </c>
      <c r="JE60" s="25" t="str">
        <f>IF(Regn!$G60&gt;1,Regn!NC60,"")</f>
        <v/>
      </c>
      <c r="JF60" s="15" t="s">
        <v>188</v>
      </c>
      <c r="JH60" s="16"/>
      <c r="JI60" s="15" t="s">
        <v>188</v>
      </c>
      <c r="JK60" s="25" t="str">
        <f>IF(Regn!$G60&gt;1,Regn!NI60,"")</f>
        <v/>
      </c>
      <c r="JL60" s="15" t="s">
        <v>188</v>
      </c>
      <c r="JN60" s="16"/>
      <c r="JO60" s="15" t="s">
        <v>188</v>
      </c>
      <c r="JQ60" s="25" t="str">
        <f>IF(Regn!$G60&gt;1,Regn!NM60,"")</f>
        <v/>
      </c>
      <c r="JR60" s="15" t="s">
        <v>188</v>
      </c>
      <c r="JT60" s="16"/>
      <c r="JU60" s="15" t="s">
        <v>188</v>
      </c>
    </row>
    <row r="61" spans="2:281" ht="12" customHeight="1" x14ac:dyDescent="0.25">
      <c r="B61" s="28"/>
      <c r="C61" s="133" t="str">
        <f>IF(OR(Regn!$B62&gt;1,Regn!E60=1),"",VLOOKUP(Regn!$E60,Afgr,2))</f>
        <v/>
      </c>
      <c r="G61" s="134" t="str">
        <f>IF(OR(Regn!$C62&gt;1,Regn!$G60=1),"",VLOOKUP(Regn!$G60,Efgr,2))</f>
        <v/>
      </c>
      <c r="U61" s="134" t="str">
        <f>IF(OR(Regn!$K62&gt;1,Regn!$E64=1),"",VLOOKUP(Regn!$E64,Afgr,2))</f>
        <v/>
      </c>
    </row>
    <row r="62" spans="2:281" x14ac:dyDescent="0.25">
      <c r="B62" s="28">
        <v>4</v>
      </c>
      <c r="Z62" s="36"/>
      <c r="AA62" s="15" t="s">
        <v>85</v>
      </c>
      <c r="AC62" s="53">
        <f>Regn!M62</f>
        <v>0</v>
      </c>
      <c r="AD62" s="15" t="s">
        <v>85</v>
      </c>
      <c r="AF62" s="15" t="str">
        <f>IF(Regn!$E62&lt;=1,"",VLOOKUP(Regn!$E62,Afgr,2))</f>
        <v/>
      </c>
      <c r="AH62" s="55" t="str">
        <f>IF(Regn!$E62&gt;1,Regn!BH62,"")</f>
        <v/>
      </c>
      <c r="AI62" s="15" t="str">
        <f>IF(Regn!BK62&lt;&gt;0,Regn!BK62,"")</f>
        <v/>
      </c>
      <c r="AK62" s="16"/>
      <c r="AL62" s="15" t="str">
        <f>IF(Regn!BK62&lt;&gt;0,Regn!BK62,"")</f>
        <v/>
      </c>
      <c r="AN62" s="33" t="str">
        <f>IF(Regn!$E62&gt;1,Regn!DP62,"")</f>
        <v/>
      </c>
      <c r="AO62" s="15" t="s">
        <v>201</v>
      </c>
      <c r="AQ62" s="38"/>
      <c r="AR62" s="15" t="s">
        <v>201</v>
      </c>
      <c r="AT62" s="55" t="str">
        <f>IF(Regn!$E62&gt;1,Regn!BN62,"")</f>
        <v/>
      </c>
      <c r="AU62" s="15" t="s">
        <v>188</v>
      </c>
      <c r="AW62" s="124"/>
      <c r="AX62" s="15" t="s">
        <v>188</v>
      </c>
      <c r="AZ62" s="25" t="str">
        <f>IF(Regn!$E62&gt;1,Regn!BS62,"")</f>
        <v/>
      </c>
      <c r="BA62" s="15" t="s">
        <v>188</v>
      </c>
      <c r="BC62" s="17"/>
      <c r="BD62" s="15" t="s">
        <v>188</v>
      </c>
      <c r="BF62" s="25" t="str">
        <f>IF(Regn!$E62&gt;1,Regn!BX62,"")</f>
        <v/>
      </c>
      <c r="BG62" s="15" t="s">
        <v>192</v>
      </c>
      <c r="BI62" s="16"/>
      <c r="BJ62" s="15" t="s">
        <v>192</v>
      </c>
      <c r="BO62" s="33" t="str">
        <f>IF(Regn!$E62&gt;1,Regn!CE62,"")</f>
        <v/>
      </c>
      <c r="BP62" s="15" t="s">
        <v>188</v>
      </c>
      <c r="BR62" s="38"/>
      <c r="BS62" s="15" t="s">
        <v>188</v>
      </c>
      <c r="BU62" s="15" t="str">
        <f>IF(Regn!$E62&lt;=1,"",VLOOKUP(Regn!$E62,Afgr,2))</f>
        <v/>
      </c>
      <c r="BW62" s="32" t="str">
        <f>IF(Regn!$E62&gt;1,Regn!Y62,"")</f>
        <v/>
      </c>
      <c r="BX62" s="15" t="s">
        <v>82</v>
      </c>
      <c r="BZ62" s="37"/>
      <c r="CA62" s="15" t="s">
        <v>82</v>
      </c>
      <c r="CC62" s="32" t="str">
        <f>IF(Regn!$E62&gt;1,Regn!S62,"")</f>
        <v/>
      </c>
      <c r="CD62" s="15" t="s">
        <v>82</v>
      </c>
      <c r="CF62" s="32" t="str">
        <f>IF(Regn!$E62&gt;1,Regn!U62,"")</f>
        <v/>
      </c>
      <c r="CG62" s="15" t="s">
        <v>82</v>
      </c>
      <c r="CI62" s="37"/>
      <c r="CJ62" s="15" t="s">
        <v>82</v>
      </c>
      <c r="CL62" s="32" t="str">
        <f>IF(Regn!$E62&gt;1,Regn!AS62,"")</f>
        <v/>
      </c>
      <c r="CM62" s="15" t="s">
        <v>82</v>
      </c>
      <c r="CO62" s="37"/>
      <c r="CP62" s="15" t="s">
        <v>82</v>
      </c>
      <c r="CR62" s="32" t="str">
        <f>IF(Regn!$E62&gt;1,UdnKrav,"")</f>
        <v/>
      </c>
      <c r="CS62" s="15" t="s">
        <v>205</v>
      </c>
      <c r="CU62" s="32" t="str">
        <f>IF(Regn!$E62&gt;1,Regn!AY62,"")</f>
        <v/>
      </c>
      <c r="CV62" s="15" t="s">
        <v>82</v>
      </c>
      <c r="CX62" s="15" t="str">
        <f>IF(Regn!$G62&lt;=1,"",VLOOKUP(Regn!$G62,Efgr,2))</f>
        <v/>
      </c>
      <c r="CZ62" s="25" t="str">
        <f>IF(Regn!$G62&gt;1,Regn!DC62,"")</f>
        <v/>
      </c>
      <c r="DA62" s="15" t="str">
        <f>IF(Regn!$G62&gt;1,Regn!DF62,"")</f>
        <v/>
      </c>
      <c r="DC62" s="16"/>
      <c r="DD62" s="15" t="str">
        <f>IF(Regn!$G62&gt;1,Regn!DF62,"")</f>
        <v/>
      </c>
      <c r="DJ62" s="25" t="str">
        <f>IF(Regn!$G62&gt;1,Regn!CL62,"")</f>
        <v/>
      </c>
      <c r="DK62" s="15" t="s">
        <v>82</v>
      </c>
      <c r="DM62" s="16"/>
      <c r="DN62" s="15" t="s">
        <v>82</v>
      </c>
      <c r="DP62" s="25" t="str">
        <f>IF(Regn!$G62&gt;1,Regn!CR62,"")</f>
        <v/>
      </c>
      <c r="DQ62" s="15" t="s">
        <v>82</v>
      </c>
      <c r="DS62" s="16"/>
      <c r="DT62" s="15" t="s">
        <v>82</v>
      </c>
      <c r="DV62" s="25" t="str">
        <f>IF(Regn!$G62&gt;1,UdnKrav,"")</f>
        <v/>
      </c>
      <c r="DW62" s="15" t="s">
        <v>205</v>
      </c>
      <c r="DY62" s="25" t="str">
        <f>IF(Regn!$G62&gt;1,Regn!CX62,"")</f>
        <v/>
      </c>
      <c r="DZ62" s="15" t="s">
        <v>82</v>
      </c>
      <c r="EB62" s="15" t="str">
        <f>IF(Regn!$E62&lt;=1,"",VLOOKUP(Regn!$E62,Afgr,2))</f>
        <v/>
      </c>
      <c r="ED62" s="25" t="str">
        <f>IF(Regn!$E62&gt;1,Regn!IB62,"")</f>
        <v/>
      </c>
      <c r="EE62" s="15" t="s">
        <v>188</v>
      </c>
      <c r="EG62" s="16"/>
      <c r="EH62" s="15" t="s">
        <v>188</v>
      </c>
      <c r="EJ62" s="25" t="str">
        <f>IF(Regn!$E62&gt;1,Regn!IX62,"")</f>
        <v/>
      </c>
      <c r="EK62" s="15" t="s">
        <v>188</v>
      </c>
      <c r="EM62" s="16"/>
      <c r="EN62" s="15" t="s">
        <v>188</v>
      </c>
      <c r="EP62" s="25" t="str">
        <f>IF(Regn!$E62&gt;1,Regn!JB62,"")</f>
        <v/>
      </c>
      <c r="EQ62" s="15" t="s">
        <v>188</v>
      </c>
      <c r="ES62" s="16"/>
      <c r="ET62" s="15" t="s">
        <v>188</v>
      </c>
      <c r="EV62" s="25" t="str">
        <f>IF(Regn!$E62&gt;1,Regn!JF62,"")</f>
        <v/>
      </c>
      <c r="EW62" s="15" t="s">
        <v>188</v>
      </c>
      <c r="EY62" s="16"/>
      <c r="EZ62" s="15" t="s">
        <v>188</v>
      </c>
      <c r="FB62" s="25" t="str">
        <f>IF(Regn!$E62&gt;1,Regn!JL62,"")</f>
        <v/>
      </c>
      <c r="FC62" s="15" t="s">
        <v>362</v>
      </c>
      <c r="FE62" s="16"/>
      <c r="FF62" s="15" t="s">
        <v>188</v>
      </c>
      <c r="FH62" s="25" t="str">
        <f>IF(Regn!$E62&gt;1,Regn!JY62,"")</f>
        <v/>
      </c>
      <c r="FI62" s="15" t="s">
        <v>188</v>
      </c>
      <c r="FK62" s="16"/>
      <c r="FL62" s="15" t="s">
        <v>188</v>
      </c>
      <c r="FN62" s="25" t="str">
        <f>IF(Regn!$E62&gt;1,Regn!KC62,"")</f>
        <v/>
      </c>
      <c r="FO62" s="15" t="s">
        <v>188</v>
      </c>
      <c r="FQ62" s="16"/>
      <c r="FR62" s="15" t="s">
        <v>188</v>
      </c>
      <c r="FT62" s="25" t="str">
        <f>IF(Regn!$E62&gt;1,Regn!KG62,"")</f>
        <v/>
      </c>
      <c r="FU62" s="15" t="s">
        <v>188</v>
      </c>
      <c r="FW62" s="16"/>
      <c r="FX62" s="15" t="s">
        <v>188</v>
      </c>
      <c r="FZ62" s="25" t="str">
        <f>IF(Regn!$E62&gt;1,Regn!KK62,"")</f>
        <v/>
      </c>
      <c r="GA62" s="15" t="s">
        <v>531</v>
      </c>
      <c r="GC62" s="16"/>
      <c r="GD62" s="15" t="s">
        <v>531</v>
      </c>
      <c r="GF62" s="25" t="str">
        <f>IF(Regn!$E62&gt;1,Regn!KM62,"")</f>
        <v/>
      </c>
      <c r="GG62" s="15" t="s">
        <v>188</v>
      </c>
      <c r="GI62" s="16"/>
      <c r="GJ62" s="15" t="s">
        <v>188</v>
      </c>
      <c r="GL62" s="25" t="str">
        <f>IF(Regn!$E62&gt;1,Regn!KT62,"")</f>
        <v/>
      </c>
      <c r="GM62" s="15" t="s">
        <v>188</v>
      </c>
      <c r="GO62" s="16"/>
      <c r="GP62" s="15" t="s">
        <v>405</v>
      </c>
      <c r="GR62" s="25" t="str">
        <f>IF(Regn!$E62&gt;1,Regn!KZ62,"")</f>
        <v/>
      </c>
      <c r="GS62" s="15" t="s">
        <v>188</v>
      </c>
      <c r="GU62" s="16"/>
      <c r="GV62" s="15" t="s">
        <v>188</v>
      </c>
      <c r="HA62" s="25" t="str">
        <f>IF(Regn!$E62&gt;1,Regn!LD62,"")</f>
        <v/>
      </c>
      <c r="HB62" s="15" t="s">
        <v>188</v>
      </c>
      <c r="HD62" s="16"/>
      <c r="HE62" s="15" t="s">
        <v>188</v>
      </c>
      <c r="HG62" s="15" t="str">
        <f>IF(Regn!$G62&lt;=1,"",VLOOKUP(Regn!$G62,Efgr,2))</f>
        <v/>
      </c>
      <c r="HI62" s="25" t="str">
        <f>IF(Regn!$G62&gt;1,Regn!LH62,"")</f>
        <v/>
      </c>
      <c r="HJ62" s="15" t="s">
        <v>188</v>
      </c>
      <c r="HL62" s="16"/>
      <c r="HM62" s="15" t="s">
        <v>188</v>
      </c>
      <c r="HO62" s="25" t="str">
        <f>IF(Regn!$G62&gt;1,Regn!MA62,"")</f>
        <v/>
      </c>
      <c r="HP62" s="15" t="s">
        <v>188</v>
      </c>
      <c r="HR62" s="16"/>
      <c r="HS62" s="15" t="s">
        <v>188</v>
      </c>
      <c r="HU62" s="25" t="str">
        <f>IF(Regn!$G62&gt;1,Regn!ME62,"")</f>
        <v/>
      </c>
      <c r="HV62" s="15" t="s">
        <v>188</v>
      </c>
      <c r="HX62" s="16"/>
      <c r="HY62" s="15" t="s">
        <v>188</v>
      </c>
      <c r="IA62" s="25" t="str">
        <f>IF(Regn!$G62&gt;1,Regn!MI62,"")</f>
        <v/>
      </c>
      <c r="IB62" s="15" t="s">
        <v>188</v>
      </c>
      <c r="ID62" s="16"/>
      <c r="IE62" s="15" t="s">
        <v>188</v>
      </c>
      <c r="IG62" s="25" t="str">
        <f>IF(Regn!$G62&gt;1,Regn!MO62,"")</f>
        <v/>
      </c>
      <c r="IH62" s="15" t="s">
        <v>188</v>
      </c>
      <c r="IJ62" s="16"/>
      <c r="IK62" s="15" t="s">
        <v>188</v>
      </c>
      <c r="IM62" s="25" t="str">
        <f>IF(Regn!$G62&gt;1,Regn!MS62,"")</f>
        <v/>
      </c>
      <c r="IN62" s="15" t="s">
        <v>188</v>
      </c>
      <c r="IP62" s="16"/>
      <c r="IQ62" s="15" t="s">
        <v>188</v>
      </c>
      <c r="IS62" s="25" t="str">
        <f>IF(Regn!$G62&gt;1,Regn!MW62,"")</f>
        <v/>
      </c>
      <c r="IT62" s="15" t="s">
        <v>188</v>
      </c>
      <c r="IV62" s="16"/>
      <c r="IW62" s="15" t="s">
        <v>188</v>
      </c>
      <c r="IY62" s="25" t="str">
        <f>IF(Regn!$G62&gt;1,Regn!NA62,"")</f>
        <v/>
      </c>
      <c r="IZ62" s="15" t="s">
        <v>531</v>
      </c>
      <c r="JB62" s="16"/>
      <c r="JC62" s="15" t="s">
        <v>531</v>
      </c>
      <c r="JE62" s="25" t="str">
        <f>IF(Regn!$G62&gt;1,Regn!NC62,"")</f>
        <v/>
      </c>
      <c r="JF62" s="15" t="s">
        <v>188</v>
      </c>
      <c r="JH62" s="16"/>
      <c r="JI62" s="15" t="s">
        <v>188</v>
      </c>
      <c r="JK62" s="25" t="str">
        <f>IF(Regn!$G62&gt;1,Regn!NI62,"")</f>
        <v/>
      </c>
      <c r="JL62" s="15" t="s">
        <v>188</v>
      </c>
      <c r="JN62" s="16"/>
      <c r="JO62" s="15" t="s">
        <v>188</v>
      </c>
      <c r="JQ62" s="25" t="str">
        <f>IF(Regn!$G62&gt;1,Regn!NM62,"")</f>
        <v/>
      </c>
      <c r="JR62" s="15" t="s">
        <v>188</v>
      </c>
      <c r="JT62" s="16"/>
      <c r="JU62" s="15" t="s">
        <v>188</v>
      </c>
    </row>
    <row r="63" spans="2:281" ht="12" customHeight="1" x14ac:dyDescent="0.25">
      <c r="B63" s="28"/>
      <c r="C63" s="133" t="str">
        <f>IF(OR(Regn!$B64&gt;1,Regn!E62=1),"",VLOOKUP(Regn!$E62,Afgr,2))</f>
        <v/>
      </c>
      <c r="G63" s="134" t="str">
        <f>IF(OR(Regn!$C64&gt;1,Regn!$G62=1),"",VLOOKUP(Regn!$G62,Efgr,2))</f>
        <v/>
      </c>
      <c r="U63" s="134" t="str">
        <f>IF(OR(Regn!$K64&gt;1,Regn!$E66=1),"",VLOOKUP(Regn!$E66,Afgr,2))</f>
        <v/>
      </c>
    </row>
    <row r="64" spans="2:281" x14ac:dyDescent="0.25">
      <c r="B64" s="28">
        <v>5</v>
      </c>
      <c r="Z64" s="36"/>
      <c r="AA64" s="15" t="s">
        <v>85</v>
      </c>
      <c r="AC64" s="53">
        <f>Regn!M64</f>
        <v>0</v>
      </c>
      <c r="AD64" s="15" t="s">
        <v>85</v>
      </c>
      <c r="AF64" s="15" t="str">
        <f>IF(Regn!$E64&lt;=1,"",VLOOKUP(Regn!$E64,Afgr,2))</f>
        <v/>
      </c>
      <c r="AH64" s="55" t="str">
        <f>IF(Regn!$E64&gt;1,Regn!BH64,"")</f>
        <v/>
      </c>
      <c r="AI64" s="15" t="str">
        <f>IF(Regn!BK64&lt;&gt;0,Regn!BK64,"")</f>
        <v/>
      </c>
      <c r="AK64" s="16"/>
      <c r="AL64" s="15" t="str">
        <f>IF(Regn!BK64&lt;&gt;0,Regn!BK64,"")</f>
        <v/>
      </c>
      <c r="AN64" s="33" t="str">
        <f>IF(Regn!$E64&gt;1,Regn!DP64,"")</f>
        <v/>
      </c>
      <c r="AO64" s="15" t="s">
        <v>201</v>
      </c>
      <c r="AQ64" s="38"/>
      <c r="AR64" s="15" t="s">
        <v>201</v>
      </c>
      <c r="AT64" s="55" t="str">
        <f>IF(Regn!$E64&gt;1,Regn!BN64,"")</f>
        <v/>
      </c>
      <c r="AU64" s="15" t="s">
        <v>188</v>
      </c>
      <c r="AW64" s="124"/>
      <c r="AX64" s="15" t="s">
        <v>188</v>
      </c>
      <c r="AZ64" s="25" t="str">
        <f>IF(Regn!$E64&gt;1,Regn!BS64,"")</f>
        <v/>
      </c>
      <c r="BA64" s="15" t="s">
        <v>188</v>
      </c>
      <c r="BC64" s="17"/>
      <c r="BD64" s="15" t="s">
        <v>188</v>
      </c>
      <c r="BF64" s="25" t="str">
        <f>IF(Regn!$E64&gt;1,Regn!BX64,"")</f>
        <v/>
      </c>
      <c r="BG64" s="15" t="s">
        <v>192</v>
      </c>
      <c r="BI64" s="16"/>
      <c r="BJ64" s="15" t="s">
        <v>192</v>
      </c>
      <c r="BO64" s="33" t="str">
        <f>IF(Regn!$E64&gt;1,Regn!CE64,"")</f>
        <v/>
      </c>
      <c r="BP64" s="15" t="s">
        <v>188</v>
      </c>
      <c r="BR64" s="38"/>
      <c r="BS64" s="15" t="s">
        <v>188</v>
      </c>
      <c r="BU64" s="15" t="str">
        <f>IF(Regn!$E64&lt;=1,"",VLOOKUP(Regn!$E64,Afgr,2))</f>
        <v/>
      </c>
      <c r="BW64" s="32" t="str">
        <f>IF(Regn!$E64&gt;1,Regn!Y64,"")</f>
        <v/>
      </c>
      <c r="BX64" s="15" t="s">
        <v>82</v>
      </c>
      <c r="BZ64" s="37"/>
      <c r="CA64" s="15" t="s">
        <v>82</v>
      </c>
      <c r="CC64" s="32" t="str">
        <f>IF(Regn!$E64&gt;1,Regn!S64,"")</f>
        <v/>
      </c>
      <c r="CD64" s="15" t="s">
        <v>82</v>
      </c>
      <c r="CF64" s="32" t="str">
        <f>IF(Regn!$E64&gt;1,Regn!U64,"")</f>
        <v/>
      </c>
      <c r="CG64" s="15" t="s">
        <v>82</v>
      </c>
      <c r="CI64" s="37"/>
      <c r="CJ64" s="15" t="s">
        <v>82</v>
      </c>
      <c r="CL64" s="32" t="str">
        <f>IF(Regn!$E64&gt;1,Regn!AS64,"")</f>
        <v/>
      </c>
      <c r="CM64" s="15" t="s">
        <v>82</v>
      </c>
      <c r="CO64" s="37"/>
      <c r="CP64" s="15" t="s">
        <v>82</v>
      </c>
      <c r="CR64" s="32" t="str">
        <f>IF(Regn!$E64&gt;1,UdnKrav,"")</f>
        <v/>
      </c>
      <c r="CS64" s="15" t="s">
        <v>205</v>
      </c>
      <c r="CU64" s="32" t="str">
        <f>IF(Regn!$E64&gt;1,Regn!AY64,"")</f>
        <v/>
      </c>
      <c r="CV64" s="15" t="s">
        <v>82</v>
      </c>
      <c r="CX64" s="15" t="str">
        <f>IF(Regn!$G64&lt;=1,"",VLOOKUP(Regn!$G64,Efgr,2))</f>
        <v/>
      </c>
      <c r="CZ64" s="25" t="str">
        <f>IF(Regn!$G64&gt;1,Regn!DC64,"")</f>
        <v/>
      </c>
      <c r="DA64" s="15" t="str">
        <f>IF(Regn!$G64&gt;1,Regn!DF64,"")</f>
        <v/>
      </c>
      <c r="DC64" s="16"/>
      <c r="DD64" s="15" t="str">
        <f>IF(Regn!$G64&gt;1,Regn!DF64,"")</f>
        <v/>
      </c>
      <c r="DJ64" s="25" t="str">
        <f>IF(Regn!$G64&gt;1,Regn!CL64,"")</f>
        <v/>
      </c>
      <c r="DK64" s="15" t="s">
        <v>82</v>
      </c>
      <c r="DM64" s="16"/>
      <c r="DN64" s="15" t="s">
        <v>82</v>
      </c>
      <c r="DP64" s="25" t="str">
        <f>IF(Regn!$G64&gt;1,Regn!CR64,"")</f>
        <v/>
      </c>
      <c r="DQ64" s="15" t="s">
        <v>82</v>
      </c>
      <c r="DS64" s="16"/>
      <c r="DT64" s="15" t="s">
        <v>82</v>
      </c>
      <c r="DV64" s="25" t="str">
        <f>IF(Regn!$G64&gt;1,UdnKrav,"")</f>
        <v/>
      </c>
      <c r="DW64" s="15" t="s">
        <v>205</v>
      </c>
      <c r="DY64" s="25" t="str">
        <f>IF(Regn!$G64&gt;1,Regn!CX64,"")</f>
        <v/>
      </c>
      <c r="DZ64" s="15" t="s">
        <v>82</v>
      </c>
      <c r="EB64" s="15" t="str">
        <f>IF(Regn!$E64&lt;=1,"",VLOOKUP(Regn!$E64,Afgr,2))</f>
        <v/>
      </c>
      <c r="ED64" s="25" t="str">
        <f>IF(Regn!$E64&gt;1,Regn!IB64,"")</f>
        <v/>
      </c>
      <c r="EE64" s="15" t="s">
        <v>188</v>
      </c>
      <c r="EG64" s="16"/>
      <c r="EH64" s="15" t="s">
        <v>188</v>
      </c>
      <c r="EJ64" s="25" t="str">
        <f>IF(Regn!$E64&gt;1,Regn!IX64,"")</f>
        <v/>
      </c>
      <c r="EK64" s="15" t="s">
        <v>188</v>
      </c>
      <c r="EM64" s="16"/>
      <c r="EN64" s="15" t="s">
        <v>188</v>
      </c>
      <c r="EP64" s="25" t="str">
        <f>IF(Regn!$E64&gt;1,Regn!JB64,"")</f>
        <v/>
      </c>
      <c r="EQ64" s="15" t="s">
        <v>188</v>
      </c>
      <c r="ES64" s="16"/>
      <c r="ET64" s="15" t="s">
        <v>188</v>
      </c>
      <c r="EV64" s="25" t="str">
        <f>IF(Regn!$E64&gt;1,Regn!JF64,"")</f>
        <v/>
      </c>
      <c r="EW64" s="15" t="s">
        <v>188</v>
      </c>
      <c r="EY64" s="16"/>
      <c r="EZ64" s="15" t="s">
        <v>188</v>
      </c>
      <c r="FB64" s="25" t="str">
        <f>IF(Regn!$E64&gt;1,Regn!JL64,"")</f>
        <v/>
      </c>
      <c r="FC64" s="15" t="s">
        <v>362</v>
      </c>
      <c r="FE64" s="16"/>
      <c r="FF64" s="15" t="s">
        <v>188</v>
      </c>
      <c r="FH64" s="25" t="str">
        <f>IF(Regn!$E64&gt;1,Regn!JY64,"")</f>
        <v/>
      </c>
      <c r="FI64" s="15" t="s">
        <v>188</v>
      </c>
      <c r="FK64" s="16"/>
      <c r="FL64" s="15" t="s">
        <v>188</v>
      </c>
      <c r="FN64" s="25" t="str">
        <f>IF(Regn!$E64&gt;1,Regn!KC64,"")</f>
        <v/>
      </c>
      <c r="FO64" s="15" t="s">
        <v>188</v>
      </c>
      <c r="FQ64" s="16"/>
      <c r="FR64" s="15" t="s">
        <v>188</v>
      </c>
      <c r="FT64" s="25" t="str">
        <f>IF(Regn!$E64&gt;1,Regn!KG64,"")</f>
        <v/>
      </c>
      <c r="FU64" s="15" t="s">
        <v>188</v>
      </c>
      <c r="FW64" s="16"/>
      <c r="FX64" s="15" t="s">
        <v>188</v>
      </c>
      <c r="FZ64" s="25" t="str">
        <f>IF(Regn!$E64&gt;1,Regn!KK64,"")</f>
        <v/>
      </c>
      <c r="GA64" s="15" t="s">
        <v>531</v>
      </c>
      <c r="GC64" s="16"/>
      <c r="GD64" s="15" t="s">
        <v>531</v>
      </c>
      <c r="GF64" s="25" t="str">
        <f>IF(Regn!$E64&gt;1,Regn!KM64,"")</f>
        <v/>
      </c>
      <c r="GG64" s="15" t="s">
        <v>188</v>
      </c>
      <c r="GI64" s="16"/>
      <c r="GJ64" s="15" t="s">
        <v>188</v>
      </c>
      <c r="GL64" s="25" t="str">
        <f>IF(Regn!$E64&gt;1,Regn!KT64,"")</f>
        <v/>
      </c>
      <c r="GM64" s="15" t="s">
        <v>188</v>
      </c>
      <c r="GO64" s="16"/>
      <c r="GP64" s="15" t="s">
        <v>405</v>
      </c>
      <c r="GR64" s="25" t="str">
        <f>IF(Regn!$E64&gt;1,Regn!KZ64,"")</f>
        <v/>
      </c>
      <c r="GS64" s="15" t="s">
        <v>188</v>
      </c>
      <c r="GU64" s="16"/>
      <c r="GV64" s="15" t="s">
        <v>188</v>
      </c>
      <c r="HA64" s="25" t="str">
        <f>IF(Regn!$E64&gt;1,Regn!LD64,"")</f>
        <v/>
      </c>
      <c r="HB64" s="15" t="s">
        <v>188</v>
      </c>
      <c r="HD64" s="16"/>
      <c r="HE64" s="15" t="s">
        <v>188</v>
      </c>
      <c r="HG64" s="15" t="str">
        <f>IF(Regn!$G64&lt;=1,"",VLOOKUP(Regn!$G64,Efgr,2))</f>
        <v/>
      </c>
      <c r="HI64" s="25" t="str">
        <f>IF(Regn!$G64&gt;1,Regn!LH64,"")</f>
        <v/>
      </c>
      <c r="HJ64" s="15" t="s">
        <v>188</v>
      </c>
      <c r="HL64" s="16"/>
      <c r="HM64" s="15" t="s">
        <v>188</v>
      </c>
      <c r="HO64" s="25" t="str">
        <f>IF(Regn!$G64&gt;1,Regn!MA64,"")</f>
        <v/>
      </c>
      <c r="HP64" s="15" t="s">
        <v>188</v>
      </c>
      <c r="HR64" s="16"/>
      <c r="HS64" s="15" t="s">
        <v>188</v>
      </c>
      <c r="HU64" s="25" t="str">
        <f>IF(Regn!$G64&gt;1,Regn!ME64,"")</f>
        <v/>
      </c>
      <c r="HV64" s="15" t="s">
        <v>188</v>
      </c>
      <c r="HX64" s="16"/>
      <c r="HY64" s="15" t="s">
        <v>188</v>
      </c>
      <c r="IA64" s="25" t="str">
        <f>IF(Regn!$G64&gt;1,Regn!MI64,"")</f>
        <v/>
      </c>
      <c r="IB64" s="15" t="s">
        <v>188</v>
      </c>
      <c r="ID64" s="16"/>
      <c r="IE64" s="15" t="s">
        <v>188</v>
      </c>
      <c r="IG64" s="25" t="str">
        <f>IF(Regn!$G64&gt;1,Regn!MO64,"")</f>
        <v/>
      </c>
      <c r="IH64" s="15" t="s">
        <v>188</v>
      </c>
      <c r="IJ64" s="16"/>
      <c r="IK64" s="15" t="s">
        <v>188</v>
      </c>
      <c r="IM64" s="25" t="str">
        <f>IF(Regn!$G64&gt;1,Regn!MS64,"")</f>
        <v/>
      </c>
      <c r="IN64" s="15" t="s">
        <v>188</v>
      </c>
      <c r="IP64" s="16"/>
      <c r="IQ64" s="15" t="s">
        <v>188</v>
      </c>
      <c r="IS64" s="25" t="str">
        <f>IF(Regn!$G64&gt;1,Regn!MW64,"")</f>
        <v/>
      </c>
      <c r="IT64" s="15" t="s">
        <v>188</v>
      </c>
      <c r="IV64" s="16"/>
      <c r="IW64" s="15" t="s">
        <v>188</v>
      </c>
      <c r="IY64" s="25" t="str">
        <f>IF(Regn!$G64&gt;1,Regn!NA64,"")</f>
        <v/>
      </c>
      <c r="IZ64" s="15" t="s">
        <v>531</v>
      </c>
      <c r="JB64" s="16"/>
      <c r="JC64" s="15" t="s">
        <v>531</v>
      </c>
      <c r="JE64" s="25" t="str">
        <f>IF(Regn!$G64&gt;1,Regn!NC64,"")</f>
        <v/>
      </c>
      <c r="JF64" s="15" t="s">
        <v>188</v>
      </c>
      <c r="JH64" s="16"/>
      <c r="JI64" s="15" t="s">
        <v>188</v>
      </c>
      <c r="JK64" s="25" t="str">
        <f>IF(Regn!$G64&gt;1,Regn!NI64,"")</f>
        <v/>
      </c>
      <c r="JL64" s="15" t="s">
        <v>188</v>
      </c>
      <c r="JN64" s="16"/>
      <c r="JO64" s="15" t="s">
        <v>188</v>
      </c>
      <c r="JQ64" s="25" t="str">
        <f>IF(Regn!$G64&gt;1,Regn!NM64,"")</f>
        <v/>
      </c>
      <c r="JR64" s="15" t="s">
        <v>188</v>
      </c>
      <c r="JT64" s="16"/>
      <c r="JU64" s="15" t="s">
        <v>188</v>
      </c>
    </row>
    <row r="65" spans="2:281" ht="12" customHeight="1" x14ac:dyDescent="0.25">
      <c r="B65" s="28"/>
      <c r="C65" s="133" t="str">
        <f>IF(OR(Regn!$B66&gt;1,Regn!E64=1),"",VLOOKUP(Regn!$E64,Afgr,2))</f>
        <v/>
      </c>
      <c r="G65" s="134" t="str">
        <f>IF(OR(Regn!$C66&gt;1,Regn!$G64=1),"",VLOOKUP(Regn!$G64,Efgr,2))</f>
        <v/>
      </c>
      <c r="U65" s="134" t="str">
        <f>IF(OR(Regn!$K66&gt;1,Regn!$E68=1),"",VLOOKUP(Regn!$E68,Afgr,2))</f>
        <v/>
      </c>
    </row>
    <row r="66" spans="2:281" x14ac:dyDescent="0.25">
      <c r="B66" s="28">
        <v>6</v>
      </c>
      <c r="Z66" s="36"/>
      <c r="AA66" s="15" t="s">
        <v>85</v>
      </c>
      <c r="AC66" s="53">
        <f>Regn!M66</f>
        <v>0</v>
      </c>
      <c r="AD66" s="15" t="s">
        <v>85</v>
      </c>
      <c r="AF66" s="15" t="str">
        <f>IF(Regn!$E66&lt;=1,"",VLOOKUP(Regn!$E66,Afgr,2))</f>
        <v/>
      </c>
      <c r="AH66" s="55" t="str">
        <f>IF(Regn!$E66&gt;1,Regn!BH66,"")</f>
        <v/>
      </c>
      <c r="AI66" s="15" t="str">
        <f>IF(Regn!BK66&lt;&gt;0,Regn!BK66,"")</f>
        <v/>
      </c>
      <c r="AK66" s="16"/>
      <c r="AL66" s="15" t="str">
        <f>IF(Regn!BK66&lt;&gt;0,Regn!BK66,"")</f>
        <v/>
      </c>
      <c r="AN66" s="33" t="str">
        <f>IF(Regn!$E66&gt;1,Regn!DP66,"")</f>
        <v/>
      </c>
      <c r="AO66" s="15" t="s">
        <v>201</v>
      </c>
      <c r="AQ66" s="38"/>
      <c r="AR66" s="15" t="s">
        <v>201</v>
      </c>
      <c r="AT66" s="55" t="str">
        <f>IF(Regn!$E66&gt;1,Regn!BN66,"")</f>
        <v/>
      </c>
      <c r="AU66" s="15" t="s">
        <v>188</v>
      </c>
      <c r="AW66" s="124"/>
      <c r="AX66" s="15" t="s">
        <v>188</v>
      </c>
      <c r="AZ66" s="25" t="str">
        <f>IF(Regn!$E66&gt;1,Regn!BS66,"")</f>
        <v/>
      </c>
      <c r="BA66" s="15" t="s">
        <v>188</v>
      </c>
      <c r="BC66" s="17"/>
      <c r="BD66" s="15" t="s">
        <v>188</v>
      </c>
      <c r="BF66" s="25" t="str">
        <f>IF(Regn!$E66&gt;1,Regn!BX66,"")</f>
        <v/>
      </c>
      <c r="BG66" s="15" t="s">
        <v>192</v>
      </c>
      <c r="BI66" s="16"/>
      <c r="BJ66" s="15" t="s">
        <v>192</v>
      </c>
      <c r="BO66" s="33" t="str">
        <f>IF(Regn!$E66&gt;1,Regn!CE66,"")</f>
        <v/>
      </c>
      <c r="BP66" s="15" t="s">
        <v>188</v>
      </c>
      <c r="BR66" s="38"/>
      <c r="BS66" s="15" t="s">
        <v>188</v>
      </c>
      <c r="BU66" s="15" t="str">
        <f>IF(Regn!$E66&lt;=1,"",VLOOKUP(Regn!$E66,Afgr,2))</f>
        <v/>
      </c>
      <c r="BW66" s="32" t="str">
        <f>IF(Regn!$E66&gt;1,Regn!Y66,"")</f>
        <v/>
      </c>
      <c r="BX66" s="15" t="s">
        <v>82</v>
      </c>
      <c r="BZ66" s="37"/>
      <c r="CA66" s="15" t="s">
        <v>82</v>
      </c>
      <c r="CC66" s="32" t="str">
        <f>IF(Regn!$E66&gt;1,Regn!S66,"")</f>
        <v/>
      </c>
      <c r="CD66" s="15" t="s">
        <v>82</v>
      </c>
      <c r="CF66" s="32" t="str">
        <f>IF(Regn!$E66&gt;1,Regn!U66,"")</f>
        <v/>
      </c>
      <c r="CG66" s="15" t="s">
        <v>82</v>
      </c>
      <c r="CI66" s="37"/>
      <c r="CJ66" s="15" t="s">
        <v>82</v>
      </c>
      <c r="CL66" s="32" t="str">
        <f>IF(Regn!$E66&gt;1,Regn!AS66,"")</f>
        <v/>
      </c>
      <c r="CM66" s="15" t="s">
        <v>82</v>
      </c>
      <c r="CO66" s="37"/>
      <c r="CP66" s="15" t="s">
        <v>82</v>
      </c>
      <c r="CR66" s="32" t="str">
        <f>IF(Regn!$E66&gt;1,UdnKrav,"")</f>
        <v/>
      </c>
      <c r="CS66" s="15" t="s">
        <v>205</v>
      </c>
      <c r="CU66" s="32" t="str">
        <f>IF(Regn!$E66&gt;1,Regn!AY66,"")</f>
        <v/>
      </c>
      <c r="CV66" s="15" t="s">
        <v>82</v>
      </c>
      <c r="CX66" s="15" t="str">
        <f>IF(Regn!$G66&lt;=1,"",VLOOKUP(Regn!$G66,Efgr,2))</f>
        <v/>
      </c>
      <c r="CZ66" s="25" t="str">
        <f>IF(Regn!$G66&gt;1,Regn!DC66,"")</f>
        <v/>
      </c>
      <c r="DA66" s="15" t="str">
        <f>IF(Regn!$G66&gt;1,Regn!DF66,"")</f>
        <v/>
      </c>
      <c r="DC66" s="16"/>
      <c r="DD66" s="15" t="str">
        <f>IF(Regn!$G66&gt;1,Regn!DF66,"")</f>
        <v/>
      </c>
      <c r="DJ66" s="25" t="str">
        <f>IF(Regn!$G66&gt;1,Regn!CL66,"")</f>
        <v/>
      </c>
      <c r="DK66" s="15" t="s">
        <v>82</v>
      </c>
      <c r="DM66" s="16"/>
      <c r="DN66" s="15" t="s">
        <v>82</v>
      </c>
      <c r="DP66" s="25" t="str">
        <f>IF(Regn!$G66&gt;1,Regn!CR66,"")</f>
        <v/>
      </c>
      <c r="DQ66" s="15" t="s">
        <v>82</v>
      </c>
      <c r="DS66" s="16"/>
      <c r="DT66" s="15" t="s">
        <v>82</v>
      </c>
      <c r="DV66" s="25" t="str">
        <f>IF(Regn!$G66&gt;1,UdnKrav,"")</f>
        <v/>
      </c>
      <c r="DW66" s="15" t="s">
        <v>205</v>
      </c>
      <c r="DY66" s="25" t="str">
        <f>IF(Regn!$G66&gt;1,Regn!CX66,"")</f>
        <v/>
      </c>
      <c r="DZ66" s="15" t="s">
        <v>82</v>
      </c>
      <c r="EB66" s="15" t="str">
        <f>IF(Regn!$E66&lt;=1,"",VLOOKUP(Regn!$E66,Afgr,2))</f>
        <v/>
      </c>
      <c r="ED66" s="25" t="str">
        <f>IF(Regn!$E66&gt;1,Regn!IB66,"")</f>
        <v/>
      </c>
      <c r="EE66" s="15" t="s">
        <v>188</v>
      </c>
      <c r="EG66" s="16"/>
      <c r="EH66" s="15" t="s">
        <v>188</v>
      </c>
      <c r="EJ66" s="25" t="str">
        <f>IF(Regn!$E66&gt;1,Regn!IX66,"")</f>
        <v/>
      </c>
      <c r="EK66" s="15" t="s">
        <v>188</v>
      </c>
      <c r="EM66" s="16"/>
      <c r="EN66" s="15" t="s">
        <v>188</v>
      </c>
      <c r="EP66" s="25" t="str">
        <f>IF(Regn!$E66&gt;1,Regn!JB66,"")</f>
        <v/>
      </c>
      <c r="EQ66" s="15" t="s">
        <v>188</v>
      </c>
      <c r="ES66" s="16"/>
      <c r="ET66" s="15" t="s">
        <v>188</v>
      </c>
      <c r="EV66" s="25" t="str">
        <f>IF(Regn!$E66&gt;1,Regn!JF66,"")</f>
        <v/>
      </c>
      <c r="EW66" s="15" t="s">
        <v>188</v>
      </c>
      <c r="EY66" s="16"/>
      <c r="EZ66" s="15" t="s">
        <v>188</v>
      </c>
      <c r="FB66" s="25" t="str">
        <f>IF(Regn!$E66&gt;1,Regn!JL66,"")</f>
        <v/>
      </c>
      <c r="FC66" s="15" t="s">
        <v>362</v>
      </c>
      <c r="FE66" s="16"/>
      <c r="FF66" s="15" t="s">
        <v>188</v>
      </c>
      <c r="FH66" s="25" t="str">
        <f>IF(Regn!$E66&gt;1,Regn!JY66,"")</f>
        <v/>
      </c>
      <c r="FI66" s="15" t="s">
        <v>188</v>
      </c>
      <c r="FK66" s="16"/>
      <c r="FL66" s="15" t="s">
        <v>188</v>
      </c>
      <c r="FN66" s="25" t="str">
        <f>IF(Regn!$E66&gt;1,Regn!KC66,"")</f>
        <v/>
      </c>
      <c r="FO66" s="15" t="s">
        <v>188</v>
      </c>
      <c r="FQ66" s="16"/>
      <c r="FR66" s="15" t="s">
        <v>188</v>
      </c>
      <c r="FT66" s="25" t="str">
        <f>IF(Regn!$E66&gt;1,Regn!KG66,"")</f>
        <v/>
      </c>
      <c r="FU66" s="15" t="s">
        <v>188</v>
      </c>
      <c r="FW66" s="16"/>
      <c r="FX66" s="15" t="s">
        <v>188</v>
      </c>
      <c r="FZ66" s="25" t="str">
        <f>IF(Regn!$E66&gt;1,Regn!KK66,"")</f>
        <v/>
      </c>
      <c r="GA66" s="15" t="s">
        <v>531</v>
      </c>
      <c r="GC66" s="16"/>
      <c r="GD66" s="15" t="s">
        <v>531</v>
      </c>
      <c r="GF66" s="25" t="str">
        <f>IF(Regn!$E66&gt;1,Regn!KM66,"")</f>
        <v/>
      </c>
      <c r="GG66" s="15" t="s">
        <v>188</v>
      </c>
      <c r="GI66" s="16"/>
      <c r="GJ66" s="15" t="s">
        <v>188</v>
      </c>
      <c r="GL66" s="25" t="str">
        <f>IF(Regn!$E66&gt;1,Regn!KT66,"")</f>
        <v/>
      </c>
      <c r="GM66" s="15" t="s">
        <v>188</v>
      </c>
      <c r="GO66" s="16"/>
      <c r="GP66" s="15" t="s">
        <v>405</v>
      </c>
      <c r="GR66" s="25" t="str">
        <f>IF(Regn!$E66&gt;1,Regn!KZ66,"")</f>
        <v/>
      </c>
      <c r="GS66" s="15" t="s">
        <v>188</v>
      </c>
      <c r="GU66" s="16"/>
      <c r="GV66" s="15" t="s">
        <v>188</v>
      </c>
      <c r="HA66" s="25" t="str">
        <f>IF(Regn!$E66&gt;1,Regn!LD66,"")</f>
        <v/>
      </c>
      <c r="HB66" s="15" t="s">
        <v>188</v>
      </c>
      <c r="HD66" s="16"/>
      <c r="HE66" s="15" t="s">
        <v>188</v>
      </c>
      <c r="HG66" s="15" t="str">
        <f>IF(Regn!$G66&lt;=1,"",VLOOKUP(Regn!$G66,Efgr,2))</f>
        <v/>
      </c>
      <c r="HI66" s="25" t="str">
        <f>IF(Regn!$G66&gt;1,Regn!LH66,"")</f>
        <v/>
      </c>
      <c r="HJ66" s="15" t="s">
        <v>188</v>
      </c>
      <c r="HL66" s="16"/>
      <c r="HM66" s="15" t="s">
        <v>188</v>
      </c>
      <c r="HO66" s="25" t="str">
        <f>IF(Regn!$G66&gt;1,Regn!MA66,"")</f>
        <v/>
      </c>
      <c r="HP66" s="15" t="s">
        <v>188</v>
      </c>
      <c r="HR66" s="16"/>
      <c r="HS66" s="15" t="s">
        <v>188</v>
      </c>
      <c r="HU66" s="25" t="str">
        <f>IF(Regn!$G66&gt;1,Regn!ME66,"")</f>
        <v/>
      </c>
      <c r="HV66" s="15" t="s">
        <v>188</v>
      </c>
      <c r="HX66" s="16"/>
      <c r="HY66" s="15" t="s">
        <v>188</v>
      </c>
      <c r="IA66" s="25" t="str">
        <f>IF(Regn!$G66&gt;1,Regn!MI66,"")</f>
        <v/>
      </c>
      <c r="IB66" s="15" t="s">
        <v>188</v>
      </c>
      <c r="ID66" s="16"/>
      <c r="IE66" s="15" t="s">
        <v>188</v>
      </c>
      <c r="IG66" s="25" t="str">
        <f>IF(Regn!$G66&gt;1,Regn!MO66,"")</f>
        <v/>
      </c>
      <c r="IH66" s="15" t="s">
        <v>188</v>
      </c>
      <c r="IJ66" s="16"/>
      <c r="IK66" s="15" t="s">
        <v>188</v>
      </c>
      <c r="IM66" s="25" t="str">
        <f>IF(Regn!$G66&gt;1,Regn!MS66,"")</f>
        <v/>
      </c>
      <c r="IN66" s="15" t="s">
        <v>188</v>
      </c>
      <c r="IP66" s="16"/>
      <c r="IQ66" s="15" t="s">
        <v>188</v>
      </c>
      <c r="IS66" s="25" t="str">
        <f>IF(Regn!$G66&gt;1,Regn!MW66,"")</f>
        <v/>
      </c>
      <c r="IT66" s="15" t="s">
        <v>188</v>
      </c>
      <c r="IV66" s="16"/>
      <c r="IW66" s="15" t="s">
        <v>188</v>
      </c>
      <c r="IY66" s="25" t="str">
        <f>IF(Regn!$G66&gt;1,Regn!NA66,"")</f>
        <v/>
      </c>
      <c r="IZ66" s="15" t="s">
        <v>531</v>
      </c>
      <c r="JB66" s="16"/>
      <c r="JC66" s="15" t="s">
        <v>531</v>
      </c>
      <c r="JE66" s="25" t="str">
        <f>IF(Regn!$G66&gt;1,Regn!NC66,"")</f>
        <v/>
      </c>
      <c r="JF66" s="15" t="s">
        <v>188</v>
      </c>
      <c r="JH66" s="16"/>
      <c r="JI66" s="15" t="s">
        <v>188</v>
      </c>
      <c r="JK66" s="25" t="str">
        <f>IF(Regn!$G66&gt;1,Regn!NI66,"")</f>
        <v/>
      </c>
      <c r="JL66" s="15" t="s">
        <v>188</v>
      </c>
      <c r="JN66" s="16"/>
      <c r="JO66" s="15" t="s">
        <v>188</v>
      </c>
      <c r="JQ66" s="25" t="str">
        <f>IF(Regn!$G66&gt;1,Regn!NM66,"")</f>
        <v/>
      </c>
      <c r="JR66" s="15" t="s">
        <v>188</v>
      </c>
      <c r="JT66" s="16"/>
      <c r="JU66" s="15" t="s">
        <v>188</v>
      </c>
    </row>
    <row r="67" spans="2:281" ht="12" customHeight="1" x14ac:dyDescent="0.25">
      <c r="B67" s="28"/>
      <c r="C67" s="133" t="str">
        <f>IF(OR(Regn!$B68&gt;1,Regn!E66=1),"",VLOOKUP(Regn!$E66,Afgr,2))</f>
        <v/>
      </c>
      <c r="G67" s="134" t="str">
        <f>IF(OR(Regn!$C68&gt;1,Regn!$G66=1),"",VLOOKUP(Regn!$G66,Efgr,2))</f>
        <v/>
      </c>
      <c r="U67" s="134" t="str">
        <f>IF(OR(Regn!$K68&gt;1,Regn!$E70=1),"",VLOOKUP(Regn!$E70,Afgr,2))</f>
        <v/>
      </c>
      <c r="AH67" s="55"/>
    </row>
    <row r="68" spans="2:281" x14ac:dyDescent="0.25">
      <c r="B68" s="28">
        <v>7</v>
      </c>
      <c r="Z68" s="36"/>
      <c r="AA68" s="15" t="s">
        <v>85</v>
      </c>
      <c r="AC68" s="53">
        <f>Regn!M68</f>
        <v>0</v>
      </c>
      <c r="AD68" s="15" t="s">
        <v>85</v>
      </c>
      <c r="AF68" s="15" t="str">
        <f>IF(Regn!$E68&lt;=1,"",VLOOKUP(Regn!$E68,Afgr,2))</f>
        <v/>
      </c>
      <c r="AH68" s="55" t="str">
        <f>IF(Regn!$E68&gt;1,Regn!BH68,"")</f>
        <v/>
      </c>
      <c r="AI68" s="15" t="str">
        <f>IF(Regn!BK68&lt;&gt;0,Regn!BK68,"")</f>
        <v/>
      </c>
      <c r="AK68" s="16"/>
      <c r="AL68" s="15" t="str">
        <f>IF(Regn!BK68&lt;&gt;0,Regn!BK68,"")</f>
        <v/>
      </c>
      <c r="AN68" s="33" t="str">
        <f>IF(Regn!$E68&gt;1,Regn!DP68,"")</f>
        <v/>
      </c>
      <c r="AO68" s="15" t="s">
        <v>201</v>
      </c>
      <c r="AQ68" s="38"/>
      <c r="AR68" s="15" t="s">
        <v>201</v>
      </c>
      <c r="AT68" s="55" t="str">
        <f>IF(Regn!$E68&gt;1,Regn!BN68,"")</f>
        <v/>
      </c>
      <c r="AU68" s="15" t="s">
        <v>188</v>
      </c>
      <c r="AW68" s="124"/>
      <c r="AX68" s="15" t="s">
        <v>188</v>
      </c>
      <c r="AZ68" s="25" t="str">
        <f>IF(Regn!$E68&gt;1,Regn!BS68,"")</f>
        <v/>
      </c>
      <c r="BA68" s="15" t="s">
        <v>188</v>
      </c>
      <c r="BC68" s="17"/>
      <c r="BD68" s="15" t="s">
        <v>188</v>
      </c>
      <c r="BF68" s="25" t="str">
        <f>IF(Regn!$E68&gt;1,Regn!BX68,"")</f>
        <v/>
      </c>
      <c r="BG68" s="15" t="s">
        <v>192</v>
      </c>
      <c r="BI68" s="16"/>
      <c r="BJ68" s="15" t="s">
        <v>192</v>
      </c>
      <c r="BO68" s="33" t="str">
        <f>IF(Regn!$E68&gt;1,Regn!CE68,"")</f>
        <v/>
      </c>
      <c r="BP68" s="15" t="s">
        <v>188</v>
      </c>
      <c r="BR68" s="38"/>
      <c r="BS68" s="15" t="s">
        <v>188</v>
      </c>
      <c r="BU68" s="15" t="str">
        <f>IF(Regn!$E68&lt;=1,"",VLOOKUP(Regn!$E68,Afgr,2))</f>
        <v/>
      </c>
      <c r="BW68" s="32" t="str">
        <f>IF(Regn!$E68&gt;1,Regn!Y68,"")</f>
        <v/>
      </c>
      <c r="BX68" s="15" t="s">
        <v>82</v>
      </c>
      <c r="BZ68" s="37"/>
      <c r="CA68" s="15" t="s">
        <v>82</v>
      </c>
      <c r="CC68" s="32" t="str">
        <f>IF(Regn!$E68&gt;1,Regn!S68,"")</f>
        <v/>
      </c>
      <c r="CD68" s="15" t="s">
        <v>82</v>
      </c>
      <c r="CF68" s="32" t="str">
        <f>IF(Regn!$E68&gt;1,Regn!U68,"")</f>
        <v/>
      </c>
      <c r="CG68" s="15" t="s">
        <v>82</v>
      </c>
      <c r="CI68" s="37"/>
      <c r="CJ68" s="15" t="s">
        <v>82</v>
      </c>
      <c r="CL68" s="32" t="str">
        <f>IF(Regn!$E68&gt;1,Regn!AS68,"")</f>
        <v/>
      </c>
      <c r="CM68" s="15" t="s">
        <v>82</v>
      </c>
      <c r="CO68" s="37"/>
      <c r="CP68" s="15" t="s">
        <v>82</v>
      </c>
      <c r="CR68" s="32" t="str">
        <f>IF(Regn!$E68&gt;1,UdnKrav,"")</f>
        <v/>
      </c>
      <c r="CS68" s="15" t="s">
        <v>205</v>
      </c>
      <c r="CU68" s="32" t="str">
        <f>IF(Regn!$E68&gt;1,Regn!AY68,"")</f>
        <v/>
      </c>
      <c r="CV68" s="15" t="s">
        <v>82</v>
      </c>
      <c r="CX68" s="15" t="str">
        <f>IF(Regn!$G68&lt;=1,"",VLOOKUP(Regn!$G68,Efgr,2))</f>
        <v/>
      </c>
      <c r="CZ68" s="25" t="str">
        <f>IF(Regn!$G68&gt;1,Regn!DC68,"")</f>
        <v/>
      </c>
      <c r="DA68" s="15" t="str">
        <f>IF(Regn!$G68&gt;1,Regn!DF68,"")</f>
        <v/>
      </c>
      <c r="DC68" s="16"/>
      <c r="DD68" s="15" t="str">
        <f>IF(Regn!$G68&gt;1,Regn!DF68,"")</f>
        <v/>
      </c>
      <c r="DJ68" s="25" t="str">
        <f>IF(Regn!$G68&gt;1,Regn!CL68,"")</f>
        <v/>
      </c>
      <c r="DK68" s="15" t="s">
        <v>82</v>
      </c>
      <c r="DM68" s="16"/>
      <c r="DN68" s="15" t="s">
        <v>82</v>
      </c>
      <c r="DP68" s="25" t="str">
        <f>IF(Regn!$G68&gt;1,Regn!CR68,"")</f>
        <v/>
      </c>
      <c r="DQ68" s="15" t="s">
        <v>82</v>
      </c>
      <c r="DS68" s="16"/>
      <c r="DT68" s="15" t="s">
        <v>82</v>
      </c>
      <c r="DV68" s="25" t="str">
        <f>IF(Regn!$G68&gt;1,UdnKrav,"")</f>
        <v/>
      </c>
      <c r="DW68" s="15" t="s">
        <v>205</v>
      </c>
      <c r="DY68" s="25" t="str">
        <f>IF(Regn!$G68&gt;1,Regn!CX68,"")</f>
        <v/>
      </c>
      <c r="DZ68" s="15" t="s">
        <v>82</v>
      </c>
      <c r="EB68" s="15" t="str">
        <f>IF(Regn!$E68&lt;=1,"",VLOOKUP(Regn!$E68,Afgr,2))</f>
        <v/>
      </c>
      <c r="ED68" s="25" t="str">
        <f>IF(Regn!$E68&gt;1,Regn!IB68,"")</f>
        <v/>
      </c>
      <c r="EE68" s="15" t="s">
        <v>188</v>
      </c>
      <c r="EG68" s="16"/>
      <c r="EH68" s="15" t="s">
        <v>188</v>
      </c>
      <c r="EJ68" s="25" t="str">
        <f>IF(Regn!$E68&gt;1,Regn!IX68,"")</f>
        <v/>
      </c>
      <c r="EK68" s="15" t="s">
        <v>188</v>
      </c>
      <c r="EM68" s="16"/>
      <c r="EN68" s="15" t="s">
        <v>188</v>
      </c>
      <c r="EP68" s="25" t="str">
        <f>IF(Regn!$E68&gt;1,Regn!JB68,"")</f>
        <v/>
      </c>
      <c r="EQ68" s="15" t="s">
        <v>188</v>
      </c>
      <c r="ES68" s="16"/>
      <c r="ET68" s="15" t="s">
        <v>188</v>
      </c>
      <c r="EV68" s="25" t="str">
        <f>IF(Regn!$E68&gt;1,Regn!JF68,"")</f>
        <v/>
      </c>
      <c r="EW68" s="15" t="s">
        <v>188</v>
      </c>
      <c r="EY68" s="16"/>
      <c r="EZ68" s="15" t="s">
        <v>188</v>
      </c>
      <c r="FB68" s="25" t="str">
        <f>IF(Regn!$E68&gt;1,Regn!JL68,"")</f>
        <v/>
      </c>
      <c r="FC68" s="15" t="s">
        <v>362</v>
      </c>
      <c r="FE68" s="16"/>
      <c r="FF68" s="15" t="s">
        <v>188</v>
      </c>
      <c r="FH68" s="25" t="str">
        <f>IF(Regn!$E68&gt;1,Regn!JY68,"")</f>
        <v/>
      </c>
      <c r="FI68" s="15" t="s">
        <v>188</v>
      </c>
      <c r="FK68" s="16"/>
      <c r="FL68" s="15" t="s">
        <v>188</v>
      </c>
      <c r="FN68" s="25" t="str">
        <f>IF(Regn!$E68&gt;1,Regn!KC68,"")</f>
        <v/>
      </c>
      <c r="FO68" s="15" t="s">
        <v>188</v>
      </c>
      <c r="FQ68" s="16"/>
      <c r="FR68" s="15" t="s">
        <v>188</v>
      </c>
      <c r="FT68" s="25" t="str">
        <f>IF(Regn!$E68&gt;1,Regn!KG68,"")</f>
        <v/>
      </c>
      <c r="FU68" s="15" t="s">
        <v>188</v>
      </c>
      <c r="FW68" s="16"/>
      <c r="FX68" s="15" t="s">
        <v>188</v>
      </c>
      <c r="FZ68" s="25" t="str">
        <f>IF(Regn!$E68&gt;1,Regn!KK68,"")</f>
        <v/>
      </c>
      <c r="GA68" s="15" t="s">
        <v>531</v>
      </c>
      <c r="GC68" s="16"/>
      <c r="GD68" s="15" t="s">
        <v>531</v>
      </c>
      <c r="GF68" s="25" t="str">
        <f>IF(Regn!$E68&gt;1,Regn!KM68,"")</f>
        <v/>
      </c>
      <c r="GG68" s="15" t="s">
        <v>188</v>
      </c>
      <c r="GI68" s="16"/>
      <c r="GJ68" s="15" t="s">
        <v>188</v>
      </c>
      <c r="GL68" s="25" t="str">
        <f>IF(Regn!$E68&gt;1,Regn!KT68,"")</f>
        <v/>
      </c>
      <c r="GM68" s="15" t="s">
        <v>188</v>
      </c>
      <c r="GO68" s="16"/>
      <c r="GP68" s="15" t="s">
        <v>405</v>
      </c>
      <c r="GR68" s="25" t="str">
        <f>IF(Regn!$E68&gt;1,Regn!KZ68,"")</f>
        <v/>
      </c>
      <c r="GS68" s="15" t="s">
        <v>188</v>
      </c>
      <c r="GU68" s="16"/>
      <c r="GV68" s="15" t="s">
        <v>188</v>
      </c>
      <c r="HA68" s="25" t="str">
        <f>IF(Regn!$E68&gt;1,Regn!LD68,"")</f>
        <v/>
      </c>
      <c r="HB68" s="15" t="s">
        <v>188</v>
      </c>
      <c r="HD68" s="16"/>
      <c r="HE68" s="15" t="s">
        <v>188</v>
      </c>
      <c r="HG68" s="15" t="str">
        <f>IF(Regn!$G68&lt;=1,"",VLOOKUP(Regn!$G68,Efgr,2))</f>
        <v/>
      </c>
      <c r="HI68" s="25" t="str">
        <f>IF(Regn!$G68&gt;1,Regn!LH68,"")</f>
        <v/>
      </c>
      <c r="HJ68" s="15" t="s">
        <v>188</v>
      </c>
      <c r="HL68" s="16"/>
      <c r="HM68" s="15" t="s">
        <v>188</v>
      </c>
      <c r="HO68" s="25" t="str">
        <f>IF(Regn!$G68&gt;1,Regn!MA68,"")</f>
        <v/>
      </c>
      <c r="HP68" s="15" t="s">
        <v>188</v>
      </c>
      <c r="HR68" s="16"/>
      <c r="HS68" s="15" t="s">
        <v>188</v>
      </c>
      <c r="HU68" s="25" t="str">
        <f>IF(Regn!$G68&gt;1,Regn!ME68,"")</f>
        <v/>
      </c>
      <c r="HV68" s="15" t="s">
        <v>188</v>
      </c>
      <c r="HX68" s="16"/>
      <c r="HY68" s="15" t="s">
        <v>188</v>
      </c>
      <c r="IA68" s="25" t="str">
        <f>IF(Regn!$G68&gt;1,Regn!MI68,"")</f>
        <v/>
      </c>
      <c r="IB68" s="15" t="s">
        <v>188</v>
      </c>
      <c r="ID68" s="16"/>
      <c r="IE68" s="15" t="s">
        <v>188</v>
      </c>
      <c r="IG68" s="25" t="str">
        <f>IF(Regn!$G68&gt;1,Regn!MO68,"")</f>
        <v/>
      </c>
      <c r="IH68" s="15" t="s">
        <v>188</v>
      </c>
      <c r="IJ68" s="16"/>
      <c r="IK68" s="15" t="s">
        <v>188</v>
      </c>
      <c r="IM68" s="25" t="str">
        <f>IF(Regn!$G68&gt;1,Regn!MS68,"")</f>
        <v/>
      </c>
      <c r="IN68" s="15" t="s">
        <v>188</v>
      </c>
      <c r="IP68" s="16"/>
      <c r="IQ68" s="15" t="s">
        <v>188</v>
      </c>
      <c r="IS68" s="25" t="str">
        <f>IF(Regn!$G68&gt;1,Regn!MW68,"")</f>
        <v/>
      </c>
      <c r="IT68" s="15" t="s">
        <v>188</v>
      </c>
      <c r="IV68" s="16"/>
      <c r="IW68" s="15" t="s">
        <v>188</v>
      </c>
      <c r="IY68" s="25" t="str">
        <f>IF(Regn!$G68&gt;1,Regn!NA68,"")</f>
        <v/>
      </c>
      <c r="IZ68" s="15" t="s">
        <v>531</v>
      </c>
      <c r="JB68" s="16"/>
      <c r="JC68" s="15" t="s">
        <v>531</v>
      </c>
      <c r="JE68" s="25" t="str">
        <f>IF(Regn!$G68&gt;1,Regn!NC68,"")</f>
        <v/>
      </c>
      <c r="JF68" s="15" t="s">
        <v>188</v>
      </c>
      <c r="JH68" s="16"/>
      <c r="JI68" s="15" t="s">
        <v>188</v>
      </c>
      <c r="JK68" s="25" t="str">
        <f>IF(Regn!$G68&gt;1,Regn!NI68,"")</f>
        <v/>
      </c>
      <c r="JL68" s="15" t="s">
        <v>188</v>
      </c>
      <c r="JN68" s="16"/>
      <c r="JO68" s="15" t="s">
        <v>188</v>
      </c>
      <c r="JQ68" s="25" t="str">
        <f>IF(Regn!$G68&gt;1,Regn!NM68,"")</f>
        <v/>
      </c>
      <c r="JR68" s="15" t="s">
        <v>188</v>
      </c>
      <c r="JT68" s="16"/>
      <c r="JU68" s="15" t="s">
        <v>188</v>
      </c>
    </row>
    <row r="69" spans="2:281" ht="12" customHeight="1" x14ac:dyDescent="0.25">
      <c r="B69" s="28"/>
      <c r="C69" s="133" t="str">
        <f>IF(OR(Regn!$B70&gt;1,Regn!E68=1),"",VLOOKUP(Regn!$E68,Afgr,2))</f>
        <v/>
      </c>
      <c r="G69" s="134" t="str">
        <f>IF(OR(Regn!$C70&gt;1,Regn!$G68=1),"",VLOOKUP(Regn!$G68,Efgr,2))</f>
        <v/>
      </c>
    </row>
    <row r="70" spans="2:281" x14ac:dyDescent="0.25">
      <c r="B70" s="28">
        <v>8</v>
      </c>
      <c r="Z70" s="36"/>
      <c r="AA70" s="15" t="s">
        <v>85</v>
      </c>
      <c r="AC70" s="53">
        <f>Regn!M70</f>
        <v>0</v>
      </c>
      <c r="AD70" s="15" t="s">
        <v>85</v>
      </c>
      <c r="AF70" s="15" t="str">
        <f>IF(Regn!$E70&lt;=1,"",VLOOKUP(Regn!$E70,Afgr,2))</f>
        <v/>
      </c>
      <c r="AH70" s="55" t="str">
        <f>IF(Regn!$E70&gt;1,Regn!BH70,"")</f>
        <v/>
      </c>
      <c r="AI70" s="15" t="str">
        <f>IF(Regn!BK70&lt;&gt;0,Regn!BK70,"")</f>
        <v/>
      </c>
      <c r="AK70" s="16"/>
      <c r="AL70" s="15" t="str">
        <f>IF(Regn!BK70&lt;&gt;0,Regn!BK70,"")</f>
        <v/>
      </c>
      <c r="AN70" s="33" t="str">
        <f>IF(Regn!$E70&gt;1,Regn!DP70,"")</f>
        <v/>
      </c>
      <c r="AO70" s="15" t="s">
        <v>201</v>
      </c>
      <c r="AQ70" s="38"/>
      <c r="AR70" s="15" t="s">
        <v>201</v>
      </c>
      <c r="AT70" s="55" t="str">
        <f>IF(Regn!$E70&gt;1,Regn!BN70,"")</f>
        <v/>
      </c>
      <c r="AU70" s="15" t="s">
        <v>188</v>
      </c>
      <c r="AW70" s="124"/>
      <c r="AX70" s="15" t="s">
        <v>188</v>
      </c>
      <c r="AZ70" s="25" t="str">
        <f>IF(Regn!$E70&gt;1,Regn!BS70,"")</f>
        <v/>
      </c>
      <c r="BA70" s="15" t="s">
        <v>188</v>
      </c>
      <c r="BC70" s="17"/>
      <c r="BD70" s="15" t="s">
        <v>188</v>
      </c>
      <c r="BF70" s="25" t="str">
        <f>IF(Regn!$E70&gt;1,Regn!BX70,"")</f>
        <v/>
      </c>
      <c r="BG70" s="15" t="s">
        <v>192</v>
      </c>
      <c r="BI70" s="16"/>
      <c r="BJ70" s="15" t="s">
        <v>192</v>
      </c>
      <c r="BO70" s="33" t="str">
        <f>IF(Regn!$E70&gt;1,Regn!CE70,"")</f>
        <v/>
      </c>
      <c r="BP70" s="15" t="s">
        <v>188</v>
      </c>
      <c r="BR70" s="38"/>
      <c r="BS70" s="15" t="s">
        <v>188</v>
      </c>
      <c r="BU70" s="15" t="str">
        <f>IF(Regn!$E70&lt;=1,"",VLOOKUP(Regn!$E70,Afgr,2))</f>
        <v/>
      </c>
      <c r="BW70" s="32" t="str">
        <f>IF(Regn!$E70&gt;1,Regn!Y70,"")</f>
        <v/>
      </c>
      <c r="BX70" s="15" t="s">
        <v>82</v>
      </c>
      <c r="BZ70" s="37"/>
      <c r="CA70" s="15" t="s">
        <v>82</v>
      </c>
      <c r="CC70" s="32" t="str">
        <f>IF(Regn!$E70&gt;1,Regn!S70,"")</f>
        <v/>
      </c>
      <c r="CD70" s="15" t="s">
        <v>82</v>
      </c>
      <c r="CF70" s="32" t="str">
        <f>IF(Regn!$E70&gt;1,Regn!U70,"")</f>
        <v/>
      </c>
      <c r="CG70" s="15" t="s">
        <v>82</v>
      </c>
      <c r="CI70" s="37"/>
      <c r="CJ70" s="15" t="s">
        <v>82</v>
      </c>
      <c r="CL70" s="32" t="str">
        <f>IF(Regn!$E70&gt;1,Regn!AS70,"")</f>
        <v/>
      </c>
      <c r="CM70" s="15" t="s">
        <v>82</v>
      </c>
      <c r="CO70" s="37"/>
      <c r="CP70" s="15" t="s">
        <v>82</v>
      </c>
      <c r="CR70" s="32" t="str">
        <f>IF(Regn!$E70&gt;1,UdnKrav,"")</f>
        <v/>
      </c>
      <c r="CS70" s="15" t="s">
        <v>205</v>
      </c>
      <c r="CU70" s="32" t="str">
        <f>IF(Regn!$E70&gt;1,Regn!AY70,"")</f>
        <v/>
      </c>
      <c r="CV70" s="15" t="s">
        <v>82</v>
      </c>
      <c r="CX70" s="15" t="str">
        <f>IF(Regn!$G70&lt;=1,"",VLOOKUP(Regn!$G70,Efgr,2))</f>
        <v/>
      </c>
      <c r="CZ70" s="25" t="str">
        <f>IF(Regn!$G70&gt;1,Regn!DC70,"")</f>
        <v/>
      </c>
      <c r="DA70" s="15" t="str">
        <f>IF(Regn!$G70&gt;1,Regn!DF70,"")</f>
        <v/>
      </c>
      <c r="DC70" s="16"/>
      <c r="DD70" s="15" t="str">
        <f>IF(Regn!$G70&gt;1,Regn!DF70,"")</f>
        <v/>
      </c>
      <c r="DJ70" s="25" t="str">
        <f>IF(Regn!$G70&gt;1,Regn!CL70,"")</f>
        <v/>
      </c>
      <c r="DK70" s="15" t="s">
        <v>82</v>
      </c>
      <c r="DM70" s="16"/>
      <c r="DN70" s="15" t="s">
        <v>82</v>
      </c>
      <c r="DP70" s="25" t="str">
        <f>IF(Regn!$G70&gt;1,Regn!CR70,"")</f>
        <v/>
      </c>
      <c r="DQ70" s="15" t="s">
        <v>82</v>
      </c>
      <c r="DS70" s="16"/>
      <c r="DT70" s="15" t="s">
        <v>82</v>
      </c>
      <c r="DV70" s="25" t="str">
        <f>IF(Regn!$G70&gt;1,UdnKrav,"")</f>
        <v/>
      </c>
      <c r="DW70" s="15" t="s">
        <v>205</v>
      </c>
      <c r="DY70" s="25" t="str">
        <f>IF(Regn!$G70&gt;1,Regn!CX70,"")</f>
        <v/>
      </c>
      <c r="DZ70" s="15" t="s">
        <v>82</v>
      </c>
      <c r="EB70" s="15" t="str">
        <f>IF(Regn!$E70&lt;=1,"",VLOOKUP(Regn!$E70,Afgr,2))</f>
        <v/>
      </c>
      <c r="ED70" s="25" t="str">
        <f>IF(Regn!$E70&gt;1,Regn!IB70,"")</f>
        <v/>
      </c>
      <c r="EE70" s="15" t="s">
        <v>188</v>
      </c>
      <c r="EG70" s="16"/>
      <c r="EH70" s="15" t="s">
        <v>188</v>
      </c>
      <c r="EJ70" s="25" t="str">
        <f>IF(Regn!$E70&gt;1,Regn!IX70,"")</f>
        <v/>
      </c>
      <c r="EK70" s="15" t="s">
        <v>188</v>
      </c>
      <c r="EM70" s="16"/>
      <c r="EN70" s="15" t="s">
        <v>188</v>
      </c>
      <c r="EP70" s="25" t="str">
        <f>IF(Regn!$E70&gt;1,Regn!JB70,"")</f>
        <v/>
      </c>
      <c r="EQ70" s="15" t="s">
        <v>188</v>
      </c>
      <c r="ES70" s="16"/>
      <c r="ET70" s="15" t="s">
        <v>188</v>
      </c>
      <c r="EV70" s="25" t="str">
        <f>IF(Regn!$E70&gt;1,Regn!JF70,"")</f>
        <v/>
      </c>
      <c r="EW70" s="15" t="s">
        <v>188</v>
      </c>
      <c r="EY70" s="16"/>
      <c r="EZ70" s="15" t="s">
        <v>188</v>
      </c>
      <c r="FB70" s="25" t="str">
        <f>IF(Regn!$E70&gt;1,Regn!JL70,"")</f>
        <v/>
      </c>
      <c r="FC70" s="15" t="s">
        <v>362</v>
      </c>
      <c r="FE70" s="16"/>
      <c r="FF70" s="15" t="s">
        <v>188</v>
      </c>
      <c r="FH70" s="25" t="str">
        <f>IF(Regn!$E70&gt;1,Regn!JY70,"")</f>
        <v/>
      </c>
      <c r="FI70" s="15" t="s">
        <v>188</v>
      </c>
      <c r="FK70" s="16"/>
      <c r="FL70" s="15" t="s">
        <v>188</v>
      </c>
      <c r="FN70" s="25" t="str">
        <f>IF(Regn!$E70&gt;1,Regn!KC70,"")</f>
        <v/>
      </c>
      <c r="FO70" s="15" t="s">
        <v>188</v>
      </c>
      <c r="FQ70" s="16"/>
      <c r="FR70" s="15" t="s">
        <v>188</v>
      </c>
      <c r="FT70" s="25" t="str">
        <f>IF(Regn!$E70&gt;1,Regn!KG70,"")</f>
        <v/>
      </c>
      <c r="FU70" s="15" t="s">
        <v>188</v>
      </c>
      <c r="FW70" s="16"/>
      <c r="FX70" s="15" t="s">
        <v>188</v>
      </c>
      <c r="FZ70" s="25" t="str">
        <f>IF(Regn!$E70&gt;1,Regn!KK70,"")</f>
        <v/>
      </c>
      <c r="GA70" s="15" t="s">
        <v>531</v>
      </c>
      <c r="GC70" s="16"/>
      <c r="GD70" s="15" t="s">
        <v>531</v>
      </c>
      <c r="GF70" s="25" t="str">
        <f>IF(Regn!$E70&gt;1,Regn!KM70,"")</f>
        <v/>
      </c>
      <c r="GG70" s="15" t="s">
        <v>188</v>
      </c>
      <c r="GI70" s="16"/>
      <c r="GJ70" s="15" t="s">
        <v>188</v>
      </c>
      <c r="GL70" s="25" t="str">
        <f>IF(Regn!$E70&gt;1,Regn!KT70,"")</f>
        <v/>
      </c>
      <c r="GM70" s="15" t="s">
        <v>188</v>
      </c>
      <c r="GO70" s="16"/>
      <c r="GP70" s="15" t="s">
        <v>405</v>
      </c>
      <c r="GR70" s="25" t="str">
        <f>IF(Regn!$E70&gt;1,Regn!KZ70,"")</f>
        <v/>
      </c>
      <c r="GS70" s="15" t="s">
        <v>188</v>
      </c>
      <c r="GU70" s="16"/>
      <c r="GV70" s="15" t="s">
        <v>188</v>
      </c>
      <c r="HA70" s="25" t="str">
        <f>IF(Regn!$E70&gt;1,Regn!LD70,"")</f>
        <v/>
      </c>
      <c r="HB70" s="15" t="s">
        <v>188</v>
      </c>
      <c r="HD70" s="16"/>
      <c r="HE70" s="15" t="s">
        <v>188</v>
      </c>
      <c r="HG70" s="15" t="str">
        <f>IF(Regn!$G70&lt;=1,"",VLOOKUP(Regn!$G70,Efgr,2))</f>
        <v/>
      </c>
      <c r="HI70" s="25" t="str">
        <f>IF(Regn!$G70&gt;1,Regn!LH70,"")</f>
        <v/>
      </c>
      <c r="HJ70" s="15" t="s">
        <v>188</v>
      </c>
      <c r="HL70" s="16"/>
      <c r="HM70" s="15" t="s">
        <v>188</v>
      </c>
      <c r="HO70" s="25" t="str">
        <f>IF(Regn!$G70&gt;1,Regn!MA70,"")</f>
        <v/>
      </c>
      <c r="HP70" s="15" t="s">
        <v>188</v>
      </c>
      <c r="HR70" s="16"/>
      <c r="HS70" s="15" t="s">
        <v>188</v>
      </c>
      <c r="HU70" s="25" t="str">
        <f>IF(Regn!$G70&gt;1,Regn!ME70,"")</f>
        <v/>
      </c>
      <c r="HV70" s="15" t="s">
        <v>188</v>
      </c>
      <c r="HX70" s="16"/>
      <c r="HY70" s="15" t="s">
        <v>188</v>
      </c>
      <c r="IA70" s="25" t="str">
        <f>IF(Regn!$G70&gt;1,Regn!MI70,"")</f>
        <v/>
      </c>
      <c r="IB70" s="15" t="s">
        <v>188</v>
      </c>
      <c r="ID70" s="16"/>
      <c r="IE70" s="15" t="s">
        <v>188</v>
      </c>
      <c r="IG70" s="25" t="str">
        <f>IF(Regn!$G70&gt;1,Regn!MO70,"")</f>
        <v/>
      </c>
      <c r="IH70" s="15" t="s">
        <v>188</v>
      </c>
      <c r="IJ70" s="16"/>
      <c r="IK70" s="15" t="s">
        <v>188</v>
      </c>
      <c r="IM70" s="25" t="str">
        <f>IF(Regn!$G70&gt;1,Regn!MS70,"")</f>
        <v/>
      </c>
      <c r="IN70" s="15" t="s">
        <v>188</v>
      </c>
      <c r="IP70" s="16"/>
      <c r="IQ70" s="15" t="s">
        <v>188</v>
      </c>
      <c r="IS70" s="25" t="str">
        <f>IF(Regn!$G70&gt;1,Regn!MW70,"")</f>
        <v/>
      </c>
      <c r="IT70" s="15" t="s">
        <v>188</v>
      </c>
      <c r="IV70" s="16"/>
      <c r="IW70" s="15" t="s">
        <v>188</v>
      </c>
      <c r="IY70" s="25" t="str">
        <f>IF(Regn!$G70&gt;1,Regn!NA70,"")</f>
        <v/>
      </c>
      <c r="IZ70" s="15" t="s">
        <v>531</v>
      </c>
      <c r="JB70" s="16"/>
      <c r="JC70" s="15" t="s">
        <v>531</v>
      </c>
      <c r="JE70" s="25" t="str">
        <f>IF(Regn!$G70&gt;1,Regn!NC70,"")</f>
        <v/>
      </c>
      <c r="JF70" s="15" t="s">
        <v>188</v>
      </c>
      <c r="JH70" s="16"/>
      <c r="JI70" s="15" t="s">
        <v>188</v>
      </c>
      <c r="JK70" s="25" t="str">
        <f>IF(Regn!$G70&gt;1,Regn!NI70,"")</f>
        <v/>
      </c>
      <c r="JL70" s="15" t="s">
        <v>188</v>
      </c>
      <c r="JN70" s="16"/>
      <c r="JO70" s="15" t="s">
        <v>188</v>
      </c>
      <c r="JQ70" s="25" t="str">
        <f>IF(Regn!$G70&gt;1,Regn!NM70,"")</f>
        <v/>
      </c>
      <c r="JR70" s="15" t="s">
        <v>188</v>
      </c>
      <c r="JT70" s="16"/>
      <c r="JU70" s="15" t="s">
        <v>188</v>
      </c>
    </row>
    <row r="72" spans="2:281" x14ac:dyDescent="0.25">
      <c r="C72" s="26" t="s">
        <v>1820</v>
      </c>
      <c r="Z72" s="146">
        <f>Regn!N72</f>
        <v>0</v>
      </c>
      <c r="AA72" s="147" t="s">
        <v>85</v>
      </c>
      <c r="AB72" s="147"/>
      <c r="AC72" s="146">
        <f>DyrkAreal2</f>
        <v>0</v>
      </c>
      <c r="AD72" s="147" t="s">
        <v>85</v>
      </c>
    </row>
    <row r="73" spans="2:281" ht="8.1" customHeight="1" x14ac:dyDescent="0.25"/>
    <row r="74" spans="2:281" x14ac:dyDescent="0.25">
      <c r="C74" s="15" t="s">
        <v>1284</v>
      </c>
      <c r="K74" s="53">
        <f>DyrkAreal12</f>
        <v>1</v>
      </c>
      <c r="L74" s="15" t="s">
        <v>85</v>
      </c>
    </row>
    <row r="75" spans="2:281" x14ac:dyDescent="0.25">
      <c r="C75" s="15" t="s">
        <v>473</v>
      </c>
      <c r="K75" s="53">
        <f>Harmoniareal12</f>
        <v>1</v>
      </c>
      <c r="L75" s="15" t="s">
        <v>85</v>
      </c>
    </row>
    <row r="76" spans="2:281" x14ac:dyDescent="0.25">
      <c r="C76" s="42" t="s">
        <v>468</v>
      </c>
      <c r="K76" s="33">
        <f>IF(ISERROR(HdgDEIaltKorr12/Harmoniareal12),"",HdgDEIaltKorr12/Harmoniareal12)</f>
        <v>0</v>
      </c>
      <c r="L76" s="15" t="s">
        <v>139</v>
      </c>
      <c r="O76" s="15" t="s">
        <v>1672</v>
      </c>
      <c r="V76" s="15">
        <f>DEAfsatEkstra12</f>
        <v>0</v>
      </c>
      <c r="W76" s="15" t="s">
        <v>1469</v>
      </c>
    </row>
    <row r="77" spans="2:281" x14ac:dyDescent="0.25">
      <c r="C77" s="15" t="s">
        <v>1144</v>
      </c>
      <c r="K77" s="53">
        <f>EfgrGrundareal12</f>
        <v>1</v>
      </c>
      <c r="L77" s="15" t="s">
        <v>85</v>
      </c>
    </row>
    <row r="78" spans="2:281" x14ac:dyDescent="0.25">
      <c r="C78" s="15" t="s">
        <v>1285</v>
      </c>
      <c r="H78" s="15">
        <f>IF(Regler12=1,EfgrKrav2010IaltPct12,EfgrKravIaltPct12)</f>
        <v>0</v>
      </c>
      <c r="I78" s="15" t="s">
        <v>205</v>
      </c>
      <c r="K78" s="53">
        <f>IF(Regler12=1,EfgrKrav2010Ialtha12,EfgrKravIaltHa12)</f>
        <v>0</v>
      </c>
      <c r="L78" s="15" t="s">
        <v>85</v>
      </c>
    </row>
    <row r="79" spans="2:281" x14ac:dyDescent="0.25">
      <c r="C79" s="15" t="s">
        <v>1349</v>
      </c>
      <c r="K79" s="53">
        <f>EfgrEkstraKvoteTillaeg12</f>
        <v>0</v>
      </c>
      <c r="L79" s="15" t="s">
        <v>85</v>
      </c>
    </row>
    <row r="80" spans="2:281" x14ac:dyDescent="0.25">
      <c r="C80" s="15" t="s">
        <v>1418</v>
      </c>
      <c r="H80" s="15">
        <f>IF(ISERROR(Randzonekrav12*100/DyrkAreal12),0,Randzonekrav12*100/DyrkAreal12)</f>
        <v>0</v>
      </c>
      <c r="I80" s="15" t="s">
        <v>205</v>
      </c>
      <c r="K80" s="53">
        <f>Randzonekrav12</f>
        <v>0</v>
      </c>
      <c r="L80" s="15" t="s">
        <v>85</v>
      </c>
    </row>
    <row r="82" spans="3:74" x14ac:dyDescent="0.25">
      <c r="C82" s="26" t="s">
        <v>1294</v>
      </c>
      <c r="D82" s="26"/>
      <c r="E82" s="26"/>
      <c r="F82" s="26"/>
      <c r="G82" s="26"/>
      <c r="H82" s="26"/>
      <c r="I82" s="26"/>
      <c r="J82" s="26"/>
      <c r="K82" s="26" t="s">
        <v>1148</v>
      </c>
      <c r="L82" s="26"/>
      <c r="M82" s="26"/>
      <c r="N82" s="26" t="s">
        <v>1842</v>
      </c>
      <c r="O82" s="26"/>
      <c r="P82" s="26"/>
      <c r="Q82" s="26"/>
      <c r="R82" s="74" t="s">
        <v>1311</v>
      </c>
    </row>
    <row r="83" spans="3:74" x14ac:dyDescent="0.25">
      <c r="C83" s="15" t="s">
        <v>78</v>
      </c>
      <c r="K83" s="29">
        <f>EfgrArealFf12</f>
        <v>0</v>
      </c>
      <c r="L83" s="15" t="s">
        <v>85</v>
      </c>
      <c r="N83" s="29">
        <f>EfgrAreal12</f>
        <v>0</v>
      </c>
      <c r="O83" s="15" t="s">
        <v>85</v>
      </c>
      <c r="Q83" s="29">
        <f>N83</f>
        <v>0</v>
      </c>
      <c r="R83" s="15" t="s">
        <v>85</v>
      </c>
    </row>
    <row r="84" spans="3:74" x14ac:dyDescent="0.25">
      <c r="C84" s="15" t="s">
        <v>1351</v>
      </c>
      <c r="K84" s="29">
        <f>EfgrArealFrivillig12</f>
        <v>0</v>
      </c>
      <c r="L84" s="15" t="s">
        <v>85</v>
      </c>
    </row>
    <row r="85" spans="3:74" x14ac:dyDescent="0.25">
      <c r="C85" s="15" t="s">
        <v>1295</v>
      </c>
      <c r="K85" s="29">
        <f>MellemafgrArealFf12</f>
        <v>0</v>
      </c>
      <c r="L85" s="15" t="s">
        <v>85</v>
      </c>
      <c r="N85" s="29">
        <f>MellemafgrAreal12</f>
        <v>0</v>
      </c>
      <c r="O85" s="15" t="s">
        <v>85</v>
      </c>
      <c r="Q85" s="29">
        <f>N85*Efgrkonst</f>
        <v>0</v>
      </c>
      <c r="R85" s="15" t="s">
        <v>85</v>
      </c>
    </row>
    <row r="86" spans="3:74" x14ac:dyDescent="0.25">
      <c r="C86" s="15" t="s">
        <v>1296</v>
      </c>
      <c r="K86" s="29">
        <f>EnergiafgrArealFf12</f>
        <v>0</v>
      </c>
      <c r="L86" s="15" t="s">
        <v>85</v>
      </c>
      <c r="N86" s="29">
        <f>EnergiafgrAreal12</f>
        <v>0</v>
      </c>
      <c r="O86" s="15" t="s">
        <v>85</v>
      </c>
      <c r="Q86" s="29">
        <f>N86*Mlafgrkonst</f>
        <v>0</v>
      </c>
      <c r="R86" s="15" t="s">
        <v>85</v>
      </c>
    </row>
    <row r="87" spans="3:74" x14ac:dyDescent="0.25">
      <c r="C87" s="15" t="s">
        <v>1297</v>
      </c>
      <c r="K87" s="29">
        <f>EfgrOverfort12</f>
        <v>0</v>
      </c>
      <c r="L87" s="15" t="s">
        <v>85</v>
      </c>
      <c r="N87" s="29">
        <f>EfgrOverfort12</f>
        <v>0</v>
      </c>
      <c r="O87" s="15" t="s">
        <v>85</v>
      </c>
      <c r="Q87" s="29">
        <f>EfgrOverfort12</f>
        <v>0</v>
      </c>
      <c r="R87" s="15" t="s">
        <v>85</v>
      </c>
    </row>
    <row r="88" spans="3:74" x14ac:dyDescent="0.25">
      <c r="C88" s="15" t="s">
        <v>1841</v>
      </c>
      <c r="G88" s="266"/>
      <c r="H88" s="266"/>
      <c r="J88" s="266"/>
      <c r="K88" s="266"/>
      <c r="M88" s="266">
        <f>IF(NnormIalt12&lt;NnormTilpasIalt12,0,-(NnormIalt12-NnormTilpasIalt12))</f>
        <v>0</v>
      </c>
      <c r="N88" s="266"/>
      <c r="O88" s="15" t="s">
        <v>82</v>
      </c>
      <c r="Q88" s="29">
        <f>IF(NnormIalt12&lt;NnormTilpasIalt12,0,(NnormIalt12-NnormTilpasIalt12)/KvoteredukHa12)</f>
        <v>0</v>
      </c>
      <c r="R88" s="15" t="s">
        <v>85</v>
      </c>
    </row>
    <row r="90" spans="3:74" x14ac:dyDescent="0.25">
      <c r="C90" s="15" t="s">
        <v>1169</v>
      </c>
      <c r="H90" s="15">
        <f>IF(ISERROR(Randzoneareal12*100/DyrkAreal12),0,Randzoneareal12*100/DyrkAreal12)</f>
        <v>0</v>
      </c>
      <c r="I90" s="15" t="s">
        <v>205</v>
      </c>
      <c r="K90" s="53">
        <f>Randzoneareal12</f>
        <v>0</v>
      </c>
      <c r="L90" s="15" t="s">
        <v>85</v>
      </c>
    </row>
    <row r="91" spans="3:74" x14ac:dyDescent="0.25">
      <c r="C91" s="15" t="s">
        <v>1170</v>
      </c>
      <c r="K91" s="53">
        <f>Vadomradeareal12</f>
        <v>0</v>
      </c>
      <c r="L91" s="15" t="s">
        <v>85</v>
      </c>
    </row>
    <row r="93" spans="3:74" ht="21.75" thickBot="1" x14ac:dyDescent="0.4">
      <c r="C93" s="188" t="s">
        <v>1819</v>
      </c>
      <c r="D93" s="106"/>
      <c r="E93" s="106"/>
      <c r="F93" s="106"/>
      <c r="G93" s="106"/>
      <c r="H93" s="106"/>
      <c r="I93" s="106"/>
      <c r="J93" s="106"/>
      <c r="K93" s="106"/>
      <c r="L93" s="106"/>
      <c r="M93" s="106"/>
      <c r="N93" s="106"/>
      <c r="O93" s="106"/>
      <c r="P93" s="106"/>
      <c r="Q93" s="106"/>
      <c r="R93" s="106"/>
      <c r="S93" s="106"/>
      <c r="T93" s="106"/>
      <c r="U93" s="106"/>
      <c r="V93" s="106"/>
      <c r="W93" s="106"/>
      <c r="X93" s="106"/>
      <c r="Y93" s="106"/>
      <c r="Z93" s="106"/>
      <c r="AA93" s="106"/>
      <c r="AB93" s="106"/>
      <c r="AC93" s="142"/>
      <c r="AD93" s="106"/>
      <c r="AE93" s="18"/>
      <c r="BT93" s="18"/>
      <c r="BV93" s="18"/>
    </row>
    <row r="94" spans="3:74" ht="8.1" customHeight="1" x14ac:dyDescent="0.25">
      <c r="C94" s="26"/>
      <c r="E94" s="43"/>
      <c r="F94" s="43"/>
      <c r="G94" s="43"/>
      <c r="H94" s="43"/>
      <c r="I94" s="43"/>
      <c r="J94" s="18"/>
    </row>
    <row r="95" spans="3:74" x14ac:dyDescent="0.25">
      <c r="C95" s="27" t="s">
        <v>1558</v>
      </c>
      <c r="E95" s="269"/>
      <c r="F95" s="270"/>
      <c r="G95" s="270"/>
      <c r="H95" s="270"/>
      <c r="I95" s="271"/>
      <c r="J95" s="18"/>
      <c r="N95" s="272" t="s">
        <v>1837</v>
      </c>
      <c r="O95" s="273"/>
      <c r="P95" s="273"/>
    </row>
    <row r="96" spans="3:74" ht="9.9499999999999993" customHeight="1" x14ac:dyDescent="0.25"/>
    <row r="97" spans="3:30" x14ac:dyDescent="0.25">
      <c r="C97" s="27" t="s">
        <v>1539</v>
      </c>
      <c r="K97" s="123"/>
      <c r="L97" s="15" t="s">
        <v>85</v>
      </c>
      <c r="N97" s="15">
        <f>-K97*KvoteredukHa34</f>
        <v>0</v>
      </c>
      <c r="O97" s="15" t="s">
        <v>82</v>
      </c>
      <c r="Q97" s="267"/>
      <c r="R97" s="267"/>
      <c r="S97" s="267"/>
      <c r="T97" s="267"/>
      <c r="U97" s="267"/>
      <c r="V97" s="15" t="str">
        <f>IF(Regler34=1,"Ikke aktuel efter 2010-regler","")</f>
        <v/>
      </c>
    </row>
    <row r="98" spans="3:30" ht="9.9499999999999993" customHeight="1" x14ac:dyDescent="0.25">
      <c r="C98" s="27"/>
    </row>
    <row r="99" spans="3:30" x14ac:dyDescent="0.25">
      <c r="C99" s="27" t="s">
        <v>1843</v>
      </c>
      <c r="K99" s="123"/>
      <c r="L99" s="15" t="s">
        <v>85</v>
      </c>
      <c r="N99" s="15">
        <f>K99*KvoteTillaegHa34</f>
        <v>0</v>
      </c>
      <c r="O99" s="15" t="s">
        <v>82</v>
      </c>
      <c r="Q99" s="267"/>
      <c r="R99" s="267"/>
      <c r="S99" s="267"/>
      <c r="T99" s="267"/>
      <c r="U99" s="267"/>
      <c r="V99" s="15" t="str">
        <f>IF(Regler34=1,"Ikke aktuel efter 2010-regler","")</f>
        <v/>
      </c>
    </row>
    <row r="100" spans="3:30" ht="9.9499999999999993" customHeight="1" x14ac:dyDescent="0.25">
      <c r="C100" s="27"/>
    </row>
    <row r="101" spans="3:30" x14ac:dyDescent="0.25">
      <c r="C101" s="27" t="s">
        <v>1535</v>
      </c>
      <c r="H101" s="29">
        <f>IF(NnormIalt34=0,100,IF(NtilpasMetode34=1,(NnormIalt34+KvoteReduk34+KvoteTillaeg34)*100/NnormIalt34,100))</f>
        <v>100</v>
      </c>
      <c r="I101" s="15" t="s">
        <v>205</v>
      </c>
      <c r="K101" s="17"/>
      <c r="L101" s="15" t="s">
        <v>1216</v>
      </c>
    </row>
    <row r="102" spans="3:30" ht="9.9499999999999993" customHeight="1" x14ac:dyDescent="0.25">
      <c r="C102" s="27"/>
    </row>
    <row r="103" spans="3:30" x14ac:dyDescent="0.25">
      <c r="C103" s="27" t="s">
        <v>1312</v>
      </c>
      <c r="K103" s="123"/>
      <c r="L103" s="15" t="s">
        <v>85</v>
      </c>
      <c r="V103" s="15" t="str">
        <f>IF(Regler34=1,"Ikke aktuel efter 2010-regler","")</f>
        <v/>
      </c>
    </row>
    <row r="104" spans="3:30" ht="9.9499999999999993" customHeight="1" x14ac:dyDescent="0.25">
      <c r="C104" s="27"/>
    </row>
    <row r="105" spans="3:30" x14ac:dyDescent="0.25">
      <c r="C105" s="27" t="s">
        <v>1292</v>
      </c>
      <c r="K105" s="17"/>
      <c r="L105" s="15" t="s">
        <v>1247</v>
      </c>
      <c r="V105" s="15" t="str">
        <f>IF(Regler34=1,"Ikke aktuel efter 2010-regler","")</f>
        <v/>
      </c>
    </row>
    <row r="106" spans="3:30" ht="9.9499999999999993" customHeight="1" x14ac:dyDescent="0.25">
      <c r="C106" s="27"/>
    </row>
    <row r="107" spans="3:30" x14ac:dyDescent="0.25">
      <c r="C107" s="27" t="s">
        <v>1538</v>
      </c>
      <c r="K107" s="16"/>
      <c r="L107" s="15" t="s">
        <v>1845</v>
      </c>
      <c r="N107" s="29">
        <f>K107*8*0.0001</f>
        <v>0</v>
      </c>
      <c r="O107" s="15" t="s">
        <v>85</v>
      </c>
      <c r="Q107" s="15" t="s">
        <v>1426</v>
      </c>
      <c r="S107" s="29">
        <f>IF(ISERROR(IF((K107*8*0.0001)*100/DyrkAreal34&gt;3,DyrkAreal34*0.03,(K107*8*0.0001))),0,IF((K107*8*0.0001)*100/DyrkAreal34&gt;3,DyrkAreal34*0.03,(K107*8*0.0001)))</f>
        <v>0</v>
      </c>
      <c r="T107" s="267" t="s">
        <v>85</v>
      </c>
      <c r="U107" s="267"/>
      <c r="V107" s="15" t="str">
        <f>IF(Regler34=1,"Ikke aktuel efter 2010-regler","")</f>
        <v/>
      </c>
    </row>
    <row r="108" spans="3:30" ht="8.1" customHeight="1" x14ac:dyDescent="0.25">
      <c r="C108" s="27"/>
    </row>
    <row r="110" spans="3:30" ht="21" x14ac:dyDescent="0.35">
      <c r="C110" s="189" t="s">
        <v>1817</v>
      </c>
      <c r="D110" s="143"/>
      <c r="E110" s="143"/>
      <c r="F110" s="191" t="s">
        <v>2217</v>
      </c>
      <c r="G110" s="143"/>
      <c r="H110" s="143"/>
      <c r="I110" s="143"/>
      <c r="J110" s="143"/>
      <c r="K110" s="143"/>
      <c r="L110" s="143"/>
      <c r="M110" s="143"/>
      <c r="N110" s="143"/>
      <c r="O110" s="143"/>
      <c r="P110" s="143"/>
      <c r="Q110" s="143"/>
      <c r="R110" s="143"/>
      <c r="S110" s="143"/>
      <c r="T110" s="143"/>
      <c r="U110" s="18"/>
      <c r="V110" s="18"/>
      <c r="W110" s="18"/>
      <c r="X110" s="18"/>
      <c r="Y110" s="18"/>
      <c r="Z110" s="18"/>
      <c r="AA110" s="18"/>
      <c r="AB110" s="18"/>
      <c r="AC110" s="18"/>
      <c r="AD110" s="18"/>
    </row>
    <row r="111" spans="3:30" ht="8.1" customHeight="1" x14ac:dyDescent="0.25"/>
    <row r="112" spans="3:30" x14ac:dyDescent="0.25">
      <c r="C112" s="27" t="s">
        <v>87</v>
      </c>
      <c r="K112" s="27" t="s">
        <v>84</v>
      </c>
      <c r="M112" s="254">
        <v>100</v>
      </c>
      <c r="N112" s="255"/>
      <c r="O112" s="15" t="s">
        <v>85</v>
      </c>
      <c r="P112" s="141" t="s">
        <v>1475</v>
      </c>
      <c r="S112" s="17">
        <v>60</v>
      </c>
      <c r="T112" s="15" t="s">
        <v>205</v>
      </c>
      <c r="U112" s="15" t="s">
        <v>1943</v>
      </c>
      <c r="AD112" s="15" t="s">
        <v>1946</v>
      </c>
    </row>
    <row r="113" spans="2:281" ht="15" customHeight="1" x14ac:dyDescent="0.25">
      <c r="EB113" s="26" t="s">
        <v>328</v>
      </c>
      <c r="FB113" s="26" t="s">
        <v>348</v>
      </c>
      <c r="HG113" s="26" t="s">
        <v>329</v>
      </c>
      <c r="IG113" s="26" t="s">
        <v>417</v>
      </c>
    </row>
    <row r="114" spans="2:281" s="26" customFormat="1" ht="32.1" customHeight="1" x14ac:dyDescent="0.35">
      <c r="C114" s="256" t="s">
        <v>76</v>
      </c>
      <c r="D114" s="257"/>
      <c r="E114" s="257"/>
      <c r="F114" s="257"/>
      <c r="G114" s="258" t="s">
        <v>79</v>
      </c>
      <c r="H114" s="259"/>
      <c r="I114" s="259"/>
      <c r="J114" s="257"/>
      <c r="K114" s="183" t="s">
        <v>1350</v>
      </c>
      <c r="L114" s="184"/>
      <c r="M114" s="268" t="s">
        <v>28</v>
      </c>
      <c r="N114" s="268"/>
      <c r="O114" s="268"/>
      <c r="P114" s="268"/>
      <c r="Q114" s="258" t="s">
        <v>1543</v>
      </c>
      <c r="R114" s="259"/>
      <c r="S114" s="259"/>
      <c r="T114" s="263"/>
      <c r="U114" s="260" t="s">
        <v>83</v>
      </c>
      <c r="V114" s="260"/>
      <c r="W114" s="260"/>
      <c r="X114" s="262"/>
      <c r="Z114" s="26" t="s">
        <v>84</v>
      </c>
      <c r="AC114" s="264" t="s">
        <v>1886</v>
      </c>
      <c r="AD114" s="265"/>
      <c r="AF114" s="26" t="s">
        <v>28</v>
      </c>
      <c r="AH114" s="26" t="s">
        <v>178</v>
      </c>
      <c r="AN114" s="26" t="s">
        <v>200</v>
      </c>
      <c r="AT114" s="26" t="s">
        <v>184</v>
      </c>
      <c r="AZ114" s="26" t="s">
        <v>1337</v>
      </c>
      <c r="BF114" s="26" t="s">
        <v>189</v>
      </c>
      <c r="BL114" s="261" t="s">
        <v>1547</v>
      </c>
      <c r="BM114" s="267"/>
      <c r="BO114" s="26" t="s">
        <v>198</v>
      </c>
      <c r="BU114" s="26" t="s">
        <v>28</v>
      </c>
      <c r="BW114" s="260" t="s">
        <v>437</v>
      </c>
      <c r="BX114" s="260"/>
      <c r="BY114" s="260"/>
      <c r="BZ114" s="260"/>
      <c r="CC114" s="261" t="s">
        <v>86</v>
      </c>
      <c r="CD114" s="260"/>
      <c r="CF114" s="261" t="s">
        <v>1544</v>
      </c>
      <c r="CG114" s="260"/>
      <c r="CI114" s="261" t="s">
        <v>456</v>
      </c>
      <c r="CJ114" s="260"/>
      <c r="CL114" s="261" t="s">
        <v>476</v>
      </c>
      <c r="CM114" s="260"/>
      <c r="CN114" s="260"/>
      <c r="CO114" s="262"/>
      <c r="CR114" s="261" t="s">
        <v>1545</v>
      </c>
      <c r="CS114" s="267"/>
      <c r="CU114" s="261" t="s">
        <v>1546</v>
      </c>
      <c r="CV114" s="267"/>
      <c r="CX114" s="41" t="s">
        <v>1543</v>
      </c>
      <c r="CZ114" s="26" t="s">
        <v>219</v>
      </c>
      <c r="DF114" s="261" t="s">
        <v>1548</v>
      </c>
      <c r="DG114" s="260"/>
      <c r="DH114" s="260"/>
      <c r="DJ114" s="26" t="s">
        <v>86</v>
      </c>
      <c r="DM114" s="26" t="s">
        <v>456</v>
      </c>
      <c r="DP114" s="261" t="s">
        <v>476</v>
      </c>
      <c r="DQ114" s="267"/>
      <c r="DR114" s="267"/>
      <c r="DV114" s="261" t="s">
        <v>1545</v>
      </c>
      <c r="DW114" s="267"/>
      <c r="DY114" s="261" t="s">
        <v>1546</v>
      </c>
      <c r="DZ114" s="267"/>
      <c r="EB114" s="26" t="s">
        <v>28</v>
      </c>
      <c r="ED114" s="26" t="s">
        <v>2</v>
      </c>
      <c r="EJ114" s="26" t="s">
        <v>523</v>
      </c>
      <c r="EP114" s="26" t="s">
        <v>3</v>
      </c>
      <c r="EV114" s="261" t="s">
        <v>1549</v>
      </c>
      <c r="EW114" s="260"/>
      <c r="EX114" s="260"/>
      <c r="EY114" s="260"/>
      <c r="EZ114" s="267"/>
      <c r="FB114" s="26" t="s">
        <v>360</v>
      </c>
      <c r="FH114" s="26" t="s">
        <v>363</v>
      </c>
      <c r="FN114" s="26" t="s">
        <v>364</v>
      </c>
      <c r="FT114" s="26" t="s">
        <v>365</v>
      </c>
      <c r="FZ114" s="26" t="s">
        <v>104</v>
      </c>
      <c r="GL114" s="261" t="s">
        <v>1550</v>
      </c>
      <c r="GM114" s="260"/>
      <c r="GN114" s="260"/>
      <c r="GO114" s="260"/>
      <c r="GP114" s="260"/>
      <c r="GR114" s="261" t="s">
        <v>1551</v>
      </c>
      <c r="GS114" s="260"/>
      <c r="GT114" s="260"/>
      <c r="GU114" s="260"/>
      <c r="GV114" s="260"/>
      <c r="GX114" s="26" t="s">
        <v>435</v>
      </c>
      <c r="HG114" s="41" t="s">
        <v>1543</v>
      </c>
      <c r="HI114" s="26" t="s">
        <v>2</v>
      </c>
      <c r="HO114" s="26" t="s">
        <v>523</v>
      </c>
      <c r="HU114" s="26" t="s">
        <v>3</v>
      </c>
      <c r="IA114" s="26" t="s">
        <v>415</v>
      </c>
      <c r="IG114" s="26" t="s">
        <v>20</v>
      </c>
      <c r="IM114" s="26" t="s">
        <v>364</v>
      </c>
      <c r="IS114" s="26" t="s">
        <v>365</v>
      </c>
      <c r="IY114" s="26" t="s">
        <v>104</v>
      </c>
      <c r="JK114" s="261" t="s">
        <v>1552</v>
      </c>
      <c r="JL114" s="260"/>
      <c r="JM114" s="260"/>
      <c r="JN114" s="260"/>
      <c r="JO114" s="260"/>
      <c r="JQ114" s="261" t="s">
        <v>1553</v>
      </c>
      <c r="JR114" s="260"/>
      <c r="JS114" s="260"/>
      <c r="JT114" s="260"/>
      <c r="JU114" s="260"/>
    </row>
    <row r="115" spans="2:281" ht="12" customHeight="1" x14ac:dyDescent="0.25">
      <c r="M115" s="134" t="str">
        <f>IF(OR(Regn!$E34=1,Regn!E116&gt;1),"",VLOOKUP(Regn!$E34,Afgr,2))</f>
        <v>Vinterraps</v>
      </c>
      <c r="U115" s="134" t="str">
        <f>IF(OR(Regn!$K116&gt;1,Regn!$E118=1),"",VLOOKUP(Regn!$E118,Afgr,2))</f>
        <v/>
      </c>
    </row>
    <row r="116" spans="2:281" x14ac:dyDescent="0.25">
      <c r="B116" s="15">
        <v>1</v>
      </c>
      <c r="Z116" s="36"/>
      <c r="AA116" s="15" t="s">
        <v>85</v>
      </c>
      <c r="AC116" s="53">
        <f>Regn!M116</f>
        <v>0</v>
      </c>
      <c r="AD116" s="15" t="s">
        <v>85</v>
      </c>
      <c r="AF116" s="15" t="str">
        <f>IF(Regn!$E116&lt;=1,"",VLOOKUP(Regn!$E116,Afgr,2))</f>
        <v/>
      </c>
      <c r="AH116" s="55" t="str">
        <f>IF(Regn!$E116&gt;1,Regn!BH116,"")</f>
        <v/>
      </c>
      <c r="AI116" s="15" t="str">
        <f>IF(Regn!BK116&lt;&gt;0,Regn!BK116,"")</f>
        <v/>
      </c>
      <c r="AK116" s="16"/>
      <c r="AL116" s="15" t="str">
        <f>IF(Regn!BK116&lt;&gt;0,Regn!BK116,"")</f>
        <v/>
      </c>
      <c r="AN116" s="33" t="str">
        <f>IF(Regn!$E116&gt;1,Regn!DP116,"")</f>
        <v/>
      </c>
      <c r="AO116" s="15" t="s">
        <v>201</v>
      </c>
      <c r="AQ116" s="38"/>
      <c r="AR116" s="15" t="s">
        <v>201</v>
      </c>
      <c r="AT116" s="55" t="str">
        <f>IF(Regn!$E116&gt;1,Regn!BN116,"")</f>
        <v/>
      </c>
      <c r="AU116" s="15" t="s">
        <v>188</v>
      </c>
      <c r="AW116" s="124"/>
      <c r="AX116" s="15" t="s">
        <v>188</v>
      </c>
      <c r="AZ116" s="25" t="str">
        <f>IF(Regn!$E116&gt;1,Regn!BS116,"")</f>
        <v/>
      </c>
      <c r="BA116" s="15" t="s">
        <v>188</v>
      </c>
      <c r="BC116" s="17"/>
      <c r="BD116" s="15" t="s">
        <v>188</v>
      </c>
      <c r="BF116" s="25" t="str">
        <f>IF(Regn!$E116&gt;1,Regn!BX116,"")</f>
        <v/>
      </c>
      <c r="BG116" s="15" t="s">
        <v>192</v>
      </c>
      <c r="BI116" s="16"/>
      <c r="BJ116" s="15" t="s">
        <v>192</v>
      </c>
      <c r="BO116" s="33" t="str">
        <f>IF(Regn!$E116&gt;1,Regn!CE116,"")</f>
        <v/>
      </c>
      <c r="BP116" s="15" t="s">
        <v>188</v>
      </c>
      <c r="BR116" s="38"/>
      <c r="BS116" s="15" t="s">
        <v>188</v>
      </c>
      <c r="BU116" s="15" t="str">
        <f>IF(Regn!$E116&lt;=1,"",VLOOKUP(Regn!$E116,Afgr,2))</f>
        <v/>
      </c>
      <c r="BW116" s="32" t="str">
        <f>IF(Regn!$E116&gt;1,Regn!Y116,"")</f>
        <v/>
      </c>
      <c r="BX116" s="15" t="s">
        <v>82</v>
      </c>
      <c r="BZ116" s="37"/>
      <c r="CA116" s="15" t="s">
        <v>82</v>
      </c>
      <c r="CC116" s="32" t="str">
        <f>IF(Regn!$E116&gt;1,Regn!S116,"")</f>
        <v/>
      </c>
      <c r="CD116" s="15" t="s">
        <v>82</v>
      </c>
      <c r="CF116" s="32" t="str">
        <f>IF(Regn!$E116&gt;1,Regn!U116,"")</f>
        <v/>
      </c>
      <c r="CG116" s="15" t="s">
        <v>82</v>
      </c>
      <c r="CI116" s="37"/>
      <c r="CJ116" s="15" t="s">
        <v>82</v>
      </c>
      <c r="CL116" s="32" t="str">
        <f>IF(Regn!$E116&gt;1,Regn!AS116,"")</f>
        <v/>
      </c>
      <c r="CM116" s="15" t="s">
        <v>82</v>
      </c>
      <c r="CO116" s="37"/>
      <c r="CP116" s="15" t="s">
        <v>82</v>
      </c>
      <c r="CR116" s="32" t="str">
        <f>IF(Regn!$E116&gt;1,UdnKrav,"")</f>
        <v/>
      </c>
      <c r="CS116" s="15" t="s">
        <v>205</v>
      </c>
      <c r="CU116" s="32" t="str">
        <f>IF(Regn!$E116&gt;1,Regn!AY116,"")</f>
        <v/>
      </c>
      <c r="CV116" s="15" t="s">
        <v>82</v>
      </c>
      <c r="CX116" s="15" t="str">
        <f>IF(Regn!$G116&lt;=1,"",VLOOKUP(Regn!$G116,Efgr,2))</f>
        <v/>
      </c>
      <c r="CZ116" s="25" t="str">
        <f>IF(Regn!$G116&gt;1,Regn!DC116,"")</f>
        <v/>
      </c>
      <c r="DA116" s="15" t="str">
        <f>IF(Regn!$G116&gt;1,Regn!DF116,"")</f>
        <v/>
      </c>
      <c r="DC116" s="16"/>
      <c r="DD116" s="15" t="str">
        <f>IF(Regn!$G116&gt;1,Regn!DF116,"")</f>
        <v/>
      </c>
      <c r="DJ116" s="25" t="str">
        <f>IF(Regn!$G116&gt;1,Regn!CL116,"")</f>
        <v/>
      </c>
      <c r="DK116" s="15" t="s">
        <v>82</v>
      </c>
      <c r="DM116" s="16"/>
      <c r="DN116" s="15" t="s">
        <v>82</v>
      </c>
      <c r="DP116" s="25" t="str">
        <f>IF(Regn!$G116&gt;1,Regn!CR116,"")</f>
        <v/>
      </c>
      <c r="DQ116" s="15" t="s">
        <v>82</v>
      </c>
      <c r="DS116" s="16"/>
      <c r="DT116" s="15" t="s">
        <v>82</v>
      </c>
      <c r="DV116" s="25" t="str">
        <f>IF(Regn!$G116&gt;1,UdnKrav,"")</f>
        <v/>
      </c>
      <c r="DW116" s="15" t="s">
        <v>205</v>
      </c>
      <c r="DY116" s="25" t="str">
        <f>IF(Regn!$G116&gt;1,Regn!CX116,"")</f>
        <v/>
      </c>
      <c r="DZ116" s="15" t="s">
        <v>82</v>
      </c>
      <c r="EB116" s="15" t="str">
        <f>IF(Regn!$E116&lt;=1,"",VLOOKUP(Regn!$E116,Afgr,2))</f>
        <v/>
      </c>
      <c r="ED116" s="25" t="str">
        <f>IF(Regn!$E116&gt;1,Regn!IB116,"")</f>
        <v/>
      </c>
      <c r="EE116" s="15" t="s">
        <v>188</v>
      </c>
      <c r="EG116" s="16"/>
      <c r="EH116" s="15" t="s">
        <v>188</v>
      </c>
      <c r="EJ116" s="25" t="str">
        <f>IF(Regn!$E116&gt;1,Regn!IX116,"")</f>
        <v/>
      </c>
      <c r="EK116" s="15" t="s">
        <v>188</v>
      </c>
      <c r="EM116" s="16"/>
      <c r="EN116" s="15" t="s">
        <v>188</v>
      </c>
      <c r="EP116" s="25" t="str">
        <f>IF(Regn!$E116&gt;1,Regn!JB116,"")</f>
        <v/>
      </c>
      <c r="EQ116" s="15" t="s">
        <v>188</v>
      </c>
      <c r="ES116" s="16"/>
      <c r="ET116" s="15" t="s">
        <v>188</v>
      </c>
      <c r="EV116" s="25" t="str">
        <f>IF(Regn!$E116&gt;1,Regn!JF116,"")</f>
        <v/>
      </c>
      <c r="EW116" s="15" t="s">
        <v>188</v>
      </c>
      <c r="EY116" s="16"/>
      <c r="EZ116" s="15" t="s">
        <v>188</v>
      </c>
      <c r="FB116" s="25" t="str">
        <f>IF(Regn!$E116&gt;1,Regn!JL116,"")</f>
        <v/>
      </c>
      <c r="FC116" s="15" t="s">
        <v>362</v>
      </c>
      <c r="FE116" s="16"/>
      <c r="FF116" s="15" t="s">
        <v>188</v>
      </c>
      <c r="FH116" s="25" t="str">
        <f>IF(Regn!$E116&gt;1,Regn!JY116,"")</f>
        <v/>
      </c>
      <c r="FI116" s="15" t="s">
        <v>188</v>
      </c>
      <c r="FK116" s="16"/>
      <c r="FL116" s="15" t="s">
        <v>188</v>
      </c>
      <c r="FN116" s="25" t="str">
        <f>IF(Regn!$E116&gt;1,Regn!KC116,"")</f>
        <v/>
      </c>
      <c r="FO116" s="15" t="s">
        <v>188</v>
      </c>
      <c r="FQ116" s="16"/>
      <c r="FR116" s="15" t="s">
        <v>188</v>
      </c>
      <c r="FT116" s="25" t="str">
        <f>IF(Regn!$E116&gt;1,Regn!KG116,"")</f>
        <v/>
      </c>
      <c r="FU116" s="15" t="s">
        <v>188</v>
      </c>
      <c r="FW116" s="16"/>
      <c r="FX116" s="15" t="s">
        <v>188</v>
      </c>
      <c r="FZ116" s="25" t="str">
        <f>IF(Regn!$E116&gt;1,Regn!KK116,"")</f>
        <v/>
      </c>
      <c r="GA116" s="15" t="s">
        <v>531</v>
      </c>
      <c r="GC116" s="16"/>
      <c r="GD116" s="15" t="s">
        <v>531</v>
      </c>
      <c r="GF116" s="25" t="str">
        <f>IF(Regn!$E116&gt;1,Regn!KM116,"")</f>
        <v/>
      </c>
      <c r="GG116" s="15" t="s">
        <v>188</v>
      </c>
      <c r="GI116" s="16"/>
      <c r="GJ116" s="15" t="s">
        <v>188</v>
      </c>
      <c r="GL116" s="25" t="str">
        <f>IF(Regn!$E116&gt;1,Regn!KT116,"")</f>
        <v/>
      </c>
      <c r="GM116" s="15" t="s">
        <v>188</v>
      </c>
      <c r="GO116" s="16"/>
      <c r="GP116" s="15" t="s">
        <v>405</v>
      </c>
      <c r="GR116" s="25" t="str">
        <f>IF(Regn!$E116&gt;1,Regn!KZ116,"")</f>
        <v/>
      </c>
      <c r="GS116" s="15" t="s">
        <v>188</v>
      </c>
      <c r="GU116" s="16"/>
      <c r="GV116" s="15" t="s">
        <v>188</v>
      </c>
      <c r="HA116" s="25" t="str">
        <f>IF(Regn!$E116&gt;1,Regn!LD116,"")</f>
        <v/>
      </c>
      <c r="HB116" s="15" t="s">
        <v>188</v>
      </c>
      <c r="HD116" s="16"/>
      <c r="HE116" s="15" t="s">
        <v>188</v>
      </c>
      <c r="HG116" s="15" t="str">
        <f>IF(Regn!$G116&lt;=1,"",VLOOKUP(Regn!$G116,Efgr,2))</f>
        <v/>
      </c>
      <c r="HI116" s="25" t="str">
        <f>IF(Regn!$G116&gt;1,Regn!LH116,"")</f>
        <v/>
      </c>
      <c r="HJ116" s="15" t="s">
        <v>188</v>
      </c>
      <c r="HL116" s="16"/>
      <c r="HM116" s="15" t="s">
        <v>188</v>
      </c>
      <c r="HO116" s="25" t="str">
        <f>IF(Regn!$G116&gt;1,Regn!MA116,"")</f>
        <v/>
      </c>
      <c r="HP116" s="15" t="s">
        <v>188</v>
      </c>
      <c r="HR116" s="16"/>
      <c r="HS116" s="15" t="s">
        <v>188</v>
      </c>
      <c r="HU116" s="25" t="str">
        <f>IF(Regn!$G116&gt;1,Regn!ME116,"")</f>
        <v/>
      </c>
      <c r="HV116" s="15" t="s">
        <v>188</v>
      </c>
      <c r="HX116" s="16"/>
      <c r="HY116" s="15" t="s">
        <v>188</v>
      </c>
      <c r="IA116" s="25" t="str">
        <f>IF(Regn!$G116&gt;1,Regn!MI116,"")</f>
        <v/>
      </c>
      <c r="IB116" s="15" t="s">
        <v>188</v>
      </c>
      <c r="ID116" s="16"/>
      <c r="IE116" s="15" t="s">
        <v>188</v>
      </c>
      <c r="IG116" s="25" t="str">
        <f>IF(Regn!$G116&gt;1,Regn!MO116,"")</f>
        <v/>
      </c>
      <c r="IH116" s="15" t="s">
        <v>188</v>
      </c>
      <c r="IJ116" s="16"/>
      <c r="IK116" s="15" t="s">
        <v>188</v>
      </c>
      <c r="IM116" s="25" t="str">
        <f>IF(Regn!$G116&gt;1,Regn!MS116,"")</f>
        <v/>
      </c>
      <c r="IN116" s="15" t="s">
        <v>188</v>
      </c>
      <c r="IP116" s="16"/>
      <c r="IQ116" s="15" t="s">
        <v>188</v>
      </c>
      <c r="IS116" s="25" t="str">
        <f>IF(Regn!$G116&gt;1,Regn!MW116,"")</f>
        <v/>
      </c>
      <c r="IT116" s="15" t="s">
        <v>188</v>
      </c>
      <c r="IV116" s="16"/>
      <c r="IW116" s="15" t="s">
        <v>188</v>
      </c>
      <c r="IY116" s="25" t="str">
        <f>IF(Regn!$G116&gt;1,Regn!NA116,"")</f>
        <v/>
      </c>
      <c r="IZ116" s="15" t="s">
        <v>531</v>
      </c>
      <c r="JB116" s="16"/>
      <c r="JC116" s="15" t="s">
        <v>531</v>
      </c>
      <c r="JE116" s="25" t="str">
        <f>IF(Regn!$G116&gt;1,Regn!NC116,"")</f>
        <v/>
      </c>
      <c r="JF116" s="15" t="s">
        <v>188</v>
      </c>
      <c r="JH116" s="16"/>
      <c r="JI116" s="15" t="s">
        <v>188</v>
      </c>
      <c r="JK116" s="25" t="str">
        <f>IF(Regn!$G116&gt;1,Regn!NI116,"")</f>
        <v/>
      </c>
      <c r="JL116" s="15" t="s">
        <v>188</v>
      </c>
      <c r="JN116" s="16"/>
      <c r="JO116" s="15" t="s">
        <v>188</v>
      </c>
      <c r="JQ116" s="25" t="str">
        <f>IF(Regn!$G116&gt;1,Regn!NM116,"")</f>
        <v/>
      </c>
      <c r="JR116" s="15" t="s">
        <v>188</v>
      </c>
      <c r="JT116" s="16"/>
      <c r="JU116" s="15" t="s">
        <v>188</v>
      </c>
    </row>
    <row r="117" spans="2:281" ht="12" customHeight="1" x14ac:dyDescent="0.25">
      <c r="B117" s="28"/>
      <c r="C117" s="133" t="str">
        <f>IF(OR(Regn!$B118&gt;1,Regn!$E116=1),"",VLOOKUP(Regn!$E116,Afgr,2))</f>
        <v/>
      </c>
      <c r="G117" s="134" t="str">
        <f>IF(OR(Regn!$C118&gt;1,Regn!$G116=1),"",VLOOKUP(Regn!$G116,Efgr,2))</f>
        <v/>
      </c>
      <c r="M117" s="134" t="str">
        <f>IF(OR(Regn!$E36=1,Regn!E118&gt;1),"",VLOOKUP(Regn!$E36,Afgr,2))</f>
        <v>Vinterhvede</v>
      </c>
      <c r="U117" s="134" t="str">
        <f>IF(OR(Regn!$K118&gt;1,Regn!$E120=1),"",VLOOKUP(Regn!$E120,Afgr,2))</f>
        <v/>
      </c>
    </row>
    <row r="118" spans="2:281" x14ac:dyDescent="0.25">
      <c r="B118" s="28">
        <v>2</v>
      </c>
      <c r="Z118" s="36"/>
      <c r="AA118" s="15" t="s">
        <v>85</v>
      </c>
      <c r="AC118" s="53">
        <f>Regn!M118</f>
        <v>0</v>
      </c>
      <c r="AD118" s="15" t="s">
        <v>85</v>
      </c>
      <c r="AF118" s="15" t="str">
        <f>IF(Regn!$E118&lt;=1,"",VLOOKUP(Regn!$E118,Afgr,2))</f>
        <v/>
      </c>
      <c r="AH118" s="55" t="str">
        <f>IF(Regn!$E118&gt;1,Regn!BH118,"")</f>
        <v/>
      </c>
      <c r="AI118" s="15" t="str">
        <f>IF(Regn!BK118&lt;&gt;0,Regn!BK118,"")</f>
        <v/>
      </c>
      <c r="AK118" s="16"/>
      <c r="AL118" s="15" t="str">
        <f>IF(Regn!BK118&lt;&gt;0,Regn!BK118,"")</f>
        <v/>
      </c>
      <c r="AN118" s="33" t="str">
        <f>IF(Regn!$E118&gt;1,Regn!DP118,"")</f>
        <v/>
      </c>
      <c r="AO118" s="15" t="s">
        <v>201</v>
      </c>
      <c r="AQ118" s="38"/>
      <c r="AR118" s="15" t="s">
        <v>201</v>
      </c>
      <c r="AT118" s="55" t="str">
        <f>IF(Regn!$E118&gt;1,Regn!BN118,"")</f>
        <v/>
      </c>
      <c r="AU118" s="15" t="s">
        <v>188</v>
      </c>
      <c r="AW118" s="124"/>
      <c r="AX118" s="15" t="s">
        <v>188</v>
      </c>
      <c r="AZ118" s="25" t="str">
        <f>IF(Regn!$E118&gt;1,Regn!BS118,"")</f>
        <v/>
      </c>
      <c r="BA118" s="15" t="s">
        <v>188</v>
      </c>
      <c r="BC118" s="17"/>
      <c r="BD118" s="15" t="s">
        <v>188</v>
      </c>
      <c r="BF118" s="25" t="str">
        <f>IF(Regn!$E118&gt;1,Regn!BX118,"")</f>
        <v/>
      </c>
      <c r="BG118" s="15" t="s">
        <v>192</v>
      </c>
      <c r="BI118" s="16"/>
      <c r="BJ118" s="15" t="s">
        <v>192</v>
      </c>
      <c r="BO118" s="33" t="str">
        <f>IF(Regn!$E118&gt;1,Regn!CE118,"")</f>
        <v/>
      </c>
      <c r="BP118" s="15" t="s">
        <v>188</v>
      </c>
      <c r="BR118" s="38"/>
      <c r="BS118" s="15" t="s">
        <v>188</v>
      </c>
      <c r="BU118" s="15" t="str">
        <f>IF(Regn!$E118&lt;=1,"",VLOOKUP(Regn!$E118,Afgr,2))</f>
        <v/>
      </c>
      <c r="BW118" s="32" t="str">
        <f>IF(Regn!$E118&gt;1,Regn!Y118,"")</f>
        <v/>
      </c>
      <c r="BX118" s="15" t="s">
        <v>82</v>
      </c>
      <c r="BZ118" s="37"/>
      <c r="CA118" s="15" t="s">
        <v>82</v>
      </c>
      <c r="CC118" s="32" t="str">
        <f>IF(Regn!$E118&gt;1,Regn!S118,"")</f>
        <v/>
      </c>
      <c r="CD118" s="15" t="s">
        <v>82</v>
      </c>
      <c r="CF118" s="32" t="str">
        <f>IF(Regn!$E118&gt;1,Regn!U118,"")</f>
        <v/>
      </c>
      <c r="CG118" s="15" t="s">
        <v>82</v>
      </c>
      <c r="CI118" s="37"/>
      <c r="CJ118" s="15" t="s">
        <v>82</v>
      </c>
      <c r="CL118" s="32" t="str">
        <f>IF(Regn!$E118&gt;1,Regn!AS118,"")</f>
        <v/>
      </c>
      <c r="CM118" s="15" t="s">
        <v>82</v>
      </c>
      <c r="CO118" s="37"/>
      <c r="CP118" s="15" t="s">
        <v>82</v>
      </c>
      <c r="CR118" s="32" t="str">
        <f>IF(Regn!$E118&gt;1,UdnKrav,"")</f>
        <v/>
      </c>
      <c r="CS118" s="15" t="s">
        <v>205</v>
      </c>
      <c r="CU118" s="32" t="str">
        <f>IF(Regn!$E118&gt;1,Regn!AY118,"")</f>
        <v/>
      </c>
      <c r="CV118" s="15" t="s">
        <v>82</v>
      </c>
      <c r="CX118" s="15" t="str">
        <f>IF(Regn!$G118&lt;=1,"",VLOOKUP(Regn!$G118,Efgr,2))</f>
        <v/>
      </c>
      <c r="CZ118" s="25" t="str">
        <f>IF(Regn!$G118&gt;1,Regn!DC118,"")</f>
        <v/>
      </c>
      <c r="DA118" s="15" t="str">
        <f>IF(Regn!$G118&gt;1,Regn!DF118,"")</f>
        <v/>
      </c>
      <c r="DC118" s="16"/>
      <c r="DD118" s="15" t="str">
        <f>IF(Regn!$G118&gt;1,Regn!DF118,"")</f>
        <v/>
      </c>
      <c r="DJ118" s="25" t="str">
        <f>IF(Regn!$G118&gt;1,Regn!CL118,"")</f>
        <v/>
      </c>
      <c r="DK118" s="15" t="s">
        <v>82</v>
      </c>
      <c r="DM118" s="16"/>
      <c r="DN118" s="15" t="s">
        <v>82</v>
      </c>
      <c r="DP118" s="25" t="str">
        <f>IF(Regn!$G118&gt;1,Regn!CR118,"")</f>
        <v/>
      </c>
      <c r="DQ118" s="15" t="s">
        <v>82</v>
      </c>
      <c r="DS118" s="16"/>
      <c r="DT118" s="15" t="s">
        <v>82</v>
      </c>
      <c r="DV118" s="25" t="str">
        <f>IF(Regn!$G118&gt;1,UdnKrav,"")</f>
        <v/>
      </c>
      <c r="DW118" s="15" t="s">
        <v>205</v>
      </c>
      <c r="DY118" s="25" t="str">
        <f>IF(Regn!$G118&gt;1,Regn!CX118,"")</f>
        <v/>
      </c>
      <c r="DZ118" s="15" t="s">
        <v>82</v>
      </c>
      <c r="EB118" s="15" t="str">
        <f>IF(Regn!$E118&lt;=1,"",VLOOKUP(Regn!$E118,Afgr,2))</f>
        <v/>
      </c>
      <c r="ED118" s="25" t="str">
        <f>IF(Regn!$E118&gt;1,Regn!IB118,"")</f>
        <v/>
      </c>
      <c r="EE118" s="15" t="s">
        <v>188</v>
      </c>
      <c r="EG118" s="16"/>
      <c r="EH118" s="15" t="s">
        <v>188</v>
      </c>
      <c r="EJ118" s="25" t="str">
        <f>IF(Regn!$E118&gt;1,Regn!IX118,"")</f>
        <v/>
      </c>
      <c r="EK118" s="15" t="s">
        <v>188</v>
      </c>
      <c r="EM118" s="16"/>
      <c r="EN118" s="15" t="s">
        <v>188</v>
      </c>
      <c r="EP118" s="25" t="str">
        <f>IF(Regn!$E118&gt;1,Regn!JB118,"")</f>
        <v/>
      </c>
      <c r="EQ118" s="15" t="s">
        <v>188</v>
      </c>
      <c r="ES118" s="16"/>
      <c r="ET118" s="15" t="s">
        <v>188</v>
      </c>
      <c r="EV118" s="25" t="str">
        <f>IF(Regn!$E118&gt;1,Regn!JF118,"")</f>
        <v/>
      </c>
      <c r="EW118" s="15" t="s">
        <v>188</v>
      </c>
      <c r="EY118" s="16"/>
      <c r="EZ118" s="15" t="s">
        <v>188</v>
      </c>
      <c r="FB118" s="25" t="str">
        <f>IF(Regn!$E118&gt;1,Regn!JL118,"")</f>
        <v/>
      </c>
      <c r="FC118" s="15" t="s">
        <v>362</v>
      </c>
      <c r="FE118" s="16"/>
      <c r="FF118" s="15" t="s">
        <v>188</v>
      </c>
      <c r="FH118" s="25" t="str">
        <f>IF(Regn!$E118&gt;1,Regn!JY118,"")</f>
        <v/>
      </c>
      <c r="FI118" s="15" t="s">
        <v>188</v>
      </c>
      <c r="FK118" s="16"/>
      <c r="FL118" s="15" t="s">
        <v>188</v>
      </c>
      <c r="FN118" s="25" t="str">
        <f>IF(Regn!$E118&gt;1,Regn!KC118,"")</f>
        <v/>
      </c>
      <c r="FO118" s="15" t="s">
        <v>188</v>
      </c>
      <c r="FQ118" s="16"/>
      <c r="FR118" s="15" t="s">
        <v>188</v>
      </c>
      <c r="FT118" s="25" t="str">
        <f>IF(Regn!$E118&gt;1,Regn!KG118,"")</f>
        <v/>
      </c>
      <c r="FU118" s="15" t="s">
        <v>188</v>
      </c>
      <c r="FW118" s="16"/>
      <c r="FX118" s="15" t="s">
        <v>188</v>
      </c>
      <c r="FZ118" s="25" t="str">
        <f>IF(Regn!$E118&gt;1,Regn!KK118,"")</f>
        <v/>
      </c>
      <c r="GA118" s="15" t="s">
        <v>531</v>
      </c>
      <c r="GC118" s="16"/>
      <c r="GD118" s="15" t="s">
        <v>531</v>
      </c>
      <c r="GF118" s="25" t="str">
        <f>IF(Regn!$E118&gt;1,Regn!KM118,"")</f>
        <v/>
      </c>
      <c r="GG118" s="15" t="s">
        <v>188</v>
      </c>
      <c r="GI118" s="16"/>
      <c r="GJ118" s="15" t="s">
        <v>188</v>
      </c>
      <c r="GL118" s="25" t="str">
        <f>IF(Regn!$E118&gt;1,Regn!KT118,"")</f>
        <v/>
      </c>
      <c r="GM118" s="15" t="s">
        <v>188</v>
      </c>
      <c r="GO118" s="16"/>
      <c r="GP118" s="15" t="s">
        <v>405</v>
      </c>
      <c r="GR118" s="25" t="str">
        <f>IF(Regn!$E118&gt;1,Regn!KZ118,"")</f>
        <v/>
      </c>
      <c r="GS118" s="15" t="s">
        <v>188</v>
      </c>
      <c r="GU118" s="16"/>
      <c r="GV118" s="15" t="s">
        <v>188</v>
      </c>
      <c r="HA118" s="25" t="str">
        <f>IF(Regn!$E118&gt;1,Regn!LD118,"")</f>
        <v/>
      </c>
      <c r="HB118" s="15" t="s">
        <v>188</v>
      </c>
      <c r="HD118" s="16"/>
      <c r="HE118" s="15" t="s">
        <v>188</v>
      </c>
      <c r="HG118" s="15" t="str">
        <f>IF(Regn!$G118&lt;=1,"",VLOOKUP(Regn!$G118,Efgr,2))</f>
        <v/>
      </c>
      <c r="HI118" s="25" t="str">
        <f>IF(Regn!$G118&gt;1,Regn!LH118,"")</f>
        <v/>
      </c>
      <c r="HJ118" s="15" t="s">
        <v>188</v>
      </c>
      <c r="HL118" s="16"/>
      <c r="HM118" s="15" t="s">
        <v>188</v>
      </c>
      <c r="HO118" s="25" t="str">
        <f>IF(Regn!$G118&gt;1,Regn!MA118,"")</f>
        <v/>
      </c>
      <c r="HP118" s="15" t="s">
        <v>188</v>
      </c>
      <c r="HR118" s="16"/>
      <c r="HS118" s="15" t="s">
        <v>188</v>
      </c>
      <c r="HU118" s="25" t="str">
        <f>IF(Regn!$G118&gt;1,Regn!ME118,"")</f>
        <v/>
      </c>
      <c r="HV118" s="15" t="s">
        <v>188</v>
      </c>
      <c r="HX118" s="16"/>
      <c r="HY118" s="15" t="s">
        <v>188</v>
      </c>
      <c r="IA118" s="25" t="str">
        <f>IF(Regn!$G118&gt;1,Regn!MI118,"")</f>
        <v/>
      </c>
      <c r="IB118" s="15" t="s">
        <v>188</v>
      </c>
      <c r="ID118" s="16"/>
      <c r="IE118" s="15" t="s">
        <v>188</v>
      </c>
      <c r="IG118" s="25" t="str">
        <f>IF(Regn!$G118&gt;1,Regn!MO118,"")</f>
        <v/>
      </c>
      <c r="IH118" s="15" t="s">
        <v>188</v>
      </c>
      <c r="IJ118" s="16"/>
      <c r="IK118" s="15" t="s">
        <v>188</v>
      </c>
      <c r="IM118" s="25" t="str">
        <f>IF(Regn!$G118&gt;1,Regn!MS118,"")</f>
        <v/>
      </c>
      <c r="IN118" s="15" t="s">
        <v>188</v>
      </c>
      <c r="IP118" s="16"/>
      <c r="IQ118" s="15" t="s">
        <v>188</v>
      </c>
      <c r="IS118" s="25" t="str">
        <f>IF(Regn!$G118&gt;1,Regn!MW118,"")</f>
        <v/>
      </c>
      <c r="IT118" s="15" t="s">
        <v>188</v>
      </c>
      <c r="IV118" s="16"/>
      <c r="IW118" s="15" t="s">
        <v>188</v>
      </c>
      <c r="IY118" s="25" t="str">
        <f>IF(Regn!$G118&gt;1,Regn!NA118,"")</f>
        <v/>
      </c>
      <c r="IZ118" s="15" t="s">
        <v>531</v>
      </c>
      <c r="JB118" s="16"/>
      <c r="JC118" s="15" t="s">
        <v>531</v>
      </c>
      <c r="JE118" s="25" t="str">
        <f>IF(Regn!$G118&gt;1,Regn!NC118,"")</f>
        <v/>
      </c>
      <c r="JF118" s="15" t="s">
        <v>188</v>
      </c>
      <c r="JH118" s="16"/>
      <c r="JI118" s="15" t="s">
        <v>188</v>
      </c>
      <c r="JK118" s="25" t="str">
        <f>IF(Regn!$G118&gt;1,Regn!NI118,"")</f>
        <v/>
      </c>
      <c r="JL118" s="15" t="s">
        <v>188</v>
      </c>
      <c r="JN118" s="16"/>
      <c r="JO118" s="15" t="s">
        <v>188</v>
      </c>
      <c r="JQ118" s="25" t="str">
        <f>IF(Regn!$G118&gt;1,Regn!NM118,"")</f>
        <v/>
      </c>
      <c r="JR118" s="15" t="s">
        <v>188</v>
      </c>
      <c r="JT118" s="16"/>
      <c r="JU118" s="15" t="s">
        <v>188</v>
      </c>
    </row>
    <row r="119" spans="2:281" ht="12" customHeight="1" x14ac:dyDescent="0.25">
      <c r="B119" s="28"/>
      <c r="C119" s="133" t="str">
        <f>IF(OR(Regn!$B120&gt;1,Regn!$E118=1),"",VLOOKUP(Regn!$E118,Afgr,2))</f>
        <v/>
      </c>
      <c r="G119" s="134" t="str">
        <f>IF(OR(Regn!$C120&gt;1,Regn!$G118=1),"",VLOOKUP(Regn!$G118,Efgr,2))</f>
        <v/>
      </c>
      <c r="M119" s="134" t="str">
        <f>IF(OR(Regn!$E38=1,Regn!E120&gt;1),"",VLOOKUP(Regn!$E38,Afgr,2))</f>
        <v/>
      </c>
      <c r="O119" s="34"/>
      <c r="U119" s="134" t="str">
        <f>IF(OR(Regn!$K120&gt;1,Regn!$E122=1),"",VLOOKUP(Regn!$E122,Afgr,2))</f>
        <v/>
      </c>
    </row>
    <row r="120" spans="2:281" x14ac:dyDescent="0.25">
      <c r="B120" s="28">
        <v>3</v>
      </c>
      <c r="Z120" s="36"/>
      <c r="AA120" s="15" t="s">
        <v>85</v>
      </c>
      <c r="AC120" s="53">
        <f>Regn!M120</f>
        <v>0</v>
      </c>
      <c r="AD120" s="15" t="s">
        <v>85</v>
      </c>
      <c r="AF120" s="15" t="str">
        <f>IF(Regn!$E120&lt;=1,"",VLOOKUP(Regn!$E120,Afgr,2))</f>
        <v/>
      </c>
      <c r="AH120" s="55" t="str">
        <f>IF(Regn!$E120&gt;1,Regn!BH120,"")</f>
        <v/>
      </c>
      <c r="AI120" s="15" t="str">
        <f>IF(Regn!BK120&lt;&gt;0,Regn!BK120,"")</f>
        <v/>
      </c>
      <c r="AK120" s="16"/>
      <c r="AL120" s="15" t="str">
        <f>IF(Regn!BK120&lt;&gt;0,Regn!BK120,"")</f>
        <v/>
      </c>
      <c r="AN120" s="33" t="str">
        <f>IF(Regn!$E120&gt;1,Regn!DP120,"")</f>
        <v/>
      </c>
      <c r="AO120" s="15" t="s">
        <v>201</v>
      </c>
      <c r="AQ120" s="38"/>
      <c r="AR120" s="15" t="s">
        <v>201</v>
      </c>
      <c r="AT120" s="55" t="str">
        <f>IF(Regn!$E120&gt;1,Regn!BN120,"")</f>
        <v/>
      </c>
      <c r="AU120" s="15" t="s">
        <v>188</v>
      </c>
      <c r="AW120" s="124"/>
      <c r="AX120" s="15" t="s">
        <v>188</v>
      </c>
      <c r="AZ120" s="25" t="str">
        <f>IF(Regn!$E120&gt;1,Regn!BS120,"")</f>
        <v/>
      </c>
      <c r="BA120" s="15" t="s">
        <v>188</v>
      </c>
      <c r="BC120" s="17"/>
      <c r="BD120" s="15" t="s">
        <v>188</v>
      </c>
      <c r="BF120" s="25" t="str">
        <f>IF(Regn!$E120&gt;1,Regn!BX120,"")</f>
        <v/>
      </c>
      <c r="BG120" s="15" t="s">
        <v>192</v>
      </c>
      <c r="BI120" s="16"/>
      <c r="BJ120" s="15" t="s">
        <v>192</v>
      </c>
      <c r="BO120" s="33" t="str">
        <f>IF(Regn!$E120&gt;1,Regn!CE120,"")</f>
        <v/>
      </c>
      <c r="BP120" s="15" t="s">
        <v>188</v>
      </c>
      <c r="BR120" s="38"/>
      <c r="BS120" s="15" t="s">
        <v>188</v>
      </c>
      <c r="BU120" s="15" t="str">
        <f>IF(Regn!$E120&lt;=1,"",VLOOKUP(Regn!$E120,Afgr,2))</f>
        <v/>
      </c>
      <c r="BW120" s="32" t="str">
        <f>IF(Regn!$E120&gt;1,Regn!Y120,"")</f>
        <v/>
      </c>
      <c r="BX120" s="15" t="s">
        <v>82</v>
      </c>
      <c r="BZ120" s="37"/>
      <c r="CA120" s="15" t="s">
        <v>82</v>
      </c>
      <c r="CC120" s="32" t="str">
        <f>IF(Regn!$E120&gt;1,Regn!S120,"")</f>
        <v/>
      </c>
      <c r="CD120" s="15" t="s">
        <v>82</v>
      </c>
      <c r="CF120" s="32" t="str">
        <f>IF(Regn!$E120&gt;1,Regn!U120,"")</f>
        <v/>
      </c>
      <c r="CG120" s="15" t="s">
        <v>82</v>
      </c>
      <c r="CI120" s="37"/>
      <c r="CJ120" s="15" t="s">
        <v>82</v>
      </c>
      <c r="CL120" s="32" t="str">
        <f>IF(Regn!$E120&gt;1,Regn!AS120,"")</f>
        <v/>
      </c>
      <c r="CM120" s="15" t="s">
        <v>82</v>
      </c>
      <c r="CO120" s="37"/>
      <c r="CP120" s="15" t="s">
        <v>82</v>
      </c>
      <c r="CR120" s="32" t="str">
        <f>IF(Regn!$E120&gt;1,UdnKrav,"")</f>
        <v/>
      </c>
      <c r="CS120" s="15" t="s">
        <v>205</v>
      </c>
      <c r="CU120" s="32" t="str">
        <f>IF(Regn!$E120&gt;1,Regn!AY120,"")</f>
        <v/>
      </c>
      <c r="CV120" s="15" t="s">
        <v>82</v>
      </c>
      <c r="CX120" s="15" t="str">
        <f>IF(Regn!$G120&lt;=1,"",VLOOKUP(Regn!$G120,Efgr,2))</f>
        <v/>
      </c>
      <c r="CZ120" s="25" t="str">
        <f>IF(Regn!$G120&gt;1,Regn!DC120,"")</f>
        <v/>
      </c>
      <c r="DA120" s="15" t="str">
        <f>IF(Regn!$G120&gt;1,Regn!DF120,"")</f>
        <v/>
      </c>
      <c r="DC120" s="16"/>
      <c r="DD120" s="15" t="str">
        <f>IF(Regn!$G120&gt;1,Regn!DF120,"")</f>
        <v/>
      </c>
      <c r="DJ120" s="25" t="str">
        <f>IF(Regn!$G120&gt;1,Regn!CL120,"")</f>
        <v/>
      </c>
      <c r="DK120" s="15" t="s">
        <v>82</v>
      </c>
      <c r="DM120" s="16"/>
      <c r="DN120" s="15" t="s">
        <v>82</v>
      </c>
      <c r="DP120" s="25" t="str">
        <f>IF(Regn!$G120&gt;1,Regn!CR120,"")</f>
        <v/>
      </c>
      <c r="DQ120" s="15" t="s">
        <v>82</v>
      </c>
      <c r="DS120" s="16"/>
      <c r="DT120" s="15" t="s">
        <v>82</v>
      </c>
      <c r="DV120" s="25" t="str">
        <f>IF(Regn!$G120&gt;1,UdnKrav,"")</f>
        <v/>
      </c>
      <c r="DW120" s="15" t="s">
        <v>205</v>
      </c>
      <c r="DY120" s="25" t="str">
        <f>IF(Regn!$G120&gt;1,Regn!CX120,"")</f>
        <v/>
      </c>
      <c r="DZ120" s="15" t="s">
        <v>82</v>
      </c>
      <c r="EB120" s="15" t="str">
        <f>IF(Regn!$E120&lt;=1,"",VLOOKUP(Regn!$E120,Afgr,2))</f>
        <v/>
      </c>
      <c r="ED120" s="25" t="str">
        <f>IF(Regn!$E120&gt;1,Regn!IB120,"")</f>
        <v/>
      </c>
      <c r="EE120" s="15" t="s">
        <v>188</v>
      </c>
      <c r="EG120" s="16"/>
      <c r="EH120" s="15" t="s">
        <v>188</v>
      </c>
      <c r="EJ120" s="25" t="str">
        <f>IF(Regn!$E120&gt;1,Regn!IX120,"")</f>
        <v/>
      </c>
      <c r="EK120" s="15" t="s">
        <v>188</v>
      </c>
      <c r="EM120" s="16"/>
      <c r="EN120" s="15" t="s">
        <v>188</v>
      </c>
      <c r="EP120" s="25" t="str">
        <f>IF(Regn!$E120&gt;1,Regn!JB120,"")</f>
        <v/>
      </c>
      <c r="EQ120" s="15" t="s">
        <v>188</v>
      </c>
      <c r="ES120" s="16"/>
      <c r="ET120" s="15" t="s">
        <v>188</v>
      </c>
      <c r="EV120" s="25" t="str">
        <f>IF(Regn!$E120&gt;1,Regn!JF120,"")</f>
        <v/>
      </c>
      <c r="EW120" s="15" t="s">
        <v>188</v>
      </c>
      <c r="EY120" s="16"/>
      <c r="EZ120" s="15" t="s">
        <v>188</v>
      </c>
      <c r="FB120" s="25" t="str">
        <f>IF(Regn!$E120&gt;1,Regn!JL120,"")</f>
        <v/>
      </c>
      <c r="FC120" s="15" t="s">
        <v>362</v>
      </c>
      <c r="FE120" s="16"/>
      <c r="FF120" s="15" t="s">
        <v>188</v>
      </c>
      <c r="FH120" s="25" t="str">
        <f>IF(Regn!$E120&gt;1,Regn!JY120,"")</f>
        <v/>
      </c>
      <c r="FI120" s="15" t="s">
        <v>188</v>
      </c>
      <c r="FK120" s="16"/>
      <c r="FL120" s="15" t="s">
        <v>188</v>
      </c>
      <c r="FN120" s="25" t="str">
        <f>IF(Regn!$E120&gt;1,Regn!KC120,"")</f>
        <v/>
      </c>
      <c r="FO120" s="15" t="s">
        <v>188</v>
      </c>
      <c r="FQ120" s="16"/>
      <c r="FR120" s="15" t="s">
        <v>188</v>
      </c>
      <c r="FT120" s="25" t="str">
        <f>IF(Regn!$E120&gt;1,Regn!KG120,"")</f>
        <v/>
      </c>
      <c r="FU120" s="15" t="s">
        <v>188</v>
      </c>
      <c r="FW120" s="16"/>
      <c r="FX120" s="15" t="s">
        <v>188</v>
      </c>
      <c r="FZ120" s="25" t="str">
        <f>IF(Regn!$E120&gt;1,Regn!KK120,"")</f>
        <v/>
      </c>
      <c r="GA120" s="15" t="s">
        <v>531</v>
      </c>
      <c r="GC120" s="16"/>
      <c r="GD120" s="15" t="s">
        <v>531</v>
      </c>
      <c r="GF120" s="25" t="str">
        <f>IF(Regn!$E120&gt;1,Regn!KM120,"")</f>
        <v/>
      </c>
      <c r="GG120" s="15" t="s">
        <v>188</v>
      </c>
      <c r="GI120" s="16"/>
      <c r="GJ120" s="15" t="s">
        <v>188</v>
      </c>
      <c r="GL120" s="25" t="str">
        <f>IF(Regn!$E120&gt;1,Regn!KT120,"")</f>
        <v/>
      </c>
      <c r="GM120" s="15" t="s">
        <v>188</v>
      </c>
      <c r="GO120" s="16"/>
      <c r="GP120" s="15" t="s">
        <v>405</v>
      </c>
      <c r="GR120" s="25" t="str">
        <f>IF(Regn!$E120&gt;1,Regn!KZ120,"")</f>
        <v/>
      </c>
      <c r="GS120" s="15" t="s">
        <v>188</v>
      </c>
      <c r="GU120" s="16"/>
      <c r="GV120" s="15" t="s">
        <v>188</v>
      </c>
      <c r="HA120" s="25" t="str">
        <f>IF(Regn!$E120&gt;1,Regn!LD120,"")</f>
        <v/>
      </c>
      <c r="HB120" s="15" t="s">
        <v>188</v>
      </c>
      <c r="HD120" s="16"/>
      <c r="HE120" s="15" t="s">
        <v>188</v>
      </c>
      <c r="HG120" s="15" t="str">
        <f>IF(Regn!$G120&lt;=1,"",VLOOKUP(Regn!$G120,Efgr,2))</f>
        <v/>
      </c>
      <c r="HI120" s="25" t="str">
        <f>IF(Regn!$G120&gt;1,Regn!LH120,"")</f>
        <v/>
      </c>
      <c r="HJ120" s="15" t="s">
        <v>188</v>
      </c>
      <c r="HL120" s="16"/>
      <c r="HM120" s="15" t="s">
        <v>188</v>
      </c>
      <c r="HO120" s="25" t="str">
        <f>IF(Regn!$G120&gt;1,Regn!MA120,"")</f>
        <v/>
      </c>
      <c r="HP120" s="15" t="s">
        <v>188</v>
      </c>
      <c r="HR120" s="16"/>
      <c r="HS120" s="15" t="s">
        <v>188</v>
      </c>
      <c r="HU120" s="25" t="str">
        <f>IF(Regn!$G120&gt;1,Regn!ME120,"")</f>
        <v/>
      </c>
      <c r="HV120" s="15" t="s">
        <v>188</v>
      </c>
      <c r="HX120" s="16"/>
      <c r="HY120" s="15" t="s">
        <v>188</v>
      </c>
      <c r="IA120" s="25" t="str">
        <f>IF(Regn!$G120&gt;1,Regn!MI120,"")</f>
        <v/>
      </c>
      <c r="IB120" s="15" t="s">
        <v>188</v>
      </c>
      <c r="ID120" s="16"/>
      <c r="IE120" s="15" t="s">
        <v>188</v>
      </c>
      <c r="IG120" s="25" t="str">
        <f>IF(Regn!$G120&gt;1,Regn!MO120,"")</f>
        <v/>
      </c>
      <c r="IH120" s="15" t="s">
        <v>188</v>
      </c>
      <c r="IJ120" s="16"/>
      <c r="IK120" s="15" t="s">
        <v>188</v>
      </c>
      <c r="IM120" s="25" t="str">
        <f>IF(Regn!$G120&gt;1,Regn!MS120,"")</f>
        <v/>
      </c>
      <c r="IN120" s="15" t="s">
        <v>188</v>
      </c>
      <c r="IP120" s="16"/>
      <c r="IQ120" s="15" t="s">
        <v>188</v>
      </c>
      <c r="IS120" s="25" t="str">
        <f>IF(Regn!$G120&gt;1,Regn!MW120,"")</f>
        <v/>
      </c>
      <c r="IT120" s="15" t="s">
        <v>188</v>
      </c>
      <c r="IV120" s="16"/>
      <c r="IW120" s="15" t="s">
        <v>188</v>
      </c>
      <c r="IY120" s="25" t="str">
        <f>IF(Regn!$G120&gt;1,Regn!NA120,"")</f>
        <v/>
      </c>
      <c r="IZ120" s="15" t="s">
        <v>531</v>
      </c>
      <c r="JB120" s="16"/>
      <c r="JC120" s="15" t="s">
        <v>531</v>
      </c>
      <c r="JE120" s="25" t="str">
        <f>IF(Regn!$G120&gt;1,Regn!NC120,"")</f>
        <v/>
      </c>
      <c r="JF120" s="15" t="s">
        <v>188</v>
      </c>
      <c r="JH120" s="16"/>
      <c r="JI120" s="15" t="s">
        <v>188</v>
      </c>
      <c r="JK120" s="25" t="str">
        <f>IF(Regn!$G120&gt;1,Regn!NI120,"")</f>
        <v/>
      </c>
      <c r="JL120" s="15" t="s">
        <v>188</v>
      </c>
      <c r="JN120" s="16"/>
      <c r="JO120" s="15" t="s">
        <v>188</v>
      </c>
      <c r="JQ120" s="25" t="str">
        <f>IF(Regn!$G120&gt;1,Regn!NM120,"")</f>
        <v/>
      </c>
      <c r="JR120" s="15" t="s">
        <v>188</v>
      </c>
      <c r="JT120" s="16"/>
      <c r="JU120" s="15" t="s">
        <v>188</v>
      </c>
    </row>
    <row r="121" spans="2:281" ht="12" customHeight="1" x14ac:dyDescent="0.25">
      <c r="B121" s="28"/>
      <c r="C121" s="133" t="str">
        <f>IF(OR(Regn!$B122&gt;1,Regn!$E120=1),"",VLOOKUP(Regn!$E120,Afgr,2))</f>
        <v/>
      </c>
      <c r="G121" s="134" t="str">
        <f>IF(OR(Regn!$C122&gt;1,Regn!$G120=1),"",VLOOKUP(Regn!$G120,Efgr,2))</f>
        <v/>
      </c>
      <c r="M121" s="134" t="str">
        <f>IF(OR(Regn!$E40=1,Regn!E122&gt;1),"",VLOOKUP(Regn!$E40,Afgr,2))</f>
        <v/>
      </c>
      <c r="U121" s="134" t="str">
        <f>IF(OR(Regn!$K122&gt;1,Regn!$E124=1),"",VLOOKUP(Regn!$E124,Afgr,2))</f>
        <v/>
      </c>
    </row>
    <row r="122" spans="2:281" x14ac:dyDescent="0.25">
      <c r="B122" s="28">
        <v>4</v>
      </c>
      <c r="Z122" s="36"/>
      <c r="AA122" s="15" t="s">
        <v>85</v>
      </c>
      <c r="AC122" s="53">
        <f>Regn!M122</f>
        <v>0</v>
      </c>
      <c r="AD122" s="15" t="s">
        <v>85</v>
      </c>
      <c r="AF122" s="15" t="str">
        <f>IF(Regn!$E122&lt;=1,"",VLOOKUP(Regn!$E122,Afgr,2))</f>
        <v/>
      </c>
      <c r="AH122" s="55" t="str">
        <f>IF(Regn!$E122&gt;1,Regn!BH122,"")</f>
        <v/>
      </c>
      <c r="AI122" s="15" t="str">
        <f>IF(Regn!BK122&lt;&gt;0,Regn!BK122,"")</f>
        <v/>
      </c>
      <c r="AK122" s="16"/>
      <c r="AL122" s="15" t="str">
        <f>IF(Regn!BK122&lt;&gt;0,Regn!BK122,"")</f>
        <v/>
      </c>
      <c r="AN122" s="33" t="str">
        <f>IF(Regn!$E122&gt;1,Regn!DP122,"")</f>
        <v/>
      </c>
      <c r="AO122" s="15" t="s">
        <v>201</v>
      </c>
      <c r="AQ122" s="38"/>
      <c r="AR122" s="15" t="s">
        <v>201</v>
      </c>
      <c r="AT122" s="55" t="str">
        <f>IF(Regn!$E122&gt;1,Regn!BN122,"")</f>
        <v/>
      </c>
      <c r="AU122" s="15" t="s">
        <v>188</v>
      </c>
      <c r="AW122" s="124"/>
      <c r="AX122" s="15" t="s">
        <v>188</v>
      </c>
      <c r="AZ122" s="25" t="str">
        <f>IF(Regn!$E122&gt;1,Regn!BS122,"")</f>
        <v/>
      </c>
      <c r="BA122" s="15" t="s">
        <v>188</v>
      </c>
      <c r="BC122" s="17"/>
      <c r="BD122" s="15" t="s">
        <v>188</v>
      </c>
      <c r="BF122" s="25" t="str">
        <f>IF(Regn!$E122&gt;1,Regn!BX122,"")</f>
        <v/>
      </c>
      <c r="BG122" s="15" t="s">
        <v>192</v>
      </c>
      <c r="BI122" s="16"/>
      <c r="BJ122" s="15" t="s">
        <v>192</v>
      </c>
      <c r="BO122" s="33" t="str">
        <f>IF(Regn!$E122&gt;1,Regn!CE122,"")</f>
        <v/>
      </c>
      <c r="BP122" s="15" t="s">
        <v>188</v>
      </c>
      <c r="BR122" s="38"/>
      <c r="BS122" s="15" t="s">
        <v>188</v>
      </c>
      <c r="BU122" s="15" t="str">
        <f>IF(Regn!$E122&lt;=1,"",VLOOKUP(Regn!$E122,Afgr,2))</f>
        <v/>
      </c>
      <c r="BW122" s="32" t="str">
        <f>IF(Regn!$E122&gt;1,Regn!Y122,"")</f>
        <v/>
      </c>
      <c r="BX122" s="15" t="s">
        <v>82</v>
      </c>
      <c r="BZ122" s="37"/>
      <c r="CA122" s="15" t="s">
        <v>82</v>
      </c>
      <c r="CC122" s="32" t="str">
        <f>IF(Regn!$E122&gt;1,Regn!S122,"")</f>
        <v/>
      </c>
      <c r="CD122" s="15" t="s">
        <v>82</v>
      </c>
      <c r="CF122" s="32" t="str">
        <f>IF(Regn!$E122&gt;1,Regn!U122,"")</f>
        <v/>
      </c>
      <c r="CG122" s="15" t="s">
        <v>82</v>
      </c>
      <c r="CI122" s="37"/>
      <c r="CJ122" s="15" t="s">
        <v>82</v>
      </c>
      <c r="CL122" s="32" t="str">
        <f>IF(Regn!$E122&gt;1,Regn!AS122,"")</f>
        <v/>
      </c>
      <c r="CM122" s="15" t="s">
        <v>82</v>
      </c>
      <c r="CO122" s="37"/>
      <c r="CP122" s="15" t="s">
        <v>82</v>
      </c>
      <c r="CR122" s="32" t="str">
        <f>IF(Regn!$E122&gt;1,UdnKrav,"")</f>
        <v/>
      </c>
      <c r="CS122" s="15" t="s">
        <v>205</v>
      </c>
      <c r="CU122" s="32" t="str">
        <f>IF(Regn!$E122&gt;1,Regn!AY122,"")</f>
        <v/>
      </c>
      <c r="CV122" s="15" t="s">
        <v>82</v>
      </c>
      <c r="CX122" s="15" t="str">
        <f>IF(Regn!$G122&lt;=1,"",VLOOKUP(Regn!$G122,Efgr,2))</f>
        <v/>
      </c>
      <c r="CZ122" s="25" t="str">
        <f>IF(Regn!$G122&gt;1,Regn!DC122,"")</f>
        <v/>
      </c>
      <c r="DA122" s="15" t="str">
        <f>IF(Regn!$G122&gt;1,Regn!DF122,"")</f>
        <v/>
      </c>
      <c r="DC122" s="16"/>
      <c r="DD122" s="15" t="str">
        <f>IF(Regn!$G122&gt;1,Regn!DF122,"")</f>
        <v/>
      </c>
      <c r="DJ122" s="25" t="str">
        <f>IF(Regn!$G122&gt;1,Regn!CL122,"")</f>
        <v/>
      </c>
      <c r="DK122" s="15" t="s">
        <v>82</v>
      </c>
      <c r="DM122" s="16"/>
      <c r="DN122" s="15" t="s">
        <v>82</v>
      </c>
      <c r="DP122" s="25" t="str">
        <f>IF(Regn!$G122&gt;1,Regn!CR122,"")</f>
        <v/>
      </c>
      <c r="DQ122" s="15" t="s">
        <v>82</v>
      </c>
      <c r="DS122" s="16"/>
      <c r="DT122" s="15" t="s">
        <v>82</v>
      </c>
      <c r="DV122" s="25" t="str">
        <f>IF(Regn!$G122&gt;1,UdnKrav,"")</f>
        <v/>
      </c>
      <c r="DW122" s="15" t="s">
        <v>205</v>
      </c>
      <c r="DY122" s="25" t="str">
        <f>IF(Regn!$G122&gt;1,Regn!CX122,"")</f>
        <v/>
      </c>
      <c r="DZ122" s="15" t="s">
        <v>82</v>
      </c>
      <c r="EB122" s="15" t="str">
        <f>IF(Regn!$E122&lt;=1,"",VLOOKUP(Regn!$E122,Afgr,2))</f>
        <v/>
      </c>
      <c r="ED122" s="25" t="str">
        <f>IF(Regn!$E122&gt;1,Regn!IB122,"")</f>
        <v/>
      </c>
      <c r="EE122" s="15" t="s">
        <v>188</v>
      </c>
      <c r="EG122" s="16"/>
      <c r="EH122" s="15" t="s">
        <v>188</v>
      </c>
      <c r="EJ122" s="25" t="str">
        <f>IF(Regn!$E122&gt;1,Regn!IX122,"")</f>
        <v/>
      </c>
      <c r="EK122" s="15" t="s">
        <v>188</v>
      </c>
      <c r="EM122" s="16"/>
      <c r="EN122" s="15" t="s">
        <v>188</v>
      </c>
      <c r="EP122" s="25" t="str">
        <f>IF(Regn!$E122&gt;1,Regn!JB122,"")</f>
        <v/>
      </c>
      <c r="EQ122" s="15" t="s">
        <v>188</v>
      </c>
      <c r="ES122" s="16"/>
      <c r="ET122" s="15" t="s">
        <v>188</v>
      </c>
      <c r="EV122" s="25" t="str">
        <f>IF(Regn!$E122&gt;1,Regn!JF122,"")</f>
        <v/>
      </c>
      <c r="EW122" s="15" t="s">
        <v>188</v>
      </c>
      <c r="EY122" s="16"/>
      <c r="EZ122" s="15" t="s">
        <v>188</v>
      </c>
      <c r="FB122" s="25" t="str">
        <f>IF(Regn!$E122&gt;1,Regn!JL122,"")</f>
        <v/>
      </c>
      <c r="FC122" s="15" t="s">
        <v>362</v>
      </c>
      <c r="FE122" s="16"/>
      <c r="FF122" s="15" t="s">
        <v>188</v>
      </c>
      <c r="FH122" s="25" t="str">
        <f>IF(Regn!$E122&gt;1,Regn!JY122,"")</f>
        <v/>
      </c>
      <c r="FI122" s="15" t="s">
        <v>188</v>
      </c>
      <c r="FK122" s="16"/>
      <c r="FL122" s="15" t="s">
        <v>188</v>
      </c>
      <c r="FN122" s="25" t="str">
        <f>IF(Regn!$E122&gt;1,Regn!KC122,"")</f>
        <v/>
      </c>
      <c r="FO122" s="15" t="s">
        <v>188</v>
      </c>
      <c r="FQ122" s="16"/>
      <c r="FR122" s="15" t="s">
        <v>188</v>
      </c>
      <c r="FT122" s="25" t="str">
        <f>IF(Regn!$E122&gt;1,Regn!KG122,"")</f>
        <v/>
      </c>
      <c r="FU122" s="15" t="s">
        <v>188</v>
      </c>
      <c r="FW122" s="16"/>
      <c r="FX122" s="15" t="s">
        <v>188</v>
      </c>
      <c r="FZ122" s="25" t="str">
        <f>IF(Regn!$E122&gt;1,Regn!KK122,"")</f>
        <v/>
      </c>
      <c r="GA122" s="15" t="s">
        <v>531</v>
      </c>
      <c r="GC122" s="16"/>
      <c r="GD122" s="15" t="s">
        <v>531</v>
      </c>
      <c r="GF122" s="25" t="str">
        <f>IF(Regn!$E122&gt;1,Regn!KM122,"")</f>
        <v/>
      </c>
      <c r="GG122" s="15" t="s">
        <v>188</v>
      </c>
      <c r="GI122" s="16"/>
      <c r="GJ122" s="15" t="s">
        <v>188</v>
      </c>
      <c r="GL122" s="25" t="str">
        <f>IF(Regn!$E122&gt;1,Regn!KT122,"")</f>
        <v/>
      </c>
      <c r="GM122" s="15" t="s">
        <v>188</v>
      </c>
      <c r="GO122" s="16"/>
      <c r="GP122" s="15" t="s">
        <v>405</v>
      </c>
      <c r="GR122" s="25" t="str">
        <f>IF(Regn!$E122&gt;1,Regn!KZ122,"")</f>
        <v/>
      </c>
      <c r="GS122" s="15" t="s">
        <v>188</v>
      </c>
      <c r="GU122" s="16"/>
      <c r="GV122" s="15" t="s">
        <v>188</v>
      </c>
      <c r="HA122" s="25" t="str">
        <f>IF(Regn!$E122&gt;1,Regn!LD122,"")</f>
        <v/>
      </c>
      <c r="HB122" s="15" t="s">
        <v>188</v>
      </c>
      <c r="HD122" s="16"/>
      <c r="HE122" s="15" t="s">
        <v>188</v>
      </c>
      <c r="HG122" s="15" t="str">
        <f>IF(Regn!$G122&lt;=1,"",VLOOKUP(Regn!$G122,Efgr,2))</f>
        <v/>
      </c>
      <c r="HI122" s="25" t="str">
        <f>IF(Regn!$G122&gt;1,Regn!LH122,"")</f>
        <v/>
      </c>
      <c r="HJ122" s="15" t="s">
        <v>188</v>
      </c>
      <c r="HL122" s="16"/>
      <c r="HM122" s="15" t="s">
        <v>188</v>
      </c>
      <c r="HO122" s="25" t="str">
        <f>IF(Regn!$G122&gt;1,Regn!MA122,"")</f>
        <v/>
      </c>
      <c r="HP122" s="15" t="s">
        <v>188</v>
      </c>
      <c r="HR122" s="16"/>
      <c r="HS122" s="15" t="s">
        <v>188</v>
      </c>
      <c r="HU122" s="25" t="str">
        <f>IF(Regn!$G122&gt;1,Regn!ME122,"")</f>
        <v/>
      </c>
      <c r="HV122" s="15" t="s">
        <v>188</v>
      </c>
      <c r="HX122" s="16"/>
      <c r="HY122" s="15" t="s">
        <v>188</v>
      </c>
      <c r="IA122" s="25" t="str">
        <f>IF(Regn!$G122&gt;1,Regn!MI122,"")</f>
        <v/>
      </c>
      <c r="IB122" s="15" t="s">
        <v>188</v>
      </c>
      <c r="ID122" s="16"/>
      <c r="IE122" s="15" t="s">
        <v>188</v>
      </c>
      <c r="IG122" s="25" t="str">
        <f>IF(Regn!$G122&gt;1,Regn!MO122,"")</f>
        <v/>
      </c>
      <c r="IH122" s="15" t="s">
        <v>188</v>
      </c>
      <c r="IJ122" s="16"/>
      <c r="IK122" s="15" t="s">
        <v>188</v>
      </c>
      <c r="IM122" s="25" t="str">
        <f>IF(Regn!$G122&gt;1,Regn!MS122,"")</f>
        <v/>
      </c>
      <c r="IN122" s="15" t="s">
        <v>188</v>
      </c>
      <c r="IP122" s="16"/>
      <c r="IQ122" s="15" t="s">
        <v>188</v>
      </c>
      <c r="IS122" s="25" t="str">
        <f>IF(Regn!$G122&gt;1,Regn!MW122,"")</f>
        <v/>
      </c>
      <c r="IT122" s="15" t="s">
        <v>188</v>
      </c>
      <c r="IV122" s="16"/>
      <c r="IW122" s="15" t="s">
        <v>188</v>
      </c>
      <c r="IY122" s="25" t="str">
        <f>IF(Regn!$G122&gt;1,Regn!NA122,"")</f>
        <v/>
      </c>
      <c r="IZ122" s="15" t="s">
        <v>531</v>
      </c>
      <c r="JB122" s="16"/>
      <c r="JC122" s="15" t="s">
        <v>531</v>
      </c>
      <c r="JE122" s="25" t="str">
        <f>IF(Regn!$G122&gt;1,Regn!NC122,"")</f>
        <v/>
      </c>
      <c r="JF122" s="15" t="s">
        <v>188</v>
      </c>
      <c r="JH122" s="16"/>
      <c r="JI122" s="15" t="s">
        <v>188</v>
      </c>
      <c r="JK122" s="25" t="str">
        <f>IF(Regn!$G122&gt;1,Regn!NI122,"")</f>
        <v/>
      </c>
      <c r="JL122" s="15" t="s">
        <v>188</v>
      </c>
      <c r="JN122" s="16"/>
      <c r="JO122" s="15" t="s">
        <v>188</v>
      </c>
      <c r="JQ122" s="25" t="str">
        <f>IF(Regn!$G122&gt;1,Regn!NM122,"")</f>
        <v/>
      </c>
      <c r="JR122" s="15" t="s">
        <v>188</v>
      </c>
      <c r="JT122" s="16"/>
      <c r="JU122" s="15" t="s">
        <v>188</v>
      </c>
    </row>
    <row r="123" spans="2:281" ht="12" customHeight="1" x14ac:dyDescent="0.25">
      <c r="B123" s="28"/>
      <c r="C123" s="133" t="str">
        <f>IF(OR(Regn!$B124&gt;1,Regn!$E122=1),"",VLOOKUP(Regn!$E122,Afgr,2))</f>
        <v/>
      </c>
      <c r="G123" s="134" t="str">
        <f>IF(OR(Regn!$C124&gt;1,Regn!$G122=1),"",VLOOKUP(Regn!$G122,Efgr,2))</f>
        <v/>
      </c>
      <c r="M123" s="134" t="str">
        <f>IF(OR(Regn!$E42=1,Regn!E124&gt;1),"",VLOOKUP(Regn!$E42,Afgr,2))</f>
        <v/>
      </c>
      <c r="U123" s="134" t="str">
        <f>IF(OR(Regn!$K124&gt;1,Regn!$E126=1),"",VLOOKUP(Regn!$E126,Afgr,2))</f>
        <v/>
      </c>
    </row>
    <row r="124" spans="2:281" x14ac:dyDescent="0.25">
      <c r="B124" s="28">
        <v>5</v>
      </c>
      <c r="Z124" s="36"/>
      <c r="AA124" s="15" t="s">
        <v>85</v>
      </c>
      <c r="AC124" s="53">
        <f>Regn!M124</f>
        <v>0</v>
      </c>
      <c r="AD124" s="15" t="s">
        <v>85</v>
      </c>
      <c r="AF124" s="15" t="str">
        <f>IF(Regn!$E124&lt;=1,"",VLOOKUP(Regn!$E124,Afgr,2))</f>
        <v/>
      </c>
      <c r="AH124" s="55" t="str">
        <f>IF(Regn!$E124&gt;1,Regn!BH124,"")</f>
        <v/>
      </c>
      <c r="AI124" s="15" t="str">
        <f>IF(Regn!BK124&lt;&gt;0,Regn!BK124,"")</f>
        <v/>
      </c>
      <c r="AK124" s="16"/>
      <c r="AL124" s="15" t="str">
        <f>IF(Regn!BK124&lt;&gt;0,Regn!BK124,"")</f>
        <v/>
      </c>
      <c r="AN124" s="33" t="str">
        <f>IF(Regn!$E124&gt;1,Regn!DP124,"")</f>
        <v/>
      </c>
      <c r="AO124" s="15" t="s">
        <v>201</v>
      </c>
      <c r="AQ124" s="38"/>
      <c r="AR124" s="15" t="s">
        <v>201</v>
      </c>
      <c r="AT124" s="55" t="str">
        <f>IF(Regn!$E124&gt;1,Regn!BN124,"")</f>
        <v/>
      </c>
      <c r="AU124" s="15" t="s">
        <v>188</v>
      </c>
      <c r="AW124" s="124"/>
      <c r="AX124" s="15" t="s">
        <v>188</v>
      </c>
      <c r="AZ124" s="25" t="str">
        <f>IF(Regn!$E124&gt;1,Regn!BS124,"")</f>
        <v/>
      </c>
      <c r="BA124" s="15" t="s">
        <v>188</v>
      </c>
      <c r="BC124" s="17"/>
      <c r="BD124" s="15" t="s">
        <v>188</v>
      </c>
      <c r="BF124" s="25" t="str">
        <f>IF(Regn!$E124&gt;1,Regn!BX124,"")</f>
        <v/>
      </c>
      <c r="BG124" s="15" t="s">
        <v>192</v>
      </c>
      <c r="BI124" s="16"/>
      <c r="BJ124" s="15" t="s">
        <v>192</v>
      </c>
      <c r="BO124" s="33" t="str">
        <f>IF(Regn!$E124&gt;1,Regn!CE124,"")</f>
        <v/>
      </c>
      <c r="BP124" s="15" t="s">
        <v>188</v>
      </c>
      <c r="BR124" s="38"/>
      <c r="BS124" s="15" t="s">
        <v>188</v>
      </c>
      <c r="BU124" s="15" t="str">
        <f>IF(Regn!$E124&lt;=1,"",VLOOKUP(Regn!$E124,Afgr,2))</f>
        <v/>
      </c>
      <c r="BW124" s="32" t="str">
        <f>IF(Regn!$E124&gt;1,Regn!Y124,"")</f>
        <v/>
      </c>
      <c r="BX124" s="15" t="s">
        <v>82</v>
      </c>
      <c r="BZ124" s="37"/>
      <c r="CA124" s="15" t="s">
        <v>82</v>
      </c>
      <c r="CC124" s="32" t="str">
        <f>IF(Regn!$E124&gt;1,Regn!S124,"")</f>
        <v/>
      </c>
      <c r="CD124" s="15" t="s">
        <v>82</v>
      </c>
      <c r="CF124" s="32" t="str">
        <f>IF(Regn!$E124&gt;1,Regn!U124,"")</f>
        <v/>
      </c>
      <c r="CG124" s="15" t="s">
        <v>82</v>
      </c>
      <c r="CI124" s="37"/>
      <c r="CJ124" s="15" t="s">
        <v>82</v>
      </c>
      <c r="CL124" s="32" t="str">
        <f>IF(Regn!$E124&gt;1,Regn!AS124,"")</f>
        <v/>
      </c>
      <c r="CM124" s="15" t="s">
        <v>82</v>
      </c>
      <c r="CO124" s="37"/>
      <c r="CP124" s="15" t="s">
        <v>82</v>
      </c>
      <c r="CR124" s="32" t="str">
        <f>IF(Regn!$E124&gt;1,UdnKrav,"")</f>
        <v/>
      </c>
      <c r="CS124" s="15" t="s">
        <v>205</v>
      </c>
      <c r="CU124" s="32" t="str">
        <f>IF(Regn!$E124&gt;1,Regn!AY124,"")</f>
        <v/>
      </c>
      <c r="CV124" s="15" t="s">
        <v>82</v>
      </c>
      <c r="CX124" s="15" t="str">
        <f>IF(Regn!$G124&lt;=1,"",VLOOKUP(Regn!$G124,Efgr,2))</f>
        <v/>
      </c>
      <c r="CZ124" s="25" t="str">
        <f>IF(Regn!$G124&gt;1,Regn!DC124,"")</f>
        <v/>
      </c>
      <c r="DA124" s="15" t="str">
        <f>IF(Regn!$G124&gt;1,Regn!DF124,"")</f>
        <v/>
      </c>
      <c r="DC124" s="16"/>
      <c r="DD124" s="15" t="str">
        <f>IF(Regn!$G124&gt;1,Regn!DF124,"")</f>
        <v/>
      </c>
      <c r="DJ124" s="25" t="str">
        <f>IF(Regn!$G124&gt;1,Regn!CL124,"")</f>
        <v/>
      </c>
      <c r="DK124" s="15" t="s">
        <v>82</v>
      </c>
      <c r="DM124" s="16"/>
      <c r="DN124" s="15" t="s">
        <v>82</v>
      </c>
      <c r="DP124" s="25" t="str">
        <f>IF(Regn!$G124&gt;1,Regn!CR124,"")</f>
        <v/>
      </c>
      <c r="DQ124" s="15" t="s">
        <v>82</v>
      </c>
      <c r="DS124" s="16"/>
      <c r="DT124" s="15" t="s">
        <v>82</v>
      </c>
      <c r="DV124" s="25" t="str">
        <f>IF(Regn!$G124&gt;1,UdnKrav,"")</f>
        <v/>
      </c>
      <c r="DW124" s="15" t="s">
        <v>205</v>
      </c>
      <c r="DY124" s="25" t="str">
        <f>IF(Regn!$G124&gt;1,Regn!CX124,"")</f>
        <v/>
      </c>
      <c r="DZ124" s="15" t="s">
        <v>82</v>
      </c>
      <c r="EB124" s="15" t="str">
        <f>IF(Regn!$E124&lt;=1,"",VLOOKUP(Regn!$E124,Afgr,2))</f>
        <v/>
      </c>
      <c r="ED124" s="25" t="str">
        <f>IF(Regn!$E124&gt;1,Regn!IB124,"")</f>
        <v/>
      </c>
      <c r="EE124" s="15" t="s">
        <v>188</v>
      </c>
      <c r="EG124" s="16"/>
      <c r="EH124" s="15" t="s">
        <v>188</v>
      </c>
      <c r="EJ124" s="25" t="str">
        <f>IF(Regn!$E124&gt;1,Regn!IX124,"")</f>
        <v/>
      </c>
      <c r="EK124" s="15" t="s">
        <v>188</v>
      </c>
      <c r="EM124" s="16"/>
      <c r="EN124" s="15" t="s">
        <v>188</v>
      </c>
      <c r="EP124" s="25" t="str">
        <f>IF(Regn!$E124&gt;1,Regn!JB124,"")</f>
        <v/>
      </c>
      <c r="EQ124" s="15" t="s">
        <v>188</v>
      </c>
      <c r="ES124" s="16"/>
      <c r="ET124" s="15" t="s">
        <v>188</v>
      </c>
      <c r="EV124" s="25" t="str">
        <f>IF(Regn!$E124&gt;1,Regn!JF124,"")</f>
        <v/>
      </c>
      <c r="EW124" s="15" t="s">
        <v>188</v>
      </c>
      <c r="EY124" s="16"/>
      <c r="EZ124" s="15" t="s">
        <v>188</v>
      </c>
      <c r="FB124" s="25" t="str">
        <f>IF(Regn!$E124&gt;1,Regn!JL124,"")</f>
        <v/>
      </c>
      <c r="FC124" s="15" t="s">
        <v>362</v>
      </c>
      <c r="FE124" s="16"/>
      <c r="FF124" s="15" t="s">
        <v>188</v>
      </c>
      <c r="FH124" s="25" t="str">
        <f>IF(Regn!$E124&gt;1,Regn!JY124,"")</f>
        <v/>
      </c>
      <c r="FI124" s="15" t="s">
        <v>188</v>
      </c>
      <c r="FK124" s="16"/>
      <c r="FL124" s="15" t="s">
        <v>188</v>
      </c>
      <c r="FN124" s="25" t="str">
        <f>IF(Regn!$E124&gt;1,Regn!KC124,"")</f>
        <v/>
      </c>
      <c r="FO124" s="15" t="s">
        <v>188</v>
      </c>
      <c r="FQ124" s="16"/>
      <c r="FR124" s="15" t="s">
        <v>188</v>
      </c>
      <c r="FT124" s="25" t="str">
        <f>IF(Regn!$E124&gt;1,Regn!KG124,"")</f>
        <v/>
      </c>
      <c r="FU124" s="15" t="s">
        <v>188</v>
      </c>
      <c r="FW124" s="16"/>
      <c r="FX124" s="15" t="s">
        <v>188</v>
      </c>
      <c r="FZ124" s="25" t="str">
        <f>IF(Regn!$E124&gt;1,Regn!KK124,"")</f>
        <v/>
      </c>
      <c r="GA124" s="15" t="s">
        <v>531</v>
      </c>
      <c r="GC124" s="16"/>
      <c r="GD124" s="15" t="s">
        <v>531</v>
      </c>
      <c r="GF124" s="25" t="str">
        <f>IF(Regn!$E124&gt;1,Regn!KM124,"")</f>
        <v/>
      </c>
      <c r="GG124" s="15" t="s">
        <v>188</v>
      </c>
      <c r="GI124" s="16"/>
      <c r="GJ124" s="15" t="s">
        <v>188</v>
      </c>
      <c r="GL124" s="25" t="str">
        <f>IF(Regn!$E124&gt;1,Regn!KT124,"")</f>
        <v/>
      </c>
      <c r="GM124" s="15" t="s">
        <v>188</v>
      </c>
      <c r="GO124" s="16"/>
      <c r="GP124" s="15" t="s">
        <v>405</v>
      </c>
      <c r="GR124" s="25" t="str">
        <f>IF(Regn!$E124&gt;1,Regn!KZ124,"")</f>
        <v/>
      </c>
      <c r="GS124" s="15" t="s">
        <v>188</v>
      </c>
      <c r="GU124" s="16"/>
      <c r="GV124" s="15" t="s">
        <v>188</v>
      </c>
      <c r="HA124" s="25" t="str">
        <f>IF(Regn!$E124&gt;1,Regn!LD124,"")</f>
        <v/>
      </c>
      <c r="HB124" s="15" t="s">
        <v>188</v>
      </c>
      <c r="HD124" s="16"/>
      <c r="HE124" s="15" t="s">
        <v>188</v>
      </c>
      <c r="HG124" s="15" t="str">
        <f>IF(Regn!$G124&lt;=1,"",VLOOKUP(Regn!$G124,Efgr,2))</f>
        <v/>
      </c>
      <c r="HI124" s="25" t="str">
        <f>IF(Regn!$G124&gt;1,Regn!LH124,"")</f>
        <v/>
      </c>
      <c r="HJ124" s="15" t="s">
        <v>188</v>
      </c>
      <c r="HL124" s="16"/>
      <c r="HM124" s="15" t="s">
        <v>188</v>
      </c>
      <c r="HO124" s="25" t="str">
        <f>IF(Regn!$G124&gt;1,Regn!MA124,"")</f>
        <v/>
      </c>
      <c r="HP124" s="15" t="s">
        <v>188</v>
      </c>
      <c r="HR124" s="16"/>
      <c r="HS124" s="15" t="s">
        <v>188</v>
      </c>
      <c r="HU124" s="25" t="str">
        <f>IF(Regn!$G124&gt;1,Regn!ME124,"")</f>
        <v/>
      </c>
      <c r="HV124" s="15" t="s">
        <v>188</v>
      </c>
      <c r="HX124" s="16"/>
      <c r="HY124" s="15" t="s">
        <v>188</v>
      </c>
      <c r="IA124" s="25" t="str">
        <f>IF(Regn!$G124&gt;1,Regn!MI124,"")</f>
        <v/>
      </c>
      <c r="IB124" s="15" t="s">
        <v>188</v>
      </c>
      <c r="ID124" s="16"/>
      <c r="IE124" s="15" t="s">
        <v>188</v>
      </c>
      <c r="IG124" s="25" t="str">
        <f>IF(Regn!$G124&gt;1,Regn!MO124,"")</f>
        <v/>
      </c>
      <c r="IH124" s="15" t="s">
        <v>188</v>
      </c>
      <c r="IJ124" s="16"/>
      <c r="IK124" s="15" t="s">
        <v>188</v>
      </c>
      <c r="IM124" s="25" t="str">
        <f>IF(Regn!$G124&gt;1,Regn!MS124,"")</f>
        <v/>
      </c>
      <c r="IN124" s="15" t="s">
        <v>188</v>
      </c>
      <c r="IP124" s="16"/>
      <c r="IQ124" s="15" t="s">
        <v>188</v>
      </c>
      <c r="IS124" s="25" t="str">
        <f>IF(Regn!$G124&gt;1,Regn!MW124,"")</f>
        <v/>
      </c>
      <c r="IT124" s="15" t="s">
        <v>188</v>
      </c>
      <c r="IV124" s="16"/>
      <c r="IW124" s="15" t="s">
        <v>188</v>
      </c>
      <c r="IY124" s="25" t="str">
        <f>IF(Regn!$G124&gt;1,Regn!NA124,"")</f>
        <v/>
      </c>
      <c r="IZ124" s="15" t="s">
        <v>531</v>
      </c>
      <c r="JB124" s="16"/>
      <c r="JC124" s="15" t="s">
        <v>531</v>
      </c>
      <c r="JE124" s="25" t="str">
        <f>IF(Regn!$G124&gt;1,Regn!NC124,"")</f>
        <v/>
      </c>
      <c r="JF124" s="15" t="s">
        <v>188</v>
      </c>
      <c r="JH124" s="16"/>
      <c r="JI124" s="15" t="s">
        <v>188</v>
      </c>
      <c r="JK124" s="25" t="str">
        <f>IF(Regn!$G124&gt;1,Regn!NI124,"")</f>
        <v/>
      </c>
      <c r="JL124" s="15" t="s">
        <v>188</v>
      </c>
      <c r="JN124" s="16"/>
      <c r="JO124" s="15" t="s">
        <v>188</v>
      </c>
      <c r="JQ124" s="25" t="str">
        <f>IF(Regn!$G124&gt;1,Regn!NM124,"")</f>
        <v/>
      </c>
      <c r="JR124" s="15" t="s">
        <v>188</v>
      </c>
      <c r="JT124" s="16"/>
      <c r="JU124" s="15" t="s">
        <v>188</v>
      </c>
    </row>
    <row r="125" spans="2:281" ht="12" customHeight="1" x14ac:dyDescent="0.25">
      <c r="B125" s="28"/>
      <c r="C125" s="133" t="str">
        <f>IF(OR(Regn!$B126&gt;1,Regn!$E124=1),"",VLOOKUP(Regn!$E124,Afgr,2))</f>
        <v/>
      </c>
      <c r="G125" s="134" t="str">
        <f>IF(OR(Regn!$C126&gt;1,Regn!$G124=1),"",VLOOKUP(Regn!$G124,Efgr,2))</f>
        <v/>
      </c>
      <c r="M125" s="134" t="str">
        <f>IF(OR(Regn!$E44=1,Regn!E126&gt;1),"",VLOOKUP(Regn!$E44,Afgr,2))</f>
        <v/>
      </c>
      <c r="U125" s="134" t="str">
        <f>IF(OR(Regn!$K126&gt;1,Regn!$E128=1),"",VLOOKUP(Regn!$E128,Afgr,2))</f>
        <v/>
      </c>
    </row>
    <row r="126" spans="2:281" x14ac:dyDescent="0.25">
      <c r="B126" s="28">
        <v>6</v>
      </c>
      <c r="Z126" s="36"/>
      <c r="AA126" s="15" t="s">
        <v>85</v>
      </c>
      <c r="AC126" s="53">
        <f>Regn!M126</f>
        <v>0</v>
      </c>
      <c r="AD126" s="15" t="s">
        <v>85</v>
      </c>
      <c r="AF126" s="15" t="str">
        <f>IF(Regn!$E126&lt;=1,"",VLOOKUP(Regn!$E126,Afgr,2))</f>
        <v/>
      </c>
      <c r="AH126" s="55" t="str">
        <f>IF(Regn!$E126&gt;1,Regn!BH126,"")</f>
        <v/>
      </c>
      <c r="AI126" s="15" t="str">
        <f>IF(Regn!BK126&lt;&gt;0,Regn!BK126,"")</f>
        <v/>
      </c>
      <c r="AK126" s="16"/>
      <c r="AL126" s="15" t="str">
        <f>IF(Regn!BK126&lt;&gt;0,Regn!BK126,"")</f>
        <v/>
      </c>
      <c r="AN126" s="33" t="str">
        <f>IF(Regn!$E126&gt;1,Regn!DP126,"")</f>
        <v/>
      </c>
      <c r="AO126" s="15" t="s">
        <v>201</v>
      </c>
      <c r="AQ126" s="38"/>
      <c r="AR126" s="15" t="s">
        <v>201</v>
      </c>
      <c r="AT126" s="55" t="str">
        <f>IF(Regn!$E126&gt;1,Regn!BN126,"")</f>
        <v/>
      </c>
      <c r="AU126" s="15" t="s">
        <v>188</v>
      </c>
      <c r="AW126" s="124"/>
      <c r="AX126" s="15" t="s">
        <v>188</v>
      </c>
      <c r="AZ126" s="25" t="str">
        <f>IF(Regn!$E126&gt;1,Regn!BS126,"")</f>
        <v/>
      </c>
      <c r="BA126" s="15" t="s">
        <v>188</v>
      </c>
      <c r="BC126" s="17"/>
      <c r="BD126" s="15" t="s">
        <v>188</v>
      </c>
      <c r="BF126" s="25" t="str">
        <f>IF(Regn!$E126&gt;1,Regn!BX126,"")</f>
        <v/>
      </c>
      <c r="BG126" s="15" t="s">
        <v>192</v>
      </c>
      <c r="BI126" s="16"/>
      <c r="BJ126" s="15" t="s">
        <v>192</v>
      </c>
      <c r="BO126" s="33" t="str">
        <f>IF(Regn!$E126&gt;1,Regn!CE126,"")</f>
        <v/>
      </c>
      <c r="BP126" s="15" t="s">
        <v>188</v>
      </c>
      <c r="BR126" s="38"/>
      <c r="BS126" s="15" t="s">
        <v>188</v>
      </c>
      <c r="BU126" s="15" t="str">
        <f>IF(Regn!$E126&lt;=1,"",VLOOKUP(Regn!$E126,Afgr,2))</f>
        <v/>
      </c>
      <c r="BW126" s="32" t="str">
        <f>IF(Regn!$E126&gt;1,Regn!Y126,"")</f>
        <v/>
      </c>
      <c r="BX126" s="15" t="s">
        <v>82</v>
      </c>
      <c r="BZ126" s="37"/>
      <c r="CA126" s="15" t="s">
        <v>82</v>
      </c>
      <c r="CC126" s="32" t="str">
        <f>IF(Regn!$E126&gt;1,Regn!S126,"")</f>
        <v/>
      </c>
      <c r="CD126" s="15" t="s">
        <v>82</v>
      </c>
      <c r="CF126" s="32" t="str">
        <f>IF(Regn!$E126&gt;1,Regn!U126,"")</f>
        <v/>
      </c>
      <c r="CG126" s="15" t="s">
        <v>82</v>
      </c>
      <c r="CI126" s="37"/>
      <c r="CJ126" s="15" t="s">
        <v>82</v>
      </c>
      <c r="CL126" s="32" t="str">
        <f>IF(Regn!$E126&gt;1,Regn!AS126,"")</f>
        <v/>
      </c>
      <c r="CM126" s="15" t="s">
        <v>82</v>
      </c>
      <c r="CO126" s="37"/>
      <c r="CP126" s="15" t="s">
        <v>82</v>
      </c>
      <c r="CR126" s="32" t="str">
        <f>IF(Regn!$E126&gt;1,UdnKrav,"")</f>
        <v/>
      </c>
      <c r="CS126" s="15" t="s">
        <v>205</v>
      </c>
      <c r="CU126" s="32" t="str">
        <f>IF(Regn!$E126&gt;1,Regn!AY126,"")</f>
        <v/>
      </c>
      <c r="CV126" s="15" t="s">
        <v>82</v>
      </c>
      <c r="CX126" s="15" t="str">
        <f>IF(Regn!$G126&lt;=1,"",VLOOKUP(Regn!$G126,Efgr,2))</f>
        <v/>
      </c>
      <c r="CZ126" s="25" t="str">
        <f>IF(Regn!$G126&gt;1,Regn!DC126,"")</f>
        <v/>
      </c>
      <c r="DA126" s="15" t="str">
        <f>IF(Regn!$G126&gt;1,Regn!DF126,"")</f>
        <v/>
      </c>
      <c r="DC126" s="16"/>
      <c r="DD126" s="15" t="str">
        <f>IF(Regn!$G126&gt;1,Regn!DF126,"")</f>
        <v/>
      </c>
      <c r="DJ126" s="25" t="str">
        <f>IF(Regn!$G126&gt;1,Regn!CL126,"")</f>
        <v/>
      </c>
      <c r="DK126" s="15" t="s">
        <v>82</v>
      </c>
      <c r="DM126" s="16"/>
      <c r="DN126" s="15" t="s">
        <v>82</v>
      </c>
      <c r="DP126" s="25" t="str">
        <f>IF(Regn!$G126&gt;1,Regn!CR126,"")</f>
        <v/>
      </c>
      <c r="DQ126" s="15" t="s">
        <v>82</v>
      </c>
      <c r="DS126" s="16"/>
      <c r="DT126" s="15" t="s">
        <v>82</v>
      </c>
      <c r="DV126" s="25" t="str">
        <f>IF(Regn!$G126&gt;1,UdnKrav,"")</f>
        <v/>
      </c>
      <c r="DW126" s="15" t="s">
        <v>205</v>
      </c>
      <c r="DY126" s="25" t="str">
        <f>IF(Regn!$G126&gt;1,Regn!CX126,"")</f>
        <v/>
      </c>
      <c r="DZ126" s="15" t="s">
        <v>82</v>
      </c>
      <c r="EB126" s="15" t="str">
        <f>IF(Regn!$E126&lt;=1,"",VLOOKUP(Regn!$E126,Afgr,2))</f>
        <v/>
      </c>
      <c r="ED126" s="25" t="str">
        <f>IF(Regn!$E126&gt;1,Regn!IB126,"")</f>
        <v/>
      </c>
      <c r="EE126" s="15" t="s">
        <v>188</v>
      </c>
      <c r="EG126" s="16"/>
      <c r="EH126" s="15" t="s">
        <v>188</v>
      </c>
      <c r="EJ126" s="25" t="str">
        <f>IF(Regn!$E126&gt;1,Regn!IX126,"")</f>
        <v/>
      </c>
      <c r="EK126" s="15" t="s">
        <v>188</v>
      </c>
      <c r="EM126" s="16"/>
      <c r="EN126" s="15" t="s">
        <v>188</v>
      </c>
      <c r="EP126" s="25" t="str">
        <f>IF(Regn!$E126&gt;1,Regn!JB126,"")</f>
        <v/>
      </c>
      <c r="EQ126" s="15" t="s">
        <v>188</v>
      </c>
      <c r="ES126" s="16"/>
      <c r="ET126" s="15" t="s">
        <v>188</v>
      </c>
      <c r="EV126" s="25" t="str">
        <f>IF(Regn!$E126&gt;1,Regn!JF126,"")</f>
        <v/>
      </c>
      <c r="EW126" s="15" t="s">
        <v>188</v>
      </c>
      <c r="EY126" s="16"/>
      <c r="EZ126" s="15" t="s">
        <v>188</v>
      </c>
      <c r="FB126" s="25" t="str">
        <f>IF(Regn!$E126&gt;1,Regn!JL126,"")</f>
        <v/>
      </c>
      <c r="FC126" s="15" t="s">
        <v>362</v>
      </c>
      <c r="FE126" s="16"/>
      <c r="FF126" s="15" t="s">
        <v>188</v>
      </c>
      <c r="FH126" s="25" t="str">
        <f>IF(Regn!$E126&gt;1,Regn!JY126,"")</f>
        <v/>
      </c>
      <c r="FI126" s="15" t="s">
        <v>188</v>
      </c>
      <c r="FK126" s="16"/>
      <c r="FL126" s="15" t="s">
        <v>188</v>
      </c>
      <c r="FN126" s="25" t="str">
        <f>IF(Regn!$E126&gt;1,Regn!KC126,"")</f>
        <v/>
      </c>
      <c r="FO126" s="15" t="s">
        <v>188</v>
      </c>
      <c r="FQ126" s="16"/>
      <c r="FR126" s="15" t="s">
        <v>188</v>
      </c>
      <c r="FT126" s="25" t="str">
        <f>IF(Regn!$E126&gt;1,Regn!KG126,"")</f>
        <v/>
      </c>
      <c r="FU126" s="15" t="s">
        <v>188</v>
      </c>
      <c r="FW126" s="16"/>
      <c r="FX126" s="15" t="s">
        <v>188</v>
      </c>
      <c r="FZ126" s="25" t="str">
        <f>IF(Regn!$E126&gt;1,Regn!KK126,"")</f>
        <v/>
      </c>
      <c r="GA126" s="15" t="s">
        <v>531</v>
      </c>
      <c r="GC126" s="16"/>
      <c r="GD126" s="15" t="s">
        <v>531</v>
      </c>
      <c r="GF126" s="25" t="str">
        <f>IF(Regn!$E126&gt;1,Regn!KM126,"")</f>
        <v/>
      </c>
      <c r="GG126" s="15" t="s">
        <v>188</v>
      </c>
      <c r="GI126" s="16"/>
      <c r="GJ126" s="15" t="s">
        <v>188</v>
      </c>
      <c r="GL126" s="25" t="str">
        <f>IF(Regn!$E126&gt;1,Regn!KT126,"")</f>
        <v/>
      </c>
      <c r="GM126" s="15" t="s">
        <v>188</v>
      </c>
      <c r="GO126" s="16"/>
      <c r="GP126" s="15" t="s">
        <v>405</v>
      </c>
      <c r="GR126" s="25" t="str">
        <f>IF(Regn!$E126&gt;1,Regn!KZ126,"")</f>
        <v/>
      </c>
      <c r="GS126" s="15" t="s">
        <v>188</v>
      </c>
      <c r="GU126" s="16"/>
      <c r="GV126" s="15" t="s">
        <v>188</v>
      </c>
      <c r="HA126" s="25" t="str">
        <f>IF(Regn!$E126&gt;1,Regn!LD126,"")</f>
        <v/>
      </c>
      <c r="HB126" s="15" t="s">
        <v>188</v>
      </c>
      <c r="HD126" s="16"/>
      <c r="HE126" s="15" t="s">
        <v>188</v>
      </c>
      <c r="HG126" s="15" t="str">
        <f>IF(Regn!$G126&lt;=1,"",VLOOKUP(Regn!$G126,Efgr,2))</f>
        <v/>
      </c>
      <c r="HI126" s="25" t="str">
        <f>IF(Regn!$G126&gt;1,Regn!LH126,"")</f>
        <v/>
      </c>
      <c r="HJ126" s="15" t="s">
        <v>188</v>
      </c>
      <c r="HL126" s="16"/>
      <c r="HM126" s="15" t="s">
        <v>188</v>
      </c>
      <c r="HO126" s="25" t="str">
        <f>IF(Regn!$G126&gt;1,Regn!MA126,"")</f>
        <v/>
      </c>
      <c r="HP126" s="15" t="s">
        <v>188</v>
      </c>
      <c r="HR126" s="16"/>
      <c r="HS126" s="15" t="s">
        <v>188</v>
      </c>
      <c r="HU126" s="25" t="str">
        <f>IF(Regn!$G126&gt;1,Regn!ME126,"")</f>
        <v/>
      </c>
      <c r="HV126" s="15" t="s">
        <v>188</v>
      </c>
      <c r="HX126" s="16"/>
      <c r="HY126" s="15" t="s">
        <v>188</v>
      </c>
      <c r="IA126" s="25" t="str">
        <f>IF(Regn!$G126&gt;1,Regn!MI126,"")</f>
        <v/>
      </c>
      <c r="IB126" s="15" t="s">
        <v>188</v>
      </c>
      <c r="ID126" s="16"/>
      <c r="IE126" s="15" t="s">
        <v>188</v>
      </c>
      <c r="IG126" s="25" t="str">
        <f>IF(Regn!$G126&gt;1,Regn!MO126,"")</f>
        <v/>
      </c>
      <c r="IH126" s="15" t="s">
        <v>188</v>
      </c>
      <c r="IJ126" s="16"/>
      <c r="IK126" s="15" t="s">
        <v>188</v>
      </c>
      <c r="IM126" s="25" t="str">
        <f>IF(Regn!$G126&gt;1,Regn!MS126,"")</f>
        <v/>
      </c>
      <c r="IN126" s="15" t="s">
        <v>188</v>
      </c>
      <c r="IP126" s="16"/>
      <c r="IQ126" s="15" t="s">
        <v>188</v>
      </c>
      <c r="IS126" s="25" t="str">
        <f>IF(Regn!$G126&gt;1,Regn!MW126,"")</f>
        <v/>
      </c>
      <c r="IT126" s="15" t="s">
        <v>188</v>
      </c>
      <c r="IV126" s="16"/>
      <c r="IW126" s="15" t="s">
        <v>188</v>
      </c>
      <c r="IY126" s="25" t="str">
        <f>IF(Regn!$G126&gt;1,Regn!NA126,"")</f>
        <v/>
      </c>
      <c r="IZ126" s="15" t="s">
        <v>531</v>
      </c>
      <c r="JB126" s="16"/>
      <c r="JC126" s="15" t="s">
        <v>531</v>
      </c>
      <c r="JE126" s="25" t="str">
        <f>IF(Regn!$G126&gt;1,Regn!NC126,"")</f>
        <v/>
      </c>
      <c r="JF126" s="15" t="s">
        <v>188</v>
      </c>
      <c r="JH126" s="16"/>
      <c r="JI126" s="15" t="s">
        <v>188</v>
      </c>
      <c r="JK126" s="25" t="str">
        <f>IF(Regn!$G126&gt;1,Regn!NI126,"")</f>
        <v/>
      </c>
      <c r="JL126" s="15" t="s">
        <v>188</v>
      </c>
      <c r="JN126" s="16"/>
      <c r="JO126" s="15" t="s">
        <v>188</v>
      </c>
      <c r="JQ126" s="25" t="str">
        <f>IF(Regn!$G126&gt;1,Regn!NM126,"")</f>
        <v/>
      </c>
      <c r="JR126" s="15" t="s">
        <v>188</v>
      </c>
      <c r="JT126" s="16"/>
      <c r="JU126" s="15" t="s">
        <v>188</v>
      </c>
    </row>
    <row r="127" spans="2:281" ht="12" customHeight="1" x14ac:dyDescent="0.25">
      <c r="B127" s="28"/>
      <c r="C127" s="133" t="str">
        <f>IF(OR(Regn!$B128&gt;1,Regn!$E126=1),"",VLOOKUP(Regn!$E126,Afgr,2))</f>
        <v/>
      </c>
      <c r="G127" s="134" t="str">
        <f>IF(OR(Regn!$C128&gt;1,Regn!$G126=1),"",VLOOKUP(Regn!$G126,Efgr,2))</f>
        <v/>
      </c>
      <c r="M127" s="134" t="str">
        <f>IF(OR(Regn!$E46=1,Regn!E128&gt;1),"",VLOOKUP(Regn!$E46,Afgr,2))</f>
        <v/>
      </c>
      <c r="U127" s="134" t="str">
        <f>IF(OR(Regn!$K128&gt;1,Regn!$E130=1),"",VLOOKUP(Regn!$E130,Afgr,2))</f>
        <v/>
      </c>
    </row>
    <row r="128" spans="2:281" x14ac:dyDescent="0.25">
      <c r="B128" s="28">
        <v>7</v>
      </c>
      <c r="Z128" s="36"/>
      <c r="AA128" s="15" t="s">
        <v>85</v>
      </c>
      <c r="AC128" s="53">
        <f>Regn!M128</f>
        <v>0</v>
      </c>
      <c r="AD128" s="15" t="s">
        <v>85</v>
      </c>
      <c r="AF128" s="15" t="str">
        <f>IF(Regn!$E128&lt;=1,"",VLOOKUP(Regn!$E128,Afgr,2))</f>
        <v/>
      </c>
      <c r="AH128" s="55" t="str">
        <f>IF(Regn!$E128&gt;1,Regn!BH128,"")</f>
        <v/>
      </c>
      <c r="AI128" s="15" t="str">
        <f>IF(Regn!BK128&lt;&gt;0,Regn!BK128,"")</f>
        <v/>
      </c>
      <c r="AK128" s="16"/>
      <c r="AL128" s="15" t="str">
        <f>IF(Regn!BK128&lt;&gt;0,Regn!BK128,"")</f>
        <v/>
      </c>
      <c r="AN128" s="33" t="str">
        <f>IF(Regn!$E128&gt;1,Regn!DP128,"")</f>
        <v/>
      </c>
      <c r="AO128" s="15" t="s">
        <v>201</v>
      </c>
      <c r="AQ128" s="38"/>
      <c r="AR128" s="15" t="s">
        <v>201</v>
      </c>
      <c r="AT128" s="55" t="str">
        <f>IF(Regn!$E128&gt;1,Regn!BN128,"")</f>
        <v/>
      </c>
      <c r="AU128" s="15" t="s">
        <v>188</v>
      </c>
      <c r="AW128" s="124"/>
      <c r="AX128" s="15" t="s">
        <v>188</v>
      </c>
      <c r="AZ128" s="25" t="str">
        <f>IF(Regn!$E128&gt;1,Regn!BS128,"")</f>
        <v/>
      </c>
      <c r="BA128" s="15" t="s">
        <v>188</v>
      </c>
      <c r="BC128" s="17"/>
      <c r="BD128" s="15" t="s">
        <v>188</v>
      </c>
      <c r="BF128" s="25" t="str">
        <f>IF(Regn!$E128&gt;1,Regn!BX128,"")</f>
        <v/>
      </c>
      <c r="BG128" s="15" t="s">
        <v>192</v>
      </c>
      <c r="BI128" s="16"/>
      <c r="BJ128" s="15" t="s">
        <v>192</v>
      </c>
      <c r="BO128" s="33" t="str">
        <f>IF(Regn!$E128&gt;1,Regn!CE128,"")</f>
        <v/>
      </c>
      <c r="BP128" s="15" t="s">
        <v>188</v>
      </c>
      <c r="BR128" s="38"/>
      <c r="BS128" s="15" t="s">
        <v>188</v>
      </c>
      <c r="BU128" s="15" t="str">
        <f>IF(Regn!$E128&lt;=1,"",VLOOKUP(Regn!$E128,Afgr,2))</f>
        <v/>
      </c>
      <c r="BW128" s="32" t="str">
        <f>IF(Regn!$E128&gt;1,Regn!Y128,"")</f>
        <v/>
      </c>
      <c r="BX128" s="15" t="s">
        <v>82</v>
      </c>
      <c r="BZ128" s="37"/>
      <c r="CA128" s="15" t="s">
        <v>82</v>
      </c>
      <c r="CC128" s="32" t="str">
        <f>IF(Regn!$E128&gt;1,Regn!S128,"")</f>
        <v/>
      </c>
      <c r="CD128" s="15" t="s">
        <v>82</v>
      </c>
      <c r="CF128" s="32" t="str">
        <f>IF(Regn!$E128&gt;1,Regn!U128,"")</f>
        <v/>
      </c>
      <c r="CG128" s="15" t="s">
        <v>82</v>
      </c>
      <c r="CI128" s="37"/>
      <c r="CJ128" s="15" t="s">
        <v>82</v>
      </c>
      <c r="CL128" s="32" t="str">
        <f>IF(Regn!$E128&gt;1,Regn!AS128,"")</f>
        <v/>
      </c>
      <c r="CM128" s="15" t="s">
        <v>82</v>
      </c>
      <c r="CO128" s="37"/>
      <c r="CP128" s="15" t="s">
        <v>82</v>
      </c>
      <c r="CR128" s="32" t="str">
        <f>IF(Regn!$E128&gt;1,UdnKrav,"")</f>
        <v/>
      </c>
      <c r="CS128" s="15" t="s">
        <v>205</v>
      </c>
      <c r="CU128" s="32" t="str">
        <f>IF(Regn!$E128&gt;1,Regn!AY128,"")</f>
        <v/>
      </c>
      <c r="CV128" s="15" t="s">
        <v>82</v>
      </c>
      <c r="CX128" s="15" t="str">
        <f>IF(Regn!$G128&lt;=1,"",VLOOKUP(Regn!$G128,Efgr,2))</f>
        <v/>
      </c>
      <c r="CZ128" s="25" t="str">
        <f>IF(Regn!$G128&gt;1,Regn!DC128,"")</f>
        <v/>
      </c>
      <c r="DA128" s="15" t="str">
        <f>IF(Regn!$G128&gt;1,Regn!DF128,"")</f>
        <v/>
      </c>
      <c r="DC128" s="16"/>
      <c r="DD128" s="15" t="str">
        <f>IF(Regn!$G128&gt;1,Regn!DF128,"")</f>
        <v/>
      </c>
      <c r="DJ128" s="25" t="str">
        <f>IF(Regn!$G128&gt;1,Regn!CL128,"")</f>
        <v/>
      </c>
      <c r="DK128" s="15" t="s">
        <v>82</v>
      </c>
      <c r="DM128" s="16"/>
      <c r="DN128" s="15" t="s">
        <v>82</v>
      </c>
      <c r="DP128" s="25" t="str">
        <f>IF(Regn!$G128&gt;1,Regn!CR128,"")</f>
        <v/>
      </c>
      <c r="DQ128" s="15" t="s">
        <v>82</v>
      </c>
      <c r="DS128" s="16"/>
      <c r="DT128" s="15" t="s">
        <v>82</v>
      </c>
      <c r="DV128" s="25" t="str">
        <f>IF(Regn!$G128&gt;1,UdnKrav,"")</f>
        <v/>
      </c>
      <c r="DW128" s="15" t="s">
        <v>205</v>
      </c>
      <c r="DY128" s="25" t="str">
        <f>IF(Regn!$G128&gt;1,Regn!CX128,"")</f>
        <v/>
      </c>
      <c r="DZ128" s="15" t="s">
        <v>82</v>
      </c>
      <c r="EB128" s="15" t="str">
        <f>IF(Regn!$E128&lt;=1,"",VLOOKUP(Regn!$E128,Afgr,2))</f>
        <v/>
      </c>
      <c r="ED128" s="25" t="str">
        <f>IF(Regn!$E128&gt;1,Regn!IB128,"")</f>
        <v/>
      </c>
      <c r="EE128" s="15" t="s">
        <v>188</v>
      </c>
      <c r="EG128" s="16"/>
      <c r="EH128" s="15" t="s">
        <v>188</v>
      </c>
      <c r="EJ128" s="25" t="str">
        <f>IF(Regn!$E128&gt;1,Regn!IX128,"")</f>
        <v/>
      </c>
      <c r="EK128" s="15" t="s">
        <v>188</v>
      </c>
      <c r="EM128" s="16"/>
      <c r="EN128" s="15" t="s">
        <v>188</v>
      </c>
      <c r="EP128" s="25" t="str">
        <f>IF(Regn!$E128&gt;1,Regn!JB128,"")</f>
        <v/>
      </c>
      <c r="EQ128" s="15" t="s">
        <v>188</v>
      </c>
      <c r="ES128" s="16"/>
      <c r="ET128" s="15" t="s">
        <v>188</v>
      </c>
      <c r="EV128" s="25" t="str">
        <f>IF(Regn!$E128&gt;1,Regn!JF128,"")</f>
        <v/>
      </c>
      <c r="EW128" s="15" t="s">
        <v>188</v>
      </c>
      <c r="EY128" s="16"/>
      <c r="EZ128" s="15" t="s">
        <v>188</v>
      </c>
      <c r="FB128" s="25" t="str">
        <f>IF(Regn!$E128&gt;1,Regn!JL128,"")</f>
        <v/>
      </c>
      <c r="FC128" s="15" t="s">
        <v>362</v>
      </c>
      <c r="FE128" s="16"/>
      <c r="FF128" s="15" t="s">
        <v>188</v>
      </c>
      <c r="FH128" s="25" t="str">
        <f>IF(Regn!$E128&gt;1,Regn!JY128,"")</f>
        <v/>
      </c>
      <c r="FI128" s="15" t="s">
        <v>188</v>
      </c>
      <c r="FK128" s="16"/>
      <c r="FL128" s="15" t="s">
        <v>188</v>
      </c>
      <c r="FN128" s="25" t="str">
        <f>IF(Regn!$E128&gt;1,Regn!KC128,"")</f>
        <v/>
      </c>
      <c r="FO128" s="15" t="s">
        <v>188</v>
      </c>
      <c r="FQ128" s="16"/>
      <c r="FR128" s="15" t="s">
        <v>188</v>
      </c>
      <c r="FT128" s="25" t="str">
        <f>IF(Regn!$E128&gt;1,Regn!KG128,"")</f>
        <v/>
      </c>
      <c r="FU128" s="15" t="s">
        <v>188</v>
      </c>
      <c r="FW128" s="16"/>
      <c r="FX128" s="15" t="s">
        <v>188</v>
      </c>
      <c r="FZ128" s="25" t="str">
        <f>IF(Regn!$E128&gt;1,Regn!KK128,"")</f>
        <v/>
      </c>
      <c r="GA128" s="15" t="s">
        <v>531</v>
      </c>
      <c r="GC128" s="16"/>
      <c r="GD128" s="15" t="s">
        <v>531</v>
      </c>
      <c r="GF128" s="25" t="str">
        <f>IF(Regn!$E128&gt;1,Regn!KM128,"")</f>
        <v/>
      </c>
      <c r="GG128" s="15" t="s">
        <v>188</v>
      </c>
      <c r="GI128" s="16"/>
      <c r="GJ128" s="15" t="s">
        <v>188</v>
      </c>
      <c r="GL128" s="25" t="str">
        <f>IF(Regn!$E128&gt;1,Regn!KT128,"")</f>
        <v/>
      </c>
      <c r="GM128" s="15" t="s">
        <v>188</v>
      </c>
      <c r="GO128" s="16"/>
      <c r="GP128" s="15" t="s">
        <v>405</v>
      </c>
      <c r="GR128" s="25" t="str">
        <f>IF(Regn!$E128&gt;1,Regn!KZ128,"")</f>
        <v/>
      </c>
      <c r="GS128" s="15" t="s">
        <v>188</v>
      </c>
      <c r="GU128" s="16"/>
      <c r="GV128" s="15" t="s">
        <v>188</v>
      </c>
      <c r="HA128" s="25" t="str">
        <f>IF(Regn!$E128&gt;1,Regn!LD128,"")</f>
        <v/>
      </c>
      <c r="HB128" s="15" t="s">
        <v>188</v>
      </c>
      <c r="HD128" s="16"/>
      <c r="HE128" s="15" t="s">
        <v>188</v>
      </c>
      <c r="HG128" s="15" t="str">
        <f>IF(Regn!$G128&lt;=1,"",VLOOKUP(Regn!$G128,Efgr,2))</f>
        <v/>
      </c>
      <c r="HI128" s="25" t="str">
        <f>IF(Regn!$G128&gt;1,Regn!LH128,"")</f>
        <v/>
      </c>
      <c r="HJ128" s="15" t="s">
        <v>188</v>
      </c>
      <c r="HL128" s="16"/>
      <c r="HM128" s="15" t="s">
        <v>188</v>
      </c>
      <c r="HO128" s="25" t="str">
        <f>IF(Regn!$G128&gt;1,Regn!MA128,"")</f>
        <v/>
      </c>
      <c r="HP128" s="15" t="s">
        <v>188</v>
      </c>
      <c r="HR128" s="16"/>
      <c r="HS128" s="15" t="s">
        <v>188</v>
      </c>
      <c r="HU128" s="25" t="str">
        <f>IF(Regn!$G128&gt;1,Regn!ME128,"")</f>
        <v/>
      </c>
      <c r="HV128" s="15" t="s">
        <v>188</v>
      </c>
      <c r="HX128" s="16"/>
      <c r="HY128" s="15" t="s">
        <v>188</v>
      </c>
      <c r="IA128" s="25" t="str">
        <f>IF(Regn!$G128&gt;1,Regn!MI128,"")</f>
        <v/>
      </c>
      <c r="IB128" s="15" t="s">
        <v>188</v>
      </c>
      <c r="ID128" s="16"/>
      <c r="IE128" s="15" t="s">
        <v>188</v>
      </c>
      <c r="IG128" s="25" t="str">
        <f>IF(Regn!$G128&gt;1,Regn!MO128,"")</f>
        <v/>
      </c>
      <c r="IH128" s="15" t="s">
        <v>188</v>
      </c>
      <c r="IJ128" s="16"/>
      <c r="IK128" s="15" t="s">
        <v>188</v>
      </c>
      <c r="IM128" s="25" t="str">
        <f>IF(Regn!$G128&gt;1,Regn!MS128,"")</f>
        <v/>
      </c>
      <c r="IN128" s="15" t="s">
        <v>188</v>
      </c>
      <c r="IP128" s="16"/>
      <c r="IQ128" s="15" t="s">
        <v>188</v>
      </c>
      <c r="IS128" s="25" t="str">
        <f>IF(Regn!$G128&gt;1,Regn!MW128,"")</f>
        <v/>
      </c>
      <c r="IT128" s="15" t="s">
        <v>188</v>
      </c>
      <c r="IV128" s="16"/>
      <c r="IW128" s="15" t="s">
        <v>188</v>
      </c>
      <c r="IY128" s="25" t="str">
        <f>IF(Regn!$G128&gt;1,Regn!NA128,"")</f>
        <v/>
      </c>
      <c r="IZ128" s="15" t="s">
        <v>531</v>
      </c>
      <c r="JB128" s="16"/>
      <c r="JC128" s="15" t="s">
        <v>531</v>
      </c>
      <c r="JE128" s="25" t="str">
        <f>IF(Regn!$G128&gt;1,Regn!NC128,"")</f>
        <v/>
      </c>
      <c r="JF128" s="15" t="s">
        <v>188</v>
      </c>
      <c r="JH128" s="16"/>
      <c r="JI128" s="15" t="s">
        <v>188</v>
      </c>
      <c r="JK128" s="25" t="str">
        <f>IF(Regn!$G128&gt;1,Regn!NI128,"")</f>
        <v/>
      </c>
      <c r="JL128" s="15" t="s">
        <v>188</v>
      </c>
      <c r="JN128" s="16"/>
      <c r="JO128" s="15" t="s">
        <v>188</v>
      </c>
      <c r="JQ128" s="25" t="str">
        <f>IF(Regn!$G128&gt;1,Regn!NM128,"")</f>
        <v/>
      </c>
      <c r="JR128" s="15" t="s">
        <v>188</v>
      </c>
      <c r="JT128" s="16"/>
      <c r="JU128" s="15" t="s">
        <v>188</v>
      </c>
    </row>
    <row r="129" spans="2:281" ht="12" customHeight="1" x14ac:dyDescent="0.25">
      <c r="B129" s="28"/>
      <c r="C129" s="133" t="str">
        <f>IF(OR(Regn!$B130&gt;1,Regn!$E128=1),"",VLOOKUP(Regn!$E128,Afgr,2))</f>
        <v/>
      </c>
      <c r="G129" s="134" t="str">
        <f>IF(OR(Regn!$C130&gt;1,Regn!$G128=1),"",VLOOKUP(Regn!$G128,Efgr,2))</f>
        <v/>
      </c>
      <c r="M129" s="134" t="str">
        <f>IF(OR(Regn!$E48=1,Regn!E130&gt;1),"",VLOOKUP(Regn!$E48,Afgr,2))</f>
        <v/>
      </c>
    </row>
    <row r="130" spans="2:281" x14ac:dyDescent="0.25">
      <c r="B130" s="28">
        <v>8</v>
      </c>
      <c r="Z130" s="36"/>
      <c r="AA130" s="15" t="s">
        <v>85</v>
      </c>
      <c r="AC130" s="53">
        <f>Regn!M130</f>
        <v>0</v>
      </c>
      <c r="AD130" s="15" t="s">
        <v>85</v>
      </c>
      <c r="AF130" s="15" t="str">
        <f>IF(Regn!$E130&lt;=1,"",VLOOKUP(Regn!$E130,Afgr,2))</f>
        <v/>
      </c>
      <c r="AH130" s="55" t="str">
        <f>IF(Regn!$E130&gt;1,Regn!BH130,"")</f>
        <v/>
      </c>
      <c r="AI130" s="15" t="str">
        <f>IF(Regn!BK130&lt;&gt;0,Regn!BK130,"")</f>
        <v/>
      </c>
      <c r="AK130" s="16"/>
      <c r="AL130" s="15" t="str">
        <f>IF(Regn!BK130&lt;&gt;0,Regn!BK130,"")</f>
        <v/>
      </c>
      <c r="AN130" s="33" t="str">
        <f>IF(Regn!$E130&gt;1,Regn!DP130,"")</f>
        <v/>
      </c>
      <c r="AO130" s="15" t="s">
        <v>201</v>
      </c>
      <c r="AQ130" s="38"/>
      <c r="AR130" s="15" t="s">
        <v>201</v>
      </c>
      <c r="AT130" s="55" t="str">
        <f>IF(Regn!$E130&gt;1,Regn!BN130,"")</f>
        <v/>
      </c>
      <c r="AU130" s="15" t="s">
        <v>188</v>
      </c>
      <c r="AW130" s="124"/>
      <c r="AX130" s="15" t="s">
        <v>188</v>
      </c>
      <c r="AZ130" s="25" t="str">
        <f>IF(Regn!$E130&gt;1,Regn!BS130,"")</f>
        <v/>
      </c>
      <c r="BA130" s="15" t="s">
        <v>188</v>
      </c>
      <c r="BC130" s="17"/>
      <c r="BD130" s="15" t="s">
        <v>188</v>
      </c>
      <c r="BF130" s="25" t="str">
        <f>IF(Regn!$E130&gt;1,Regn!BX130,"")</f>
        <v/>
      </c>
      <c r="BG130" s="15" t="s">
        <v>192</v>
      </c>
      <c r="BI130" s="16"/>
      <c r="BJ130" s="15" t="s">
        <v>192</v>
      </c>
      <c r="BO130" s="33" t="str">
        <f>IF(Regn!$E130&gt;1,Regn!CE130,"")</f>
        <v/>
      </c>
      <c r="BP130" s="15" t="s">
        <v>188</v>
      </c>
      <c r="BR130" s="38"/>
      <c r="BS130" s="15" t="s">
        <v>188</v>
      </c>
      <c r="BU130" s="15" t="str">
        <f>IF(Regn!$E130&lt;=1,"",VLOOKUP(Regn!$E130,Afgr,2))</f>
        <v/>
      </c>
      <c r="BW130" s="32" t="str">
        <f>IF(Regn!$E130&gt;1,Regn!Y130,"")</f>
        <v/>
      </c>
      <c r="BX130" s="15" t="s">
        <v>82</v>
      </c>
      <c r="BZ130" s="37"/>
      <c r="CA130" s="15" t="s">
        <v>82</v>
      </c>
      <c r="CC130" s="32" t="str">
        <f>IF(Regn!$E130&gt;1,Regn!S130,"")</f>
        <v/>
      </c>
      <c r="CD130" s="15" t="s">
        <v>82</v>
      </c>
      <c r="CF130" s="32" t="str">
        <f>IF(Regn!$E130&gt;1,Regn!U130,"")</f>
        <v/>
      </c>
      <c r="CG130" s="15" t="s">
        <v>82</v>
      </c>
      <c r="CI130" s="37"/>
      <c r="CJ130" s="15" t="s">
        <v>82</v>
      </c>
      <c r="CL130" s="32" t="str">
        <f>IF(Regn!$E130&gt;1,Regn!AS130,"")</f>
        <v/>
      </c>
      <c r="CM130" s="15" t="s">
        <v>82</v>
      </c>
      <c r="CO130" s="37"/>
      <c r="CP130" s="15" t="s">
        <v>82</v>
      </c>
      <c r="CR130" s="32" t="str">
        <f>IF(Regn!$E130&gt;1,UdnKrav,"")</f>
        <v/>
      </c>
      <c r="CS130" s="15" t="s">
        <v>205</v>
      </c>
      <c r="CU130" s="32" t="str">
        <f>IF(Regn!$E130&gt;1,Regn!AY130,"")</f>
        <v/>
      </c>
      <c r="CV130" s="15" t="s">
        <v>82</v>
      </c>
      <c r="CX130" s="15" t="str">
        <f>IF(Regn!$G130&lt;=1,"",VLOOKUP(Regn!$G130,Efgr,2))</f>
        <v/>
      </c>
      <c r="CZ130" s="25" t="str">
        <f>IF(Regn!$G130&gt;1,Regn!DC130,"")</f>
        <v/>
      </c>
      <c r="DA130" s="15" t="str">
        <f>IF(Regn!$G130&gt;1,Regn!DF130,"")</f>
        <v/>
      </c>
      <c r="DC130" s="16"/>
      <c r="DD130" s="15" t="str">
        <f>IF(Regn!$G130&gt;1,Regn!DF130,"")</f>
        <v/>
      </c>
      <c r="DJ130" s="25" t="str">
        <f>IF(Regn!$G130&gt;1,Regn!CL130,"")</f>
        <v/>
      </c>
      <c r="DK130" s="15" t="s">
        <v>82</v>
      </c>
      <c r="DM130" s="16"/>
      <c r="DN130" s="15" t="s">
        <v>82</v>
      </c>
      <c r="DP130" s="25" t="str">
        <f>IF(Regn!$G130&gt;1,Regn!CR130,"")</f>
        <v/>
      </c>
      <c r="DQ130" s="15" t="s">
        <v>82</v>
      </c>
      <c r="DS130" s="16"/>
      <c r="DT130" s="15" t="s">
        <v>82</v>
      </c>
      <c r="DV130" s="25" t="str">
        <f>IF(Regn!$G130&gt;1,UdnKrav,"")</f>
        <v/>
      </c>
      <c r="DW130" s="15" t="s">
        <v>205</v>
      </c>
      <c r="DY130" s="25" t="str">
        <f>IF(Regn!$G130&gt;1,Regn!CX130,"")</f>
        <v/>
      </c>
      <c r="DZ130" s="15" t="s">
        <v>82</v>
      </c>
      <c r="EB130" s="15" t="str">
        <f>IF(Regn!$E130&lt;=1,"",VLOOKUP(Regn!$E130,Afgr,2))</f>
        <v/>
      </c>
      <c r="ED130" s="25" t="str">
        <f>IF(Regn!$E130&gt;1,Regn!IB130,"")</f>
        <v/>
      </c>
      <c r="EE130" s="15" t="s">
        <v>188</v>
      </c>
      <c r="EG130" s="16"/>
      <c r="EH130" s="15" t="s">
        <v>188</v>
      </c>
      <c r="EJ130" s="25" t="str">
        <f>IF(Regn!$E130&gt;1,Regn!IX130,"")</f>
        <v/>
      </c>
      <c r="EK130" s="15" t="s">
        <v>188</v>
      </c>
      <c r="EM130" s="16"/>
      <c r="EN130" s="15" t="s">
        <v>188</v>
      </c>
      <c r="EP130" s="25" t="str">
        <f>IF(Regn!$E130&gt;1,Regn!JB130,"")</f>
        <v/>
      </c>
      <c r="EQ130" s="15" t="s">
        <v>188</v>
      </c>
      <c r="ES130" s="16"/>
      <c r="ET130" s="15" t="s">
        <v>188</v>
      </c>
      <c r="EV130" s="25" t="str">
        <f>IF(Regn!$E130&gt;1,Regn!JF130,"")</f>
        <v/>
      </c>
      <c r="EW130" s="15" t="s">
        <v>188</v>
      </c>
      <c r="EY130" s="16"/>
      <c r="EZ130" s="15" t="s">
        <v>188</v>
      </c>
      <c r="FB130" s="25" t="str">
        <f>IF(Regn!$E130&gt;1,Regn!JL130,"")</f>
        <v/>
      </c>
      <c r="FC130" s="15" t="s">
        <v>362</v>
      </c>
      <c r="FE130" s="16"/>
      <c r="FF130" s="15" t="s">
        <v>188</v>
      </c>
      <c r="FH130" s="25" t="str">
        <f>IF(Regn!$E130&gt;1,Regn!JY130,"")</f>
        <v/>
      </c>
      <c r="FI130" s="15" t="s">
        <v>188</v>
      </c>
      <c r="FK130" s="16"/>
      <c r="FL130" s="15" t="s">
        <v>188</v>
      </c>
      <c r="FN130" s="25" t="str">
        <f>IF(Regn!$E130&gt;1,Regn!KC130,"")</f>
        <v/>
      </c>
      <c r="FO130" s="15" t="s">
        <v>188</v>
      </c>
      <c r="FQ130" s="16"/>
      <c r="FR130" s="15" t="s">
        <v>188</v>
      </c>
      <c r="FT130" s="25" t="str">
        <f>IF(Regn!$E130&gt;1,Regn!KG130,"")</f>
        <v/>
      </c>
      <c r="FU130" s="15" t="s">
        <v>188</v>
      </c>
      <c r="FW130" s="16"/>
      <c r="FX130" s="15" t="s">
        <v>188</v>
      </c>
      <c r="FZ130" s="25" t="str">
        <f>IF(Regn!$E130&gt;1,Regn!KK130,"")</f>
        <v/>
      </c>
      <c r="GA130" s="15" t="s">
        <v>531</v>
      </c>
      <c r="GC130" s="16"/>
      <c r="GD130" s="15" t="s">
        <v>531</v>
      </c>
      <c r="GF130" s="25" t="str">
        <f>IF(Regn!$E130&gt;1,Regn!KM130,"")</f>
        <v/>
      </c>
      <c r="GG130" s="15" t="s">
        <v>188</v>
      </c>
      <c r="GI130" s="16"/>
      <c r="GJ130" s="15" t="s">
        <v>188</v>
      </c>
      <c r="GL130" s="25" t="str">
        <f>IF(Regn!$E130&gt;1,Regn!KT130,"")</f>
        <v/>
      </c>
      <c r="GM130" s="15" t="s">
        <v>188</v>
      </c>
      <c r="GO130" s="16"/>
      <c r="GP130" s="15" t="s">
        <v>405</v>
      </c>
      <c r="GR130" s="25" t="str">
        <f>IF(Regn!$E130&gt;1,Regn!KZ130,"")</f>
        <v/>
      </c>
      <c r="GS130" s="15" t="s">
        <v>188</v>
      </c>
      <c r="GU130" s="16"/>
      <c r="GV130" s="15" t="s">
        <v>188</v>
      </c>
      <c r="HA130" s="25" t="str">
        <f>IF(Regn!$E130&gt;1,Regn!LD130,"")</f>
        <v/>
      </c>
      <c r="HB130" s="15" t="s">
        <v>188</v>
      </c>
      <c r="HD130" s="16"/>
      <c r="HE130" s="15" t="s">
        <v>188</v>
      </c>
      <c r="HG130" s="15" t="str">
        <f>IF(Regn!$G130&lt;=1,"",VLOOKUP(Regn!$G130,Efgr,2))</f>
        <v/>
      </c>
      <c r="HI130" s="25" t="str">
        <f>IF(Regn!$G130&gt;1,Regn!LH130,"")</f>
        <v/>
      </c>
      <c r="HJ130" s="15" t="s">
        <v>188</v>
      </c>
      <c r="HL130" s="16"/>
      <c r="HM130" s="15" t="s">
        <v>188</v>
      </c>
      <c r="HO130" s="25" t="str">
        <f>IF(Regn!$G130&gt;1,Regn!MA130,"")</f>
        <v/>
      </c>
      <c r="HP130" s="15" t="s">
        <v>188</v>
      </c>
      <c r="HR130" s="16"/>
      <c r="HS130" s="15" t="s">
        <v>188</v>
      </c>
      <c r="HU130" s="25" t="str">
        <f>IF(Regn!$G130&gt;1,Regn!ME130,"")</f>
        <v/>
      </c>
      <c r="HV130" s="15" t="s">
        <v>188</v>
      </c>
      <c r="HX130" s="16"/>
      <c r="HY130" s="15" t="s">
        <v>188</v>
      </c>
      <c r="IA130" s="25" t="str">
        <f>IF(Regn!$G130&gt;1,Regn!MI130,"")</f>
        <v/>
      </c>
      <c r="IB130" s="15" t="s">
        <v>188</v>
      </c>
      <c r="ID130" s="16"/>
      <c r="IE130" s="15" t="s">
        <v>188</v>
      </c>
      <c r="IG130" s="25" t="str">
        <f>IF(Regn!$G130&gt;1,Regn!MO130,"")</f>
        <v/>
      </c>
      <c r="IH130" s="15" t="s">
        <v>188</v>
      </c>
      <c r="IJ130" s="16"/>
      <c r="IK130" s="15" t="s">
        <v>188</v>
      </c>
      <c r="IM130" s="25" t="str">
        <f>IF(Regn!$G130&gt;1,Regn!MS130,"")</f>
        <v/>
      </c>
      <c r="IN130" s="15" t="s">
        <v>188</v>
      </c>
      <c r="IP130" s="16"/>
      <c r="IQ130" s="15" t="s">
        <v>188</v>
      </c>
      <c r="IS130" s="25" t="str">
        <f>IF(Regn!$G130&gt;1,Regn!MW130,"")</f>
        <v/>
      </c>
      <c r="IT130" s="15" t="s">
        <v>188</v>
      </c>
      <c r="IV130" s="16"/>
      <c r="IW130" s="15" t="s">
        <v>188</v>
      </c>
      <c r="IY130" s="25" t="str">
        <f>IF(Regn!$G130&gt;1,Regn!NA130,"")</f>
        <v/>
      </c>
      <c r="IZ130" s="15" t="s">
        <v>531</v>
      </c>
      <c r="JB130" s="16"/>
      <c r="JC130" s="15" t="s">
        <v>531</v>
      </c>
      <c r="JE130" s="25" t="str">
        <f>IF(Regn!$G130&gt;1,Regn!NC130,"")</f>
        <v/>
      </c>
      <c r="JF130" s="15" t="s">
        <v>188</v>
      </c>
      <c r="JH130" s="16"/>
      <c r="JI130" s="15" t="s">
        <v>188</v>
      </c>
      <c r="JK130" s="25" t="str">
        <f>IF(Regn!$G130&gt;1,Regn!NI130,"")</f>
        <v/>
      </c>
      <c r="JL130" s="15" t="s">
        <v>188</v>
      </c>
      <c r="JN130" s="16"/>
      <c r="JO130" s="15" t="s">
        <v>188</v>
      </c>
      <c r="JQ130" s="25" t="str">
        <f>IF(Regn!$G130&gt;1,Regn!NM130,"")</f>
        <v/>
      </c>
      <c r="JR130" s="15" t="s">
        <v>188</v>
      </c>
      <c r="JT130" s="16"/>
      <c r="JU130" s="15" t="s">
        <v>188</v>
      </c>
    </row>
    <row r="131" spans="2:281" x14ac:dyDescent="0.25">
      <c r="B131" s="31"/>
    </row>
    <row r="132" spans="2:281" ht="21" x14ac:dyDescent="0.35">
      <c r="C132" s="190" t="s">
        <v>1818</v>
      </c>
      <c r="D132" s="143"/>
      <c r="E132" s="143"/>
      <c r="F132" s="191" t="s">
        <v>2217</v>
      </c>
      <c r="G132" s="143"/>
      <c r="H132" s="143"/>
      <c r="I132" s="143"/>
      <c r="J132" s="143"/>
      <c r="K132" s="143"/>
      <c r="L132" s="143"/>
      <c r="M132" s="143"/>
      <c r="N132" s="143"/>
      <c r="O132" s="143"/>
      <c r="P132" s="143"/>
      <c r="Q132" s="143"/>
      <c r="R132" s="143"/>
      <c r="S132" s="143"/>
      <c r="T132" s="143"/>
      <c r="U132" s="18"/>
      <c r="V132" s="18"/>
      <c r="W132" s="18"/>
      <c r="X132" s="18"/>
      <c r="Y132" s="18"/>
      <c r="Z132" s="144">
        <f>Regn!N132</f>
        <v>0</v>
      </c>
      <c r="AA132" s="145" t="s">
        <v>85</v>
      </c>
      <c r="AB132" s="145"/>
      <c r="AC132" s="144">
        <f>DyrkAreal3</f>
        <v>0</v>
      </c>
      <c r="AD132" s="145" t="s">
        <v>85</v>
      </c>
    </row>
    <row r="133" spans="2:281" ht="8.1" customHeight="1" x14ac:dyDescent="0.25">
      <c r="B133" s="31"/>
    </row>
    <row r="134" spans="2:281" x14ac:dyDescent="0.25">
      <c r="B134" s="31"/>
      <c r="C134" s="15" t="s">
        <v>87</v>
      </c>
      <c r="K134" s="27" t="s">
        <v>84</v>
      </c>
      <c r="M134" s="254"/>
      <c r="N134" s="255"/>
      <c r="O134" s="15" t="s">
        <v>85</v>
      </c>
      <c r="P134" s="141" t="s">
        <v>1475</v>
      </c>
      <c r="S134" s="17">
        <v>60</v>
      </c>
      <c r="T134" s="15" t="s">
        <v>205</v>
      </c>
      <c r="U134" s="15" t="s">
        <v>1943</v>
      </c>
      <c r="AD134" s="15" t="s">
        <v>1946</v>
      </c>
    </row>
    <row r="135" spans="2:281" ht="15" customHeight="1" x14ac:dyDescent="0.25">
      <c r="B135" s="31"/>
      <c r="EB135" s="26" t="s">
        <v>328</v>
      </c>
      <c r="FB135" s="26" t="s">
        <v>348</v>
      </c>
      <c r="HG135" s="26" t="s">
        <v>329</v>
      </c>
      <c r="IG135" s="26" t="s">
        <v>417</v>
      </c>
    </row>
    <row r="136" spans="2:281" s="26" customFormat="1" ht="32.1" customHeight="1" x14ac:dyDescent="0.35">
      <c r="C136" s="256" t="s">
        <v>76</v>
      </c>
      <c r="D136" s="257"/>
      <c r="E136" s="257"/>
      <c r="F136" s="257"/>
      <c r="G136" s="258" t="s">
        <v>79</v>
      </c>
      <c r="H136" s="259"/>
      <c r="I136" s="259"/>
      <c r="J136" s="257"/>
      <c r="K136" s="183" t="s">
        <v>1350</v>
      </c>
      <c r="L136" s="184"/>
      <c r="M136" s="268" t="s">
        <v>28</v>
      </c>
      <c r="N136" s="268"/>
      <c r="O136" s="268"/>
      <c r="P136" s="268"/>
      <c r="Q136" s="258" t="s">
        <v>1543</v>
      </c>
      <c r="R136" s="259"/>
      <c r="S136" s="259"/>
      <c r="T136" s="263"/>
      <c r="U136" s="260" t="s">
        <v>83</v>
      </c>
      <c r="V136" s="260"/>
      <c r="W136" s="260"/>
      <c r="X136" s="262"/>
      <c r="Z136" s="26" t="s">
        <v>84</v>
      </c>
      <c r="AC136" s="264" t="s">
        <v>1886</v>
      </c>
      <c r="AD136" s="265"/>
      <c r="AF136" s="26" t="s">
        <v>28</v>
      </c>
      <c r="AH136" s="26" t="s">
        <v>178</v>
      </c>
      <c r="AN136" s="26" t="s">
        <v>200</v>
      </c>
      <c r="AT136" s="26" t="s">
        <v>184</v>
      </c>
      <c r="AZ136" s="26" t="s">
        <v>1337</v>
      </c>
      <c r="BF136" s="26" t="s">
        <v>189</v>
      </c>
      <c r="BL136" s="261" t="s">
        <v>1547</v>
      </c>
      <c r="BM136" s="267"/>
      <c r="BO136" s="26" t="s">
        <v>198</v>
      </c>
      <c r="BU136" s="26" t="s">
        <v>28</v>
      </c>
      <c r="BW136" s="260" t="s">
        <v>437</v>
      </c>
      <c r="BX136" s="260"/>
      <c r="BY136" s="260"/>
      <c r="BZ136" s="260"/>
      <c r="CC136" s="261" t="s">
        <v>86</v>
      </c>
      <c r="CD136" s="260"/>
      <c r="CF136" s="261" t="s">
        <v>1544</v>
      </c>
      <c r="CG136" s="260"/>
      <c r="CI136" s="261" t="s">
        <v>456</v>
      </c>
      <c r="CJ136" s="260"/>
      <c r="CL136" s="261" t="s">
        <v>476</v>
      </c>
      <c r="CM136" s="260"/>
      <c r="CN136" s="260"/>
      <c r="CO136" s="262"/>
      <c r="CR136" s="261" t="s">
        <v>1545</v>
      </c>
      <c r="CS136" s="267"/>
      <c r="CU136" s="261" t="s">
        <v>1546</v>
      </c>
      <c r="CV136" s="267"/>
      <c r="CX136" s="41" t="s">
        <v>1543</v>
      </c>
      <c r="CZ136" s="26" t="s">
        <v>219</v>
      </c>
      <c r="DF136" s="261" t="s">
        <v>1548</v>
      </c>
      <c r="DG136" s="260"/>
      <c r="DH136" s="260"/>
      <c r="DJ136" s="26" t="s">
        <v>86</v>
      </c>
      <c r="DM136" s="26" t="s">
        <v>456</v>
      </c>
      <c r="DP136" s="261" t="s">
        <v>476</v>
      </c>
      <c r="DQ136" s="267"/>
      <c r="DR136" s="267"/>
      <c r="DV136" s="261" t="s">
        <v>1545</v>
      </c>
      <c r="DW136" s="267"/>
      <c r="DY136" s="261" t="s">
        <v>1546</v>
      </c>
      <c r="DZ136" s="267"/>
      <c r="EB136" s="26" t="s">
        <v>28</v>
      </c>
      <c r="ED136" s="26" t="s">
        <v>2</v>
      </c>
      <c r="EJ136" s="26" t="s">
        <v>523</v>
      </c>
      <c r="EP136" s="26" t="s">
        <v>3</v>
      </c>
      <c r="EV136" s="261" t="s">
        <v>1549</v>
      </c>
      <c r="EW136" s="260"/>
      <c r="EX136" s="260"/>
      <c r="EY136" s="260"/>
      <c r="EZ136" s="267"/>
      <c r="FB136" s="26" t="s">
        <v>360</v>
      </c>
      <c r="FH136" s="26" t="s">
        <v>363</v>
      </c>
      <c r="FN136" s="26" t="s">
        <v>364</v>
      </c>
      <c r="FT136" s="26" t="s">
        <v>365</v>
      </c>
      <c r="FZ136" s="26" t="s">
        <v>104</v>
      </c>
      <c r="GL136" s="261" t="s">
        <v>1550</v>
      </c>
      <c r="GM136" s="260"/>
      <c r="GN136" s="260"/>
      <c r="GO136" s="260"/>
      <c r="GP136" s="260"/>
      <c r="GR136" s="261" t="s">
        <v>1551</v>
      </c>
      <c r="GS136" s="260"/>
      <c r="GT136" s="260"/>
      <c r="GU136" s="260"/>
      <c r="GV136" s="260"/>
      <c r="GX136" s="26" t="s">
        <v>435</v>
      </c>
      <c r="HG136" s="41" t="s">
        <v>1543</v>
      </c>
      <c r="HI136" s="26" t="s">
        <v>2</v>
      </c>
      <c r="HO136" s="26" t="s">
        <v>523</v>
      </c>
      <c r="HU136" s="26" t="s">
        <v>3</v>
      </c>
      <c r="IA136" s="26" t="s">
        <v>415</v>
      </c>
      <c r="IG136" s="26" t="s">
        <v>20</v>
      </c>
      <c r="IM136" s="26" t="s">
        <v>364</v>
      </c>
      <c r="IS136" s="26" t="s">
        <v>365</v>
      </c>
      <c r="IY136" s="26" t="s">
        <v>104</v>
      </c>
      <c r="JK136" s="261" t="s">
        <v>1552</v>
      </c>
      <c r="JL136" s="260"/>
      <c r="JM136" s="260"/>
      <c r="JN136" s="260"/>
      <c r="JO136" s="260"/>
      <c r="JQ136" s="261" t="s">
        <v>1553</v>
      </c>
      <c r="JR136" s="260"/>
      <c r="JS136" s="260"/>
      <c r="JT136" s="260"/>
      <c r="JU136" s="260"/>
    </row>
    <row r="137" spans="2:281" ht="12" customHeight="1" x14ac:dyDescent="0.25">
      <c r="B137" s="31"/>
      <c r="U137" s="134" t="str">
        <f>IF(OR(Regn!$K138&gt;1,Regn!$E140=1),"",VLOOKUP(Regn!$E140,Afgr,2))</f>
        <v/>
      </c>
    </row>
    <row r="138" spans="2:281" x14ac:dyDescent="0.25">
      <c r="B138" s="28">
        <v>1</v>
      </c>
      <c r="Z138" s="36"/>
      <c r="AA138" s="15" t="s">
        <v>85</v>
      </c>
      <c r="AC138" s="53">
        <f>Regn!M138</f>
        <v>0</v>
      </c>
      <c r="AD138" s="15" t="s">
        <v>85</v>
      </c>
      <c r="AF138" s="15" t="str">
        <f>IF(Regn!$E138&lt;=1,"",VLOOKUP(Regn!$E138,Afgr,2))</f>
        <v/>
      </c>
      <c r="AH138" s="55" t="str">
        <f>IF(Regn!$E138&gt;1,Regn!BH138,"")</f>
        <v/>
      </c>
      <c r="AI138" s="15" t="str">
        <f>IF(Regn!BK138&lt;&gt;0,Regn!BK138,"")</f>
        <v/>
      </c>
      <c r="AK138" s="16"/>
      <c r="AL138" s="15" t="str">
        <f>IF(Regn!BK138&lt;&gt;0,Regn!BK138,"")</f>
        <v/>
      </c>
      <c r="AN138" s="33" t="str">
        <f>IF(Regn!$E138&gt;1,Regn!DP138,"")</f>
        <v/>
      </c>
      <c r="AO138" s="15" t="s">
        <v>201</v>
      </c>
      <c r="AQ138" s="38"/>
      <c r="AR138" s="15" t="s">
        <v>201</v>
      </c>
      <c r="AT138" s="55" t="str">
        <f>IF(Regn!$E138&gt;1,Regn!BN138,"")</f>
        <v/>
      </c>
      <c r="AU138" s="15" t="s">
        <v>188</v>
      </c>
      <c r="AW138" s="124"/>
      <c r="AX138" s="15" t="s">
        <v>188</v>
      </c>
      <c r="AZ138" s="25" t="str">
        <f>IF(Regn!$E138&gt;1,Regn!BS138,"")</f>
        <v/>
      </c>
      <c r="BA138" s="15" t="s">
        <v>188</v>
      </c>
      <c r="BC138" s="17"/>
      <c r="BD138" s="15" t="s">
        <v>188</v>
      </c>
      <c r="BF138" s="25" t="str">
        <f>IF(Regn!$E138&gt;1,Regn!BX138,"")</f>
        <v/>
      </c>
      <c r="BG138" s="15" t="s">
        <v>192</v>
      </c>
      <c r="BI138" s="16"/>
      <c r="BJ138" s="15" t="s">
        <v>192</v>
      </c>
      <c r="BO138" s="33" t="str">
        <f>IF(Regn!$E138&gt;1,Regn!CE138,"")</f>
        <v/>
      </c>
      <c r="BP138" s="15" t="s">
        <v>188</v>
      </c>
      <c r="BR138" s="38"/>
      <c r="BS138" s="15" t="s">
        <v>188</v>
      </c>
      <c r="BU138" s="15" t="str">
        <f>IF(Regn!$E138&lt;=1,"",VLOOKUP(Regn!$E138,Afgr,2))</f>
        <v/>
      </c>
      <c r="BW138" s="32" t="str">
        <f>IF(Regn!$E138&gt;1,Regn!Y138,"")</f>
        <v/>
      </c>
      <c r="BX138" s="15" t="s">
        <v>82</v>
      </c>
      <c r="BZ138" s="37"/>
      <c r="CA138" s="15" t="s">
        <v>82</v>
      </c>
      <c r="CC138" s="32" t="str">
        <f>IF(Regn!$E138&gt;1,Regn!S138,"")</f>
        <v/>
      </c>
      <c r="CD138" s="15" t="s">
        <v>82</v>
      </c>
      <c r="CF138" s="32" t="str">
        <f>IF(Regn!$E138&gt;1,Regn!U138,"")</f>
        <v/>
      </c>
      <c r="CG138" s="15" t="s">
        <v>82</v>
      </c>
      <c r="CI138" s="37"/>
      <c r="CJ138" s="15" t="s">
        <v>82</v>
      </c>
      <c r="CL138" s="32" t="str">
        <f>IF(Regn!$E138&gt;1,Regn!AS138,"")</f>
        <v/>
      </c>
      <c r="CM138" s="15" t="s">
        <v>82</v>
      </c>
      <c r="CO138" s="37"/>
      <c r="CP138" s="15" t="s">
        <v>82</v>
      </c>
      <c r="CR138" s="32" t="str">
        <f>IF(Regn!$E138&gt;1,UdnKrav,"")</f>
        <v/>
      </c>
      <c r="CS138" s="15" t="s">
        <v>205</v>
      </c>
      <c r="CU138" s="32" t="str">
        <f>IF(Regn!$E138&gt;1,Regn!AY138,"")</f>
        <v/>
      </c>
      <c r="CV138" s="15" t="s">
        <v>82</v>
      </c>
      <c r="CX138" s="15" t="str">
        <f>IF(Regn!$G138&lt;=1,"",VLOOKUP(Regn!$G138,Efgr,2))</f>
        <v/>
      </c>
      <c r="CZ138" s="25" t="str">
        <f>IF(Regn!$G138&gt;1,Regn!DC138,"")</f>
        <v/>
      </c>
      <c r="DA138" s="15" t="str">
        <f>IF(Regn!$G138&gt;1,Regn!DF138,"")</f>
        <v/>
      </c>
      <c r="DC138" s="16"/>
      <c r="DD138" s="15" t="str">
        <f>IF(Regn!$G138&gt;1,Regn!DF138,"")</f>
        <v/>
      </c>
      <c r="DJ138" s="25" t="str">
        <f>IF(Regn!$G138&gt;1,Regn!CL138,"")</f>
        <v/>
      </c>
      <c r="DK138" s="15" t="s">
        <v>82</v>
      </c>
      <c r="DM138" s="16"/>
      <c r="DN138" s="15" t="s">
        <v>82</v>
      </c>
      <c r="DP138" s="25" t="str">
        <f>IF(Regn!$G138&gt;1,Regn!CR138,"")</f>
        <v/>
      </c>
      <c r="DQ138" s="15" t="s">
        <v>82</v>
      </c>
      <c r="DS138" s="16"/>
      <c r="DT138" s="15" t="s">
        <v>82</v>
      </c>
      <c r="DV138" s="25" t="str">
        <f>IF(Regn!$G138&gt;1,UdnKrav,"")</f>
        <v/>
      </c>
      <c r="DW138" s="15" t="s">
        <v>205</v>
      </c>
      <c r="DY138" s="25" t="str">
        <f>IF(Regn!$G138&gt;1,Regn!CX138,"")</f>
        <v/>
      </c>
      <c r="DZ138" s="15" t="s">
        <v>82</v>
      </c>
      <c r="EB138" s="15" t="str">
        <f>IF(Regn!$E138&lt;=1,"",VLOOKUP(Regn!$E138,Afgr,2))</f>
        <v/>
      </c>
      <c r="ED138" s="25" t="str">
        <f>IF(Regn!$E138&gt;1,Regn!IB138,"")</f>
        <v/>
      </c>
      <c r="EE138" s="15" t="s">
        <v>188</v>
      </c>
      <c r="EG138" s="16"/>
      <c r="EH138" s="15" t="s">
        <v>188</v>
      </c>
      <c r="EJ138" s="25" t="str">
        <f>IF(Regn!$E138&gt;1,Regn!IX138,"")</f>
        <v/>
      </c>
      <c r="EK138" s="15" t="s">
        <v>188</v>
      </c>
      <c r="EM138" s="16"/>
      <c r="EN138" s="15" t="s">
        <v>188</v>
      </c>
      <c r="EP138" s="25" t="str">
        <f>IF(Regn!$E138&gt;1,Regn!JB138,"")</f>
        <v/>
      </c>
      <c r="EQ138" s="15" t="s">
        <v>188</v>
      </c>
      <c r="ES138" s="16"/>
      <c r="ET138" s="15" t="s">
        <v>188</v>
      </c>
      <c r="EV138" s="25" t="str">
        <f>IF(Regn!$E138&gt;1,Regn!JF138,"")</f>
        <v/>
      </c>
      <c r="EW138" s="15" t="s">
        <v>188</v>
      </c>
      <c r="EY138" s="16"/>
      <c r="EZ138" s="15" t="s">
        <v>188</v>
      </c>
      <c r="FB138" s="25" t="str">
        <f>IF(Regn!$E138&gt;1,Regn!JL138,"")</f>
        <v/>
      </c>
      <c r="FC138" s="15" t="s">
        <v>362</v>
      </c>
      <c r="FE138" s="16"/>
      <c r="FF138" s="15" t="s">
        <v>188</v>
      </c>
      <c r="FH138" s="25" t="str">
        <f>IF(Regn!$E138&gt;1,Regn!JY138,"")</f>
        <v/>
      </c>
      <c r="FI138" s="15" t="s">
        <v>188</v>
      </c>
      <c r="FK138" s="16"/>
      <c r="FL138" s="15" t="s">
        <v>188</v>
      </c>
      <c r="FN138" s="25" t="str">
        <f>IF(Regn!$E138&gt;1,Regn!KC138,"")</f>
        <v/>
      </c>
      <c r="FO138" s="15" t="s">
        <v>188</v>
      </c>
      <c r="FQ138" s="16"/>
      <c r="FR138" s="15" t="s">
        <v>188</v>
      </c>
      <c r="FT138" s="25" t="str">
        <f>IF(Regn!$E138&gt;1,Regn!KG138,"")</f>
        <v/>
      </c>
      <c r="FU138" s="15" t="s">
        <v>188</v>
      </c>
      <c r="FW138" s="16"/>
      <c r="FX138" s="15" t="s">
        <v>188</v>
      </c>
      <c r="FZ138" s="25" t="str">
        <f>IF(Regn!$E138&gt;1,Regn!KK138,"")</f>
        <v/>
      </c>
      <c r="GA138" s="15" t="s">
        <v>531</v>
      </c>
      <c r="GC138" s="16"/>
      <c r="GD138" s="15" t="s">
        <v>531</v>
      </c>
      <c r="GF138" s="25" t="str">
        <f>IF(Regn!$E138&gt;1,Regn!KM138,"")</f>
        <v/>
      </c>
      <c r="GG138" s="15" t="s">
        <v>188</v>
      </c>
      <c r="GI138" s="16"/>
      <c r="GJ138" s="15" t="s">
        <v>188</v>
      </c>
      <c r="GL138" s="25" t="str">
        <f>IF(Regn!$E138&gt;1,Regn!KT138,"")</f>
        <v/>
      </c>
      <c r="GM138" s="15" t="s">
        <v>188</v>
      </c>
      <c r="GO138" s="16"/>
      <c r="GP138" s="15" t="s">
        <v>405</v>
      </c>
      <c r="GR138" s="25" t="str">
        <f>IF(Regn!$E138&gt;1,Regn!KZ138,"")</f>
        <v/>
      </c>
      <c r="GS138" s="15" t="s">
        <v>188</v>
      </c>
      <c r="GU138" s="16"/>
      <c r="GV138" s="15" t="s">
        <v>188</v>
      </c>
      <c r="HA138" s="25" t="str">
        <f>IF(Regn!$E138&gt;1,Regn!LD138,"")</f>
        <v/>
      </c>
      <c r="HB138" s="15" t="s">
        <v>188</v>
      </c>
      <c r="HD138" s="16"/>
      <c r="HE138" s="15" t="s">
        <v>188</v>
      </c>
      <c r="HG138" s="15" t="str">
        <f>IF(Regn!$G138&lt;=1,"",VLOOKUP(Regn!$G138,Efgr,2))</f>
        <v/>
      </c>
      <c r="HI138" s="25" t="str">
        <f>IF(Regn!$G138&gt;1,Regn!LH138,"")</f>
        <v/>
      </c>
      <c r="HJ138" s="15" t="s">
        <v>188</v>
      </c>
      <c r="HL138" s="16"/>
      <c r="HM138" s="15" t="s">
        <v>188</v>
      </c>
      <c r="HO138" s="25" t="str">
        <f>IF(Regn!$G138&gt;1,Regn!MA138,"")</f>
        <v/>
      </c>
      <c r="HP138" s="15" t="s">
        <v>188</v>
      </c>
      <c r="HR138" s="16"/>
      <c r="HS138" s="15" t="s">
        <v>188</v>
      </c>
      <c r="HU138" s="25" t="str">
        <f>IF(Regn!$G138&gt;1,Regn!ME138,"")</f>
        <v/>
      </c>
      <c r="HV138" s="15" t="s">
        <v>188</v>
      </c>
      <c r="HX138" s="16"/>
      <c r="HY138" s="15" t="s">
        <v>188</v>
      </c>
      <c r="IA138" s="25" t="str">
        <f>IF(Regn!$G138&gt;1,Regn!MI138,"")</f>
        <v/>
      </c>
      <c r="IB138" s="15" t="s">
        <v>188</v>
      </c>
      <c r="ID138" s="16"/>
      <c r="IE138" s="15" t="s">
        <v>188</v>
      </c>
      <c r="IG138" s="25" t="str">
        <f>IF(Regn!$G138&gt;1,Regn!MO138,"")</f>
        <v/>
      </c>
      <c r="IH138" s="15" t="s">
        <v>188</v>
      </c>
      <c r="IJ138" s="16"/>
      <c r="IK138" s="15" t="s">
        <v>188</v>
      </c>
      <c r="IM138" s="25" t="str">
        <f>IF(Regn!$G138&gt;1,Regn!MS138,"")</f>
        <v/>
      </c>
      <c r="IN138" s="15" t="s">
        <v>188</v>
      </c>
      <c r="IP138" s="16"/>
      <c r="IQ138" s="15" t="s">
        <v>188</v>
      </c>
      <c r="IS138" s="25" t="str">
        <f>IF(Regn!$G138&gt;1,Regn!MW138,"")</f>
        <v/>
      </c>
      <c r="IT138" s="15" t="s">
        <v>188</v>
      </c>
      <c r="IV138" s="16"/>
      <c r="IW138" s="15" t="s">
        <v>188</v>
      </c>
      <c r="IY138" s="25" t="str">
        <f>IF(Regn!$G138&gt;1,Regn!NA138,"")</f>
        <v/>
      </c>
      <c r="IZ138" s="15" t="s">
        <v>531</v>
      </c>
      <c r="JB138" s="16"/>
      <c r="JC138" s="15" t="s">
        <v>531</v>
      </c>
      <c r="JE138" s="25" t="str">
        <f>IF(Regn!$G138&gt;1,Regn!NC138,"")</f>
        <v/>
      </c>
      <c r="JF138" s="15" t="s">
        <v>188</v>
      </c>
      <c r="JH138" s="16"/>
      <c r="JI138" s="15" t="s">
        <v>188</v>
      </c>
      <c r="JK138" s="25" t="str">
        <f>IF(Regn!$G138&gt;1,Regn!NI138,"")</f>
        <v/>
      </c>
      <c r="JL138" s="15" t="s">
        <v>188</v>
      </c>
      <c r="JN138" s="16"/>
      <c r="JO138" s="15" t="s">
        <v>188</v>
      </c>
      <c r="JQ138" s="25" t="str">
        <f>IF(Regn!$G138&gt;1,Regn!NM138,"")</f>
        <v/>
      </c>
      <c r="JR138" s="15" t="s">
        <v>188</v>
      </c>
      <c r="JT138" s="16"/>
      <c r="JU138" s="15" t="s">
        <v>188</v>
      </c>
    </row>
    <row r="139" spans="2:281" ht="12" customHeight="1" x14ac:dyDescent="0.25">
      <c r="B139" s="28"/>
      <c r="C139" s="133" t="str">
        <f>IF(OR(Regn!$B140&gt;1,Regn!$E138=1),"",VLOOKUP(Regn!$E138,Afgr,2))</f>
        <v/>
      </c>
      <c r="G139" s="134" t="str">
        <f>IF(OR(Regn!$C140&gt;1,Regn!$G138=1),"",VLOOKUP(Regn!$G138,Efgr,2))</f>
        <v/>
      </c>
      <c r="U139" s="134" t="str">
        <f>IF(OR(Regn!$K140&gt;1,Regn!$E142=1),"",VLOOKUP(Regn!$E142,Afgr,2))</f>
        <v/>
      </c>
    </row>
    <row r="140" spans="2:281" x14ac:dyDescent="0.25">
      <c r="B140" s="28">
        <v>2</v>
      </c>
      <c r="Z140" s="36"/>
      <c r="AA140" s="15" t="s">
        <v>85</v>
      </c>
      <c r="AC140" s="53">
        <f>Regn!M140</f>
        <v>0</v>
      </c>
      <c r="AD140" s="15" t="s">
        <v>85</v>
      </c>
      <c r="AF140" s="15" t="str">
        <f>IF(Regn!$E140&lt;=1,"",VLOOKUP(Regn!$E140,Afgr,2))</f>
        <v/>
      </c>
      <c r="AH140" s="55" t="str">
        <f>IF(Regn!$E140&gt;1,Regn!BH140,"")</f>
        <v/>
      </c>
      <c r="AI140" s="15" t="str">
        <f>IF(Regn!BK140&lt;&gt;0,Regn!BK140,"")</f>
        <v/>
      </c>
      <c r="AK140" s="16"/>
      <c r="AL140" s="15" t="str">
        <f>IF(Regn!BK140&lt;&gt;0,Regn!BK140,"")</f>
        <v/>
      </c>
      <c r="AN140" s="33" t="str">
        <f>IF(Regn!$E140&gt;1,Regn!DP140,"")</f>
        <v/>
      </c>
      <c r="AO140" s="15" t="s">
        <v>201</v>
      </c>
      <c r="AQ140" s="38"/>
      <c r="AR140" s="15" t="s">
        <v>201</v>
      </c>
      <c r="AT140" s="55" t="str">
        <f>IF(Regn!$E140&gt;1,Regn!BN140,"")</f>
        <v/>
      </c>
      <c r="AU140" s="15" t="s">
        <v>188</v>
      </c>
      <c r="AW140" s="124"/>
      <c r="AX140" s="15" t="s">
        <v>188</v>
      </c>
      <c r="AZ140" s="25" t="str">
        <f>IF(Regn!$E140&gt;1,Regn!BS140,"")</f>
        <v/>
      </c>
      <c r="BA140" s="15" t="s">
        <v>188</v>
      </c>
      <c r="BC140" s="17"/>
      <c r="BD140" s="15" t="s">
        <v>188</v>
      </c>
      <c r="BF140" s="25" t="str">
        <f>IF(Regn!$E140&gt;1,Regn!BX140,"")</f>
        <v/>
      </c>
      <c r="BG140" s="15" t="s">
        <v>192</v>
      </c>
      <c r="BI140" s="16"/>
      <c r="BJ140" s="15" t="s">
        <v>192</v>
      </c>
      <c r="BO140" s="33" t="str">
        <f>IF(Regn!$E140&gt;1,Regn!CE140,"")</f>
        <v/>
      </c>
      <c r="BP140" s="15" t="s">
        <v>188</v>
      </c>
      <c r="BR140" s="38"/>
      <c r="BS140" s="15" t="s">
        <v>188</v>
      </c>
      <c r="BU140" s="15" t="str">
        <f>IF(Regn!$E140&lt;=1,"",VLOOKUP(Regn!$E140,Afgr,2))</f>
        <v/>
      </c>
      <c r="BW140" s="32" t="str">
        <f>IF(Regn!$E140&gt;1,Regn!Y140,"")</f>
        <v/>
      </c>
      <c r="BX140" s="15" t="s">
        <v>82</v>
      </c>
      <c r="BZ140" s="37"/>
      <c r="CA140" s="15" t="s">
        <v>82</v>
      </c>
      <c r="CC140" s="32" t="str">
        <f>IF(Regn!$E140&gt;1,Regn!S140,"")</f>
        <v/>
      </c>
      <c r="CD140" s="15" t="s">
        <v>82</v>
      </c>
      <c r="CF140" s="32" t="str">
        <f>IF(Regn!$E140&gt;1,Regn!U140,"")</f>
        <v/>
      </c>
      <c r="CG140" s="15" t="s">
        <v>82</v>
      </c>
      <c r="CI140" s="37"/>
      <c r="CJ140" s="15" t="s">
        <v>82</v>
      </c>
      <c r="CL140" s="32" t="str">
        <f>IF(Regn!$E140&gt;1,Regn!AS140,"")</f>
        <v/>
      </c>
      <c r="CM140" s="15" t="s">
        <v>82</v>
      </c>
      <c r="CO140" s="37"/>
      <c r="CP140" s="15" t="s">
        <v>82</v>
      </c>
      <c r="CR140" s="32" t="str">
        <f>IF(Regn!$E140&gt;1,UdnKrav,"")</f>
        <v/>
      </c>
      <c r="CS140" s="15" t="s">
        <v>205</v>
      </c>
      <c r="CU140" s="32" t="str">
        <f>IF(Regn!$E140&gt;1,Regn!AY140,"")</f>
        <v/>
      </c>
      <c r="CV140" s="15" t="s">
        <v>82</v>
      </c>
      <c r="CX140" s="15" t="str">
        <f>IF(Regn!$G140&lt;=1,"",VLOOKUP(Regn!$G140,Efgr,2))</f>
        <v/>
      </c>
      <c r="CZ140" s="25" t="str">
        <f>IF(Regn!$G140&gt;1,Regn!DC140,"")</f>
        <v/>
      </c>
      <c r="DA140" s="15" t="str">
        <f>IF(Regn!$G140&gt;1,Regn!DF140,"")</f>
        <v/>
      </c>
      <c r="DC140" s="16"/>
      <c r="DD140" s="15" t="str">
        <f>IF(Regn!$G140&gt;1,Regn!DF140,"")</f>
        <v/>
      </c>
      <c r="DJ140" s="25" t="str">
        <f>IF(Regn!$G140&gt;1,Regn!CL140,"")</f>
        <v/>
      </c>
      <c r="DK140" s="15" t="s">
        <v>82</v>
      </c>
      <c r="DM140" s="16"/>
      <c r="DN140" s="15" t="s">
        <v>82</v>
      </c>
      <c r="DP140" s="25" t="str">
        <f>IF(Regn!$G140&gt;1,Regn!CR140,"")</f>
        <v/>
      </c>
      <c r="DQ140" s="15" t="s">
        <v>82</v>
      </c>
      <c r="DS140" s="16"/>
      <c r="DT140" s="15" t="s">
        <v>82</v>
      </c>
      <c r="DV140" s="25" t="str">
        <f>IF(Regn!$G140&gt;1,UdnKrav,"")</f>
        <v/>
      </c>
      <c r="DW140" s="15" t="s">
        <v>205</v>
      </c>
      <c r="DY140" s="25" t="str">
        <f>IF(Regn!$G140&gt;1,Regn!CX140,"")</f>
        <v/>
      </c>
      <c r="DZ140" s="15" t="s">
        <v>82</v>
      </c>
      <c r="EB140" s="15" t="str">
        <f>IF(Regn!$E140&lt;=1,"",VLOOKUP(Regn!$E140,Afgr,2))</f>
        <v/>
      </c>
      <c r="ED140" s="25" t="str">
        <f>IF(Regn!$E140&gt;1,Regn!IB140,"")</f>
        <v/>
      </c>
      <c r="EE140" s="15" t="s">
        <v>188</v>
      </c>
      <c r="EG140" s="16"/>
      <c r="EH140" s="15" t="s">
        <v>188</v>
      </c>
      <c r="EJ140" s="25" t="str">
        <f>IF(Regn!$E140&gt;1,Regn!IX140,"")</f>
        <v/>
      </c>
      <c r="EK140" s="15" t="s">
        <v>188</v>
      </c>
      <c r="EM140" s="16"/>
      <c r="EN140" s="15" t="s">
        <v>188</v>
      </c>
      <c r="EP140" s="25" t="str">
        <f>IF(Regn!$E140&gt;1,Regn!JB140,"")</f>
        <v/>
      </c>
      <c r="EQ140" s="15" t="s">
        <v>188</v>
      </c>
      <c r="ES140" s="16"/>
      <c r="ET140" s="15" t="s">
        <v>188</v>
      </c>
      <c r="EV140" s="25" t="str">
        <f>IF(Regn!$E140&gt;1,Regn!JF140,"")</f>
        <v/>
      </c>
      <c r="EW140" s="15" t="s">
        <v>188</v>
      </c>
      <c r="EY140" s="16"/>
      <c r="EZ140" s="15" t="s">
        <v>188</v>
      </c>
      <c r="FB140" s="25" t="str">
        <f>IF(Regn!$E140&gt;1,Regn!JL140,"")</f>
        <v/>
      </c>
      <c r="FC140" s="15" t="s">
        <v>362</v>
      </c>
      <c r="FE140" s="16"/>
      <c r="FF140" s="15" t="s">
        <v>188</v>
      </c>
      <c r="FH140" s="25" t="str">
        <f>IF(Regn!$E140&gt;1,Regn!JY140,"")</f>
        <v/>
      </c>
      <c r="FI140" s="15" t="s">
        <v>188</v>
      </c>
      <c r="FK140" s="16"/>
      <c r="FL140" s="15" t="s">
        <v>188</v>
      </c>
      <c r="FN140" s="25" t="str">
        <f>IF(Regn!$E140&gt;1,Regn!KC140,"")</f>
        <v/>
      </c>
      <c r="FO140" s="15" t="s">
        <v>188</v>
      </c>
      <c r="FQ140" s="16"/>
      <c r="FR140" s="15" t="s">
        <v>188</v>
      </c>
      <c r="FT140" s="25" t="str">
        <f>IF(Regn!$E140&gt;1,Regn!KG140,"")</f>
        <v/>
      </c>
      <c r="FU140" s="15" t="s">
        <v>188</v>
      </c>
      <c r="FW140" s="16"/>
      <c r="FX140" s="15" t="s">
        <v>188</v>
      </c>
      <c r="FZ140" s="25" t="str">
        <f>IF(Regn!$E140&gt;1,Regn!KK140,"")</f>
        <v/>
      </c>
      <c r="GA140" s="15" t="s">
        <v>531</v>
      </c>
      <c r="GC140" s="16"/>
      <c r="GD140" s="15" t="s">
        <v>531</v>
      </c>
      <c r="GF140" s="25" t="str">
        <f>IF(Regn!$E140&gt;1,Regn!KM140,"")</f>
        <v/>
      </c>
      <c r="GG140" s="15" t="s">
        <v>188</v>
      </c>
      <c r="GI140" s="16"/>
      <c r="GJ140" s="15" t="s">
        <v>188</v>
      </c>
      <c r="GL140" s="25" t="str">
        <f>IF(Regn!$E140&gt;1,Regn!KT140,"")</f>
        <v/>
      </c>
      <c r="GM140" s="15" t="s">
        <v>188</v>
      </c>
      <c r="GO140" s="16"/>
      <c r="GP140" s="15" t="s">
        <v>405</v>
      </c>
      <c r="GR140" s="25" t="str">
        <f>IF(Regn!$E140&gt;1,Regn!KZ140,"")</f>
        <v/>
      </c>
      <c r="GS140" s="15" t="s">
        <v>188</v>
      </c>
      <c r="GU140" s="16"/>
      <c r="GV140" s="15" t="s">
        <v>188</v>
      </c>
      <c r="HA140" s="25" t="str">
        <f>IF(Regn!$E140&gt;1,Regn!LD140,"")</f>
        <v/>
      </c>
      <c r="HB140" s="15" t="s">
        <v>188</v>
      </c>
      <c r="HD140" s="16"/>
      <c r="HE140" s="15" t="s">
        <v>188</v>
      </c>
      <c r="HG140" s="15" t="str">
        <f>IF(Regn!$G140&lt;=1,"",VLOOKUP(Regn!$G140,Efgr,2))</f>
        <v/>
      </c>
      <c r="HI140" s="25" t="str">
        <f>IF(Regn!$G140&gt;1,Regn!LH140,"")</f>
        <v/>
      </c>
      <c r="HJ140" s="15" t="s">
        <v>188</v>
      </c>
      <c r="HL140" s="16"/>
      <c r="HM140" s="15" t="s">
        <v>188</v>
      </c>
      <c r="HO140" s="25" t="str">
        <f>IF(Regn!$G140&gt;1,Regn!MA140,"")</f>
        <v/>
      </c>
      <c r="HP140" s="15" t="s">
        <v>188</v>
      </c>
      <c r="HR140" s="16"/>
      <c r="HS140" s="15" t="s">
        <v>188</v>
      </c>
      <c r="HU140" s="25" t="str">
        <f>IF(Regn!$G140&gt;1,Regn!ME140,"")</f>
        <v/>
      </c>
      <c r="HV140" s="15" t="s">
        <v>188</v>
      </c>
      <c r="HX140" s="16"/>
      <c r="HY140" s="15" t="s">
        <v>188</v>
      </c>
      <c r="IA140" s="25" t="str">
        <f>IF(Regn!$G140&gt;1,Regn!MI140,"")</f>
        <v/>
      </c>
      <c r="IB140" s="15" t="s">
        <v>188</v>
      </c>
      <c r="ID140" s="16"/>
      <c r="IE140" s="15" t="s">
        <v>188</v>
      </c>
      <c r="IG140" s="25" t="str">
        <f>IF(Regn!$G140&gt;1,Regn!MO140,"")</f>
        <v/>
      </c>
      <c r="IH140" s="15" t="s">
        <v>188</v>
      </c>
      <c r="IJ140" s="16"/>
      <c r="IK140" s="15" t="s">
        <v>188</v>
      </c>
      <c r="IM140" s="25" t="str">
        <f>IF(Regn!$G140&gt;1,Regn!MS140,"")</f>
        <v/>
      </c>
      <c r="IN140" s="15" t="s">
        <v>188</v>
      </c>
      <c r="IP140" s="16"/>
      <c r="IQ140" s="15" t="s">
        <v>188</v>
      </c>
      <c r="IS140" s="25" t="str">
        <f>IF(Regn!$G140&gt;1,Regn!MW140,"")</f>
        <v/>
      </c>
      <c r="IT140" s="15" t="s">
        <v>188</v>
      </c>
      <c r="IV140" s="16"/>
      <c r="IW140" s="15" t="s">
        <v>188</v>
      </c>
      <c r="IY140" s="25" t="str">
        <f>IF(Regn!$G140&gt;1,Regn!NA140,"")</f>
        <v/>
      </c>
      <c r="IZ140" s="15" t="s">
        <v>531</v>
      </c>
      <c r="JB140" s="16"/>
      <c r="JC140" s="15" t="s">
        <v>531</v>
      </c>
      <c r="JE140" s="25" t="str">
        <f>IF(Regn!$G140&gt;1,Regn!NC140,"")</f>
        <v/>
      </c>
      <c r="JF140" s="15" t="s">
        <v>188</v>
      </c>
      <c r="JH140" s="16"/>
      <c r="JI140" s="15" t="s">
        <v>188</v>
      </c>
      <c r="JK140" s="25" t="str">
        <f>IF(Regn!$G140&gt;1,Regn!NI140,"")</f>
        <v/>
      </c>
      <c r="JL140" s="15" t="s">
        <v>188</v>
      </c>
      <c r="JN140" s="16"/>
      <c r="JO140" s="15" t="s">
        <v>188</v>
      </c>
      <c r="JQ140" s="25" t="str">
        <f>IF(Regn!$G140&gt;1,Regn!NM140,"")</f>
        <v/>
      </c>
      <c r="JR140" s="15" t="s">
        <v>188</v>
      </c>
      <c r="JT140" s="16"/>
      <c r="JU140" s="15" t="s">
        <v>188</v>
      </c>
    </row>
    <row r="141" spans="2:281" ht="12" customHeight="1" x14ac:dyDescent="0.25">
      <c r="B141" s="28"/>
      <c r="C141" s="133" t="str">
        <f>IF(OR(Regn!$B142&gt;1,Regn!$E140=1),"",VLOOKUP(Regn!$E140,Afgr,2))</f>
        <v/>
      </c>
      <c r="G141" s="134" t="str">
        <f>IF(OR(Regn!$C142&gt;1,Regn!$G140=1),"",VLOOKUP(Regn!$G140,Efgr,2))</f>
        <v/>
      </c>
      <c r="U141" s="134" t="str">
        <f>IF(OR(Regn!$K142&gt;1,Regn!$E144=1),"",VLOOKUP(Regn!$E144,Afgr,2))</f>
        <v/>
      </c>
    </row>
    <row r="142" spans="2:281" x14ac:dyDescent="0.25">
      <c r="B142" s="28">
        <v>3</v>
      </c>
      <c r="Z142" s="36"/>
      <c r="AA142" s="15" t="s">
        <v>85</v>
      </c>
      <c r="AC142" s="53">
        <f>Regn!M142</f>
        <v>0</v>
      </c>
      <c r="AD142" s="15" t="s">
        <v>85</v>
      </c>
      <c r="AF142" s="15" t="str">
        <f>IF(Regn!$E142&lt;=1,"",VLOOKUP(Regn!$E142,Afgr,2))</f>
        <v/>
      </c>
      <c r="AH142" s="55" t="str">
        <f>IF(Regn!$E142&gt;1,Regn!BH142,"")</f>
        <v/>
      </c>
      <c r="AI142" s="15" t="str">
        <f>IF(Regn!BK142&lt;&gt;0,Regn!BK142,"")</f>
        <v/>
      </c>
      <c r="AK142" s="16"/>
      <c r="AL142" s="15" t="str">
        <f>IF(Regn!BK142&lt;&gt;0,Regn!BK142,"")</f>
        <v/>
      </c>
      <c r="AN142" s="33" t="str">
        <f>IF(Regn!$E142&gt;1,Regn!DP142,"")</f>
        <v/>
      </c>
      <c r="AO142" s="15" t="s">
        <v>201</v>
      </c>
      <c r="AQ142" s="38"/>
      <c r="AR142" s="15" t="s">
        <v>201</v>
      </c>
      <c r="AT142" s="55" t="str">
        <f>IF(Regn!$E142&gt;1,Regn!BN142,"")</f>
        <v/>
      </c>
      <c r="AU142" s="15" t="s">
        <v>188</v>
      </c>
      <c r="AW142" s="124"/>
      <c r="AX142" s="15" t="s">
        <v>188</v>
      </c>
      <c r="AZ142" s="25" t="str">
        <f>IF(Regn!$E142&gt;1,Regn!BS142,"")</f>
        <v/>
      </c>
      <c r="BA142" s="15" t="s">
        <v>188</v>
      </c>
      <c r="BC142" s="17"/>
      <c r="BD142" s="15" t="s">
        <v>188</v>
      </c>
      <c r="BF142" s="25" t="str">
        <f>IF(Regn!$E142&gt;1,Regn!BX142,"")</f>
        <v/>
      </c>
      <c r="BG142" s="15" t="s">
        <v>192</v>
      </c>
      <c r="BI142" s="16"/>
      <c r="BJ142" s="15" t="s">
        <v>192</v>
      </c>
      <c r="BO142" s="33" t="str">
        <f>IF(Regn!$E142&gt;1,Regn!CE142,"")</f>
        <v/>
      </c>
      <c r="BP142" s="15" t="s">
        <v>188</v>
      </c>
      <c r="BR142" s="38"/>
      <c r="BS142" s="15" t="s">
        <v>188</v>
      </c>
      <c r="BU142" s="15" t="str">
        <f>IF(Regn!$E142&lt;=1,"",VLOOKUP(Regn!$E142,Afgr,2))</f>
        <v/>
      </c>
      <c r="BW142" s="32" t="str">
        <f>IF(Regn!$E142&gt;1,Regn!Y142,"")</f>
        <v/>
      </c>
      <c r="BX142" s="15" t="s">
        <v>82</v>
      </c>
      <c r="BZ142" s="37"/>
      <c r="CA142" s="15" t="s">
        <v>82</v>
      </c>
      <c r="CC142" s="32" t="str">
        <f>IF(Regn!$E142&gt;1,Regn!S142,"")</f>
        <v/>
      </c>
      <c r="CD142" s="15" t="s">
        <v>82</v>
      </c>
      <c r="CF142" s="32" t="str">
        <f>IF(Regn!$E142&gt;1,Regn!U142,"")</f>
        <v/>
      </c>
      <c r="CG142" s="15" t="s">
        <v>82</v>
      </c>
      <c r="CI142" s="37"/>
      <c r="CJ142" s="15" t="s">
        <v>82</v>
      </c>
      <c r="CL142" s="32" t="str">
        <f>IF(Regn!$E142&gt;1,Regn!AS142,"")</f>
        <v/>
      </c>
      <c r="CM142" s="15" t="s">
        <v>82</v>
      </c>
      <c r="CO142" s="37"/>
      <c r="CP142" s="15" t="s">
        <v>82</v>
      </c>
      <c r="CR142" s="32" t="str">
        <f>IF(Regn!$E142&gt;1,UdnKrav,"")</f>
        <v/>
      </c>
      <c r="CS142" s="15" t="s">
        <v>205</v>
      </c>
      <c r="CU142" s="32" t="str">
        <f>IF(Regn!$E142&gt;1,Regn!AY142,"")</f>
        <v/>
      </c>
      <c r="CV142" s="15" t="s">
        <v>82</v>
      </c>
      <c r="CX142" s="15" t="str">
        <f>IF(Regn!$G142&lt;=1,"",VLOOKUP(Regn!$G142,Efgr,2))</f>
        <v/>
      </c>
      <c r="CZ142" s="25" t="str">
        <f>IF(Regn!$G142&gt;1,Regn!DC142,"")</f>
        <v/>
      </c>
      <c r="DA142" s="15" t="str">
        <f>IF(Regn!$G142&gt;1,Regn!DF142,"")</f>
        <v/>
      </c>
      <c r="DC142" s="16"/>
      <c r="DD142" s="15" t="str">
        <f>IF(Regn!$G142&gt;1,Regn!DF142,"")</f>
        <v/>
      </c>
      <c r="DJ142" s="25" t="str">
        <f>IF(Regn!$G142&gt;1,Regn!CL142,"")</f>
        <v/>
      </c>
      <c r="DK142" s="15" t="s">
        <v>82</v>
      </c>
      <c r="DM142" s="16"/>
      <c r="DN142" s="15" t="s">
        <v>82</v>
      </c>
      <c r="DP142" s="25" t="str">
        <f>IF(Regn!$G142&gt;1,Regn!CR142,"")</f>
        <v/>
      </c>
      <c r="DQ142" s="15" t="s">
        <v>82</v>
      </c>
      <c r="DS142" s="16"/>
      <c r="DT142" s="15" t="s">
        <v>82</v>
      </c>
      <c r="DV142" s="25" t="str">
        <f>IF(Regn!$G142&gt;1,UdnKrav,"")</f>
        <v/>
      </c>
      <c r="DW142" s="15" t="s">
        <v>205</v>
      </c>
      <c r="DY142" s="25" t="str">
        <f>IF(Regn!$G142&gt;1,Regn!CX142,"")</f>
        <v/>
      </c>
      <c r="DZ142" s="15" t="s">
        <v>82</v>
      </c>
      <c r="EB142" s="15" t="str">
        <f>IF(Regn!$E142&lt;=1,"",VLOOKUP(Regn!$E142,Afgr,2))</f>
        <v/>
      </c>
      <c r="ED142" s="25" t="str">
        <f>IF(Regn!$E142&gt;1,Regn!IB142,"")</f>
        <v/>
      </c>
      <c r="EE142" s="15" t="s">
        <v>188</v>
      </c>
      <c r="EG142" s="16"/>
      <c r="EH142" s="15" t="s">
        <v>188</v>
      </c>
      <c r="EJ142" s="25" t="str">
        <f>IF(Regn!$E142&gt;1,Regn!IX142,"")</f>
        <v/>
      </c>
      <c r="EK142" s="15" t="s">
        <v>188</v>
      </c>
      <c r="EM142" s="16"/>
      <c r="EN142" s="15" t="s">
        <v>188</v>
      </c>
      <c r="EP142" s="25" t="str">
        <f>IF(Regn!$E142&gt;1,Regn!JB142,"")</f>
        <v/>
      </c>
      <c r="EQ142" s="15" t="s">
        <v>188</v>
      </c>
      <c r="ES142" s="16"/>
      <c r="ET142" s="15" t="s">
        <v>188</v>
      </c>
      <c r="EV142" s="25" t="str">
        <f>IF(Regn!$E142&gt;1,Regn!JF142,"")</f>
        <v/>
      </c>
      <c r="EW142" s="15" t="s">
        <v>188</v>
      </c>
      <c r="EY142" s="16"/>
      <c r="EZ142" s="15" t="s">
        <v>188</v>
      </c>
      <c r="FB142" s="25" t="str">
        <f>IF(Regn!$E142&gt;1,Regn!JL142,"")</f>
        <v/>
      </c>
      <c r="FC142" s="15" t="s">
        <v>362</v>
      </c>
      <c r="FE142" s="16"/>
      <c r="FF142" s="15" t="s">
        <v>188</v>
      </c>
      <c r="FH142" s="25" t="str">
        <f>IF(Regn!$E142&gt;1,Regn!JY142,"")</f>
        <v/>
      </c>
      <c r="FI142" s="15" t="s">
        <v>188</v>
      </c>
      <c r="FK142" s="16"/>
      <c r="FL142" s="15" t="s">
        <v>188</v>
      </c>
      <c r="FN142" s="25" t="str">
        <f>IF(Regn!$E142&gt;1,Regn!KC142,"")</f>
        <v/>
      </c>
      <c r="FO142" s="15" t="s">
        <v>188</v>
      </c>
      <c r="FQ142" s="16"/>
      <c r="FR142" s="15" t="s">
        <v>188</v>
      </c>
      <c r="FT142" s="25" t="str">
        <f>IF(Regn!$E142&gt;1,Regn!KG142,"")</f>
        <v/>
      </c>
      <c r="FU142" s="15" t="s">
        <v>188</v>
      </c>
      <c r="FW142" s="16"/>
      <c r="FX142" s="15" t="s">
        <v>188</v>
      </c>
      <c r="FZ142" s="25" t="str">
        <f>IF(Regn!$E142&gt;1,Regn!KK142,"")</f>
        <v/>
      </c>
      <c r="GA142" s="15" t="s">
        <v>531</v>
      </c>
      <c r="GC142" s="16"/>
      <c r="GD142" s="15" t="s">
        <v>531</v>
      </c>
      <c r="GF142" s="25" t="str">
        <f>IF(Regn!$E142&gt;1,Regn!KM142,"")</f>
        <v/>
      </c>
      <c r="GG142" s="15" t="s">
        <v>188</v>
      </c>
      <c r="GI142" s="16"/>
      <c r="GJ142" s="15" t="s">
        <v>188</v>
      </c>
      <c r="GL142" s="25" t="str">
        <f>IF(Regn!$E142&gt;1,Regn!KT142,"")</f>
        <v/>
      </c>
      <c r="GM142" s="15" t="s">
        <v>188</v>
      </c>
      <c r="GO142" s="16"/>
      <c r="GP142" s="15" t="s">
        <v>405</v>
      </c>
      <c r="GR142" s="25" t="str">
        <f>IF(Regn!$E142&gt;1,Regn!KZ142,"")</f>
        <v/>
      </c>
      <c r="GS142" s="15" t="s">
        <v>188</v>
      </c>
      <c r="GU142" s="16"/>
      <c r="GV142" s="15" t="s">
        <v>188</v>
      </c>
      <c r="HA142" s="25" t="str">
        <f>IF(Regn!$E142&gt;1,Regn!LD142,"")</f>
        <v/>
      </c>
      <c r="HB142" s="15" t="s">
        <v>188</v>
      </c>
      <c r="HD142" s="16"/>
      <c r="HE142" s="15" t="s">
        <v>188</v>
      </c>
      <c r="HG142" s="15" t="str">
        <f>IF(Regn!$G142&lt;=1,"",VLOOKUP(Regn!$G142,Efgr,2))</f>
        <v/>
      </c>
      <c r="HI142" s="25" t="str">
        <f>IF(Regn!$G142&gt;1,Regn!LH142,"")</f>
        <v/>
      </c>
      <c r="HJ142" s="15" t="s">
        <v>188</v>
      </c>
      <c r="HL142" s="16"/>
      <c r="HM142" s="15" t="s">
        <v>188</v>
      </c>
      <c r="HO142" s="25" t="str">
        <f>IF(Regn!$G142&gt;1,Regn!MA142,"")</f>
        <v/>
      </c>
      <c r="HP142" s="15" t="s">
        <v>188</v>
      </c>
      <c r="HR142" s="16"/>
      <c r="HS142" s="15" t="s">
        <v>188</v>
      </c>
      <c r="HU142" s="25" t="str">
        <f>IF(Regn!$G142&gt;1,Regn!ME142,"")</f>
        <v/>
      </c>
      <c r="HV142" s="15" t="s">
        <v>188</v>
      </c>
      <c r="HX142" s="16"/>
      <c r="HY142" s="15" t="s">
        <v>188</v>
      </c>
      <c r="IA142" s="25" t="str">
        <f>IF(Regn!$G142&gt;1,Regn!MI142,"")</f>
        <v/>
      </c>
      <c r="IB142" s="15" t="s">
        <v>188</v>
      </c>
      <c r="ID142" s="16"/>
      <c r="IE142" s="15" t="s">
        <v>188</v>
      </c>
      <c r="IG142" s="25" t="str">
        <f>IF(Regn!$G142&gt;1,Regn!MO142,"")</f>
        <v/>
      </c>
      <c r="IH142" s="15" t="s">
        <v>188</v>
      </c>
      <c r="IJ142" s="16"/>
      <c r="IK142" s="15" t="s">
        <v>188</v>
      </c>
      <c r="IM142" s="25" t="str">
        <f>IF(Regn!$G142&gt;1,Regn!MS142,"")</f>
        <v/>
      </c>
      <c r="IN142" s="15" t="s">
        <v>188</v>
      </c>
      <c r="IP142" s="16"/>
      <c r="IQ142" s="15" t="s">
        <v>188</v>
      </c>
      <c r="IS142" s="25" t="str">
        <f>IF(Regn!$G142&gt;1,Regn!MW142,"")</f>
        <v/>
      </c>
      <c r="IT142" s="15" t="s">
        <v>188</v>
      </c>
      <c r="IV142" s="16"/>
      <c r="IW142" s="15" t="s">
        <v>188</v>
      </c>
      <c r="IY142" s="25" t="str">
        <f>IF(Regn!$G142&gt;1,Regn!NA142,"")</f>
        <v/>
      </c>
      <c r="IZ142" s="15" t="s">
        <v>531</v>
      </c>
      <c r="JB142" s="16"/>
      <c r="JC142" s="15" t="s">
        <v>531</v>
      </c>
      <c r="JE142" s="25" t="str">
        <f>IF(Regn!$G142&gt;1,Regn!NC142,"")</f>
        <v/>
      </c>
      <c r="JF142" s="15" t="s">
        <v>188</v>
      </c>
      <c r="JH142" s="16"/>
      <c r="JI142" s="15" t="s">
        <v>188</v>
      </c>
      <c r="JK142" s="25" t="str">
        <f>IF(Regn!$G142&gt;1,Regn!NI142,"")</f>
        <v/>
      </c>
      <c r="JL142" s="15" t="s">
        <v>188</v>
      </c>
      <c r="JN142" s="16"/>
      <c r="JO142" s="15" t="s">
        <v>188</v>
      </c>
      <c r="JQ142" s="25" t="str">
        <f>IF(Regn!$G142&gt;1,Regn!NM142,"")</f>
        <v/>
      </c>
      <c r="JR142" s="15" t="s">
        <v>188</v>
      </c>
      <c r="JT142" s="16"/>
      <c r="JU142" s="15" t="s">
        <v>188</v>
      </c>
    </row>
    <row r="143" spans="2:281" ht="12" customHeight="1" x14ac:dyDescent="0.25">
      <c r="B143" s="28"/>
      <c r="C143" s="133" t="str">
        <f>IF(OR(Regn!$B144&gt;1,Regn!$E142=1),"",VLOOKUP(Regn!$E142,Afgr,2))</f>
        <v/>
      </c>
      <c r="G143" s="134" t="str">
        <f>IF(OR(Regn!$C144&gt;1,Regn!$G142=1),"",VLOOKUP(Regn!$G142,Efgr,2))</f>
        <v/>
      </c>
      <c r="U143" s="134" t="str">
        <f>IF(OR(Regn!$K144&gt;1,Regn!$E146=1),"",VLOOKUP(Regn!$E146,Afgr,2))</f>
        <v/>
      </c>
    </row>
    <row r="144" spans="2:281" x14ac:dyDescent="0.25">
      <c r="B144" s="28">
        <v>4</v>
      </c>
      <c r="Z144" s="36"/>
      <c r="AA144" s="15" t="s">
        <v>85</v>
      </c>
      <c r="AC144" s="53">
        <f>Regn!M144</f>
        <v>0</v>
      </c>
      <c r="AD144" s="15" t="s">
        <v>85</v>
      </c>
      <c r="AF144" s="15" t="str">
        <f>IF(Regn!$E144&lt;=1,"",VLOOKUP(Regn!$E144,Afgr,2))</f>
        <v/>
      </c>
      <c r="AH144" s="55" t="str">
        <f>IF(Regn!$E144&gt;1,Regn!BH144,"")</f>
        <v/>
      </c>
      <c r="AI144" s="15" t="str">
        <f>IF(Regn!BK144&lt;&gt;0,Regn!BK144,"")</f>
        <v/>
      </c>
      <c r="AK144" s="16"/>
      <c r="AL144" s="15" t="str">
        <f>IF(Regn!BK144&lt;&gt;0,Regn!BK144,"")</f>
        <v/>
      </c>
      <c r="AN144" s="33" t="str">
        <f>IF(Regn!$E144&gt;1,Regn!DP144,"")</f>
        <v/>
      </c>
      <c r="AO144" s="15" t="s">
        <v>201</v>
      </c>
      <c r="AQ144" s="38"/>
      <c r="AR144" s="15" t="s">
        <v>201</v>
      </c>
      <c r="AT144" s="55" t="str">
        <f>IF(Regn!$E144&gt;1,Regn!BN144,"")</f>
        <v/>
      </c>
      <c r="AU144" s="15" t="s">
        <v>188</v>
      </c>
      <c r="AW144" s="124"/>
      <c r="AX144" s="15" t="s">
        <v>188</v>
      </c>
      <c r="AZ144" s="25" t="str">
        <f>IF(Regn!$E144&gt;1,Regn!BS144,"")</f>
        <v/>
      </c>
      <c r="BA144" s="15" t="s">
        <v>188</v>
      </c>
      <c r="BC144" s="17"/>
      <c r="BD144" s="15" t="s">
        <v>188</v>
      </c>
      <c r="BF144" s="25" t="str">
        <f>IF(Regn!$E144&gt;1,Regn!BX144,"")</f>
        <v/>
      </c>
      <c r="BG144" s="15" t="s">
        <v>192</v>
      </c>
      <c r="BI144" s="16"/>
      <c r="BJ144" s="15" t="s">
        <v>192</v>
      </c>
      <c r="BO144" s="33" t="str">
        <f>IF(Regn!$E144&gt;1,Regn!CE144,"")</f>
        <v/>
      </c>
      <c r="BP144" s="15" t="s">
        <v>188</v>
      </c>
      <c r="BR144" s="38"/>
      <c r="BS144" s="15" t="s">
        <v>188</v>
      </c>
      <c r="BU144" s="15" t="str">
        <f>IF(Regn!$E144&lt;=1,"",VLOOKUP(Regn!$E144,Afgr,2))</f>
        <v/>
      </c>
      <c r="BW144" s="32" t="str">
        <f>IF(Regn!$E144&gt;1,Regn!Y144,"")</f>
        <v/>
      </c>
      <c r="BX144" s="15" t="s">
        <v>82</v>
      </c>
      <c r="BZ144" s="37"/>
      <c r="CA144" s="15" t="s">
        <v>82</v>
      </c>
      <c r="CC144" s="32" t="str">
        <f>IF(Regn!$E144&gt;1,Regn!S144,"")</f>
        <v/>
      </c>
      <c r="CD144" s="15" t="s">
        <v>82</v>
      </c>
      <c r="CF144" s="32" t="str">
        <f>IF(Regn!$E144&gt;1,Regn!U144,"")</f>
        <v/>
      </c>
      <c r="CG144" s="15" t="s">
        <v>82</v>
      </c>
      <c r="CI144" s="37"/>
      <c r="CJ144" s="15" t="s">
        <v>82</v>
      </c>
      <c r="CL144" s="32" t="str">
        <f>IF(Regn!$E144&gt;1,Regn!AS144,"")</f>
        <v/>
      </c>
      <c r="CM144" s="15" t="s">
        <v>82</v>
      </c>
      <c r="CO144" s="37"/>
      <c r="CP144" s="15" t="s">
        <v>82</v>
      </c>
      <c r="CR144" s="32" t="str">
        <f>IF(Regn!$E144&gt;1,UdnKrav,"")</f>
        <v/>
      </c>
      <c r="CS144" s="15" t="s">
        <v>205</v>
      </c>
      <c r="CU144" s="32" t="str">
        <f>IF(Regn!$E144&gt;1,Regn!AY144,"")</f>
        <v/>
      </c>
      <c r="CV144" s="15" t="s">
        <v>82</v>
      </c>
      <c r="CX144" s="15" t="str">
        <f>IF(Regn!$G144&lt;=1,"",VLOOKUP(Regn!$G144,Efgr,2))</f>
        <v/>
      </c>
      <c r="CZ144" s="25" t="str">
        <f>IF(Regn!$G144&gt;1,Regn!DC144,"")</f>
        <v/>
      </c>
      <c r="DA144" s="15" t="str">
        <f>IF(Regn!$G144&gt;1,Regn!DF144,"")</f>
        <v/>
      </c>
      <c r="DC144" s="16"/>
      <c r="DD144" s="15" t="str">
        <f>IF(Regn!$G144&gt;1,Regn!DF144,"")</f>
        <v/>
      </c>
      <c r="DJ144" s="25" t="str">
        <f>IF(Regn!$G144&gt;1,Regn!CL144,"")</f>
        <v/>
      </c>
      <c r="DK144" s="15" t="s">
        <v>82</v>
      </c>
      <c r="DM144" s="16"/>
      <c r="DN144" s="15" t="s">
        <v>82</v>
      </c>
      <c r="DP144" s="25" t="str">
        <f>IF(Regn!$G144&gt;1,Regn!CR144,"")</f>
        <v/>
      </c>
      <c r="DQ144" s="15" t="s">
        <v>82</v>
      </c>
      <c r="DS144" s="16"/>
      <c r="DT144" s="15" t="s">
        <v>82</v>
      </c>
      <c r="DV144" s="25" t="str">
        <f>IF(Regn!$G144&gt;1,UdnKrav,"")</f>
        <v/>
      </c>
      <c r="DW144" s="15" t="s">
        <v>205</v>
      </c>
      <c r="DY144" s="25" t="str">
        <f>IF(Regn!$G144&gt;1,Regn!CX144,"")</f>
        <v/>
      </c>
      <c r="DZ144" s="15" t="s">
        <v>82</v>
      </c>
      <c r="EB144" s="15" t="str">
        <f>IF(Regn!$E144&lt;=1,"",VLOOKUP(Regn!$E144,Afgr,2))</f>
        <v/>
      </c>
      <c r="ED144" s="25" t="str">
        <f>IF(Regn!$E144&gt;1,Regn!IB144,"")</f>
        <v/>
      </c>
      <c r="EE144" s="15" t="s">
        <v>188</v>
      </c>
      <c r="EG144" s="16"/>
      <c r="EH144" s="15" t="s">
        <v>188</v>
      </c>
      <c r="EJ144" s="25" t="str">
        <f>IF(Regn!$E144&gt;1,Regn!IX144,"")</f>
        <v/>
      </c>
      <c r="EK144" s="15" t="s">
        <v>188</v>
      </c>
      <c r="EM144" s="16"/>
      <c r="EN144" s="15" t="s">
        <v>188</v>
      </c>
      <c r="EP144" s="25" t="str">
        <f>IF(Regn!$E144&gt;1,Regn!JB144,"")</f>
        <v/>
      </c>
      <c r="EQ144" s="15" t="s">
        <v>188</v>
      </c>
      <c r="ES144" s="16"/>
      <c r="ET144" s="15" t="s">
        <v>188</v>
      </c>
      <c r="EV144" s="25" t="str">
        <f>IF(Regn!$E144&gt;1,Regn!JF144,"")</f>
        <v/>
      </c>
      <c r="EW144" s="15" t="s">
        <v>188</v>
      </c>
      <c r="EY144" s="16"/>
      <c r="EZ144" s="15" t="s">
        <v>188</v>
      </c>
      <c r="FB144" s="25" t="str">
        <f>IF(Regn!$E144&gt;1,Regn!JL144,"")</f>
        <v/>
      </c>
      <c r="FC144" s="15" t="s">
        <v>362</v>
      </c>
      <c r="FE144" s="16"/>
      <c r="FF144" s="15" t="s">
        <v>188</v>
      </c>
      <c r="FH144" s="25" t="str">
        <f>IF(Regn!$E144&gt;1,Regn!JY144,"")</f>
        <v/>
      </c>
      <c r="FI144" s="15" t="s">
        <v>188</v>
      </c>
      <c r="FK144" s="16"/>
      <c r="FL144" s="15" t="s">
        <v>188</v>
      </c>
      <c r="FN144" s="25" t="str">
        <f>IF(Regn!$E144&gt;1,Regn!KC144,"")</f>
        <v/>
      </c>
      <c r="FO144" s="15" t="s">
        <v>188</v>
      </c>
      <c r="FQ144" s="16"/>
      <c r="FR144" s="15" t="s">
        <v>188</v>
      </c>
      <c r="FT144" s="25" t="str">
        <f>IF(Regn!$E144&gt;1,Regn!KG144,"")</f>
        <v/>
      </c>
      <c r="FU144" s="15" t="s">
        <v>188</v>
      </c>
      <c r="FW144" s="16"/>
      <c r="FX144" s="15" t="s">
        <v>188</v>
      </c>
      <c r="FZ144" s="25" t="str">
        <f>IF(Regn!$E144&gt;1,Regn!KK144,"")</f>
        <v/>
      </c>
      <c r="GA144" s="15" t="s">
        <v>531</v>
      </c>
      <c r="GC144" s="16"/>
      <c r="GD144" s="15" t="s">
        <v>531</v>
      </c>
      <c r="GF144" s="25" t="str">
        <f>IF(Regn!$E144&gt;1,Regn!KM144,"")</f>
        <v/>
      </c>
      <c r="GG144" s="15" t="s">
        <v>188</v>
      </c>
      <c r="GI144" s="16"/>
      <c r="GJ144" s="15" t="s">
        <v>188</v>
      </c>
      <c r="GL144" s="25" t="str">
        <f>IF(Regn!$E144&gt;1,Regn!KT144,"")</f>
        <v/>
      </c>
      <c r="GM144" s="15" t="s">
        <v>188</v>
      </c>
      <c r="GO144" s="16"/>
      <c r="GP144" s="15" t="s">
        <v>405</v>
      </c>
      <c r="GR144" s="25" t="str">
        <f>IF(Regn!$E144&gt;1,Regn!KZ144,"")</f>
        <v/>
      </c>
      <c r="GS144" s="15" t="s">
        <v>188</v>
      </c>
      <c r="GU144" s="16"/>
      <c r="GV144" s="15" t="s">
        <v>188</v>
      </c>
      <c r="HA144" s="25" t="str">
        <f>IF(Regn!$E144&gt;1,Regn!LD144,"")</f>
        <v/>
      </c>
      <c r="HB144" s="15" t="s">
        <v>188</v>
      </c>
      <c r="HD144" s="16"/>
      <c r="HE144" s="15" t="s">
        <v>188</v>
      </c>
      <c r="HG144" s="15" t="str">
        <f>IF(Regn!$G144&lt;=1,"",VLOOKUP(Regn!$G144,Efgr,2))</f>
        <v/>
      </c>
      <c r="HI144" s="25" t="str">
        <f>IF(Regn!$G144&gt;1,Regn!LH144,"")</f>
        <v/>
      </c>
      <c r="HJ144" s="15" t="s">
        <v>188</v>
      </c>
      <c r="HL144" s="16"/>
      <c r="HM144" s="15" t="s">
        <v>188</v>
      </c>
      <c r="HO144" s="25" t="str">
        <f>IF(Regn!$G144&gt;1,Regn!MA144,"")</f>
        <v/>
      </c>
      <c r="HP144" s="15" t="s">
        <v>188</v>
      </c>
      <c r="HR144" s="16"/>
      <c r="HS144" s="15" t="s">
        <v>188</v>
      </c>
      <c r="HU144" s="25" t="str">
        <f>IF(Regn!$G144&gt;1,Regn!ME144,"")</f>
        <v/>
      </c>
      <c r="HV144" s="15" t="s">
        <v>188</v>
      </c>
      <c r="HX144" s="16"/>
      <c r="HY144" s="15" t="s">
        <v>188</v>
      </c>
      <c r="IA144" s="25" t="str">
        <f>IF(Regn!$G144&gt;1,Regn!MI144,"")</f>
        <v/>
      </c>
      <c r="IB144" s="15" t="s">
        <v>188</v>
      </c>
      <c r="ID144" s="16"/>
      <c r="IE144" s="15" t="s">
        <v>188</v>
      </c>
      <c r="IG144" s="25" t="str">
        <f>IF(Regn!$G144&gt;1,Regn!MO144,"")</f>
        <v/>
      </c>
      <c r="IH144" s="15" t="s">
        <v>188</v>
      </c>
      <c r="IJ144" s="16"/>
      <c r="IK144" s="15" t="s">
        <v>188</v>
      </c>
      <c r="IM144" s="25" t="str">
        <f>IF(Regn!$G144&gt;1,Regn!MS144,"")</f>
        <v/>
      </c>
      <c r="IN144" s="15" t="s">
        <v>188</v>
      </c>
      <c r="IP144" s="16"/>
      <c r="IQ144" s="15" t="s">
        <v>188</v>
      </c>
      <c r="IS144" s="25" t="str">
        <f>IF(Regn!$G144&gt;1,Regn!MW144,"")</f>
        <v/>
      </c>
      <c r="IT144" s="15" t="s">
        <v>188</v>
      </c>
      <c r="IV144" s="16"/>
      <c r="IW144" s="15" t="s">
        <v>188</v>
      </c>
      <c r="IY144" s="25" t="str">
        <f>IF(Regn!$G144&gt;1,Regn!NA144,"")</f>
        <v/>
      </c>
      <c r="IZ144" s="15" t="s">
        <v>531</v>
      </c>
      <c r="JB144" s="16"/>
      <c r="JC144" s="15" t="s">
        <v>531</v>
      </c>
      <c r="JE144" s="25" t="str">
        <f>IF(Regn!$G144&gt;1,Regn!NC144,"")</f>
        <v/>
      </c>
      <c r="JF144" s="15" t="s">
        <v>188</v>
      </c>
      <c r="JH144" s="16"/>
      <c r="JI144" s="15" t="s">
        <v>188</v>
      </c>
      <c r="JK144" s="25" t="str">
        <f>IF(Regn!$G144&gt;1,Regn!NI144,"")</f>
        <v/>
      </c>
      <c r="JL144" s="15" t="s">
        <v>188</v>
      </c>
      <c r="JN144" s="16"/>
      <c r="JO144" s="15" t="s">
        <v>188</v>
      </c>
      <c r="JQ144" s="25" t="str">
        <f>IF(Regn!$G144&gt;1,Regn!NM144,"")</f>
        <v/>
      </c>
      <c r="JR144" s="15" t="s">
        <v>188</v>
      </c>
      <c r="JT144" s="16"/>
      <c r="JU144" s="15" t="s">
        <v>188</v>
      </c>
    </row>
    <row r="145" spans="2:281" ht="12" customHeight="1" x14ac:dyDescent="0.25">
      <c r="B145" s="28"/>
      <c r="C145" s="133" t="str">
        <f>IF(OR(Regn!$B146&gt;1,Regn!$E144=1),"",VLOOKUP(Regn!$E144,Afgr,2))</f>
        <v/>
      </c>
      <c r="G145" s="134" t="str">
        <f>IF(OR(Regn!$C146&gt;1,Regn!$G144=1),"",VLOOKUP(Regn!$G144,Efgr,2))</f>
        <v/>
      </c>
      <c r="U145" s="134" t="str">
        <f>IF(OR(Regn!$K146&gt;1,Regn!$E148=1),"",VLOOKUP(Regn!$E148,Afgr,2))</f>
        <v/>
      </c>
    </row>
    <row r="146" spans="2:281" x14ac:dyDescent="0.25">
      <c r="B146" s="28">
        <v>5</v>
      </c>
      <c r="Z146" s="36"/>
      <c r="AA146" s="15" t="s">
        <v>85</v>
      </c>
      <c r="AC146" s="53">
        <f>Regn!M146</f>
        <v>0</v>
      </c>
      <c r="AD146" s="15" t="s">
        <v>85</v>
      </c>
      <c r="AF146" s="15" t="str">
        <f>IF(Regn!$E146&lt;=1,"",VLOOKUP(Regn!$E146,Afgr,2))</f>
        <v/>
      </c>
      <c r="AH146" s="55" t="str">
        <f>IF(Regn!$E146&gt;1,Regn!BH146,"")</f>
        <v/>
      </c>
      <c r="AI146" s="15" t="str">
        <f>IF(Regn!BK146&lt;&gt;0,Regn!BK146,"")</f>
        <v/>
      </c>
      <c r="AK146" s="16"/>
      <c r="AL146" s="15" t="str">
        <f>IF(Regn!BK146&lt;&gt;0,Regn!BK146,"")</f>
        <v/>
      </c>
      <c r="AN146" s="33" t="str">
        <f>IF(Regn!$E146&gt;1,Regn!DP146,"")</f>
        <v/>
      </c>
      <c r="AO146" s="15" t="s">
        <v>201</v>
      </c>
      <c r="AQ146" s="38"/>
      <c r="AR146" s="15" t="s">
        <v>201</v>
      </c>
      <c r="AT146" s="55" t="str">
        <f>IF(Regn!$E146&gt;1,Regn!BN146,"")</f>
        <v/>
      </c>
      <c r="AU146" s="15" t="s">
        <v>188</v>
      </c>
      <c r="AW146" s="124"/>
      <c r="AX146" s="15" t="s">
        <v>188</v>
      </c>
      <c r="AZ146" s="25" t="str">
        <f>IF(Regn!$E146&gt;1,Regn!BS146,"")</f>
        <v/>
      </c>
      <c r="BA146" s="15" t="s">
        <v>188</v>
      </c>
      <c r="BC146" s="17"/>
      <c r="BD146" s="15" t="s">
        <v>188</v>
      </c>
      <c r="BF146" s="25" t="str">
        <f>IF(Regn!$E146&gt;1,Regn!BX146,"")</f>
        <v/>
      </c>
      <c r="BG146" s="15" t="s">
        <v>192</v>
      </c>
      <c r="BI146" s="16"/>
      <c r="BJ146" s="15" t="s">
        <v>192</v>
      </c>
      <c r="BO146" s="33" t="str">
        <f>IF(Regn!$E146&gt;1,Regn!CE146,"")</f>
        <v/>
      </c>
      <c r="BP146" s="15" t="s">
        <v>188</v>
      </c>
      <c r="BR146" s="38"/>
      <c r="BS146" s="15" t="s">
        <v>188</v>
      </c>
      <c r="BU146" s="15" t="str">
        <f>IF(Regn!$E146&lt;=1,"",VLOOKUP(Regn!$E146,Afgr,2))</f>
        <v/>
      </c>
      <c r="BW146" s="32" t="str">
        <f>IF(Regn!$E146&gt;1,Regn!Y146,"")</f>
        <v/>
      </c>
      <c r="BX146" s="15" t="s">
        <v>82</v>
      </c>
      <c r="BZ146" s="37"/>
      <c r="CA146" s="15" t="s">
        <v>82</v>
      </c>
      <c r="CC146" s="32" t="str">
        <f>IF(Regn!$E146&gt;1,Regn!S146,"")</f>
        <v/>
      </c>
      <c r="CD146" s="15" t="s">
        <v>82</v>
      </c>
      <c r="CF146" s="32" t="str">
        <f>IF(Regn!$E146&gt;1,Regn!U146,"")</f>
        <v/>
      </c>
      <c r="CG146" s="15" t="s">
        <v>82</v>
      </c>
      <c r="CI146" s="37"/>
      <c r="CJ146" s="15" t="s">
        <v>82</v>
      </c>
      <c r="CL146" s="32" t="str">
        <f>IF(Regn!$E146&gt;1,Regn!AS146,"")</f>
        <v/>
      </c>
      <c r="CM146" s="15" t="s">
        <v>82</v>
      </c>
      <c r="CO146" s="37"/>
      <c r="CP146" s="15" t="s">
        <v>82</v>
      </c>
      <c r="CR146" s="32" t="str">
        <f>IF(Regn!$E146&gt;1,UdnKrav,"")</f>
        <v/>
      </c>
      <c r="CS146" s="15" t="s">
        <v>205</v>
      </c>
      <c r="CU146" s="32" t="str">
        <f>IF(Regn!$E146&gt;1,Regn!AY146,"")</f>
        <v/>
      </c>
      <c r="CV146" s="15" t="s">
        <v>82</v>
      </c>
      <c r="CX146" s="15" t="str">
        <f>IF(Regn!$G146&lt;=1,"",VLOOKUP(Regn!$G146,Efgr,2))</f>
        <v/>
      </c>
      <c r="CZ146" s="25" t="str">
        <f>IF(Regn!$G146&gt;1,Regn!DC146,"")</f>
        <v/>
      </c>
      <c r="DA146" s="15" t="str">
        <f>IF(Regn!$G146&gt;1,Regn!DF146,"")</f>
        <v/>
      </c>
      <c r="DC146" s="16"/>
      <c r="DD146" s="15" t="str">
        <f>IF(Regn!$G146&gt;1,Regn!DF146,"")</f>
        <v/>
      </c>
      <c r="DJ146" s="25" t="str">
        <f>IF(Regn!$G146&gt;1,Regn!CL146,"")</f>
        <v/>
      </c>
      <c r="DK146" s="15" t="s">
        <v>82</v>
      </c>
      <c r="DM146" s="16"/>
      <c r="DN146" s="15" t="s">
        <v>82</v>
      </c>
      <c r="DP146" s="25" t="str">
        <f>IF(Regn!$G146&gt;1,Regn!CR146,"")</f>
        <v/>
      </c>
      <c r="DQ146" s="15" t="s">
        <v>82</v>
      </c>
      <c r="DS146" s="16"/>
      <c r="DT146" s="15" t="s">
        <v>82</v>
      </c>
      <c r="DV146" s="25" t="str">
        <f>IF(Regn!$G146&gt;1,UdnKrav,"")</f>
        <v/>
      </c>
      <c r="DW146" s="15" t="s">
        <v>205</v>
      </c>
      <c r="DY146" s="25" t="str">
        <f>IF(Regn!$G146&gt;1,Regn!CX146,"")</f>
        <v/>
      </c>
      <c r="DZ146" s="15" t="s">
        <v>82</v>
      </c>
      <c r="EB146" s="15" t="str">
        <f>IF(Regn!$E146&lt;=1,"",VLOOKUP(Regn!$E146,Afgr,2))</f>
        <v/>
      </c>
      <c r="ED146" s="25" t="str">
        <f>IF(Regn!$E146&gt;1,Regn!IB146,"")</f>
        <v/>
      </c>
      <c r="EE146" s="15" t="s">
        <v>188</v>
      </c>
      <c r="EG146" s="16"/>
      <c r="EH146" s="15" t="s">
        <v>188</v>
      </c>
      <c r="EJ146" s="25" t="str">
        <f>IF(Regn!$E146&gt;1,Regn!IX146,"")</f>
        <v/>
      </c>
      <c r="EK146" s="15" t="s">
        <v>188</v>
      </c>
      <c r="EM146" s="16"/>
      <c r="EN146" s="15" t="s">
        <v>188</v>
      </c>
      <c r="EP146" s="25" t="str">
        <f>IF(Regn!$E146&gt;1,Regn!JB146,"")</f>
        <v/>
      </c>
      <c r="EQ146" s="15" t="s">
        <v>188</v>
      </c>
      <c r="ES146" s="16"/>
      <c r="ET146" s="15" t="s">
        <v>188</v>
      </c>
      <c r="EV146" s="25" t="str">
        <f>IF(Regn!$E146&gt;1,Regn!JF146,"")</f>
        <v/>
      </c>
      <c r="EW146" s="15" t="s">
        <v>188</v>
      </c>
      <c r="EY146" s="16"/>
      <c r="EZ146" s="15" t="s">
        <v>188</v>
      </c>
      <c r="FB146" s="25" t="str">
        <f>IF(Regn!$E146&gt;1,Regn!JL146,"")</f>
        <v/>
      </c>
      <c r="FC146" s="15" t="s">
        <v>362</v>
      </c>
      <c r="FE146" s="16"/>
      <c r="FF146" s="15" t="s">
        <v>188</v>
      </c>
      <c r="FH146" s="25" t="str">
        <f>IF(Regn!$E146&gt;1,Regn!JY146,"")</f>
        <v/>
      </c>
      <c r="FI146" s="15" t="s">
        <v>188</v>
      </c>
      <c r="FK146" s="16"/>
      <c r="FL146" s="15" t="s">
        <v>188</v>
      </c>
      <c r="FN146" s="25" t="str">
        <f>IF(Regn!$E146&gt;1,Regn!KC146,"")</f>
        <v/>
      </c>
      <c r="FO146" s="15" t="s">
        <v>188</v>
      </c>
      <c r="FQ146" s="16"/>
      <c r="FR146" s="15" t="s">
        <v>188</v>
      </c>
      <c r="FT146" s="25" t="str">
        <f>IF(Regn!$E146&gt;1,Regn!KG146,"")</f>
        <v/>
      </c>
      <c r="FU146" s="15" t="s">
        <v>188</v>
      </c>
      <c r="FW146" s="16"/>
      <c r="FX146" s="15" t="s">
        <v>188</v>
      </c>
      <c r="FZ146" s="25" t="str">
        <f>IF(Regn!$E146&gt;1,Regn!KK146,"")</f>
        <v/>
      </c>
      <c r="GA146" s="15" t="s">
        <v>531</v>
      </c>
      <c r="GC146" s="16"/>
      <c r="GD146" s="15" t="s">
        <v>531</v>
      </c>
      <c r="GF146" s="25" t="str">
        <f>IF(Regn!$E146&gt;1,Regn!KM146,"")</f>
        <v/>
      </c>
      <c r="GG146" s="15" t="s">
        <v>188</v>
      </c>
      <c r="GI146" s="16"/>
      <c r="GJ146" s="15" t="s">
        <v>188</v>
      </c>
      <c r="GL146" s="25" t="str">
        <f>IF(Regn!$E146&gt;1,Regn!KT146,"")</f>
        <v/>
      </c>
      <c r="GM146" s="15" t="s">
        <v>188</v>
      </c>
      <c r="GO146" s="16"/>
      <c r="GP146" s="15" t="s">
        <v>405</v>
      </c>
      <c r="GR146" s="25" t="str">
        <f>IF(Regn!$E146&gt;1,Regn!KZ146,"")</f>
        <v/>
      </c>
      <c r="GS146" s="15" t="s">
        <v>188</v>
      </c>
      <c r="GU146" s="16"/>
      <c r="GV146" s="15" t="s">
        <v>188</v>
      </c>
      <c r="HA146" s="25" t="str">
        <f>IF(Regn!$E146&gt;1,Regn!LD146,"")</f>
        <v/>
      </c>
      <c r="HB146" s="15" t="s">
        <v>188</v>
      </c>
      <c r="HD146" s="16"/>
      <c r="HE146" s="15" t="s">
        <v>188</v>
      </c>
      <c r="HG146" s="15" t="str">
        <f>IF(Regn!$G146&lt;=1,"",VLOOKUP(Regn!$G146,Efgr,2))</f>
        <v/>
      </c>
      <c r="HI146" s="25" t="str">
        <f>IF(Regn!$G146&gt;1,Regn!LH146,"")</f>
        <v/>
      </c>
      <c r="HJ146" s="15" t="s">
        <v>188</v>
      </c>
      <c r="HL146" s="16"/>
      <c r="HM146" s="15" t="s">
        <v>188</v>
      </c>
      <c r="HO146" s="25" t="str">
        <f>IF(Regn!$G146&gt;1,Regn!MA146,"")</f>
        <v/>
      </c>
      <c r="HP146" s="15" t="s">
        <v>188</v>
      </c>
      <c r="HR146" s="16"/>
      <c r="HS146" s="15" t="s">
        <v>188</v>
      </c>
      <c r="HU146" s="25" t="str">
        <f>IF(Regn!$G146&gt;1,Regn!ME146,"")</f>
        <v/>
      </c>
      <c r="HV146" s="15" t="s">
        <v>188</v>
      </c>
      <c r="HX146" s="16"/>
      <c r="HY146" s="15" t="s">
        <v>188</v>
      </c>
      <c r="IA146" s="25" t="str">
        <f>IF(Regn!$G146&gt;1,Regn!MI146,"")</f>
        <v/>
      </c>
      <c r="IB146" s="15" t="s">
        <v>188</v>
      </c>
      <c r="ID146" s="16"/>
      <c r="IE146" s="15" t="s">
        <v>188</v>
      </c>
      <c r="IG146" s="25" t="str">
        <f>IF(Regn!$G146&gt;1,Regn!MO146,"")</f>
        <v/>
      </c>
      <c r="IH146" s="15" t="s">
        <v>188</v>
      </c>
      <c r="IJ146" s="16"/>
      <c r="IK146" s="15" t="s">
        <v>188</v>
      </c>
      <c r="IM146" s="25" t="str">
        <f>IF(Regn!$G146&gt;1,Regn!MS146,"")</f>
        <v/>
      </c>
      <c r="IN146" s="15" t="s">
        <v>188</v>
      </c>
      <c r="IP146" s="16"/>
      <c r="IQ146" s="15" t="s">
        <v>188</v>
      </c>
      <c r="IS146" s="25" t="str">
        <f>IF(Regn!$G146&gt;1,Regn!MW146,"")</f>
        <v/>
      </c>
      <c r="IT146" s="15" t="s">
        <v>188</v>
      </c>
      <c r="IV146" s="16"/>
      <c r="IW146" s="15" t="s">
        <v>188</v>
      </c>
      <c r="IY146" s="25" t="str">
        <f>IF(Regn!$G146&gt;1,Regn!NA146,"")</f>
        <v/>
      </c>
      <c r="IZ146" s="15" t="s">
        <v>531</v>
      </c>
      <c r="JB146" s="16"/>
      <c r="JC146" s="15" t="s">
        <v>531</v>
      </c>
      <c r="JE146" s="25" t="str">
        <f>IF(Regn!$G146&gt;1,Regn!NC146,"")</f>
        <v/>
      </c>
      <c r="JF146" s="15" t="s">
        <v>188</v>
      </c>
      <c r="JH146" s="16"/>
      <c r="JI146" s="15" t="s">
        <v>188</v>
      </c>
      <c r="JK146" s="25" t="str">
        <f>IF(Regn!$G146&gt;1,Regn!NI146,"")</f>
        <v/>
      </c>
      <c r="JL146" s="15" t="s">
        <v>188</v>
      </c>
      <c r="JN146" s="16"/>
      <c r="JO146" s="15" t="s">
        <v>188</v>
      </c>
      <c r="JQ146" s="25" t="str">
        <f>IF(Regn!$G146&gt;1,Regn!NM146,"")</f>
        <v/>
      </c>
      <c r="JR146" s="15" t="s">
        <v>188</v>
      </c>
      <c r="JT146" s="16"/>
      <c r="JU146" s="15" t="s">
        <v>188</v>
      </c>
    </row>
    <row r="147" spans="2:281" ht="12" customHeight="1" x14ac:dyDescent="0.25">
      <c r="B147" s="28"/>
      <c r="C147" s="133" t="str">
        <f>IF(OR(Regn!$B148&gt;1,Regn!$E146=1),"",VLOOKUP(Regn!$E146,Afgr,2))</f>
        <v/>
      </c>
      <c r="G147" s="134" t="str">
        <f>IF(OR(Regn!$C148&gt;1,Regn!$G146=1),"",VLOOKUP(Regn!$G146,Efgr,2))</f>
        <v/>
      </c>
      <c r="U147" s="134" t="str">
        <f>IF(OR(Regn!$K148&gt;1,Regn!$E150=1),"",VLOOKUP(Regn!$E150,Afgr,2))</f>
        <v/>
      </c>
    </row>
    <row r="148" spans="2:281" x14ac:dyDescent="0.25">
      <c r="B148" s="28">
        <v>6</v>
      </c>
      <c r="Z148" s="36"/>
      <c r="AA148" s="15" t="s">
        <v>85</v>
      </c>
      <c r="AC148" s="53">
        <f>Regn!M148</f>
        <v>0</v>
      </c>
      <c r="AD148" s="15" t="s">
        <v>85</v>
      </c>
      <c r="AF148" s="15" t="str">
        <f>IF(Regn!$E148&lt;=1,"",VLOOKUP(Regn!$E148,Afgr,2))</f>
        <v/>
      </c>
      <c r="AH148" s="55" t="str">
        <f>IF(Regn!$E148&gt;1,Regn!BH148,"")</f>
        <v/>
      </c>
      <c r="AI148" s="15" t="str">
        <f>IF(Regn!BK148&lt;&gt;0,Regn!BK148,"")</f>
        <v/>
      </c>
      <c r="AK148" s="16"/>
      <c r="AL148" s="15" t="str">
        <f>IF(Regn!BK148&lt;&gt;0,Regn!BK148,"")</f>
        <v/>
      </c>
      <c r="AN148" s="33" t="str">
        <f>IF(Regn!$E148&gt;1,Regn!DP148,"")</f>
        <v/>
      </c>
      <c r="AO148" s="15" t="s">
        <v>201</v>
      </c>
      <c r="AQ148" s="38"/>
      <c r="AR148" s="15" t="s">
        <v>201</v>
      </c>
      <c r="AT148" s="55" t="str">
        <f>IF(Regn!$E148&gt;1,Regn!BN148,"")</f>
        <v/>
      </c>
      <c r="AU148" s="15" t="s">
        <v>188</v>
      </c>
      <c r="AW148" s="124"/>
      <c r="AX148" s="15" t="s">
        <v>188</v>
      </c>
      <c r="AZ148" s="25" t="str">
        <f>IF(Regn!$E148&gt;1,Regn!BS148,"")</f>
        <v/>
      </c>
      <c r="BA148" s="15" t="s">
        <v>188</v>
      </c>
      <c r="BC148" s="17"/>
      <c r="BD148" s="15" t="s">
        <v>188</v>
      </c>
      <c r="BF148" s="25" t="str">
        <f>IF(Regn!$E148&gt;1,Regn!BX148,"")</f>
        <v/>
      </c>
      <c r="BG148" s="15" t="s">
        <v>192</v>
      </c>
      <c r="BI148" s="16"/>
      <c r="BJ148" s="15" t="s">
        <v>192</v>
      </c>
      <c r="BO148" s="33" t="str">
        <f>IF(Regn!$E148&gt;1,Regn!CE148,"")</f>
        <v/>
      </c>
      <c r="BP148" s="15" t="s">
        <v>188</v>
      </c>
      <c r="BR148" s="38"/>
      <c r="BS148" s="15" t="s">
        <v>188</v>
      </c>
      <c r="BU148" s="15" t="str">
        <f>IF(Regn!$E148&lt;=1,"",VLOOKUP(Regn!$E148,Afgr,2))</f>
        <v/>
      </c>
      <c r="BW148" s="32" t="str">
        <f>IF(Regn!$E148&gt;1,Regn!Y148,"")</f>
        <v/>
      </c>
      <c r="BX148" s="15" t="s">
        <v>82</v>
      </c>
      <c r="BZ148" s="37"/>
      <c r="CA148" s="15" t="s">
        <v>82</v>
      </c>
      <c r="CC148" s="32" t="str">
        <f>IF(Regn!$E148&gt;1,Regn!S148,"")</f>
        <v/>
      </c>
      <c r="CD148" s="15" t="s">
        <v>82</v>
      </c>
      <c r="CF148" s="32" t="str">
        <f>IF(Regn!$E148&gt;1,Regn!U148,"")</f>
        <v/>
      </c>
      <c r="CG148" s="15" t="s">
        <v>82</v>
      </c>
      <c r="CI148" s="37"/>
      <c r="CJ148" s="15" t="s">
        <v>82</v>
      </c>
      <c r="CL148" s="32" t="str">
        <f>IF(Regn!$E148&gt;1,Regn!AS148,"")</f>
        <v/>
      </c>
      <c r="CM148" s="15" t="s">
        <v>82</v>
      </c>
      <c r="CO148" s="37"/>
      <c r="CP148" s="15" t="s">
        <v>82</v>
      </c>
      <c r="CR148" s="32" t="str">
        <f>IF(Regn!$E148&gt;1,UdnKrav,"")</f>
        <v/>
      </c>
      <c r="CS148" s="15" t="s">
        <v>205</v>
      </c>
      <c r="CU148" s="32" t="str">
        <f>IF(Regn!$E148&gt;1,Regn!AY148,"")</f>
        <v/>
      </c>
      <c r="CV148" s="15" t="s">
        <v>82</v>
      </c>
      <c r="CX148" s="15" t="str">
        <f>IF(Regn!$G148&lt;=1,"",VLOOKUP(Regn!$G148,Efgr,2))</f>
        <v/>
      </c>
      <c r="CZ148" s="25" t="str">
        <f>IF(Regn!$G148&gt;1,Regn!DC148,"")</f>
        <v/>
      </c>
      <c r="DA148" s="15" t="str">
        <f>IF(Regn!$G148&gt;1,Regn!DF148,"")</f>
        <v/>
      </c>
      <c r="DC148" s="16"/>
      <c r="DD148" s="15" t="str">
        <f>IF(Regn!$G148&gt;1,Regn!DF148,"")</f>
        <v/>
      </c>
      <c r="DJ148" s="25" t="str">
        <f>IF(Regn!$G148&gt;1,Regn!CL148,"")</f>
        <v/>
      </c>
      <c r="DK148" s="15" t="s">
        <v>82</v>
      </c>
      <c r="DM148" s="16"/>
      <c r="DN148" s="15" t="s">
        <v>82</v>
      </c>
      <c r="DP148" s="25" t="str">
        <f>IF(Regn!$G148&gt;1,Regn!CR148,"")</f>
        <v/>
      </c>
      <c r="DQ148" s="15" t="s">
        <v>82</v>
      </c>
      <c r="DS148" s="16"/>
      <c r="DT148" s="15" t="s">
        <v>82</v>
      </c>
      <c r="DV148" s="25" t="str">
        <f>IF(Regn!$G148&gt;1,UdnKrav,"")</f>
        <v/>
      </c>
      <c r="DW148" s="15" t="s">
        <v>205</v>
      </c>
      <c r="DY148" s="25" t="str">
        <f>IF(Regn!$G148&gt;1,Regn!CX148,"")</f>
        <v/>
      </c>
      <c r="DZ148" s="15" t="s">
        <v>82</v>
      </c>
      <c r="EB148" s="15" t="str">
        <f>IF(Regn!$E148&lt;=1,"",VLOOKUP(Regn!$E148,Afgr,2))</f>
        <v/>
      </c>
      <c r="ED148" s="25" t="str">
        <f>IF(Regn!$E148&gt;1,Regn!IB148,"")</f>
        <v/>
      </c>
      <c r="EE148" s="15" t="s">
        <v>188</v>
      </c>
      <c r="EG148" s="16"/>
      <c r="EH148" s="15" t="s">
        <v>188</v>
      </c>
      <c r="EJ148" s="25" t="str">
        <f>IF(Regn!$E148&gt;1,Regn!IX148,"")</f>
        <v/>
      </c>
      <c r="EK148" s="15" t="s">
        <v>188</v>
      </c>
      <c r="EM148" s="16"/>
      <c r="EN148" s="15" t="s">
        <v>188</v>
      </c>
      <c r="EP148" s="25" t="str">
        <f>IF(Regn!$E148&gt;1,Regn!JB148,"")</f>
        <v/>
      </c>
      <c r="EQ148" s="15" t="s">
        <v>188</v>
      </c>
      <c r="ES148" s="16"/>
      <c r="ET148" s="15" t="s">
        <v>188</v>
      </c>
      <c r="EV148" s="25" t="str">
        <f>IF(Regn!$E148&gt;1,Regn!JF148,"")</f>
        <v/>
      </c>
      <c r="EW148" s="15" t="s">
        <v>188</v>
      </c>
      <c r="EY148" s="16"/>
      <c r="EZ148" s="15" t="s">
        <v>188</v>
      </c>
      <c r="FB148" s="25" t="str">
        <f>IF(Regn!$E148&gt;1,Regn!JL148,"")</f>
        <v/>
      </c>
      <c r="FC148" s="15" t="s">
        <v>362</v>
      </c>
      <c r="FE148" s="16"/>
      <c r="FF148" s="15" t="s">
        <v>188</v>
      </c>
      <c r="FH148" s="25" t="str">
        <f>IF(Regn!$E148&gt;1,Regn!JY148,"")</f>
        <v/>
      </c>
      <c r="FI148" s="15" t="s">
        <v>188</v>
      </c>
      <c r="FK148" s="16"/>
      <c r="FL148" s="15" t="s">
        <v>188</v>
      </c>
      <c r="FN148" s="25" t="str">
        <f>IF(Regn!$E148&gt;1,Regn!KC148,"")</f>
        <v/>
      </c>
      <c r="FO148" s="15" t="s">
        <v>188</v>
      </c>
      <c r="FQ148" s="16"/>
      <c r="FR148" s="15" t="s">
        <v>188</v>
      </c>
      <c r="FT148" s="25" t="str">
        <f>IF(Regn!$E148&gt;1,Regn!KG148,"")</f>
        <v/>
      </c>
      <c r="FU148" s="15" t="s">
        <v>188</v>
      </c>
      <c r="FW148" s="16"/>
      <c r="FX148" s="15" t="s">
        <v>188</v>
      </c>
      <c r="FZ148" s="25" t="str">
        <f>IF(Regn!$E148&gt;1,Regn!KK148,"")</f>
        <v/>
      </c>
      <c r="GA148" s="15" t="s">
        <v>531</v>
      </c>
      <c r="GC148" s="16"/>
      <c r="GD148" s="15" t="s">
        <v>531</v>
      </c>
      <c r="GF148" s="25" t="str">
        <f>IF(Regn!$E148&gt;1,Regn!KM148,"")</f>
        <v/>
      </c>
      <c r="GG148" s="15" t="s">
        <v>188</v>
      </c>
      <c r="GI148" s="16"/>
      <c r="GJ148" s="15" t="s">
        <v>188</v>
      </c>
      <c r="GL148" s="25" t="str">
        <f>IF(Regn!$E148&gt;1,Regn!KT148,"")</f>
        <v/>
      </c>
      <c r="GM148" s="15" t="s">
        <v>188</v>
      </c>
      <c r="GO148" s="16"/>
      <c r="GP148" s="15" t="s">
        <v>405</v>
      </c>
      <c r="GR148" s="25" t="str">
        <f>IF(Regn!$E148&gt;1,Regn!KZ148,"")</f>
        <v/>
      </c>
      <c r="GS148" s="15" t="s">
        <v>188</v>
      </c>
      <c r="GU148" s="16"/>
      <c r="GV148" s="15" t="s">
        <v>188</v>
      </c>
      <c r="HA148" s="25" t="str">
        <f>IF(Regn!$E148&gt;1,Regn!LD148,"")</f>
        <v/>
      </c>
      <c r="HB148" s="15" t="s">
        <v>188</v>
      </c>
      <c r="HD148" s="16"/>
      <c r="HE148" s="15" t="s">
        <v>188</v>
      </c>
      <c r="HG148" s="15" t="str">
        <f>IF(Regn!$G148&lt;=1,"",VLOOKUP(Regn!$G148,Efgr,2))</f>
        <v/>
      </c>
      <c r="HI148" s="25" t="str">
        <f>IF(Regn!$G148&gt;1,Regn!LH148,"")</f>
        <v/>
      </c>
      <c r="HJ148" s="15" t="s">
        <v>188</v>
      </c>
      <c r="HL148" s="16"/>
      <c r="HM148" s="15" t="s">
        <v>188</v>
      </c>
      <c r="HO148" s="25" t="str">
        <f>IF(Regn!$G148&gt;1,Regn!MA148,"")</f>
        <v/>
      </c>
      <c r="HP148" s="15" t="s">
        <v>188</v>
      </c>
      <c r="HR148" s="16"/>
      <c r="HS148" s="15" t="s">
        <v>188</v>
      </c>
      <c r="HU148" s="25" t="str">
        <f>IF(Regn!$G148&gt;1,Regn!ME148,"")</f>
        <v/>
      </c>
      <c r="HV148" s="15" t="s">
        <v>188</v>
      </c>
      <c r="HX148" s="16"/>
      <c r="HY148" s="15" t="s">
        <v>188</v>
      </c>
      <c r="IA148" s="25" t="str">
        <f>IF(Regn!$G148&gt;1,Regn!MI148,"")</f>
        <v/>
      </c>
      <c r="IB148" s="15" t="s">
        <v>188</v>
      </c>
      <c r="ID148" s="16"/>
      <c r="IE148" s="15" t="s">
        <v>188</v>
      </c>
      <c r="IG148" s="25" t="str">
        <f>IF(Regn!$G148&gt;1,Regn!MO148,"")</f>
        <v/>
      </c>
      <c r="IH148" s="15" t="s">
        <v>188</v>
      </c>
      <c r="IJ148" s="16"/>
      <c r="IK148" s="15" t="s">
        <v>188</v>
      </c>
      <c r="IM148" s="25" t="str">
        <f>IF(Regn!$G148&gt;1,Regn!MS148,"")</f>
        <v/>
      </c>
      <c r="IN148" s="15" t="s">
        <v>188</v>
      </c>
      <c r="IP148" s="16"/>
      <c r="IQ148" s="15" t="s">
        <v>188</v>
      </c>
      <c r="IS148" s="25" t="str">
        <f>IF(Regn!$G148&gt;1,Regn!MW148,"")</f>
        <v/>
      </c>
      <c r="IT148" s="15" t="s">
        <v>188</v>
      </c>
      <c r="IV148" s="16"/>
      <c r="IW148" s="15" t="s">
        <v>188</v>
      </c>
      <c r="IY148" s="25" t="str">
        <f>IF(Regn!$G148&gt;1,Regn!NA148,"")</f>
        <v/>
      </c>
      <c r="IZ148" s="15" t="s">
        <v>531</v>
      </c>
      <c r="JB148" s="16"/>
      <c r="JC148" s="15" t="s">
        <v>531</v>
      </c>
      <c r="JE148" s="25" t="str">
        <f>IF(Regn!$G148&gt;1,Regn!NC148,"")</f>
        <v/>
      </c>
      <c r="JF148" s="15" t="s">
        <v>188</v>
      </c>
      <c r="JH148" s="16"/>
      <c r="JI148" s="15" t="s">
        <v>188</v>
      </c>
      <c r="JK148" s="25" t="str">
        <f>IF(Regn!$G148&gt;1,Regn!NI148,"")</f>
        <v/>
      </c>
      <c r="JL148" s="15" t="s">
        <v>188</v>
      </c>
      <c r="JN148" s="16"/>
      <c r="JO148" s="15" t="s">
        <v>188</v>
      </c>
      <c r="JQ148" s="25" t="str">
        <f>IF(Regn!$G148&gt;1,Regn!NM148,"")</f>
        <v/>
      </c>
      <c r="JR148" s="15" t="s">
        <v>188</v>
      </c>
      <c r="JT148" s="16"/>
      <c r="JU148" s="15" t="s">
        <v>188</v>
      </c>
    </row>
    <row r="149" spans="2:281" ht="12" customHeight="1" x14ac:dyDescent="0.25">
      <c r="B149" s="28"/>
      <c r="C149" s="133" t="str">
        <f>IF(OR(Regn!$B150&gt;1,Regn!$E148=1),"",VLOOKUP(Regn!$E148,Afgr,2))</f>
        <v/>
      </c>
      <c r="G149" s="134" t="str">
        <f>IF(OR(Regn!$C150&gt;1,Regn!$G148=1),"",VLOOKUP(Regn!$G148,Efgr,2))</f>
        <v/>
      </c>
      <c r="U149" s="134" t="str">
        <f>IF(OR(Regn!$K150&gt;1,Regn!$E152=1),"",VLOOKUP(Regn!$E152,Afgr,2))</f>
        <v/>
      </c>
    </row>
    <row r="150" spans="2:281" x14ac:dyDescent="0.25">
      <c r="B150" s="28">
        <v>7</v>
      </c>
      <c r="Z150" s="36"/>
      <c r="AA150" s="15" t="s">
        <v>85</v>
      </c>
      <c r="AC150" s="53">
        <f>Regn!M150</f>
        <v>0</v>
      </c>
      <c r="AD150" s="15" t="s">
        <v>85</v>
      </c>
      <c r="AF150" s="15" t="str">
        <f>IF(Regn!$E150&lt;=1,"",VLOOKUP(Regn!$E150,Afgr,2))</f>
        <v/>
      </c>
      <c r="AH150" s="55" t="str">
        <f>IF(Regn!$E150&gt;1,Regn!BH150,"")</f>
        <v/>
      </c>
      <c r="AI150" s="15" t="str">
        <f>IF(Regn!BK150&lt;&gt;0,Regn!BK150,"")</f>
        <v/>
      </c>
      <c r="AK150" s="16"/>
      <c r="AL150" s="15" t="str">
        <f>IF(Regn!BK150&lt;&gt;0,Regn!BK150,"")</f>
        <v/>
      </c>
      <c r="AN150" s="33" t="str">
        <f>IF(Regn!$E150&gt;1,Regn!DP150,"")</f>
        <v/>
      </c>
      <c r="AO150" s="15" t="s">
        <v>201</v>
      </c>
      <c r="AQ150" s="38"/>
      <c r="AR150" s="15" t="s">
        <v>201</v>
      </c>
      <c r="AT150" s="55" t="str">
        <f>IF(Regn!$E150&gt;1,Regn!BN150,"")</f>
        <v/>
      </c>
      <c r="AU150" s="15" t="s">
        <v>188</v>
      </c>
      <c r="AW150" s="124"/>
      <c r="AX150" s="15" t="s">
        <v>188</v>
      </c>
      <c r="AZ150" s="25" t="str">
        <f>IF(Regn!$E150&gt;1,Regn!BS150,"")</f>
        <v/>
      </c>
      <c r="BA150" s="15" t="s">
        <v>188</v>
      </c>
      <c r="BC150" s="17"/>
      <c r="BD150" s="15" t="s">
        <v>188</v>
      </c>
      <c r="BF150" s="25" t="str">
        <f>IF(Regn!$E150&gt;1,Regn!BX150,"")</f>
        <v/>
      </c>
      <c r="BG150" s="15" t="s">
        <v>192</v>
      </c>
      <c r="BI150" s="16"/>
      <c r="BJ150" s="15" t="s">
        <v>192</v>
      </c>
      <c r="BO150" s="33" t="str">
        <f>IF(Regn!$E150&gt;1,Regn!CE150,"")</f>
        <v/>
      </c>
      <c r="BP150" s="15" t="s">
        <v>188</v>
      </c>
      <c r="BR150" s="38"/>
      <c r="BS150" s="15" t="s">
        <v>188</v>
      </c>
      <c r="BU150" s="15" t="str">
        <f>IF(Regn!$E150&lt;=1,"",VLOOKUP(Regn!$E150,Afgr,2))</f>
        <v/>
      </c>
      <c r="BW150" s="32" t="str">
        <f>IF(Regn!$E150&gt;1,Regn!Y150,"")</f>
        <v/>
      </c>
      <c r="BX150" s="15" t="s">
        <v>82</v>
      </c>
      <c r="BZ150" s="37"/>
      <c r="CA150" s="15" t="s">
        <v>82</v>
      </c>
      <c r="CC150" s="32" t="str">
        <f>IF(Regn!$E150&gt;1,Regn!S150,"")</f>
        <v/>
      </c>
      <c r="CD150" s="15" t="s">
        <v>82</v>
      </c>
      <c r="CF150" s="32" t="str">
        <f>IF(Regn!$E150&gt;1,Regn!U150,"")</f>
        <v/>
      </c>
      <c r="CG150" s="15" t="s">
        <v>82</v>
      </c>
      <c r="CI150" s="37"/>
      <c r="CJ150" s="15" t="s">
        <v>82</v>
      </c>
      <c r="CL150" s="32" t="str">
        <f>IF(Regn!$E150&gt;1,Regn!AS150,"")</f>
        <v/>
      </c>
      <c r="CM150" s="15" t="s">
        <v>82</v>
      </c>
      <c r="CO150" s="37"/>
      <c r="CP150" s="15" t="s">
        <v>82</v>
      </c>
      <c r="CR150" s="32" t="str">
        <f>IF(Regn!$E150&gt;1,UdnKrav,"")</f>
        <v/>
      </c>
      <c r="CS150" s="15" t="s">
        <v>205</v>
      </c>
      <c r="CU150" s="32" t="str">
        <f>IF(Regn!$E150&gt;1,Regn!AY150,"")</f>
        <v/>
      </c>
      <c r="CV150" s="15" t="s">
        <v>82</v>
      </c>
      <c r="CX150" s="15" t="str">
        <f>IF(Regn!$G150&lt;=1,"",VLOOKUP(Regn!$G150,Efgr,2))</f>
        <v/>
      </c>
      <c r="CZ150" s="25" t="str">
        <f>IF(Regn!$G150&gt;1,Regn!DC150,"")</f>
        <v/>
      </c>
      <c r="DA150" s="15" t="str">
        <f>IF(Regn!$G150&gt;1,Regn!DF150,"")</f>
        <v/>
      </c>
      <c r="DC150" s="16"/>
      <c r="DD150" s="15" t="str">
        <f>IF(Regn!$G150&gt;1,Regn!DF150,"")</f>
        <v/>
      </c>
      <c r="DJ150" s="25" t="str">
        <f>IF(Regn!$G150&gt;1,Regn!CL150,"")</f>
        <v/>
      </c>
      <c r="DK150" s="15" t="s">
        <v>82</v>
      </c>
      <c r="DM150" s="16"/>
      <c r="DN150" s="15" t="s">
        <v>82</v>
      </c>
      <c r="DP150" s="25" t="str">
        <f>IF(Regn!$G150&gt;1,Regn!CR150,"")</f>
        <v/>
      </c>
      <c r="DQ150" s="15" t="s">
        <v>82</v>
      </c>
      <c r="DS150" s="16"/>
      <c r="DT150" s="15" t="s">
        <v>82</v>
      </c>
      <c r="DV150" s="25" t="str">
        <f>IF(Regn!$G150&gt;1,UdnKrav,"")</f>
        <v/>
      </c>
      <c r="DW150" s="15" t="s">
        <v>205</v>
      </c>
      <c r="DY150" s="25" t="str">
        <f>IF(Regn!$G150&gt;1,Regn!CX150,"")</f>
        <v/>
      </c>
      <c r="DZ150" s="15" t="s">
        <v>82</v>
      </c>
      <c r="EB150" s="15" t="str">
        <f>IF(Regn!$E150&lt;=1,"",VLOOKUP(Regn!$E150,Afgr,2))</f>
        <v/>
      </c>
      <c r="ED150" s="25" t="str">
        <f>IF(Regn!$E150&gt;1,Regn!IB150,"")</f>
        <v/>
      </c>
      <c r="EE150" s="15" t="s">
        <v>188</v>
      </c>
      <c r="EG150" s="16"/>
      <c r="EH150" s="15" t="s">
        <v>188</v>
      </c>
      <c r="EJ150" s="25" t="str">
        <f>IF(Regn!$E150&gt;1,Regn!IX150,"")</f>
        <v/>
      </c>
      <c r="EK150" s="15" t="s">
        <v>188</v>
      </c>
      <c r="EM150" s="16"/>
      <c r="EN150" s="15" t="s">
        <v>188</v>
      </c>
      <c r="EP150" s="25" t="str">
        <f>IF(Regn!$E150&gt;1,Regn!JB150,"")</f>
        <v/>
      </c>
      <c r="EQ150" s="15" t="s">
        <v>188</v>
      </c>
      <c r="ES150" s="16"/>
      <c r="ET150" s="15" t="s">
        <v>188</v>
      </c>
      <c r="EV150" s="25" t="str">
        <f>IF(Regn!$E150&gt;1,Regn!JF150,"")</f>
        <v/>
      </c>
      <c r="EW150" s="15" t="s">
        <v>188</v>
      </c>
      <c r="EY150" s="16"/>
      <c r="EZ150" s="15" t="s">
        <v>188</v>
      </c>
      <c r="FB150" s="25" t="str">
        <f>IF(Regn!$E150&gt;1,Regn!JL150,"")</f>
        <v/>
      </c>
      <c r="FC150" s="15" t="s">
        <v>362</v>
      </c>
      <c r="FE150" s="16"/>
      <c r="FF150" s="15" t="s">
        <v>188</v>
      </c>
      <c r="FH150" s="25" t="str">
        <f>IF(Regn!$E150&gt;1,Regn!JY150,"")</f>
        <v/>
      </c>
      <c r="FI150" s="15" t="s">
        <v>188</v>
      </c>
      <c r="FK150" s="16"/>
      <c r="FL150" s="15" t="s">
        <v>188</v>
      </c>
      <c r="FN150" s="25" t="str">
        <f>IF(Regn!$E150&gt;1,Regn!KC150,"")</f>
        <v/>
      </c>
      <c r="FO150" s="15" t="s">
        <v>188</v>
      </c>
      <c r="FQ150" s="16"/>
      <c r="FR150" s="15" t="s">
        <v>188</v>
      </c>
      <c r="FT150" s="25" t="str">
        <f>IF(Regn!$E150&gt;1,Regn!KG150,"")</f>
        <v/>
      </c>
      <c r="FU150" s="15" t="s">
        <v>188</v>
      </c>
      <c r="FW150" s="16"/>
      <c r="FX150" s="15" t="s">
        <v>188</v>
      </c>
      <c r="FZ150" s="25" t="str">
        <f>IF(Regn!$E150&gt;1,Regn!KK150,"")</f>
        <v/>
      </c>
      <c r="GA150" s="15" t="s">
        <v>531</v>
      </c>
      <c r="GC150" s="16"/>
      <c r="GD150" s="15" t="s">
        <v>531</v>
      </c>
      <c r="GF150" s="25" t="str">
        <f>IF(Regn!$E150&gt;1,Regn!KM150,"")</f>
        <v/>
      </c>
      <c r="GG150" s="15" t="s">
        <v>188</v>
      </c>
      <c r="GI150" s="16"/>
      <c r="GJ150" s="15" t="s">
        <v>188</v>
      </c>
      <c r="GL150" s="25" t="str">
        <f>IF(Regn!$E150&gt;1,Regn!KT150,"")</f>
        <v/>
      </c>
      <c r="GM150" s="15" t="s">
        <v>188</v>
      </c>
      <c r="GO150" s="16"/>
      <c r="GP150" s="15" t="s">
        <v>405</v>
      </c>
      <c r="GR150" s="25" t="str">
        <f>IF(Regn!$E150&gt;1,Regn!KZ150,"")</f>
        <v/>
      </c>
      <c r="GS150" s="15" t="s">
        <v>188</v>
      </c>
      <c r="GU150" s="16"/>
      <c r="GV150" s="15" t="s">
        <v>188</v>
      </c>
      <c r="HA150" s="25" t="str">
        <f>IF(Regn!$E150&gt;1,Regn!LD150,"")</f>
        <v/>
      </c>
      <c r="HB150" s="15" t="s">
        <v>188</v>
      </c>
      <c r="HD150" s="16"/>
      <c r="HE150" s="15" t="s">
        <v>188</v>
      </c>
      <c r="HG150" s="15" t="str">
        <f>IF(Regn!$G150&lt;=1,"",VLOOKUP(Regn!$G150,Efgr,2))</f>
        <v/>
      </c>
      <c r="HI150" s="25" t="str">
        <f>IF(Regn!$G150&gt;1,Regn!LH150,"")</f>
        <v/>
      </c>
      <c r="HJ150" s="15" t="s">
        <v>188</v>
      </c>
      <c r="HL150" s="16"/>
      <c r="HM150" s="15" t="s">
        <v>188</v>
      </c>
      <c r="HO150" s="25" t="str">
        <f>IF(Regn!$G150&gt;1,Regn!MA150,"")</f>
        <v/>
      </c>
      <c r="HP150" s="15" t="s">
        <v>188</v>
      </c>
      <c r="HR150" s="16"/>
      <c r="HS150" s="15" t="s">
        <v>188</v>
      </c>
      <c r="HU150" s="25" t="str">
        <f>IF(Regn!$G150&gt;1,Regn!ME150,"")</f>
        <v/>
      </c>
      <c r="HV150" s="15" t="s">
        <v>188</v>
      </c>
      <c r="HX150" s="16"/>
      <c r="HY150" s="15" t="s">
        <v>188</v>
      </c>
      <c r="IA150" s="25" t="str">
        <f>IF(Regn!$G150&gt;1,Regn!MI150,"")</f>
        <v/>
      </c>
      <c r="IB150" s="15" t="s">
        <v>188</v>
      </c>
      <c r="ID150" s="16"/>
      <c r="IE150" s="15" t="s">
        <v>188</v>
      </c>
      <c r="IG150" s="25" t="str">
        <f>IF(Regn!$G150&gt;1,Regn!MO150,"")</f>
        <v/>
      </c>
      <c r="IH150" s="15" t="s">
        <v>188</v>
      </c>
      <c r="IJ150" s="16"/>
      <c r="IK150" s="15" t="s">
        <v>188</v>
      </c>
      <c r="IM150" s="25" t="str">
        <f>IF(Regn!$G150&gt;1,Regn!MS150,"")</f>
        <v/>
      </c>
      <c r="IN150" s="15" t="s">
        <v>188</v>
      </c>
      <c r="IP150" s="16"/>
      <c r="IQ150" s="15" t="s">
        <v>188</v>
      </c>
      <c r="IS150" s="25" t="str">
        <f>IF(Regn!$G150&gt;1,Regn!MW150,"")</f>
        <v/>
      </c>
      <c r="IT150" s="15" t="s">
        <v>188</v>
      </c>
      <c r="IV150" s="16"/>
      <c r="IW150" s="15" t="s">
        <v>188</v>
      </c>
      <c r="IY150" s="25" t="str">
        <f>IF(Regn!$G150&gt;1,Regn!NA150,"")</f>
        <v/>
      </c>
      <c r="IZ150" s="15" t="s">
        <v>531</v>
      </c>
      <c r="JB150" s="16"/>
      <c r="JC150" s="15" t="s">
        <v>531</v>
      </c>
      <c r="JE150" s="25" t="str">
        <f>IF(Regn!$G150&gt;1,Regn!NC150,"")</f>
        <v/>
      </c>
      <c r="JF150" s="15" t="s">
        <v>188</v>
      </c>
      <c r="JH150" s="16"/>
      <c r="JI150" s="15" t="s">
        <v>188</v>
      </c>
      <c r="JK150" s="25" t="str">
        <f>IF(Regn!$G150&gt;1,Regn!NI150,"")</f>
        <v/>
      </c>
      <c r="JL150" s="15" t="s">
        <v>188</v>
      </c>
      <c r="JN150" s="16"/>
      <c r="JO150" s="15" t="s">
        <v>188</v>
      </c>
      <c r="JQ150" s="25" t="str">
        <f>IF(Regn!$G150&gt;1,Regn!NM150,"")</f>
        <v/>
      </c>
      <c r="JR150" s="15" t="s">
        <v>188</v>
      </c>
      <c r="JT150" s="16"/>
      <c r="JU150" s="15" t="s">
        <v>188</v>
      </c>
    </row>
    <row r="151" spans="2:281" ht="12" customHeight="1" x14ac:dyDescent="0.25">
      <c r="B151" s="28"/>
      <c r="C151" s="133" t="str">
        <f>IF(OR(Regn!$B152&gt;1,Regn!$E150=1),"",VLOOKUP(Regn!$E150,Afgr,2))</f>
        <v/>
      </c>
      <c r="G151" s="134" t="str">
        <f>IF(OR(Regn!$C152&gt;1,Regn!$G150=1),"",VLOOKUP(Regn!$G150,Efgr,2))</f>
        <v/>
      </c>
    </row>
    <row r="152" spans="2:281" x14ac:dyDescent="0.25">
      <c r="B152" s="28">
        <v>8</v>
      </c>
      <c r="Z152" s="36"/>
      <c r="AA152" s="15" t="s">
        <v>85</v>
      </c>
      <c r="AC152" s="53">
        <f>Regn!M152</f>
        <v>0</v>
      </c>
      <c r="AD152" s="15" t="s">
        <v>85</v>
      </c>
      <c r="AF152" s="15" t="str">
        <f>IF(Regn!$E152&lt;=1,"",VLOOKUP(Regn!$E152,Afgr,2))</f>
        <v/>
      </c>
      <c r="AH152" s="55" t="str">
        <f>IF(Regn!$E152&gt;1,Regn!BH152,"")</f>
        <v/>
      </c>
      <c r="AI152" s="15" t="str">
        <f>IF(Regn!BK152&lt;&gt;0,Regn!BK152,"")</f>
        <v/>
      </c>
      <c r="AK152" s="16"/>
      <c r="AL152" s="15" t="str">
        <f>IF(Regn!BK152&lt;&gt;0,Regn!BK152,"")</f>
        <v/>
      </c>
      <c r="AN152" s="33" t="str">
        <f>IF(Regn!$E152&gt;1,Regn!DP152,"")</f>
        <v/>
      </c>
      <c r="AO152" s="15" t="s">
        <v>201</v>
      </c>
      <c r="AQ152" s="38"/>
      <c r="AR152" s="15" t="s">
        <v>201</v>
      </c>
      <c r="AT152" s="55" t="str">
        <f>IF(Regn!$E152&gt;1,Regn!BN152,"")</f>
        <v/>
      </c>
      <c r="AU152" s="15" t="s">
        <v>188</v>
      </c>
      <c r="AW152" s="124"/>
      <c r="AX152" s="15" t="s">
        <v>188</v>
      </c>
      <c r="AZ152" s="25" t="str">
        <f>IF(Regn!$E152&gt;1,Regn!BS152,"")</f>
        <v/>
      </c>
      <c r="BA152" s="15" t="s">
        <v>188</v>
      </c>
      <c r="BC152" s="17"/>
      <c r="BD152" s="15" t="s">
        <v>188</v>
      </c>
      <c r="BF152" s="25" t="str">
        <f>IF(Regn!$E152&gt;1,Regn!BX152,"")</f>
        <v/>
      </c>
      <c r="BG152" s="15" t="s">
        <v>192</v>
      </c>
      <c r="BI152" s="16"/>
      <c r="BJ152" s="15" t="s">
        <v>192</v>
      </c>
      <c r="BO152" s="33" t="str">
        <f>IF(Regn!$E152&gt;1,Regn!CE152,"")</f>
        <v/>
      </c>
      <c r="BP152" s="15" t="s">
        <v>188</v>
      </c>
      <c r="BR152" s="38"/>
      <c r="BS152" s="15" t="s">
        <v>188</v>
      </c>
      <c r="BU152" s="15" t="str">
        <f>IF(Regn!$E152&lt;=1,"",VLOOKUP(Regn!$E152,Afgr,2))</f>
        <v/>
      </c>
      <c r="BW152" s="32" t="str">
        <f>IF(Regn!$E152&gt;1,Regn!Y152,"")</f>
        <v/>
      </c>
      <c r="BX152" s="15" t="s">
        <v>82</v>
      </c>
      <c r="BZ152" s="37"/>
      <c r="CA152" s="15" t="s">
        <v>82</v>
      </c>
      <c r="CC152" s="32" t="str">
        <f>IF(Regn!$E152&gt;1,Regn!S152,"")</f>
        <v/>
      </c>
      <c r="CD152" s="15" t="s">
        <v>82</v>
      </c>
      <c r="CF152" s="32" t="str">
        <f>IF(Regn!$E152&gt;1,Regn!U152,"")</f>
        <v/>
      </c>
      <c r="CG152" s="15" t="s">
        <v>82</v>
      </c>
      <c r="CI152" s="37"/>
      <c r="CJ152" s="15" t="s">
        <v>82</v>
      </c>
      <c r="CL152" s="32" t="str">
        <f>IF(Regn!$E152&gt;1,Regn!AS152,"")</f>
        <v/>
      </c>
      <c r="CM152" s="15" t="s">
        <v>82</v>
      </c>
      <c r="CO152" s="37"/>
      <c r="CP152" s="15" t="s">
        <v>82</v>
      </c>
      <c r="CR152" s="32" t="str">
        <f>IF(Regn!$E152&gt;1,UdnKrav,"")</f>
        <v/>
      </c>
      <c r="CS152" s="15" t="s">
        <v>205</v>
      </c>
      <c r="CU152" s="32" t="str">
        <f>IF(Regn!$E152&gt;1,Regn!AY152,"")</f>
        <v/>
      </c>
      <c r="CV152" s="15" t="s">
        <v>82</v>
      </c>
      <c r="CX152" s="15" t="str">
        <f>IF(Regn!$G152&lt;=1,"",VLOOKUP(Regn!$G152,Efgr,2))</f>
        <v/>
      </c>
      <c r="CZ152" s="25" t="str">
        <f>IF(Regn!$G152&gt;1,Regn!DC152,"")</f>
        <v/>
      </c>
      <c r="DA152" s="15" t="str">
        <f>IF(Regn!$G152&gt;1,Regn!DF152,"")</f>
        <v/>
      </c>
      <c r="DC152" s="16"/>
      <c r="DD152" s="15" t="str">
        <f>IF(Regn!$G152&gt;1,Regn!DF152,"")</f>
        <v/>
      </c>
      <c r="DJ152" s="25" t="str">
        <f>IF(Regn!$G152&gt;1,Regn!CL152,"")</f>
        <v/>
      </c>
      <c r="DK152" s="15" t="s">
        <v>82</v>
      </c>
      <c r="DM152" s="16"/>
      <c r="DN152" s="15" t="s">
        <v>82</v>
      </c>
      <c r="DP152" s="25" t="str">
        <f>IF(Regn!$G152&gt;1,Regn!CR152,"")</f>
        <v/>
      </c>
      <c r="DQ152" s="15" t="s">
        <v>82</v>
      </c>
      <c r="DS152" s="16"/>
      <c r="DT152" s="15" t="s">
        <v>82</v>
      </c>
      <c r="DV152" s="25" t="str">
        <f>IF(Regn!$G152&gt;1,UdnKrav,"")</f>
        <v/>
      </c>
      <c r="DW152" s="15" t="s">
        <v>205</v>
      </c>
      <c r="DY152" s="25" t="str">
        <f>IF(Regn!$G152&gt;1,Regn!CX152,"")</f>
        <v/>
      </c>
      <c r="DZ152" s="15" t="s">
        <v>82</v>
      </c>
      <c r="EB152" s="15" t="str">
        <f>IF(Regn!$E152&lt;=1,"",VLOOKUP(Regn!$E152,Afgr,2))</f>
        <v/>
      </c>
      <c r="ED152" s="25" t="str">
        <f>IF(Regn!$E152&gt;1,Regn!IB152,"")</f>
        <v/>
      </c>
      <c r="EE152" s="15" t="s">
        <v>188</v>
      </c>
      <c r="EG152" s="16"/>
      <c r="EH152" s="15" t="s">
        <v>188</v>
      </c>
      <c r="EJ152" s="25" t="str">
        <f>IF(Regn!$E152&gt;1,Regn!IX152,"")</f>
        <v/>
      </c>
      <c r="EK152" s="15" t="s">
        <v>188</v>
      </c>
      <c r="EM152" s="16"/>
      <c r="EN152" s="15" t="s">
        <v>188</v>
      </c>
      <c r="EP152" s="25" t="str">
        <f>IF(Regn!$E152&gt;1,Regn!JB152,"")</f>
        <v/>
      </c>
      <c r="EQ152" s="15" t="s">
        <v>188</v>
      </c>
      <c r="ES152" s="16"/>
      <c r="ET152" s="15" t="s">
        <v>188</v>
      </c>
      <c r="EV152" s="25" t="str">
        <f>IF(Regn!$E152&gt;1,Regn!JF152,"")</f>
        <v/>
      </c>
      <c r="EW152" s="15" t="s">
        <v>188</v>
      </c>
      <c r="EY152" s="16"/>
      <c r="EZ152" s="15" t="s">
        <v>188</v>
      </c>
      <c r="FB152" s="25" t="str">
        <f>IF(Regn!$E152&gt;1,Regn!JL152,"")</f>
        <v/>
      </c>
      <c r="FC152" s="15" t="s">
        <v>362</v>
      </c>
      <c r="FE152" s="16"/>
      <c r="FF152" s="15" t="s">
        <v>188</v>
      </c>
      <c r="FH152" s="25" t="str">
        <f>IF(Regn!$E152&gt;1,Regn!JY152,"")</f>
        <v/>
      </c>
      <c r="FI152" s="15" t="s">
        <v>188</v>
      </c>
      <c r="FK152" s="16"/>
      <c r="FL152" s="15" t="s">
        <v>188</v>
      </c>
      <c r="FN152" s="25" t="str">
        <f>IF(Regn!$E152&gt;1,Regn!KC152,"")</f>
        <v/>
      </c>
      <c r="FO152" s="15" t="s">
        <v>188</v>
      </c>
      <c r="FQ152" s="16"/>
      <c r="FR152" s="15" t="s">
        <v>188</v>
      </c>
      <c r="FT152" s="25" t="str">
        <f>IF(Regn!$E152&gt;1,Regn!KG152,"")</f>
        <v/>
      </c>
      <c r="FU152" s="15" t="s">
        <v>188</v>
      </c>
      <c r="FW152" s="16"/>
      <c r="FX152" s="15" t="s">
        <v>188</v>
      </c>
      <c r="FZ152" s="25" t="str">
        <f>IF(Regn!$E152&gt;1,Regn!KK152,"")</f>
        <v/>
      </c>
      <c r="GA152" s="15" t="s">
        <v>531</v>
      </c>
      <c r="GC152" s="16"/>
      <c r="GD152" s="15" t="s">
        <v>531</v>
      </c>
      <c r="GF152" s="25" t="str">
        <f>IF(Regn!$E152&gt;1,Regn!KM152,"")</f>
        <v/>
      </c>
      <c r="GG152" s="15" t="s">
        <v>188</v>
      </c>
      <c r="GI152" s="16"/>
      <c r="GJ152" s="15" t="s">
        <v>188</v>
      </c>
      <c r="GL152" s="25" t="str">
        <f>IF(Regn!$E152&gt;1,Regn!KT152,"")</f>
        <v/>
      </c>
      <c r="GM152" s="15" t="s">
        <v>188</v>
      </c>
      <c r="GO152" s="16"/>
      <c r="GP152" s="15" t="s">
        <v>405</v>
      </c>
      <c r="GR152" s="25" t="str">
        <f>IF(Regn!$E152&gt;1,Regn!KZ152,"")</f>
        <v/>
      </c>
      <c r="GS152" s="15" t="s">
        <v>188</v>
      </c>
      <c r="GU152" s="16"/>
      <c r="GV152" s="15" t="s">
        <v>188</v>
      </c>
      <c r="HA152" s="25" t="str">
        <f>IF(Regn!$E152&gt;1,Regn!LD152,"")</f>
        <v/>
      </c>
      <c r="HB152" s="15" t="s">
        <v>188</v>
      </c>
      <c r="HD152" s="16"/>
      <c r="HE152" s="15" t="s">
        <v>188</v>
      </c>
      <c r="HG152" s="15" t="str">
        <f>IF(Regn!$G152&lt;=1,"",VLOOKUP(Regn!$G152,Efgr,2))</f>
        <v/>
      </c>
      <c r="HI152" s="25" t="str">
        <f>IF(Regn!$G152&gt;1,Regn!LH152,"")</f>
        <v/>
      </c>
      <c r="HJ152" s="15" t="s">
        <v>188</v>
      </c>
      <c r="HL152" s="16"/>
      <c r="HM152" s="15" t="s">
        <v>188</v>
      </c>
      <c r="HO152" s="25" t="str">
        <f>IF(Regn!$G152&gt;1,Regn!MA152,"")</f>
        <v/>
      </c>
      <c r="HP152" s="15" t="s">
        <v>188</v>
      </c>
      <c r="HR152" s="16"/>
      <c r="HS152" s="15" t="s">
        <v>188</v>
      </c>
      <c r="HU152" s="25" t="str">
        <f>IF(Regn!$G152&gt;1,Regn!ME152,"")</f>
        <v/>
      </c>
      <c r="HV152" s="15" t="s">
        <v>188</v>
      </c>
      <c r="HX152" s="16"/>
      <c r="HY152" s="15" t="s">
        <v>188</v>
      </c>
      <c r="IA152" s="25" t="str">
        <f>IF(Regn!$G152&gt;1,Regn!MI152,"")</f>
        <v/>
      </c>
      <c r="IB152" s="15" t="s">
        <v>188</v>
      </c>
      <c r="ID152" s="16"/>
      <c r="IE152" s="15" t="s">
        <v>188</v>
      </c>
      <c r="IG152" s="25" t="str">
        <f>IF(Regn!$G152&gt;1,Regn!MO152,"")</f>
        <v/>
      </c>
      <c r="IH152" s="15" t="s">
        <v>188</v>
      </c>
      <c r="IJ152" s="16"/>
      <c r="IK152" s="15" t="s">
        <v>188</v>
      </c>
      <c r="IM152" s="25" t="str">
        <f>IF(Regn!$G152&gt;1,Regn!MS152,"")</f>
        <v/>
      </c>
      <c r="IN152" s="15" t="s">
        <v>188</v>
      </c>
      <c r="IP152" s="16"/>
      <c r="IQ152" s="15" t="s">
        <v>188</v>
      </c>
      <c r="IS152" s="25" t="str">
        <f>IF(Regn!$G152&gt;1,Regn!MW152,"")</f>
        <v/>
      </c>
      <c r="IT152" s="15" t="s">
        <v>188</v>
      </c>
      <c r="IV152" s="16"/>
      <c r="IW152" s="15" t="s">
        <v>188</v>
      </c>
      <c r="IY152" s="25" t="str">
        <f>IF(Regn!$G152&gt;1,Regn!NA152,"")</f>
        <v/>
      </c>
      <c r="IZ152" s="15" t="s">
        <v>531</v>
      </c>
      <c r="JB152" s="16"/>
      <c r="JC152" s="15" t="s">
        <v>531</v>
      </c>
      <c r="JE152" s="25" t="str">
        <f>IF(Regn!$G152&gt;1,Regn!NC152,"")</f>
        <v/>
      </c>
      <c r="JF152" s="15" t="s">
        <v>188</v>
      </c>
      <c r="JH152" s="16"/>
      <c r="JI152" s="15" t="s">
        <v>188</v>
      </c>
      <c r="JK152" s="25" t="str">
        <f>IF(Regn!$G152&gt;1,Regn!NI152,"")</f>
        <v/>
      </c>
      <c r="JL152" s="15" t="s">
        <v>188</v>
      </c>
      <c r="JN152" s="16"/>
      <c r="JO152" s="15" t="s">
        <v>188</v>
      </c>
      <c r="JQ152" s="25" t="str">
        <f>IF(Regn!$G152&gt;1,Regn!NM152,"")</f>
        <v/>
      </c>
      <c r="JR152" s="15" t="s">
        <v>188</v>
      </c>
      <c r="JT152" s="16"/>
      <c r="JU152" s="15" t="s">
        <v>188</v>
      </c>
    </row>
    <row r="154" spans="2:281" x14ac:dyDescent="0.25">
      <c r="C154" s="26" t="s">
        <v>1821</v>
      </c>
      <c r="Z154" s="146">
        <f>Regn!N154</f>
        <v>0</v>
      </c>
      <c r="AA154" s="147" t="s">
        <v>85</v>
      </c>
      <c r="AB154" s="147"/>
      <c r="AC154" s="146">
        <f>DyrkAreal4</f>
        <v>0</v>
      </c>
      <c r="AD154" s="147" t="s">
        <v>85</v>
      </c>
    </row>
    <row r="155" spans="2:281" ht="8.1" customHeight="1" x14ac:dyDescent="0.25"/>
    <row r="156" spans="2:281" x14ac:dyDescent="0.25">
      <c r="C156" s="15" t="s">
        <v>1284</v>
      </c>
      <c r="K156" s="29">
        <f>DyrkAreal34</f>
        <v>0</v>
      </c>
      <c r="L156" s="15" t="s">
        <v>85</v>
      </c>
    </row>
    <row r="157" spans="2:281" x14ac:dyDescent="0.25">
      <c r="C157" s="15" t="s">
        <v>473</v>
      </c>
      <c r="K157" s="29">
        <f>Harmoniareal34</f>
        <v>0</v>
      </c>
      <c r="L157" s="15" t="s">
        <v>85</v>
      </c>
    </row>
    <row r="158" spans="2:281" x14ac:dyDescent="0.25">
      <c r="C158" s="42" t="s">
        <v>468</v>
      </c>
      <c r="K158" s="33" t="str">
        <f>IF(ISERROR(HdgDEIaltKorr34/Harmoniareal34),"",HdgDEIaltKorr34/Harmoniareal34)</f>
        <v/>
      </c>
      <c r="L158" s="15" t="s">
        <v>139</v>
      </c>
      <c r="O158" s="15" t="s">
        <v>1672</v>
      </c>
      <c r="V158" s="15">
        <f>DEAfsatEkstra34</f>
        <v>0</v>
      </c>
      <c r="W158" s="15" t="s">
        <v>1469</v>
      </c>
    </row>
    <row r="159" spans="2:281" x14ac:dyDescent="0.25">
      <c r="C159" s="15" t="s">
        <v>1144</v>
      </c>
      <c r="K159" s="29">
        <f>EfgrGrundareal34</f>
        <v>0</v>
      </c>
      <c r="L159" s="15" t="s">
        <v>85</v>
      </c>
    </row>
    <row r="160" spans="2:281" x14ac:dyDescent="0.25">
      <c r="C160" s="15" t="s">
        <v>1285</v>
      </c>
      <c r="H160" s="15">
        <f>IF(Regler34=1,EfgrKrav2010IaltPct34,EfgrKravIaltPct34)</f>
        <v>0</v>
      </c>
      <c r="I160" s="15" t="s">
        <v>205</v>
      </c>
      <c r="K160" s="29">
        <f>IF(Regler34=1,EfgrKrav2010Ialtha34,EfgrKravIaltHa34)</f>
        <v>0</v>
      </c>
      <c r="L160" s="15" t="s">
        <v>85</v>
      </c>
    </row>
    <row r="161" spans="3:77" x14ac:dyDescent="0.25">
      <c r="C161" s="15" t="s">
        <v>1349</v>
      </c>
      <c r="K161" s="29">
        <f>EfgrEkstraKvoteTillaeg34</f>
        <v>0</v>
      </c>
      <c r="L161" s="15" t="s">
        <v>85</v>
      </c>
    </row>
    <row r="162" spans="3:77" x14ac:dyDescent="0.25">
      <c r="C162" s="15" t="s">
        <v>1418</v>
      </c>
      <c r="H162" s="29">
        <f>IF(ISERROR(Randzonekrav34*100/DyrkAreal34),0,Randzonekrav34*100/DyrkAreal34)</f>
        <v>0</v>
      </c>
      <c r="I162" s="15" t="s">
        <v>205</v>
      </c>
      <c r="K162" s="29">
        <f>Randzonekrav34</f>
        <v>0</v>
      </c>
      <c r="L162" s="15" t="s">
        <v>85</v>
      </c>
    </row>
    <row r="164" spans="3:77" x14ac:dyDescent="0.25">
      <c r="C164" s="26" t="s">
        <v>1294</v>
      </c>
      <c r="D164" s="26"/>
      <c r="E164" s="26"/>
      <c r="F164" s="26"/>
      <c r="G164" s="26"/>
      <c r="H164" s="26"/>
      <c r="I164" s="26"/>
      <c r="J164" s="26"/>
      <c r="K164" s="26" t="s">
        <v>1148</v>
      </c>
      <c r="L164" s="26"/>
      <c r="M164" s="26"/>
      <c r="N164" s="26" t="s">
        <v>1842</v>
      </c>
      <c r="O164" s="26"/>
      <c r="P164" s="26"/>
      <c r="Q164" s="26"/>
      <c r="R164" s="74" t="s">
        <v>1311</v>
      </c>
    </row>
    <row r="165" spans="3:77" x14ac:dyDescent="0.25">
      <c r="C165" s="15" t="s">
        <v>78</v>
      </c>
      <c r="K165" s="29">
        <f>EfgrArealFf34</f>
        <v>0</v>
      </c>
      <c r="L165" s="15" t="s">
        <v>85</v>
      </c>
      <c r="N165" s="29">
        <f>EfgrAreal34</f>
        <v>0</v>
      </c>
      <c r="O165" s="15" t="s">
        <v>85</v>
      </c>
      <c r="Q165" s="29">
        <f>N165</f>
        <v>0</v>
      </c>
      <c r="R165" s="15" t="s">
        <v>85</v>
      </c>
    </row>
    <row r="166" spans="3:77" x14ac:dyDescent="0.25">
      <c r="C166" s="15" t="s">
        <v>1351</v>
      </c>
      <c r="K166" s="29">
        <f>EfgrArealFrivillig34</f>
        <v>0</v>
      </c>
      <c r="L166" s="15" t="s">
        <v>85</v>
      </c>
    </row>
    <row r="167" spans="3:77" x14ac:dyDescent="0.25">
      <c r="C167" s="15" t="s">
        <v>1295</v>
      </c>
      <c r="K167" s="29">
        <f>MellemafgrArealFf34</f>
        <v>0</v>
      </c>
      <c r="L167" s="15" t="s">
        <v>85</v>
      </c>
      <c r="N167" s="29">
        <f>MellemafgrAreal34</f>
        <v>0</v>
      </c>
      <c r="O167" s="15" t="s">
        <v>85</v>
      </c>
      <c r="Q167" s="29">
        <f>N167*Efgrkonst</f>
        <v>0</v>
      </c>
      <c r="R167" s="15" t="s">
        <v>85</v>
      </c>
    </row>
    <row r="168" spans="3:77" x14ac:dyDescent="0.25">
      <c r="C168" s="15" t="s">
        <v>1296</v>
      </c>
      <c r="K168" s="29">
        <f>EnergiafgrArealFf34</f>
        <v>0</v>
      </c>
      <c r="L168" s="15" t="s">
        <v>85</v>
      </c>
      <c r="N168" s="29">
        <f>EnergiafgrAreal34</f>
        <v>0</v>
      </c>
      <c r="O168" s="15" t="s">
        <v>85</v>
      </c>
      <c r="Q168" s="29">
        <f>N168*Mlafgrkonst</f>
        <v>0</v>
      </c>
      <c r="R168" s="15" t="s">
        <v>85</v>
      </c>
    </row>
    <row r="169" spans="3:77" x14ac:dyDescent="0.25">
      <c r="C169" s="15" t="s">
        <v>1297</v>
      </c>
      <c r="K169" s="29">
        <f>EfgrOverfort34</f>
        <v>0</v>
      </c>
      <c r="L169" s="15" t="s">
        <v>85</v>
      </c>
      <c r="N169" s="29">
        <f>EfgrOverfort34</f>
        <v>0</v>
      </c>
      <c r="O169" s="15" t="s">
        <v>85</v>
      </c>
      <c r="Q169" s="29">
        <f>EfgrOverfort34</f>
        <v>0</v>
      </c>
      <c r="R169" s="15" t="s">
        <v>85</v>
      </c>
    </row>
    <row r="170" spans="3:77" x14ac:dyDescent="0.25">
      <c r="C170" s="15" t="s">
        <v>1841</v>
      </c>
      <c r="G170" s="266"/>
      <c r="H170" s="262"/>
      <c r="J170" s="266"/>
      <c r="K170" s="262"/>
      <c r="M170" s="266">
        <f>IF(NnormIalt34&lt;NnormTilpasIalt34,0,-(NnormIalt34-NnormTilpasIalt34))</f>
        <v>0</v>
      </c>
      <c r="N170" s="266"/>
      <c r="O170" s="15" t="s">
        <v>82</v>
      </c>
      <c r="Q170" s="29">
        <f>IF(NnormIalt34&lt;NnormTilpasIalt34,0,(NnormIalt34-NnormTilpasIalt34)/KvoteredukHa34)</f>
        <v>0</v>
      </c>
      <c r="R170" s="15" t="s">
        <v>85</v>
      </c>
    </row>
    <row r="172" spans="3:77" x14ac:dyDescent="0.25">
      <c r="C172" s="15" t="s">
        <v>1169</v>
      </c>
      <c r="H172" s="15">
        <f>IF(ISERROR(Randzoneareal34*100/DyrkAreal34),0,Randzoneareal34*100/DyrkAreal34)</f>
        <v>0</v>
      </c>
      <c r="I172" s="15" t="s">
        <v>205</v>
      </c>
      <c r="K172" s="15">
        <f>Randzoneareal34</f>
        <v>0</v>
      </c>
      <c r="L172" s="15" t="s">
        <v>85</v>
      </c>
    </row>
    <row r="173" spans="3:77" x14ac:dyDescent="0.25">
      <c r="C173" s="15" t="s">
        <v>1170</v>
      </c>
      <c r="K173" s="15">
        <f>Vadomradeareal34</f>
        <v>0</v>
      </c>
      <c r="L173" s="15" t="s">
        <v>85</v>
      </c>
    </row>
    <row r="175" spans="3:77" x14ac:dyDescent="0.25">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row>
    <row r="176" spans="3:77" ht="19.5" thickBot="1" x14ac:dyDescent="0.35">
      <c r="C176" s="105" t="s">
        <v>1729</v>
      </c>
      <c r="D176" s="106"/>
      <c r="E176" s="106"/>
      <c r="F176" s="106"/>
      <c r="G176" s="106"/>
      <c r="H176" s="106"/>
      <c r="I176" s="106"/>
      <c r="J176" s="106"/>
      <c r="K176" s="106"/>
      <c r="L176" s="106"/>
      <c r="M176" s="106"/>
      <c r="N176" s="106"/>
      <c r="O176" s="106"/>
      <c r="P176" s="106"/>
      <c r="Q176" s="106"/>
      <c r="R176" s="106"/>
      <c r="S176" s="106"/>
      <c r="T176" s="106"/>
      <c r="U176" s="106"/>
      <c r="V176" s="106"/>
      <c r="W176" s="106"/>
      <c r="X176" s="106"/>
      <c r="Y176" s="106"/>
      <c r="Z176" s="106"/>
      <c r="AA176" s="106"/>
      <c r="AB176" s="106"/>
      <c r="AC176" s="106"/>
      <c r="AD176" s="106"/>
      <c r="AE176" s="106"/>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row>
    <row r="178" spans="3:18" x14ac:dyDescent="0.25">
      <c r="C178" s="15" t="s">
        <v>1939</v>
      </c>
    </row>
    <row r="179" spans="3:18" ht="8.1" customHeight="1" x14ac:dyDescent="0.25"/>
    <row r="180" spans="3:18" x14ac:dyDescent="0.25">
      <c r="C180" s="15" t="s">
        <v>1666</v>
      </c>
      <c r="K180" s="15">
        <f>HdgDEIalt</f>
        <v>0</v>
      </c>
      <c r="L180" s="15" t="s">
        <v>1469</v>
      </c>
      <c r="N180" s="15" t="s">
        <v>1661</v>
      </c>
      <c r="Q180" s="53">
        <f>K180/VLOOKUP(HdgDyreart,HdgType,7)</f>
        <v>0</v>
      </c>
      <c r="R180" s="15" t="s">
        <v>1662</v>
      </c>
    </row>
    <row r="181" spans="3:18" ht="8.1" customHeight="1" x14ac:dyDescent="0.25"/>
    <row r="182" spans="3:18" x14ac:dyDescent="0.25">
      <c r="C182" s="15" t="s">
        <v>1706</v>
      </c>
      <c r="K182" s="53">
        <f>Harmoniareal12</f>
        <v>1</v>
      </c>
      <c r="L182" s="15" t="s">
        <v>85</v>
      </c>
      <c r="N182" s="15" t="s">
        <v>1664</v>
      </c>
      <c r="Q182" s="15">
        <f>K182*VLOOKUP(HdgDyreart,HdgType,7)</f>
        <v>1.4</v>
      </c>
      <c r="R182" s="15" t="s">
        <v>1665</v>
      </c>
    </row>
    <row r="183" spans="3:18" ht="8.1" customHeight="1" x14ac:dyDescent="0.25"/>
    <row r="184" spans="3:18" x14ac:dyDescent="0.25">
      <c r="C184" s="15" t="s">
        <v>1707</v>
      </c>
      <c r="K184" s="53">
        <f>Harmoniareal34</f>
        <v>0</v>
      </c>
      <c r="L184" s="15" t="s">
        <v>85</v>
      </c>
      <c r="N184" s="15" t="s">
        <v>1664</v>
      </c>
      <c r="Q184" s="15">
        <f>K184*VLOOKUP(HdgDyreart,HdgType,7)</f>
        <v>0</v>
      </c>
      <c r="R184" s="15" t="s">
        <v>1665</v>
      </c>
    </row>
    <row r="185" spans="3:18" ht="8.1" customHeight="1" x14ac:dyDescent="0.25"/>
    <row r="186" spans="3:18" x14ac:dyDescent="0.25">
      <c r="C186" s="15" t="s">
        <v>1704</v>
      </c>
      <c r="K186" s="15">
        <f>IF(Q182&gt;$K180,0,$K180-Q182)</f>
        <v>0</v>
      </c>
      <c r="L186" s="15" t="s">
        <v>1469</v>
      </c>
      <c r="N186" s="15" t="s">
        <v>1661</v>
      </c>
      <c r="Q186" s="53">
        <f>K186/VLOOKUP(HdgDyreart,HdgType,7)</f>
        <v>0</v>
      </c>
      <c r="R186" s="15" t="s">
        <v>1667</v>
      </c>
    </row>
    <row r="187" spans="3:18" ht="8.1" customHeight="1" x14ac:dyDescent="0.25"/>
    <row r="188" spans="3:18" x14ac:dyDescent="0.25">
      <c r="C188" s="15" t="s">
        <v>1705</v>
      </c>
      <c r="K188" s="15">
        <f>IF(Q184&gt;$K180,0,$K180-Q184)</f>
        <v>0</v>
      </c>
      <c r="L188" s="15" t="s">
        <v>1469</v>
      </c>
      <c r="N188" s="15" t="s">
        <v>1661</v>
      </c>
      <c r="Q188" s="53">
        <f>K188/VLOOKUP(HdgDyreart,HdgType,7)</f>
        <v>0</v>
      </c>
      <c r="R188" s="15" t="s">
        <v>1667</v>
      </c>
    </row>
    <row r="190" spans="3:18" x14ac:dyDescent="0.25">
      <c r="C190" s="26" t="s">
        <v>1698</v>
      </c>
    </row>
    <row r="191" spans="3:18" ht="8.1" customHeight="1" x14ac:dyDescent="0.25"/>
    <row r="192" spans="3:18" x14ac:dyDescent="0.25">
      <c r="C192" s="15" t="s">
        <v>1671</v>
      </c>
      <c r="K192" s="16"/>
      <c r="L192" s="15" t="s">
        <v>1847</v>
      </c>
    </row>
    <row r="193" spans="3:16" ht="8.1" customHeight="1" x14ac:dyDescent="0.25"/>
    <row r="194" spans="3:16" x14ac:dyDescent="0.25">
      <c r="C194" s="15" t="s">
        <v>1668</v>
      </c>
      <c r="K194" s="25">
        <f>IF(ISERROR(ResulEftVarMask12/DyrkAreal12),"",ResulEftVarMask12/DyrkAreal12)</f>
        <v>6973.3857142857141</v>
      </c>
      <c r="L194" s="15" t="s">
        <v>1847</v>
      </c>
      <c r="M194" s="32"/>
      <c r="N194" s="16"/>
      <c r="O194" s="15" t="s">
        <v>1847</v>
      </c>
    </row>
    <row r="195" spans="3:16" ht="8.1" customHeight="1" x14ac:dyDescent="0.25">
      <c r="K195" s="25"/>
      <c r="O195" s="125"/>
    </row>
    <row r="196" spans="3:16" x14ac:dyDescent="0.25">
      <c r="C196" s="15" t="s">
        <v>1846</v>
      </c>
      <c r="K196" s="25">
        <f>IF(ISERROR(-K192+IF(N194&lt;&gt;"",N194,K194)),"",-K192+IF(N194&lt;&gt;"",N194,K194))</f>
        <v>6973.3857142857141</v>
      </c>
      <c r="L196" s="15" t="s">
        <v>1847</v>
      </c>
      <c r="O196" s="125"/>
    </row>
    <row r="197" spans="3:16" ht="8.1" customHeight="1" x14ac:dyDescent="0.25"/>
    <row r="198" spans="3:16" hidden="1" x14ac:dyDescent="0.25">
      <c r="C198" s="15" t="s">
        <v>1699</v>
      </c>
      <c r="K198" s="17"/>
      <c r="L198" s="15" t="s">
        <v>1669</v>
      </c>
    </row>
    <row r="199" spans="3:16" ht="8.1" hidden="1" customHeight="1" x14ac:dyDescent="0.25">
      <c r="K199" s="18"/>
      <c r="N199" s="56"/>
      <c r="O199" s="56"/>
    </row>
    <row r="200" spans="3:16" hidden="1" x14ac:dyDescent="0.25">
      <c r="C200" s="15" t="s">
        <v>1683</v>
      </c>
      <c r="J200" s="278">
        <f>IF(DEEkstraHa12&lt;1,0,-K198*2*(10+DEEkstraHa12*0.5)*TranspMarkPris)</f>
        <v>0</v>
      </c>
      <c r="K200" s="267"/>
      <c r="L200" s="15" t="s">
        <v>1670</v>
      </c>
      <c r="N200" s="15" t="s">
        <v>1696</v>
      </c>
    </row>
    <row r="201" spans="3:16" ht="8.1" hidden="1" customHeight="1" x14ac:dyDescent="0.25">
      <c r="K201" s="18"/>
      <c r="N201" s="56"/>
      <c r="O201" s="56"/>
    </row>
    <row r="202" spans="3:16" hidden="1" x14ac:dyDescent="0.25">
      <c r="C202" s="15" t="s">
        <v>1685</v>
      </c>
      <c r="J202" s="278">
        <f>IF(DEEkstraHa34&lt;1,0,-K198*2*(10+DEEkstraHa34*0.5)*TranspMarkPris)</f>
        <v>0</v>
      </c>
      <c r="K202" s="267"/>
      <c r="L202" s="15" t="s">
        <v>1670</v>
      </c>
      <c r="N202" s="15" t="s">
        <v>1696</v>
      </c>
    </row>
    <row r="203" spans="3:16" ht="8.1" hidden="1" customHeight="1" x14ac:dyDescent="0.25"/>
    <row r="204" spans="3:16" x14ac:dyDescent="0.25">
      <c r="C204" s="15" t="s">
        <v>1702</v>
      </c>
      <c r="K204" s="29">
        <f>DEEkstraHa12</f>
        <v>0</v>
      </c>
      <c r="L204" s="15" t="s">
        <v>85</v>
      </c>
      <c r="N204" s="277">
        <f>IF(K192="",0,Q186*(IF($N$194&lt;&gt;"",$N$194,$K$194)-$K$192)+IF(Q186&gt;0,$J$200,0))</f>
        <v>0</v>
      </c>
      <c r="O204" s="277"/>
      <c r="P204" s="26" t="s">
        <v>188</v>
      </c>
    </row>
    <row r="205" spans="3:16" ht="8.1" customHeight="1" x14ac:dyDescent="0.25"/>
    <row r="206" spans="3:16" x14ac:dyDescent="0.25">
      <c r="C206" s="15" t="s">
        <v>1703</v>
      </c>
      <c r="K206" s="29">
        <f>DEEkstraHa34</f>
        <v>0</v>
      </c>
      <c r="L206" s="15" t="s">
        <v>85</v>
      </c>
      <c r="N206" s="277">
        <f>IF(K192="",0,Q188*(IF($N$194&lt;&gt;"",$N$194,$K$194)-$K$192)+IF(Q188&gt;0,$J$202,0))</f>
        <v>0</v>
      </c>
      <c r="O206" s="279"/>
      <c r="P206" s="26" t="s">
        <v>188</v>
      </c>
    </row>
    <row r="208" spans="3:16" x14ac:dyDescent="0.25">
      <c r="C208" s="26" t="s">
        <v>1697</v>
      </c>
    </row>
    <row r="209" spans="3:30" ht="8.1" customHeight="1" x14ac:dyDescent="0.25"/>
    <row r="210" spans="3:30" x14ac:dyDescent="0.25">
      <c r="C210" s="15" t="s">
        <v>1695</v>
      </c>
      <c r="H210" s="32">
        <f>TranspGylleTimepris</f>
        <v>750</v>
      </c>
      <c r="I210" s="15" t="s">
        <v>1692</v>
      </c>
      <c r="K210" s="17"/>
      <c r="L210" s="15" t="s">
        <v>1692</v>
      </c>
      <c r="O210" s="32">
        <f>TonPrLaes</f>
        <v>20</v>
      </c>
      <c r="P210" s="15" t="s">
        <v>1691</v>
      </c>
      <c r="R210" s="17"/>
      <c r="S210" s="15" t="s">
        <v>1691</v>
      </c>
      <c r="U210" s="32">
        <f>KmPrTime</f>
        <v>18</v>
      </c>
      <c r="V210" s="15" t="s">
        <v>1693</v>
      </c>
      <c r="X210" s="17"/>
      <c r="Y210" s="15" t="s">
        <v>1693</v>
      </c>
      <c r="AA210" s="274">
        <f>(IF(K210&lt;&gt;"",K210,H210)/IF(R210&lt;&gt;"",R210,O210)/IF(X210&lt;&gt;"",X210,U210))*2</f>
        <v>4.166666666666667</v>
      </c>
      <c r="AB210" s="275"/>
      <c r="AC210" s="26" t="s">
        <v>1694</v>
      </c>
      <c r="AD210" s="26"/>
    </row>
    <row r="211" spans="3:30" ht="8.1" customHeight="1" x14ac:dyDescent="0.25"/>
    <row r="212" spans="3:30" x14ac:dyDescent="0.25">
      <c r="C212" s="15" t="s">
        <v>1682</v>
      </c>
      <c r="K212" s="17"/>
      <c r="L212" s="15" t="s">
        <v>1669</v>
      </c>
    </row>
    <row r="213" spans="3:30" ht="8.1" customHeight="1" x14ac:dyDescent="0.25"/>
    <row r="214" spans="3:30" x14ac:dyDescent="0.25">
      <c r="C214" s="15" t="s">
        <v>1700</v>
      </c>
      <c r="K214" s="15">
        <f>DEAfsatEkstra12</f>
        <v>0</v>
      </c>
      <c r="L214" s="15" t="s">
        <v>1469</v>
      </c>
      <c r="N214" s="277">
        <f>-$K$212*VLOOKUP(HdgDyreart,HdgType,8)*TranspGyllePrisEgen*DEAfsatEkstra12</f>
        <v>0</v>
      </c>
      <c r="O214" s="277"/>
      <c r="P214" s="26" t="s">
        <v>188</v>
      </c>
    </row>
    <row r="215" spans="3:30" ht="8.1" customHeight="1" x14ac:dyDescent="0.25"/>
    <row r="216" spans="3:30" x14ac:dyDescent="0.25">
      <c r="C216" s="15" t="s">
        <v>1701</v>
      </c>
      <c r="K216" s="15">
        <f>DEAfsatEkstra34</f>
        <v>0</v>
      </c>
      <c r="L216" s="15" t="s">
        <v>1469</v>
      </c>
      <c r="N216" s="277">
        <f>-$K$212*VLOOKUP(HdgDyreart,HdgType,8)*TranspGyllePrisEgen*DEAfsatEkstra34</f>
        <v>0</v>
      </c>
      <c r="O216" s="277"/>
      <c r="P216" s="26" t="s">
        <v>188</v>
      </c>
    </row>
    <row r="217" spans="3:30" hidden="1" x14ac:dyDescent="0.25"/>
    <row r="218" spans="3:30" hidden="1" x14ac:dyDescent="0.25">
      <c r="C218" s="26" t="s">
        <v>1708</v>
      </c>
    </row>
    <row r="219" spans="3:30" ht="8.1" hidden="1" customHeight="1" x14ac:dyDescent="0.25"/>
    <row r="220" spans="3:30" hidden="1" x14ac:dyDescent="0.25">
      <c r="C220" s="15" t="s">
        <v>1709</v>
      </c>
      <c r="K220" s="54"/>
      <c r="L220" s="15" t="s">
        <v>1710</v>
      </c>
    </row>
    <row r="221" spans="3:30" ht="8.1" hidden="1" customHeight="1" x14ac:dyDescent="0.25"/>
    <row r="222" spans="3:30" hidden="1" x14ac:dyDescent="0.25">
      <c r="C222" s="15" t="s">
        <v>1711</v>
      </c>
      <c r="K222" s="15">
        <f>DEAfsatEkstra12</f>
        <v>0</v>
      </c>
      <c r="L222" s="15" t="s">
        <v>1469</v>
      </c>
      <c r="N222" s="277">
        <f>DEAfsatEkstra12*VLOOKUP(HdgDyreart,HdgType,8)*$K$220</f>
        <v>0</v>
      </c>
      <c r="O222" s="277"/>
      <c r="P222" s="26" t="s">
        <v>188</v>
      </c>
    </row>
    <row r="223" spans="3:30" ht="8.1" hidden="1" customHeight="1" x14ac:dyDescent="0.25">
      <c r="N223" s="26"/>
      <c r="O223" s="26"/>
      <c r="P223" s="26"/>
    </row>
    <row r="224" spans="3:30" hidden="1" x14ac:dyDescent="0.25">
      <c r="C224" s="15" t="s">
        <v>1712</v>
      </c>
      <c r="K224" s="15">
        <f>DEAfsatEkstra34</f>
        <v>0</v>
      </c>
      <c r="L224" s="15" t="s">
        <v>1469</v>
      </c>
      <c r="N224" s="277">
        <f>DEAfsatEkstra34*VLOOKUP(HdgDyreart,HdgType,8)*$K$220</f>
        <v>0</v>
      </c>
      <c r="O224" s="277"/>
      <c r="P224" s="26" t="s">
        <v>188</v>
      </c>
    </row>
    <row r="225" spans="3:77" ht="15.75" thickBot="1" x14ac:dyDescent="0.3">
      <c r="C225" s="106"/>
      <c r="D225" s="106"/>
      <c r="E225" s="106"/>
      <c r="F225" s="106"/>
      <c r="G225" s="106"/>
      <c r="H225" s="106"/>
      <c r="I225" s="106"/>
      <c r="J225" s="106"/>
      <c r="K225" s="106"/>
      <c r="L225" s="106"/>
      <c r="M225" s="106"/>
      <c r="N225" s="106"/>
      <c r="O225" s="106"/>
      <c r="P225" s="106"/>
      <c r="Q225" s="106"/>
      <c r="R225" s="106"/>
      <c r="S225" s="106"/>
      <c r="T225" s="106"/>
      <c r="U225" s="106"/>
      <c r="V225" s="106"/>
      <c r="W225" s="106"/>
      <c r="X225" s="106"/>
      <c r="Y225" s="106"/>
      <c r="Z225" s="106"/>
      <c r="AA225" s="106"/>
      <c r="AB225" s="106"/>
      <c r="AC225" s="106"/>
      <c r="AD225" s="106"/>
      <c r="AE225" s="106"/>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row>
  </sheetData>
  <mergeCells count="124">
    <mergeCell ref="AA210:AB210"/>
    <mergeCell ref="A32:B32"/>
    <mergeCell ref="N224:O224"/>
    <mergeCell ref="N214:O214"/>
    <mergeCell ref="N216:O216"/>
    <mergeCell ref="J200:K200"/>
    <mergeCell ref="J202:K202"/>
    <mergeCell ref="N222:O222"/>
    <mergeCell ref="N206:O206"/>
    <mergeCell ref="N204:O204"/>
    <mergeCell ref="E95:I95"/>
    <mergeCell ref="J88:K88"/>
    <mergeCell ref="G88:H88"/>
    <mergeCell ref="C114:F114"/>
    <mergeCell ref="C136:F136"/>
    <mergeCell ref="G114:J114"/>
    <mergeCell ref="T107:U107"/>
    <mergeCell ref="Q32:T32"/>
    <mergeCell ref="U32:X32"/>
    <mergeCell ref="Q54:T54"/>
    <mergeCell ref="M54:P54"/>
    <mergeCell ref="M114:P114"/>
    <mergeCell ref="N95:P95"/>
    <mergeCell ref="M32:P32"/>
    <mergeCell ref="CR54:CS54"/>
    <mergeCell ref="CU54:CV54"/>
    <mergeCell ref="BL54:BM54"/>
    <mergeCell ref="DP54:DR54"/>
    <mergeCell ref="BW54:BZ54"/>
    <mergeCell ref="GR32:GV32"/>
    <mergeCell ref="JK32:JO32"/>
    <mergeCell ref="JQ54:JU54"/>
    <mergeCell ref="DY54:DZ54"/>
    <mergeCell ref="DF54:DH54"/>
    <mergeCell ref="EV54:EZ54"/>
    <mergeCell ref="GL54:GP54"/>
    <mergeCell ref="GR54:GV54"/>
    <mergeCell ref="JK54:JO54"/>
    <mergeCell ref="DV54:DW54"/>
    <mergeCell ref="CC54:CD54"/>
    <mergeCell ref="JQ32:JU32"/>
    <mergeCell ref="E5:I5"/>
    <mergeCell ref="M5:P5"/>
    <mergeCell ref="E13:I13"/>
    <mergeCell ref="DV32:DW32"/>
    <mergeCell ref="DY32:DZ32"/>
    <mergeCell ref="DF32:DH32"/>
    <mergeCell ref="EV32:EZ32"/>
    <mergeCell ref="GL32:GP32"/>
    <mergeCell ref="CR32:CS32"/>
    <mergeCell ref="CU32:CV32"/>
    <mergeCell ref="BL32:BM32"/>
    <mergeCell ref="DP32:DR32"/>
    <mergeCell ref="BW32:BZ32"/>
    <mergeCell ref="CL32:CO32"/>
    <mergeCell ref="CI32:CJ32"/>
    <mergeCell ref="CC32:CD32"/>
    <mergeCell ref="CF32:CG32"/>
    <mergeCell ref="N13:P13"/>
    <mergeCell ref="C32:F32"/>
    <mergeCell ref="G32:J32"/>
    <mergeCell ref="AC32:AD32"/>
    <mergeCell ref="Q15:U15"/>
    <mergeCell ref="Q17:U17"/>
    <mergeCell ref="T25:U25"/>
    <mergeCell ref="JQ114:JU114"/>
    <mergeCell ref="BL114:BM114"/>
    <mergeCell ref="DP114:DR114"/>
    <mergeCell ref="DV114:DW114"/>
    <mergeCell ref="DY114:DZ114"/>
    <mergeCell ref="DF114:DH114"/>
    <mergeCell ref="EV114:EZ114"/>
    <mergeCell ref="GL114:GP114"/>
    <mergeCell ref="GR114:GV114"/>
    <mergeCell ref="JK114:JO114"/>
    <mergeCell ref="CF114:CG114"/>
    <mergeCell ref="CI114:CJ114"/>
    <mergeCell ref="CR114:CS114"/>
    <mergeCell ref="CU114:CV114"/>
    <mergeCell ref="CC114:CD114"/>
    <mergeCell ref="GL136:GP136"/>
    <mergeCell ref="GR136:GV136"/>
    <mergeCell ref="JK136:JO136"/>
    <mergeCell ref="CC136:CD136"/>
    <mergeCell ref="CF136:CG136"/>
    <mergeCell ref="JQ136:JU136"/>
    <mergeCell ref="G170:H170"/>
    <mergeCell ref="J170:K170"/>
    <mergeCell ref="DP136:DR136"/>
    <mergeCell ref="DV136:DW136"/>
    <mergeCell ref="DY136:DZ136"/>
    <mergeCell ref="DF136:DH136"/>
    <mergeCell ref="EV136:EZ136"/>
    <mergeCell ref="CI136:CJ136"/>
    <mergeCell ref="CR136:CS136"/>
    <mergeCell ref="CU136:CV136"/>
    <mergeCell ref="BL136:BM136"/>
    <mergeCell ref="G136:J136"/>
    <mergeCell ref="M170:N170"/>
    <mergeCell ref="M136:P136"/>
    <mergeCell ref="M30:N30"/>
    <mergeCell ref="M52:N52"/>
    <mergeCell ref="C54:F54"/>
    <mergeCell ref="G54:J54"/>
    <mergeCell ref="BW114:BZ114"/>
    <mergeCell ref="BW136:BZ136"/>
    <mergeCell ref="CL54:CO54"/>
    <mergeCell ref="CL114:CO114"/>
    <mergeCell ref="CL136:CO136"/>
    <mergeCell ref="Q114:T114"/>
    <mergeCell ref="Q136:T136"/>
    <mergeCell ref="U54:X54"/>
    <mergeCell ref="U114:X114"/>
    <mergeCell ref="U136:X136"/>
    <mergeCell ref="AC54:AD54"/>
    <mergeCell ref="AC114:AD114"/>
    <mergeCell ref="AC136:AD136"/>
    <mergeCell ref="M112:N112"/>
    <mergeCell ref="M134:N134"/>
    <mergeCell ref="M88:N88"/>
    <mergeCell ref="CF54:CG54"/>
    <mergeCell ref="CI54:CJ54"/>
    <mergeCell ref="Q97:U97"/>
    <mergeCell ref="Q99:U99"/>
  </mergeCells>
  <conditionalFormatting sqref="CC34">
    <cfRule type="expression" dxfId="1450" priority="1147" stopIfTrue="1">
      <formula>CI34&lt;&gt;""</formula>
    </cfRule>
  </conditionalFormatting>
  <conditionalFormatting sqref="CD34">
    <cfRule type="expression" dxfId="1449" priority="1146" stopIfTrue="1">
      <formula>CI34&lt;&gt;""</formula>
    </cfRule>
  </conditionalFormatting>
  <conditionalFormatting sqref="AI34 M194">
    <cfRule type="expression" dxfId="1448" priority="1143" stopIfTrue="1">
      <formula>O34&lt;&gt;""</formula>
    </cfRule>
  </conditionalFormatting>
  <conditionalFormatting sqref="AT34">
    <cfRule type="expression" dxfId="1447" priority="1142" stopIfTrue="1">
      <formula>AW34&lt;&gt;""</formula>
    </cfRule>
  </conditionalFormatting>
  <conditionalFormatting sqref="AU34">
    <cfRule type="expression" dxfId="1446" priority="1141" stopIfTrue="1">
      <formula>AW34&lt;&gt;""</formula>
    </cfRule>
  </conditionalFormatting>
  <conditionalFormatting sqref="BF34">
    <cfRule type="expression" dxfId="1445" priority="1140" stopIfTrue="1">
      <formula>BI34&lt;&gt;""</formula>
    </cfRule>
  </conditionalFormatting>
  <conditionalFormatting sqref="BG34">
    <cfRule type="expression" dxfId="1444" priority="1139" stopIfTrue="1">
      <formula>BI34&lt;&gt;""</formula>
    </cfRule>
  </conditionalFormatting>
  <conditionalFormatting sqref="BO34">
    <cfRule type="expression" dxfId="1443" priority="1138" stopIfTrue="1">
      <formula>BR34&lt;&gt;""</formula>
    </cfRule>
  </conditionalFormatting>
  <conditionalFormatting sqref="BP34">
    <cfRule type="expression" dxfId="1442" priority="1137" stopIfTrue="1">
      <formula>BR34&lt;&gt;""</formula>
    </cfRule>
  </conditionalFormatting>
  <conditionalFormatting sqref="AN34">
    <cfRule type="expression" dxfId="1441" priority="1136" stopIfTrue="1">
      <formula>AQ34&lt;&gt;""</formula>
    </cfRule>
  </conditionalFormatting>
  <conditionalFormatting sqref="AO34">
    <cfRule type="expression" dxfId="1440" priority="1135" stopIfTrue="1">
      <formula>AQ34&lt;&gt;""</formula>
    </cfRule>
  </conditionalFormatting>
  <conditionalFormatting sqref="CZ34">
    <cfRule type="expression" dxfId="1439" priority="1134" stopIfTrue="1">
      <formula>DC34&lt;&gt;""</formula>
    </cfRule>
  </conditionalFormatting>
  <conditionalFormatting sqref="DA34">
    <cfRule type="expression" dxfId="1438" priority="1133" stopIfTrue="1">
      <formula>DC34&lt;&gt;""</formula>
    </cfRule>
  </conditionalFormatting>
  <conditionalFormatting sqref="ED34">
    <cfRule type="expression" dxfId="1437" priority="1132" stopIfTrue="1">
      <formula>EG34&lt;&gt;""</formula>
    </cfRule>
  </conditionalFormatting>
  <conditionalFormatting sqref="EE34">
    <cfRule type="expression" dxfId="1436" priority="1131" stopIfTrue="1">
      <formula>EG34&lt;&gt;""</formula>
    </cfRule>
  </conditionalFormatting>
  <conditionalFormatting sqref="EP34">
    <cfRule type="expression" dxfId="1435" priority="1130" stopIfTrue="1">
      <formula>ES34&lt;&gt;""</formula>
    </cfRule>
  </conditionalFormatting>
  <conditionalFormatting sqref="EQ34">
    <cfRule type="expression" dxfId="1434" priority="1129" stopIfTrue="1">
      <formula>ES34&lt;&gt;""</formula>
    </cfRule>
  </conditionalFormatting>
  <conditionalFormatting sqref="EV34">
    <cfRule type="expression" dxfId="1433" priority="1128" stopIfTrue="1">
      <formula>EY34&lt;&gt;""</formula>
    </cfRule>
  </conditionalFormatting>
  <conditionalFormatting sqref="EW34">
    <cfRule type="expression" dxfId="1432" priority="1127" stopIfTrue="1">
      <formula>EY34&lt;&gt;""</formula>
    </cfRule>
  </conditionalFormatting>
  <conditionalFormatting sqref="HI34">
    <cfRule type="expression" dxfId="1431" priority="1126" stopIfTrue="1">
      <formula>HL34&lt;&gt;""</formula>
    </cfRule>
  </conditionalFormatting>
  <conditionalFormatting sqref="HJ34">
    <cfRule type="expression" dxfId="1430" priority="1125" stopIfTrue="1">
      <formula>HL34&lt;&gt;""</formula>
    </cfRule>
  </conditionalFormatting>
  <conditionalFormatting sqref="DJ34">
    <cfRule type="expression" dxfId="1429" priority="1124" stopIfTrue="1">
      <formula>DM34&lt;&gt;""</formula>
    </cfRule>
  </conditionalFormatting>
  <conditionalFormatting sqref="DK34">
    <cfRule type="expression" dxfId="1428" priority="1123" stopIfTrue="1">
      <formula>DM34&lt;&gt;""</formula>
    </cfRule>
  </conditionalFormatting>
  <conditionalFormatting sqref="DP34">
    <cfRule type="expression" dxfId="1427" priority="1122" stopIfTrue="1">
      <formula>DS34&lt;&gt;""</formula>
    </cfRule>
  </conditionalFormatting>
  <conditionalFormatting sqref="DQ34">
    <cfRule type="expression" dxfId="1426" priority="1121" stopIfTrue="1">
      <formula>DS34&lt;&gt;""</formula>
    </cfRule>
  </conditionalFormatting>
  <conditionalFormatting sqref="CZ34">
    <cfRule type="expression" dxfId="1425" priority="1120" stopIfTrue="1">
      <formula>DC34&lt;&gt;""</formula>
    </cfRule>
  </conditionalFormatting>
  <conditionalFormatting sqref="DA34">
    <cfRule type="expression" dxfId="1424" priority="1119" stopIfTrue="1">
      <formula>DC34&lt;&gt;""</formula>
    </cfRule>
  </conditionalFormatting>
  <conditionalFormatting sqref="ED34 EJ34 EP34 EV34 FB34 FH34 FN34 FT34 FZ34 GF34 GL34 GR34 HA34 HI34 HO34 HU34 IA34 IG34 IM34 IS34 IY34 JE34 JK34 JQ34">
    <cfRule type="expression" dxfId="1423" priority="1118" stopIfTrue="1">
      <formula>EG34&lt;&gt;""</formula>
    </cfRule>
  </conditionalFormatting>
  <conditionalFormatting sqref="EE34 EK34 EQ34 EW34 FC34 FI34 FO34 FU34 GA34 GG34 GM34 GS34 HB34 HJ34 HP34 HV34 IB34 IH34 IN34 IT34 IZ34 JF34 JL34 JR34">
    <cfRule type="expression" dxfId="1422" priority="1117" stopIfTrue="1">
      <formula>EG34&lt;&gt;""</formula>
    </cfRule>
  </conditionalFormatting>
  <conditionalFormatting sqref="AZ34">
    <cfRule type="expression" dxfId="1421" priority="1116" stopIfTrue="1">
      <formula>BC34&lt;&gt;""</formula>
    </cfRule>
  </conditionalFormatting>
  <conditionalFormatting sqref="BA34">
    <cfRule type="expression" dxfId="1420" priority="1115" stopIfTrue="1">
      <formula>BC34&lt;&gt;""</formula>
    </cfRule>
  </conditionalFormatting>
  <conditionalFormatting sqref="CF34">
    <cfRule type="expression" dxfId="1419" priority="1113" stopIfTrue="1">
      <formula>CI34&lt;&gt;""</formula>
    </cfRule>
  </conditionalFormatting>
  <conditionalFormatting sqref="CG34">
    <cfRule type="expression" dxfId="1418" priority="1112" stopIfTrue="1">
      <formula>CI34&lt;&gt;""</formula>
    </cfRule>
  </conditionalFormatting>
  <conditionalFormatting sqref="CC36">
    <cfRule type="expression" dxfId="1417" priority="1111" stopIfTrue="1">
      <formula>CI36&lt;&gt;""</formula>
    </cfRule>
  </conditionalFormatting>
  <conditionalFormatting sqref="CD36">
    <cfRule type="expression" dxfId="1416" priority="1110" stopIfTrue="1">
      <formula>CI36&lt;&gt;""</formula>
    </cfRule>
  </conditionalFormatting>
  <conditionalFormatting sqref="AI36">
    <cfRule type="expression" dxfId="1415" priority="1108" stopIfTrue="1">
      <formula>AK36&lt;&gt;""</formula>
    </cfRule>
  </conditionalFormatting>
  <conditionalFormatting sqref="AT36">
    <cfRule type="expression" dxfId="1414" priority="1107" stopIfTrue="1">
      <formula>AW36&lt;&gt;""</formula>
    </cfRule>
  </conditionalFormatting>
  <conditionalFormatting sqref="AU36">
    <cfRule type="expression" dxfId="1413" priority="1106" stopIfTrue="1">
      <formula>AW36&lt;&gt;""</formula>
    </cfRule>
  </conditionalFormatting>
  <conditionalFormatting sqref="BF36">
    <cfRule type="expression" dxfId="1412" priority="1105" stopIfTrue="1">
      <formula>BI36&lt;&gt;""</formula>
    </cfRule>
  </conditionalFormatting>
  <conditionalFormatting sqref="BG36">
    <cfRule type="expression" dxfId="1411" priority="1104" stopIfTrue="1">
      <formula>BI36&lt;&gt;""</formula>
    </cfRule>
  </conditionalFormatting>
  <conditionalFormatting sqref="BO36">
    <cfRule type="expression" dxfId="1410" priority="1103" stopIfTrue="1">
      <formula>BR36&lt;&gt;""</formula>
    </cfRule>
  </conditionalFormatting>
  <conditionalFormatting sqref="BP36">
    <cfRule type="expression" dxfId="1409" priority="1102" stopIfTrue="1">
      <formula>BR36&lt;&gt;""</formula>
    </cfRule>
  </conditionalFormatting>
  <conditionalFormatting sqref="AN36">
    <cfRule type="expression" dxfId="1408" priority="1101" stopIfTrue="1">
      <formula>AQ36&lt;&gt;""</formula>
    </cfRule>
  </conditionalFormatting>
  <conditionalFormatting sqref="AO36">
    <cfRule type="expression" dxfId="1407" priority="1100" stopIfTrue="1">
      <formula>AQ36&lt;&gt;""</formula>
    </cfRule>
  </conditionalFormatting>
  <conditionalFormatting sqref="CZ36">
    <cfRule type="expression" dxfId="1406" priority="1099" stopIfTrue="1">
      <formula>DC36&lt;&gt;""</formula>
    </cfRule>
  </conditionalFormatting>
  <conditionalFormatting sqref="DA36">
    <cfRule type="expression" dxfId="1405" priority="1098" stopIfTrue="1">
      <formula>DC36&lt;&gt;""</formula>
    </cfRule>
  </conditionalFormatting>
  <conditionalFormatting sqref="ED36">
    <cfRule type="expression" dxfId="1404" priority="1097" stopIfTrue="1">
      <formula>EG36&lt;&gt;""</formula>
    </cfRule>
  </conditionalFormatting>
  <conditionalFormatting sqref="EE36">
    <cfRule type="expression" dxfId="1403" priority="1096" stopIfTrue="1">
      <formula>EG36&lt;&gt;""</formula>
    </cfRule>
  </conditionalFormatting>
  <conditionalFormatting sqref="EP36">
    <cfRule type="expression" dxfId="1402" priority="1095" stopIfTrue="1">
      <formula>ES36&lt;&gt;""</formula>
    </cfRule>
  </conditionalFormatting>
  <conditionalFormatting sqref="EQ36">
    <cfRule type="expression" dxfId="1401" priority="1094" stopIfTrue="1">
      <formula>ES36&lt;&gt;""</formula>
    </cfRule>
  </conditionalFormatting>
  <conditionalFormatting sqref="EV36">
    <cfRule type="expression" dxfId="1400" priority="1093" stopIfTrue="1">
      <formula>EY36&lt;&gt;""</formula>
    </cfRule>
  </conditionalFormatting>
  <conditionalFormatting sqref="EW36">
    <cfRule type="expression" dxfId="1399" priority="1092" stopIfTrue="1">
      <formula>EY36&lt;&gt;""</formula>
    </cfRule>
  </conditionalFormatting>
  <conditionalFormatting sqref="HI36">
    <cfRule type="expression" dxfId="1398" priority="1091" stopIfTrue="1">
      <formula>HL36&lt;&gt;""</formula>
    </cfRule>
  </conditionalFormatting>
  <conditionalFormatting sqref="HJ36">
    <cfRule type="expression" dxfId="1397" priority="1090" stopIfTrue="1">
      <formula>HL36&lt;&gt;""</formula>
    </cfRule>
  </conditionalFormatting>
  <conditionalFormatting sqref="DJ36">
    <cfRule type="expression" dxfId="1396" priority="1089" stopIfTrue="1">
      <formula>DM36&lt;&gt;""</formula>
    </cfRule>
  </conditionalFormatting>
  <conditionalFormatting sqref="DK36">
    <cfRule type="expression" dxfId="1395" priority="1088" stopIfTrue="1">
      <formula>DM36&lt;&gt;""</formula>
    </cfRule>
  </conditionalFormatting>
  <conditionalFormatting sqref="DP36">
    <cfRule type="expression" dxfId="1394" priority="1087" stopIfTrue="1">
      <formula>DS36&lt;&gt;""</formula>
    </cfRule>
  </conditionalFormatting>
  <conditionalFormatting sqref="DQ36">
    <cfRule type="expression" dxfId="1393" priority="1086" stopIfTrue="1">
      <formula>DS36&lt;&gt;""</formula>
    </cfRule>
  </conditionalFormatting>
  <conditionalFormatting sqref="CZ36">
    <cfRule type="expression" dxfId="1392" priority="1085" stopIfTrue="1">
      <formula>DC36&lt;&gt;""</formula>
    </cfRule>
  </conditionalFormatting>
  <conditionalFormatting sqref="DA36">
    <cfRule type="expression" dxfId="1391" priority="1084" stopIfTrue="1">
      <formula>DC36&lt;&gt;""</formula>
    </cfRule>
  </conditionalFormatting>
  <conditionalFormatting sqref="ED36 EJ36 EP36 EV36 FB36 FH36 FN36 FT36 FZ36 GF36 GL36 GR36 HA36 HI36 HO36 HU36 IA36 IG36 IM36 IS36 IY36 JE36 JK36 JQ36">
    <cfRule type="expression" dxfId="1390" priority="1083" stopIfTrue="1">
      <formula>EG36&lt;&gt;""</formula>
    </cfRule>
  </conditionalFormatting>
  <conditionalFormatting sqref="EE36 EK36 EQ36 EW36 FC36 FI36 FO36 FU36 GA36 GG36 GM36 GS36 HB36 HJ36 HP36 HV36 IB36 IH36 IN36 IT36 IZ36 JF36 JL36 JR36">
    <cfRule type="expression" dxfId="1389" priority="1082" stopIfTrue="1">
      <formula>EG36&lt;&gt;""</formula>
    </cfRule>
  </conditionalFormatting>
  <conditionalFormatting sqref="AZ36">
    <cfRule type="expression" dxfId="1388" priority="1081" stopIfTrue="1">
      <formula>BC36&lt;&gt;""</formula>
    </cfRule>
  </conditionalFormatting>
  <conditionalFormatting sqref="BA36">
    <cfRule type="expression" dxfId="1387" priority="1080" stopIfTrue="1">
      <formula>BC36&lt;&gt;""</formula>
    </cfRule>
  </conditionalFormatting>
  <conditionalFormatting sqref="CF36">
    <cfRule type="expression" dxfId="1386" priority="1079" stopIfTrue="1">
      <formula>CI36&lt;&gt;""</formula>
    </cfRule>
  </conditionalFormatting>
  <conditionalFormatting sqref="CG36">
    <cfRule type="expression" dxfId="1385" priority="1078" stopIfTrue="1">
      <formula>CI36&lt;&gt;""</formula>
    </cfRule>
  </conditionalFormatting>
  <conditionalFormatting sqref="CC38">
    <cfRule type="expression" dxfId="1384" priority="1077" stopIfTrue="1">
      <formula>CI38&lt;&gt;""</formula>
    </cfRule>
  </conditionalFormatting>
  <conditionalFormatting sqref="CD38">
    <cfRule type="expression" dxfId="1383" priority="1076" stopIfTrue="1">
      <formula>CI38&lt;&gt;""</formula>
    </cfRule>
  </conditionalFormatting>
  <conditionalFormatting sqref="AI38">
    <cfRule type="expression" dxfId="1382" priority="1074" stopIfTrue="1">
      <formula>AK38&lt;&gt;""</formula>
    </cfRule>
  </conditionalFormatting>
  <conditionalFormatting sqref="AT38">
    <cfRule type="expression" dxfId="1381" priority="1073" stopIfTrue="1">
      <formula>AW38&lt;&gt;""</formula>
    </cfRule>
  </conditionalFormatting>
  <conditionalFormatting sqref="AU38">
    <cfRule type="expression" dxfId="1380" priority="1072" stopIfTrue="1">
      <formula>AW38&lt;&gt;""</formula>
    </cfRule>
  </conditionalFormatting>
  <conditionalFormatting sqref="BF38">
    <cfRule type="expression" dxfId="1379" priority="1071" stopIfTrue="1">
      <formula>BI38&lt;&gt;""</formula>
    </cfRule>
  </conditionalFormatting>
  <conditionalFormatting sqref="BG38">
    <cfRule type="expression" dxfId="1378" priority="1070" stopIfTrue="1">
      <formula>BI38&lt;&gt;""</formula>
    </cfRule>
  </conditionalFormatting>
  <conditionalFormatting sqref="BO38">
    <cfRule type="expression" dxfId="1377" priority="1069" stopIfTrue="1">
      <formula>BR38&lt;&gt;""</formula>
    </cfRule>
  </conditionalFormatting>
  <conditionalFormatting sqref="BP38">
    <cfRule type="expression" dxfId="1376" priority="1068" stopIfTrue="1">
      <formula>BR38&lt;&gt;""</formula>
    </cfRule>
  </conditionalFormatting>
  <conditionalFormatting sqref="AN38">
    <cfRule type="expression" dxfId="1375" priority="1067" stopIfTrue="1">
      <formula>AQ38&lt;&gt;""</formula>
    </cfRule>
  </conditionalFormatting>
  <conditionalFormatting sqref="AO38">
    <cfRule type="expression" dxfId="1374" priority="1066" stopIfTrue="1">
      <formula>AQ38&lt;&gt;""</formula>
    </cfRule>
  </conditionalFormatting>
  <conditionalFormatting sqref="CZ38">
    <cfRule type="expression" dxfId="1373" priority="1065" stopIfTrue="1">
      <formula>DC38&lt;&gt;""</formula>
    </cfRule>
  </conditionalFormatting>
  <conditionalFormatting sqref="DA38">
    <cfRule type="expression" dxfId="1372" priority="1064" stopIfTrue="1">
      <formula>DC38&lt;&gt;""</formula>
    </cfRule>
  </conditionalFormatting>
  <conditionalFormatting sqref="ED38">
    <cfRule type="expression" dxfId="1371" priority="1063" stopIfTrue="1">
      <formula>EG38&lt;&gt;""</formula>
    </cfRule>
  </conditionalFormatting>
  <conditionalFormatting sqref="EE38">
    <cfRule type="expression" dxfId="1370" priority="1062" stopIfTrue="1">
      <formula>EG38&lt;&gt;""</formula>
    </cfRule>
  </conditionalFormatting>
  <conditionalFormatting sqref="EP38">
    <cfRule type="expression" dxfId="1369" priority="1061" stopIfTrue="1">
      <formula>ES38&lt;&gt;""</formula>
    </cfRule>
  </conditionalFormatting>
  <conditionalFormatting sqref="EQ38">
    <cfRule type="expression" dxfId="1368" priority="1060" stopIfTrue="1">
      <formula>ES38&lt;&gt;""</formula>
    </cfRule>
  </conditionalFormatting>
  <conditionalFormatting sqref="EV38">
    <cfRule type="expression" dxfId="1367" priority="1059" stopIfTrue="1">
      <formula>EY38&lt;&gt;""</formula>
    </cfRule>
  </conditionalFormatting>
  <conditionalFormatting sqref="EW38">
    <cfRule type="expression" dxfId="1366" priority="1058" stopIfTrue="1">
      <formula>EY38&lt;&gt;""</formula>
    </cfRule>
  </conditionalFormatting>
  <conditionalFormatting sqref="HI38">
    <cfRule type="expression" dxfId="1365" priority="1057" stopIfTrue="1">
      <formula>HL38&lt;&gt;""</formula>
    </cfRule>
  </conditionalFormatting>
  <conditionalFormatting sqref="HJ38">
    <cfRule type="expression" dxfId="1364" priority="1056" stopIfTrue="1">
      <formula>HL38&lt;&gt;""</formula>
    </cfRule>
  </conditionalFormatting>
  <conditionalFormatting sqref="DJ38">
    <cfRule type="expression" dxfId="1363" priority="1055" stopIfTrue="1">
      <formula>DM38&lt;&gt;""</formula>
    </cfRule>
  </conditionalFormatting>
  <conditionalFormatting sqref="DK38">
    <cfRule type="expression" dxfId="1362" priority="1054" stopIfTrue="1">
      <formula>DM38&lt;&gt;""</formula>
    </cfRule>
  </conditionalFormatting>
  <conditionalFormatting sqref="DP38">
    <cfRule type="expression" dxfId="1361" priority="1053" stopIfTrue="1">
      <formula>DS38&lt;&gt;""</formula>
    </cfRule>
  </conditionalFormatting>
  <conditionalFormatting sqref="DQ38">
    <cfRule type="expression" dxfId="1360" priority="1052" stopIfTrue="1">
      <formula>DS38&lt;&gt;""</formula>
    </cfRule>
  </conditionalFormatting>
  <conditionalFormatting sqref="CZ38">
    <cfRule type="expression" dxfId="1359" priority="1051" stopIfTrue="1">
      <formula>DC38&lt;&gt;""</formula>
    </cfRule>
  </conditionalFormatting>
  <conditionalFormatting sqref="DA38">
    <cfRule type="expression" dxfId="1358" priority="1050" stopIfTrue="1">
      <formula>DC38&lt;&gt;""</formula>
    </cfRule>
  </conditionalFormatting>
  <conditionalFormatting sqref="ED38 EJ38 EP38 EV38 FB38 FH38 FN38 FT38 FZ38 GF38 GL38 GR38 HA38 HI38 HO38 HU38 IA38 IG38 IM38 IS38 IY38 JE38 JK38 JQ38">
    <cfRule type="expression" dxfId="1357" priority="1049" stopIfTrue="1">
      <formula>EG38&lt;&gt;""</formula>
    </cfRule>
  </conditionalFormatting>
  <conditionalFormatting sqref="EE38 EK38 EQ38 EW38 FC38 FI38 FO38 FU38 GA38 GG38 GM38 GS38 HB38 HJ38 HP38 HV38 IB38 IH38 IN38 IT38 IZ38 JF38 JL38 JR38">
    <cfRule type="expression" dxfId="1356" priority="1048" stopIfTrue="1">
      <formula>EG38&lt;&gt;""</formula>
    </cfRule>
  </conditionalFormatting>
  <conditionalFormatting sqref="AZ38">
    <cfRule type="expression" dxfId="1355" priority="1047" stopIfTrue="1">
      <formula>BC38&lt;&gt;""</formula>
    </cfRule>
  </conditionalFormatting>
  <conditionalFormatting sqref="BA38">
    <cfRule type="expression" dxfId="1354" priority="1046" stopIfTrue="1">
      <formula>BC38&lt;&gt;""</formula>
    </cfRule>
  </conditionalFormatting>
  <conditionalFormatting sqref="CF38">
    <cfRule type="expression" dxfId="1353" priority="1045" stopIfTrue="1">
      <formula>CI38&lt;&gt;""</formula>
    </cfRule>
  </conditionalFormatting>
  <conditionalFormatting sqref="CG38">
    <cfRule type="expression" dxfId="1352" priority="1044" stopIfTrue="1">
      <formula>CI38&lt;&gt;""</formula>
    </cfRule>
  </conditionalFormatting>
  <conditionalFormatting sqref="CC40">
    <cfRule type="expression" dxfId="1351" priority="1043" stopIfTrue="1">
      <formula>CI40&lt;&gt;""</formula>
    </cfRule>
  </conditionalFormatting>
  <conditionalFormatting sqref="CD40">
    <cfRule type="expression" dxfId="1350" priority="1042" stopIfTrue="1">
      <formula>CI40&lt;&gt;""</formula>
    </cfRule>
  </conditionalFormatting>
  <conditionalFormatting sqref="AI40">
    <cfRule type="expression" dxfId="1349" priority="1040" stopIfTrue="1">
      <formula>AK40&lt;&gt;""</formula>
    </cfRule>
  </conditionalFormatting>
  <conditionalFormatting sqref="AT40">
    <cfRule type="expression" dxfId="1348" priority="1039" stopIfTrue="1">
      <formula>AW40&lt;&gt;""</formula>
    </cfRule>
  </conditionalFormatting>
  <conditionalFormatting sqref="AU40">
    <cfRule type="expression" dxfId="1347" priority="1038" stopIfTrue="1">
      <formula>AW40&lt;&gt;""</formula>
    </cfRule>
  </conditionalFormatting>
  <conditionalFormatting sqref="BF40">
    <cfRule type="expression" dxfId="1346" priority="1037" stopIfTrue="1">
      <formula>BI40&lt;&gt;""</formula>
    </cfRule>
  </conditionalFormatting>
  <conditionalFormatting sqref="BG40">
    <cfRule type="expression" dxfId="1345" priority="1036" stopIfTrue="1">
      <formula>BI40&lt;&gt;""</formula>
    </cfRule>
  </conditionalFormatting>
  <conditionalFormatting sqref="BO40">
    <cfRule type="expression" dxfId="1344" priority="1035" stopIfTrue="1">
      <formula>BR40&lt;&gt;""</formula>
    </cfRule>
  </conditionalFormatting>
  <conditionalFormatting sqref="BP40">
    <cfRule type="expression" dxfId="1343" priority="1034" stopIfTrue="1">
      <formula>BR40&lt;&gt;""</formula>
    </cfRule>
  </conditionalFormatting>
  <conditionalFormatting sqref="AN40">
    <cfRule type="expression" dxfId="1342" priority="1033" stopIfTrue="1">
      <formula>AQ40&lt;&gt;""</formula>
    </cfRule>
  </conditionalFormatting>
  <conditionalFormatting sqref="AO40">
    <cfRule type="expression" dxfId="1341" priority="1032" stopIfTrue="1">
      <formula>AQ40&lt;&gt;""</formula>
    </cfRule>
  </conditionalFormatting>
  <conditionalFormatting sqref="CZ40">
    <cfRule type="expression" dxfId="1340" priority="1031" stopIfTrue="1">
      <formula>DC40&lt;&gt;""</formula>
    </cfRule>
  </conditionalFormatting>
  <conditionalFormatting sqref="DA40">
    <cfRule type="expression" dxfId="1339" priority="1030" stopIfTrue="1">
      <formula>DC40&lt;&gt;""</formula>
    </cfRule>
  </conditionalFormatting>
  <conditionalFormatting sqref="ED40">
    <cfRule type="expression" dxfId="1338" priority="1029" stopIfTrue="1">
      <formula>EG40&lt;&gt;""</formula>
    </cfRule>
  </conditionalFormatting>
  <conditionalFormatting sqref="EE40">
    <cfRule type="expression" dxfId="1337" priority="1028" stopIfTrue="1">
      <formula>EG40&lt;&gt;""</formula>
    </cfRule>
  </conditionalFormatting>
  <conditionalFormatting sqref="EP40">
    <cfRule type="expression" dxfId="1336" priority="1027" stopIfTrue="1">
      <formula>ES40&lt;&gt;""</formula>
    </cfRule>
  </conditionalFormatting>
  <conditionalFormatting sqref="EQ40">
    <cfRule type="expression" dxfId="1335" priority="1026" stopIfTrue="1">
      <formula>ES40&lt;&gt;""</formula>
    </cfRule>
  </conditionalFormatting>
  <conditionalFormatting sqref="EV40">
    <cfRule type="expression" dxfId="1334" priority="1025" stopIfTrue="1">
      <formula>EY40&lt;&gt;""</formula>
    </cfRule>
  </conditionalFormatting>
  <conditionalFormatting sqref="EW40">
    <cfRule type="expression" dxfId="1333" priority="1024" stopIfTrue="1">
      <formula>EY40&lt;&gt;""</formula>
    </cfRule>
  </conditionalFormatting>
  <conditionalFormatting sqref="HI40">
    <cfRule type="expression" dxfId="1332" priority="1023" stopIfTrue="1">
      <formula>HL40&lt;&gt;""</formula>
    </cfRule>
  </conditionalFormatting>
  <conditionalFormatting sqref="HJ40">
    <cfRule type="expression" dxfId="1331" priority="1022" stopIfTrue="1">
      <formula>HL40&lt;&gt;""</formula>
    </cfRule>
  </conditionalFormatting>
  <conditionalFormatting sqref="DJ40">
    <cfRule type="expression" dxfId="1330" priority="1021" stopIfTrue="1">
      <formula>DM40&lt;&gt;""</formula>
    </cfRule>
  </conditionalFormatting>
  <conditionalFormatting sqref="DK40">
    <cfRule type="expression" dxfId="1329" priority="1020" stopIfTrue="1">
      <formula>DM40&lt;&gt;""</formula>
    </cfRule>
  </conditionalFormatting>
  <conditionalFormatting sqref="DP40">
    <cfRule type="expression" dxfId="1328" priority="1019" stopIfTrue="1">
      <formula>DS40&lt;&gt;""</formula>
    </cfRule>
  </conditionalFormatting>
  <conditionalFormatting sqref="DQ40">
    <cfRule type="expression" dxfId="1327" priority="1018" stopIfTrue="1">
      <formula>DS40&lt;&gt;""</formula>
    </cfRule>
  </conditionalFormatting>
  <conditionalFormatting sqref="CZ40">
    <cfRule type="expression" dxfId="1326" priority="1017" stopIfTrue="1">
      <formula>DC40&lt;&gt;""</formula>
    </cfRule>
  </conditionalFormatting>
  <conditionalFormatting sqref="DA40">
    <cfRule type="expression" dxfId="1325" priority="1016" stopIfTrue="1">
      <formula>DC40&lt;&gt;""</formula>
    </cfRule>
  </conditionalFormatting>
  <conditionalFormatting sqref="ED40 EJ40 EP40 EV40 FB40 FH40 FN40 FT40 FZ40 GF40 GL40 GR40 HA40 HI40 HO40 HU40 IA40 IG40 IM40 IS40 IY40 JE40 JK40 JQ40">
    <cfRule type="expression" dxfId="1324" priority="1015" stopIfTrue="1">
      <formula>EG40&lt;&gt;""</formula>
    </cfRule>
  </conditionalFormatting>
  <conditionalFormatting sqref="EE40 EK40 EQ40 EW40 FC40 FI40 FO40 FU40 GA40 GG40 GM40 GS40 HB40 HJ40 HP40 HV40 IB40 IH40 IN40 IT40 IZ40 JF40 JL40 JR40">
    <cfRule type="expression" dxfId="1323" priority="1014" stopIfTrue="1">
      <formula>EG40&lt;&gt;""</formula>
    </cfRule>
  </conditionalFormatting>
  <conditionalFormatting sqref="AZ40">
    <cfRule type="expression" dxfId="1322" priority="1013" stopIfTrue="1">
      <formula>BC40&lt;&gt;""</formula>
    </cfRule>
  </conditionalFormatting>
  <conditionalFormatting sqref="BA40">
    <cfRule type="expression" dxfId="1321" priority="1012" stopIfTrue="1">
      <formula>BC40&lt;&gt;""</formula>
    </cfRule>
  </conditionalFormatting>
  <conditionalFormatting sqref="CF40">
    <cfRule type="expression" dxfId="1320" priority="1011" stopIfTrue="1">
      <formula>CI40&lt;&gt;""</formula>
    </cfRule>
  </conditionalFormatting>
  <conditionalFormatting sqref="CG40">
    <cfRule type="expression" dxfId="1319" priority="1010" stopIfTrue="1">
      <formula>CI40&lt;&gt;""</formula>
    </cfRule>
  </conditionalFormatting>
  <conditionalFormatting sqref="CC42">
    <cfRule type="expression" dxfId="1318" priority="1009" stopIfTrue="1">
      <formula>CI42&lt;&gt;""</formula>
    </cfRule>
  </conditionalFormatting>
  <conditionalFormatting sqref="CD42">
    <cfRule type="expression" dxfId="1317" priority="1008" stopIfTrue="1">
      <formula>CI42&lt;&gt;""</formula>
    </cfRule>
  </conditionalFormatting>
  <conditionalFormatting sqref="AI42">
    <cfRule type="expression" dxfId="1316" priority="1006" stopIfTrue="1">
      <formula>AK42&lt;&gt;""</formula>
    </cfRule>
  </conditionalFormatting>
  <conditionalFormatting sqref="AT42">
    <cfRule type="expression" dxfId="1315" priority="1005" stopIfTrue="1">
      <formula>AW42&lt;&gt;""</formula>
    </cfRule>
  </conditionalFormatting>
  <conditionalFormatting sqref="AU42">
    <cfRule type="expression" dxfId="1314" priority="1004" stopIfTrue="1">
      <formula>AW42&lt;&gt;""</formula>
    </cfRule>
  </conditionalFormatting>
  <conditionalFormatting sqref="BF42">
    <cfRule type="expression" dxfId="1313" priority="1003" stopIfTrue="1">
      <formula>BI42&lt;&gt;""</formula>
    </cfRule>
  </conditionalFormatting>
  <conditionalFormatting sqref="BG42">
    <cfRule type="expression" dxfId="1312" priority="1002" stopIfTrue="1">
      <formula>BI42&lt;&gt;""</formula>
    </cfRule>
  </conditionalFormatting>
  <conditionalFormatting sqref="BO42">
    <cfRule type="expression" dxfId="1311" priority="1001" stopIfTrue="1">
      <formula>BR42&lt;&gt;""</formula>
    </cfRule>
  </conditionalFormatting>
  <conditionalFormatting sqref="BP42">
    <cfRule type="expression" dxfId="1310" priority="1000" stopIfTrue="1">
      <formula>BR42&lt;&gt;""</formula>
    </cfRule>
  </conditionalFormatting>
  <conditionalFormatting sqref="AN42">
    <cfRule type="expression" dxfId="1309" priority="999" stopIfTrue="1">
      <formula>AQ42&lt;&gt;""</formula>
    </cfRule>
  </conditionalFormatting>
  <conditionalFormatting sqref="AO42">
    <cfRule type="expression" dxfId="1308" priority="998" stopIfTrue="1">
      <formula>AQ42&lt;&gt;""</formula>
    </cfRule>
  </conditionalFormatting>
  <conditionalFormatting sqref="CZ42">
    <cfRule type="expression" dxfId="1307" priority="997" stopIfTrue="1">
      <formula>DC42&lt;&gt;""</formula>
    </cfRule>
  </conditionalFormatting>
  <conditionalFormatting sqref="DA42">
    <cfRule type="expression" dxfId="1306" priority="996" stopIfTrue="1">
      <formula>DC42&lt;&gt;""</formula>
    </cfRule>
  </conditionalFormatting>
  <conditionalFormatting sqref="ED42">
    <cfRule type="expression" dxfId="1305" priority="995" stopIfTrue="1">
      <formula>EG42&lt;&gt;""</formula>
    </cfRule>
  </conditionalFormatting>
  <conditionalFormatting sqref="EE42">
    <cfRule type="expression" dxfId="1304" priority="994" stopIfTrue="1">
      <formula>EG42&lt;&gt;""</formula>
    </cfRule>
  </conditionalFormatting>
  <conditionalFormatting sqref="EP42">
    <cfRule type="expression" dxfId="1303" priority="993" stopIfTrue="1">
      <formula>ES42&lt;&gt;""</formula>
    </cfRule>
  </conditionalFormatting>
  <conditionalFormatting sqref="EQ42">
    <cfRule type="expression" dxfId="1302" priority="992" stopIfTrue="1">
      <formula>ES42&lt;&gt;""</formula>
    </cfRule>
  </conditionalFormatting>
  <conditionalFormatting sqref="EV42">
    <cfRule type="expression" dxfId="1301" priority="991" stopIfTrue="1">
      <formula>EY42&lt;&gt;""</formula>
    </cfRule>
  </conditionalFormatting>
  <conditionalFormatting sqref="EW42">
    <cfRule type="expression" dxfId="1300" priority="990" stopIfTrue="1">
      <formula>EY42&lt;&gt;""</formula>
    </cfRule>
  </conditionalFormatting>
  <conditionalFormatting sqref="HI42">
    <cfRule type="expression" dxfId="1299" priority="989" stopIfTrue="1">
      <formula>HL42&lt;&gt;""</formula>
    </cfRule>
  </conditionalFormatting>
  <conditionalFormatting sqref="HJ42">
    <cfRule type="expression" dxfId="1298" priority="988" stopIfTrue="1">
      <formula>HL42&lt;&gt;""</formula>
    </cfRule>
  </conditionalFormatting>
  <conditionalFormatting sqref="DJ42">
    <cfRule type="expression" dxfId="1297" priority="987" stopIfTrue="1">
      <formula>DM42&lt;&gt;""</formula>
    </cfRule>
  </conditionalFormatting>
  <conditionalFormatting sqref="DK42">
    <cfRule type="expression" dxfId="1296" priority="986" stopIfTrue="1">
      <formula>DM42&lt;&gt;""</formula>
    </cfRule>
  </conditionalFormatting>
  <conditionalFormatting sqref="DP42">
    <cfRule type="expression" dxfId="1295" priority="985" stopIfTrue="1">
      <formula>DS42&lt;&gt;""</formula>
    </cfRule>
  </conditionalFormatting>
  <conditionalFormatting sqref="DQ42">
    <cfRule type="expression" dxfId="1294" priority="984" stopIfTrue="1">
      <formula>DS42&lt;&gt;""</formula>
    </cfRule>
  </conditionalFormatting>
  <conditionalFormatting sqref="CZ42">
    <cfRule type="expression" dxfId="1293" priority="983" stopIfTrue="1">
      <formula>DC42&lt;&gt;""</formula>
    </cfRule>
  </conditionalFormatting>
  <conditionalFormatting sqref="DA42">
    <cfRule type="expression" dxfId="1292" priority="982" stopIfTrue="1">
      <formula>DC42&lt;&gt;""</formula>
    </cfRule>
  </conditionalFormatting>
  <conditionalFormatting sqref="ED42 EJ42 EP42 EV42 FB42 FH42 FN42 FT42 FZ42 GF42 GL42 GR42 HA42 HI42 HO42 HU42 IA42 IG42 IM42 IS42 IY42 JE42 JK42 JQ42">
    <cfRule type="expression" dxfId="1291" priority="981" stopIfTrue="1">
      <formula>EG42&lt;&gt;""</formula>
    </cfRule>
  </conditionalFormatting>
  <conditionalFormatting sqref="EE42 EK42 EQ42 EW42 FC42 FI42 FO42 FU42 GA42 GG42 GM42 GS42 HB42 HJ42 HP42 HV42 IB42 IH42 IN42 IT42 IZ42 JF42 JL42 JR42">
    <cfRule type="expression" dxfId="1290" priority="980" stopIfTrue="1">
      <formula>EG42&lt;&gt;""</formula>
    </cfRule>
  </conditionalFormatting>
  <conditionalFormatting sqref="AZ42">
    <cfRule type="expression" dxfId="1289" priority="979" stopIfTrue="1">
      <formula>BC42&lt;&gt;""</formula>
    </cfRule>
  </conditionalFormatting>
  <conditionalFormatting sqref="BA42">
    <cfRule type="expression" dxfId="1288" priority="978" stopIfTrue="1">
      <formula>BC42&lt;&gt;""</formula>
    </cfRule>
  </conditionalFormatting>
  <conditionalFormatting sqref="CF42">
    <cfRule type="expression" dxfId="1287" priority="977" stopIfTrue="1">
      <formula>CI42&lt;&gt;""</formula>
    </cfRule>
  </conditionalFormatting>
  <conditionalFormatting sqref="CG42">
    <cfRule type="expression" dxfId="1286" priority="976" stopIfTrue="1">
      <formula>CI42&lt;&gt;""</formula>
    </cfRule>
  </conditionalFormatting>
  <conditionalFormatting sqref="CC44">
    <cfRule type="expression" dxfId="1285" priority="975" stopIfTrue="1">
      <formula>CI44&lt;&gt;""</formula>
    </cfRule>
  </conditionalFormatting>
  <conditionalFormatting sqref="CD44">
    <cfRule type="expression" dxfId="1284" priority="974" stopIfTrue="1">
      <formula>CI44&lt;&gt;""</formula>
    </cfRule>
  </conditionalFormatting>
  <conditionalFormatting sqref="AI44">
    <cfRule type="expression" dxfId="1283" priority="972" stopIfTrue="1">
      <formula>AK44&lt;&gt;""</formula>
    </cfRule>
  </conditionalFormatting>
  <conditionalFormatting sqref="AT44">
    <cfRule type="expression" dxfId="1282" priority="971" stopIfTrue="1">
      <formula>AW44&lt;&gt;""</formula>
    </cfRule>
  </conditionalFormatting>
  <conditionalFormatting sqref="AU44">
    <cfRule type="expression" dxfId="1281" priority="970" stopIfTrue="1">
      <formula>AW44&lt;&gt;""</formula>
    </cfRule>
  </conditionalFormatting>
  <conditionalFormatting sqref="BF44">
    <cfRule type="expression" dxfId="1280" priority="969" stopIfTrue="1">
      <formula>BI44&lt;&gt;""</formula>
    </cfRule>
  </conditionalFormatting>
  <conditionalFormatting sqref="BG44">
    <cfRule type="expression" dxfId="1279" priority="968" stopIfTrue="1">
      <formula>BI44&lt;&gt;""</formula>
    </cfRule>
  </conditionalFormatting>
  <conditionalFormatting sqref="BO44">
    <cfRule type="expression" dxfId="1278" priority="967" stopIfTrue="1">
      <formula>BR44&lt;&gt;""</formula>
    </cfRule>
  </conditionalFormatting>
  <conditionalFormatting sqref="BP44">
    <cfRule type="expression" dxfId="1277" priority="966" stopIfTrue="1">
      <formula>BR44&lt;&gt;""</formula>
    </cfRule>
  </conditionalFormatting>
  <conditionalFormatting sqref="AN44">
    <cfRule type="expression" dxfId="1276" priority="965" stopIfTrue="1">
      <formula>AQ44&lt;&gt;""</formula>
    </cfRule>
  </conditionalFormatting>
  <conditionalFormatting sqref="AO44">
    <cfRule type="expression" dxfId="1275" priority="964" stopIfTrue="1">
      <formula>AQ44&lt;&gt;""</formula>
    </cfRule>
  </conditionalFormatting>
  <conditionalFormatting sqref="CZ44">
    <cfRule type="expression" dxfId="1274" priority="963" stopIfTrue="1">
      <formula>DC44&lt;&gt;""</formula>
    </cfRule>
  </conditionalFormatting>
  <conditionalFormatting sqref="DA44">
    <cfRule type="expression" dxfId="1273" priority="962" stopIfTrue="1">
      <formula>DC44&lt;&gt;""</formula>
    </cfRule>
  </conditionalFormatting>
  <conditionalFormatting sqref="ED44">
    <cfRule type="expression" dxfId="1272" priority="961" stopIfTrue="1">
      <formula>EG44&lt;&gt;""</formula>
    </cfRule>
  </conditionalFormatting>
  <conditionalFormatting sqref="EE44">
    <cfRule type="expression" dxfId="1271" priority="960" stopIfTrue="1">
      <formula>EG44&lt;&gt;""</formula>
    </cfRule>
  </conditionalFormatting>
  <conditionalFormatting sqref="EP44">
    <cfRule type="expression" dxfId="1270" priority="959" stopIfTrue="1">
      <formula>ES44&lt;&gt;""</formula>
    </cfRule>
  </conditionalFormatting>
  <conditionalFormatting sqref="EQ44">
    <cfRule type="expression" dxfId="1269" priority="958" stopIfTrue="1">
      <formula>ES44&lt;&gt;""</formula>
    </cfRule>
  </conditionalFormatting>
  <conditionalFormatting sqref="EV44">
    <cfRule type="expression" dxfId="1268" priority="957" stopIfTrue="1">
      <formula>EY44&lt;&gt;""</formula>
    </cfRule>
  </conditionalFormatting>
  <conditionalFormatting sqref="EW44">
    <cfRule type="expression" dxfId="1267" priority="956" stopIfTrue="1">
      <formula>EY44&lt;&gt;""</formula>
    </cfRule>
  </conditionalFormatting>
  <conditionalFormatting sqref="HI44">
    <cfRule type="expression" dxfId="1266" priority="955" stopIfTrue="1">
      <formula>HL44&lt;&gt;""</formula>
    </cfRule>
  </conditionalFormatting>
  <conditionalFormatting sqref="HJ44">
    <cfRule type="expression" dxfId="1265" priority="954" stopIfTrue="1">
      <formula>HL44&lt;&gt;""</formula>
    </cfRule>
  </conditionalFormatting>
  <conditionalFormatting sqref="DJ44">
    <cfRule type="expression" dxfId="1264" priority="953" stopIfTrue="1">
      <formula>DM44&lt;&gt;""</formula>
    </cfRule>
  </conditionalFormatting>
  <conditionalFormatting sqref="DK44">
    <cfRule type="expression" dxfId="1263" priority="952" stopIfTrue="1">
      <formula>DM44&lt;&gt;""</formula>
    </cfRule>
  </conditionalFormatting>
  <conditionalFormatting sqref="DP44">
    <cfRule type="expression" dxfId="1262" priority="951" stopIfTrue="1">
      <formula>DS44&lt;&gt;""</formula>
    </cfRule>
  </conditionalFormatting>
  <conditionalFormatting sqref="DQ44">
    <cfRule type="expression" dxfId="1261" priority="950" stopIfTrue="1">
      <formula>DS44&lt;&gt;""</formula>
    </cfRule>
  </conditionalFormatting>
  <conditionalFormatting sqref="CZ44">
    <cfRule type="expression" dxfId="1260" priority="949" stopIfTrue="1">
      <formula>DC44&lt;&gt;""</formula>
    </cfRule>
  </conditionalFormatting>
  <conditionalFormatting sqref="DA44">
    <cfRule type="expression" dxfId="1259" priority="948" stopIfTrue="1">
      <formula>DC44&lt;&gt;""</formula>
    </cfRule>
  </conditionalFormatting>
  <conditionalFormatting sqref="ED44 EJ44 EP44 EV44 FB44 FH44 FN44 FT44 FZ44 GF44 GL44 GR44 HA44 HI44 HO44 HU44 IA44 IG44 IM44 IS44 IY44 JE44 JK44 JQ44">
    <cfRule type="expression" dxfId="1258" priority="947" stopIfTrue="1">
      <formula>EG44&lt;&gt;""</formula>
    </cfRule>
  </conditionalFormatting>
  <conditionalFormatting sqref="EE44 EK44 EQ44 EW44 FC44 FI44 FO44 FU44 GA44 GG44 GM44 GS44 HB44 HJ44 HP44 HV44 IB44 IH44 IN44 IT44 IZ44 JF44 JL44 JR44">
    <cfRule type="expression" dxfId="1257" priority="946" stopIfTrue="1">
      <formula>EG44&lt;&gt;""</formula>
    </cfRule>
  </conditionalFormatting>
  <conditionalFormatting sqref="AZ44">
    <cfRule type="expression" dxfId="1256" priority="945" stopIfTrue="1">
      <formula>BC44&lt;&gt;""</formula>
    </cfRule>
  </conditionalFormatting>
  <conditionalFormatting sqref="BA44">
    <cfRule type="expression" dxfId="1255" priority="944" stopIfTrue="1">
      <formula>BC44&lt;&gt;""</formula>
    </cfRule>
  </conditionalFormatting>
  <conditionalFormatting sqref="CF44">
    <cfRule type="expression" dxfId="1254" priority="943" stopIfTrue="1">
      <formula>CI44&lt;&gt;""</formula>
    </cfRule>
  </conditionalFormatting>
  <conditionalFormatting sqref="CG44">
    <cfRule type="expression" dxfId="1253" priority="942" stopIfTrue="1">
      <formula>CI44&lt;&gt;""</formula>
    </cfRule>
  </conditionalFormatting>
  <conditionalFormatting sqref="CC46">
    <cfRule type="expression" dxfId="1252" priority="941" stopIfTrue="1">
      <formula>CI46&lt;&gt;""</formula>
    </cfRule>
  </conditionalFormatting>
  <conditionalFormatting sqref="CD46">
    <cfRule type="expression" dxfId="1251" priority="940" stopIfTrue="1">
      <formula>CI46&lt;&gt;""</formula>
    </cfRule>
  </conditionalFormatting>
  <conditionalFormatting sqref="AI46">
    <cfRule type="expression" dxfId="1250" priority="938" stopIfTrue="1">
      <formula>AK46&lt;&gt;""</formula>
    </cfRule>
  </conditionalFormatting>
  <conditionalFormatting sqref="AT46">
    <cfRule type="expression" dxfId="1249" priority="937" stopIfTrue="1">
      <formula>AW46&lt;&gt;""</formula>
    </cfRule>
  </conditionalFormatting>
  <conditionalFormatting sqref="AU46">
    <cfRule type="expression" dxfId="1248" priority="936" stopIfTrue="1">
      <formula>AW46&lt;&gt;""</formula>
    </cfRule>
  </conditionalFormatting>
  <conditionalFormatting sqref="BF46">
    <cfRule type="expression" dxfId="1247" priority="935" stopIfTrue="1">
      <formula>BI46&lt;&gt;""</formula>
    </cfRule>
  </conditionalFormatting>
  <conditionalFormatting sqref="BG46">
    <cfRule type="expression" dxfId="1246" priority="934" stopIfTrue="1">
      <formula>BI46&lt;&gt;""</formula>
    </cfRule>
  </conditionalFormatting>
  <conditionalFormatting sqref="BO46">
    <cfRule type="expression" dxfId="1245" priority="933" stopIfTrue="1">
      <formula>BR46&lt;&gt;""</formula>
    </cfRule>
  </conditionalFormatting>
  <conditionalFormatting sqref="BP46">
    <cfRule type="expression" dxfId="1244" priority="932" stopIfTrue="1">
      <formula>BR46&lt;&gt;""</formula>
    </cfRule>
  </conditionalFormatting>
  <conditionalFormatting sqref="AN46">
    <cfRule type="expression" dxfId="1243" priority="931" stopIfTrue="1">
      <formula>AQ46&lt;&gt;""</formula>
    </cfRule>
  </conditionalFormatting>
  <conditionalFormatting sqref="AO46">
    <cfRule type="expression" dxfId="1242" priority="930" stopIfTrue="1">
      <formula>AQ46&lt;&gt;""</formula>
    </cfRule>
  </conditionalFormatting>
  <conditionalFormatting sqref="CZ46">
    <cfRule type="expression" dxfId="1241" priority="929" stopIfTrue="1">
      <formula>DC46&lt;&gt;""</formula>
    </cfRule>
  </conditionalFormatting>
  <conditionalFormatting sqref="DA46">
    <cfRule type="expression" dxfId="1240" priority="928" stopIfTrue="1">
      <formula>DC46&lt;&gt;""</formula>
    </cfRule>
  </conditionalFormatting>
  <conditionalFormatting sqref="ED46">
    <cfRule type="expression" dxfId="1239" priority="927" stopIfTrue="1">
      <formula>EG46&lt;&gt;""</formula>
    </cfRule>
  </conditionalFormatting>
  <conditionalFormatting sqref="EE46">
    <cfRule type="expression" dxfId="1238" priority="926" stopIfTrue="1">
      <formula>EG46&lt;&gt;""</formula>
    </cfRule>
  </conditionalFormatting>
  <conditionalFormatting sqref="EP46">
    <cfRule type="expression" dxfId="1237" priority="925" stopIfTrue="1">
      <formula>ES46&lt;&gt;""</formula>
    </cfRule>
  </conditionalFormatting>
  <conditionalFormatting sqref="EQ46">
    <cfRule type="expression" dxfId="1236" priority="924" stopIfTrue="1">
      <formula>ES46&lt;&gt;""</formula>
    </cfRule>
  </conditionalFormatting>
  <conditionalFormatting sqref="EV46">
    <cfRule type="expression" dxfId="1235" priority="923" stopIfTrue="1">
      <formula>EY46&lt;&gt;""</formula>
    </cfRule>
  </conditionalFormatting>
  <conditionalFormatting sqref="EW46">
    <cfRule type="expression" dxfId="1234" priority="922" stopIfTrue="1">
      <formula>EY46&lt;&gt;""</formula>
    </cfRule>
  </conditionalFormatting>
  <conditionalFormatting sqref="HI46">
    <cfRule type="expression" dxfId="1233" priority="921" stopIfTrue="1">
      <formula>HL46&lt;&gt;""</formula>
    </cfRule>
  </conditionalFormatting>
  <conditionalFormatting sqref="HJ46">
    <cfRule type="expression" dxfId="1232" priority="920" stopIfTrue="1">
      <formula>HL46&lt;&gt;""</formula>
    </cfRule>
  </conditionalFormatting>
  <conditionalFormatting sqref="DJ46">
    <cfRule type="expression" dxfId="1231" priority="919" stopIfTrue="1">
      <formula>DM46&lt;&gt;""</formula>
    </cfRule>
  </conditionalFormatting>
  <conditionalFormatting sqref="DK46">
    <cfRule type="expression" dxfId="1230" priority="918" stopIfTrue="1">
      <formula>DM46&lt;&gt;""</formula>
    </cfRule>
  </conditionalFormatting>
  <conditionalFormatting sqref="DP46">
    <cfRule type="expression" dxfId="1229" priority="917" stopIfTrue="1">
      <formula>DS46&lt;&gt;""</formula>
    </cfRule>
  </conditionalFormatting>
  <conditionalFormatting sqref="DQ46">
    <cfRule type="expression" dxfId="1228" priority="916" stopIfTrue="1">
      <formula>DS46&lt;&gt;""</formula>
    </cfRule>
  </conditionalFormatting>
  <conditionalFormatting sqref="CZ46">
    <cfRule type="expression" dxfId="1227" priority="915" stopIfTrue="1">
      <formula>DC46&lt;&gt;""</formula>
    </cfRule>
  </conditionalFormatting>
  <conditionalFormatting sqref="DA46">
    <cfRule type="expression" dxfId="1226" priority="914" stopIfTrue="1">
      <formula>DC46&lt;&gt;""</formula>
    </cfRule>
  </conditionalFormatting>
  <conditionalFormatting sqref="ED46 EJ46 EP46 EV46 FB46 FH46 FN46 FT46 FZ46 GF46 GL46 GR46 HA46 HI46 HO46 HU46 IA46 IG46 IM46 IS46 IY46 JE46 JK46 JQ46">
    <cfRule type="expression" dxfId="1225" priority="913" stopIfTrue="1">
      <formula>EG46&lt;&gt;""</formula>
    </cfRule>
  </conditionalFormatting>
  <conditionalFormatting sqref="EE46 EK46 EQ46 EW46 FC46 FI46 FO46 FU46 GA46 GG46 GM46 GS46 HB46 HJ46 HP46 HV46 IB46 IH46 IN46 IT46 IZ46 JF46 JL46 JR46">
    <cfRule type="expression" dxfId="1224" priority="912" stopIfTrue="1">
      <formula>EG46&lt;&gt;""</formula>
    </cfRule>
  </conditionalFormatting>
  <conditionalFormatting sqref="AZ46">
    <cfRule type="expression" dxfId="1223" priority="911" stopIfTrue="1">
      <formula>BC46&lt;&gt;""</formula>
    </cfRule>
  </conditionalFormatting>
  <conditionalFormatting sqref="BA46">
    <cfRule type="expression" dxfId="1222" priority="910" stopIfTrue="1">
      <formula>BC46&lt;&gt;""</formula>
    </cfRule>
  </conditionalFormatting>
  <conditionalFormatting sqref="CF46">
    <cfRule type="expression" dxfId="1221" priority="909" stopIfTrue="1">
      <formula>CI46&lt;&gt;""</formula>
    </cfRule>
  </conditionalFormatting>
  <conditionalFormatting sqref="CG46">
    <cfRule type="expression" dxfId="1220" priority="908" stopIfTrue="1">
      <formula>CI46&lt;&gt;""</formula>
    </cfRule>
  </conditionalFormatting>
  <conditionalFormatting sqref="CC48">
    <cfRule type="expression" dxfId="1219" priority="907" stopIfTrue="1">
      <formula>CI48&lt;&gt;""</formula>
    </cfRule>
  </conditionalFormatting>
  <conditionalFormatting sqref="CD48">
    <cfRule type="expression" dxfId="1218" priority="906" stopIfTrue="1">
      <formula>CI48&lt;&gt;""</formula>
    </cfRule>
  </conditionalFormatting>
  <conditionalFormatting sqref="AI48">
    <cfRule type="expression" dxfId="1217" priority="904" stopIfTrue="1">
      <formula>AK48&lt;&gt;""</formula>
    </cfRule>
  </conditionalFormatting>
  <conditionalFormatting sqref="AT48">
    <cfRule type="expression" dxfId="1216" priority="903" stopIfTrue="1">
      <formula>AW48&lt;&gt;""</formula>
    </cfRule>
  </conditionalFormatting>
  <conditionalFormatting sqref="AU48">
    <cfRule type="expression" dxfId="1215" priority="902" stopIfTrue="1">
      <formula>AW48&lt;&gt;""</formula>
    </cfRule>
  </conditionalFormatting>
  <conditionalFormatting sqref="BF48">
    <cfRule type="expression" dxfId="1214" priority="901" stopIfTrue="1">
      <formula>BI48&lt;&gt;""</formula>
    </cfRule>
  </conditionalFormatting>
  <conditionalFormatting sqref="BG48">
    <cfRule type="expression" dxfId="1213" priority="900" stopIfTrue="1">
      <formula>BI48&lt;&gt;""</formula>
    </cfRule>
  </conditionalFormatting>
  <conditionalFormatting sqref="BO48">
    <cfRule type="expression" dxfId="1212" priority="899" stopIfTrue="1">
      <formula>BR48&lt;&gt;""</formula>
    </cfRule>
  </conditionalFormatting>
  <conditionalFormatting sqref="BP48">
    <cfRule type="expression" dxfId="1211" priority="898" stopIfTrue="1">
      <formula>BR48&lt;&gt;""</formula>
    </cfRule>
  </conditionalFormatting>
  <conditionalFormatting sqref="AN48">
    <cfRule type="expression" dxfId="1210" priority="897" stopIfTrue="1">
      <formula>AQ48&lt;&gt;""</formula>
    </cfRule>
  </conditionalFormatting>
  <conditionalFormatting sqref="AO48">
    <cfRule type="expression" dxfId="1209" priority="896" stopIfTrue="1">
      <formula>AQ48&lt;&gt;""</formula>
    </cfRule>
  </conditionalFormatting>
  <conditionalFormatting sqref="CZ48">
    <cfRule type="expression" dxfId="1208" priority="895" stopIfTrue="1">
      <formula>DC48&lt;&gt;""</formula>
    </cfRule>
  </conditionalFormatting>
  <conditionalFormatting sqref="DA48">
    <cfRule type="expression" dxfId="1207" priority="894" stopIfTrue="1">
      <formula>DC48&lt;&gt;""</formula>
    </cfRule>
  </conditionalFormatting>
  <conditionalFormatting sqref="ED48">
    <cfRule type="expression" dxfId="1206" priority="893" stopIfTrue="1">
      <formula>EG48&lt;&gt;""</formula>
    </cfRule>
  </conditionalFormatting>
  <conditionalFormatting sqref="EE48">
    <cfRule type="expression" dxfId="1205" priority="892" stopIfTrue="1">
      <formula>EG48&lt;&gt;""</formula>
    </cfRule>
  </conditionalFormatting>
  <conditionalFormatting sqref="EP48">
    <cfRule type="expression" dxfId="1204" priority="891" stopIfTrue="1">
      <formula>ES48&lt;&gt;""</formula>
    </cfRule>
  </conditionalFormatting>
  <conditionalFormatting sqref="EQ48">
    <cfRule type="expression" dxfId="1203" priority="890" stopIfTrue="1">
      <formula>ES48&lt;&gt;""</formula>
    </cfRule>
  </conditionalFormatting>
  <conditionalFormatting sqref="EV48">
    <cfRule type="expression" dxfId="1202" priority="889" stopIfTrue="1">
      <formula>EY48&lt;&gt;""</formula>
    </cfRule>
  </conditionalFormatting>
  <conditionalFormatting sqref="EW48">
    <cfRule type="expression" dxfId="1201" priority="888" stopIfTrue="1">
      <formula>EY48&lt;&gt;""</formula>
    </cfRule>
  </conditionalFormatting>
  <conditionalFormatting sqref="HI48">
    <cfRule type="expression" dxfId="1200" priority="887" stopIfTrue="1">
      <formula>HL48&lt;&gt;""</formula>
    </cfRule>
  </conditionalFormatting>
  <conditionalFormatting sqref="HJ48">
    <cfRule type="expression" dxfId="1199" priority="886" stopIfTrue="1">
      <formula>HL48&lt;&gt;""</formula>
    </cfRule>
  </conditionalFormatting>
  <conditionalFormatting sqref="DJ48">
    <cfRule type="expression" dxfId="1198" priority="885" stopIfTrue="1">
      <formula>DM48&lt;&gt;""</formula>
    </cfRule>
  </conditionalFormatting>
  <conditionalFormatting sqref="DK48">
    <cfRule type="expression" dxfId="1197" priority="884" stopIfTrue="1">
      <formula>DM48&lt;&gt;""</formula>
    </cfRule>
  </conditionalFormatting>
  <conditionalFormatting sqref="DP48">
    <cfRule type="expression" dxfId="1196" priority="883" stopIfTrue="1">
      <formula>DS48&lt;&gt;""</formula>
    </cfRule>
  </conditionalFormatting>
  <conditionalFormatting sqref="DQ48">
    <cfRule type="expression" dxfId="1195" priority="882" stopIfTrue="1">
      <formula>DS48&lt;&gt;""</formula>
    </cfRule>
  </conditionalFormatting>
  <conditionalFormatting sqref="CZ48">
    <cfRule type="expression" dxfId="1194" priority="881" stopIfTrue="1">
      <formula>DC48&lt;&gt;""</formula>
    </cfRule>
  </conditionalFormatting>
  <conditionalFormatting sqref="DA48">
    <cfRule type="expression" dxfId="1193" priority="880" stopIfTrue="1">
      <formula>DC48&lt;&gt;""</formula>
    </cfRule>
  </conditionalFormatting>
  <conditionalFormatting sqref="ED48 EJ48 EP48 EV48 FB48 FH48 FN48 FT48 FZ48 GF48 GL48 GR48 HA48 HI48 HO48 HU48 IA48 IG48 IM48 IS48 IY48 JE48 JK48 JQ48">
    <cfRule type="expression" dxfId="1192" priority="879" stopIfTrue="1">
      <formula>EG48&lt;&gt;""</formula>
    </cfRule>
  </conditionalFormatting>
  <conditionalFormatting sqref="EE48 EK48 EQ48 EW48 FC48 FI48 FO48 FU48 GA48 GG48 GM48 GS48 HB48 HJ48 HP48 HV48 IB48 IH48 IN48 IT48 IZ48 JF48 JL48 JR48">
    <cfRule type="expression" dxfId="1191" priority="878" stopIfTrue="1">
      <formula>EG48&lt;&gt;""</formula>
    </cfRule>
  </conditionalFormatting>
  <conditionalFormatting sqref="AZ48">
    <cfRule type="expression" dxfId="1190" priority="877" stopIfTrue="1">
      <formula>BC48&lt;&gt;""</formula>
    </cfRule>
  </conditionalFormatting>
  <conditionalFormatting sqref="BA48">
    <cfRule type="expression" dxfId="1189" priority="876" stopIfTrue="1">
      <formula>BC48&lt;&gt;""</formula>
    </cfRule>
  </conditionalFormatting>
  <conditionalFormatting sqref="CF48">
    <cfRule type="expression" dxfId="1188" priority="875" stopIfTrue="1">
      <formula>CI48&lt;&gt;""</formula>
    </cfRule>
  </conditionalFormatting>
  <conditionalFormatting sqref="CG48">
    <cfRule type="expression" dxfId="1187" priority="874" stopIfTrue="1">
      <formula>CI48&lt;&gt;""</formula>
    </cfRule>
  </conditionalFormatting>
  <conditionalFormatting sqref="CC56">
    <cfRule type="expression" dxfId="1186" priority="873" stopIfTrue="1">
      <formula>CI56&lt;&gt;""</formula>
    </cfRule>
  </conditionalFormatting>
  <conditionalFormatting sqref="CD56">
    <cfRule type="expression" dxfId="1185" priority="872" stopIfTrue="1">
      <formula>CI56&lt;&gt;""</formula>
    </cfRule>
  </conditionalFormatting>
  <conditionalFormatting sqref="AI56">
    <cfRule type="expression" dxfId="1184" priority="870" stopIfTrue="1">
      <formula>AK56&lt;&gt;""</formula>
    </cfRule>
  </conditionalFormatting>
  <conditionalFormatting sqref="AT56">
    <cfRule type="expression" dxfId="1183" priority="869" stopIfTrue="1">
      <formula>AW56&lt;&gt;""</formula>
    </cfRule>
  </conditionalFormatting>
  <conditionalFormatting sqref="AU56">
    <cfRule type="expression" dxfId="1182" priority="868" stopIfTrue="1">
      <formula>AW56&lt;&gt;""</formula>
    </cfRule>
  </conditionalFormatting>
  <conditionalFormatting sqref="BF56">
    <cfRule type="expression" dxfId="1181" priority="867" stopIfTrue="1">
      <formula>BI56&lt;&gt;""</formula>
    </cfRule>
  </conditionalFormatting>
  <conditionalFormatting sqref="BG56">
    <cfRule type="expression" dxfId="1180" priority="866" stopIfTrue="1">
      <formula>BI56&lt;&gt;""</formula>
    </cfRule>
  </conditionalFormatting>
  <conditionalFormatting sqref="BO56">
    <cfRule type="expression" dxfId="1179" priority="865" stopIfTrue="1">
      <formula>BR56&lt;&gt;""</formula>
    </cfRule>
  </conditionalFormatting>
  <conditionalFormatting sqref="BP56">
    <cfRule type="expression" dxfId="1178" priority="864" stopIfTrue="1">
      <formula>BR56&lt;&gt;""</formula>
    </cfRule>
  </conditionalFormatting>
  <conditionalFormatting sqref="AN56">
    <cfRule type="expression" dxfId="1177" priority="863" stopIfTrue="1">
      <formula>AQ56&lt;&gt;""</formula>
    </cfRule>
  </conditionalFormatting>
  <conditionalFormatting sqref="AO56">
    <cfRule type="expression" dxfId="1176" priority="862" stopIfTrue="1">
      <formula>AQ56&lt;&gt;""</formula>
    </cfRule>
  </conditionalFormatting>
  <conditionalFormatting sqref="CZ56">
    <cfRule type="expression" dxfId="1175" priority="861" stopIfTrue="1">
      <formula>DC56&lt;&gt;""</formula>
    </cfRule>
  </conditionalFormatting>
  <conditionalFormatting sqref="DA56">
    <cfRule type="expression" dxfId="1174" priority="860" stopIfTrue="1">
      <formula>DC56&lt;&gt;""</formula>
    </cfRule>
  </conditionalFormatting>
  <conditionalFormatting sqref="ED56">
    <cfRule type="expression" dxfId="1173" priority="859" stopIfTrue="1">
      <formula>EG56&lt;&gt;""</formula>
    </cfRule>
  </conditionalFormatting>
  <conditionalFormatting sqref="EE56">
    <cfRule type="expression" dxfId="1172" priority="858" stopIfTrue="1">
      <formula>EG56&lt;&gt;""</formula>
    </cfRule>
  </conditionalFormatting>
  <conditionalFormatting sqref="EP56">
    <cfRule type="expression" dxfId="1171" priority="857" stopIfTrue="1">
      <formula>ES56&lt;&gt;""</formula>
    </cfRule>
  </conditionalFormatting>
  <conditionalFormatting sqref="EQ56">
    <cfRule type="expression" dxfId="1170" priority="856" stopIfTrue="1">
      <formula>ES56&lt;&gt;""</formula>
    </cfRule>
  </conditionalFormatting>
  <conditionalFormatting sqref="EV56">
    <cfRule type="expression" dxfId="1169" priority="855" stopIfTrue="1">
      <formula>EY56&lt;&gt;""</formula>
    </cfRule>
  </conditionalFormatting>
  <conditionalFormatting sqref="EW56">
    <cfRule type="expression" dxfId="1168" priority="854" stopIfTrue="1">
      <formula>EY56&lt;&gt;""</formula>
    </cfRule>
  </conditionalFormatting>
  <conditionalFormatting sqref="HI56">
    <cfRule type="expression" dxfId="1167" priority="853" stopIfTrue="1">
      <formula>HL56&lt;&gt;""</formula>
    </cfRule>
  </conditionalFormatting>
  <conditionalFormatting sqref="HJ56">
    <cfRule type="expression" dxfId="1166" priority="852" stopIfTrue="1">
      <formula>HL56&lt;&gt;""</formula>
    </cfRule>
  </conditionalFormatting>
  <conditionalFormatting sqref="DJ56">
    <cfRule type="expression" dxfId="1165" priority="851" stopIfTrue="1">
      <formula>DM56&lt;&gt;""</formula>
    </cfRule>
  </conditionalFormatting>
  <conditionalFormatting sqref="DK56">
    <cfRule type="expression" dxfId="1164" priority="850" stopIfTrue="1">
      <formula>DM56&lt;&gt;""</formula>
    </cfRule>
  </conditionalFormatting>
  <conditionalFormatting sqref="DP56">
    <cfRule type="expression" dxfId="1163" priority="849" stopIfTrue="1">
      <formula>DS56&lt;&gt;""</formula>
    </cfRule>
  </conditionalFormatting>
  <conditionalFormatting sqref="DQ56">
    <cfRule type="expression" dxfId="1162" priority="848" stopIfTrue="1">
      <formula>DS56&lt;&gt;""</formula>
    </cfRule>
  </conditionalFormatting>
  <conditionalFormatting sqref="CZ56">
    <cfRule type="expression" dxfId="1161" priority="847" stopIfTrue="1">
      <formula>DC56&lt;&gt;""</formula>
    </cfRule>
  </conditionalFormatting>
  <conditionalFormatting sqref="DA56">
    <cfRule type="expression" dxfId="1160" priority="846" stopIfTrue="1">
      <formula>DC56&lt;&gt;""</formula>
    </cfRule>
  </conditionalFormatting>
  <conditionalFormatting sqref="ED56 EJ56 EP56 EV56 FB56 FH56 FN56 FT56 FZ56 GF56 GL56 GR56 HA56 HI56 HO56 HU56 IA56 IG56 IM56 IS56 IY56 JE56 JK56 JQ56">
    <cfRule type="expression" dxfId="1159" priority="845" stopIfTrue="1">
      <formula>EG56&lt;&gt;""</formula>
    </cfRule>
  </conditionalFormatting>
  <conditionalFormatting sqref="EE56 EK56 EQ56 EW56 FC56 FI56 FO56 FU56 GA56 GG56 GM56 GS56 HB56 HJ56 HP56 HV56 IB56 IH56 IN56 IT56 IZ56 JF56 JL56 JR56">
    <cfRule type="expression" dxfId="1158" priority="844" stopIfTrue="1">
      <formula>EG56&lt;&gt;""</formula>
    </cfRule>
  </conditionalFormatting>
  <conditionalFormatting sqref="AZ56">
    <cfRule type="expression" dxfId="1157" priority="843" stopIfTrue="1">
      <formula>BC56&lt;&gt;""</formula>
    </cfRule>
  </conditionalFormatting>
  <conditionalFormatting sqref="BA56">
    <cfRule type="expression" dxfId="1156" priority="842" stopIfTrue="1">
      <formula>BC56&lt;&gt;""</formula>
    </cfRule>
  </conditionalFormatting>
  <conditionalFormatting sqref="CF56">
    <cfRule type="expression" dxfId="1155" priority="841" stopIfTrue="1">
      <formula>CI56&lt;&gt;""</formula>
    </cfRule>
  </conditionalFormatting>
  <conditionalFormatting sqref="CG56">
    <cfRule type="expression" dxfId="1154" priority="840" stopIfTrue="1">
      <formula>CI56&lt;&gt;""</formula>
    </cfRule>
  </conditionalFormatting>
  <conditionalFormatting sqref="CC58">
    <cfRule type="expression" dxfId="1153" priority="839" stopIfTrue="1">
      <formula>CI58&lt;&gt;""</formula>
    </cfRule>
  </conditionalFormatting>
  <conditionalFormatting sqref="CD58">
    <cfRule type="expression" dxfId="1152" priority="838" stopIfTrue="1">
      <formula>CI58&lt;&gt;""</formula>
    </cfRule>
  </conditionalFormatting>
  <conditionalFormatting sqref="AI58">
    <cfRule type="expression" dxfId="1151" priority="836" stopIfTrue="1">
      <formula>AK58&lt;&gt;""</formula>
    </cfRule>
  </conditionalFormatting>
  <conditionalFormatting sqref="AT58">
    <cfRule type="expression" dxfId="1150" priority="835" stopIfTrue="1">
      <formula>AW58&lt;&gt;""</formula>
    </cfRule>
  </conditionalFormatting>
  <conditionalFormatting sqref="AU58">
    <cfRule type="expression" dxfId="1149" priority="834" stopIfTrue="1">
      <formula>AW58&lt;&gt;""</formula>
    </cfRule>
  </conditionalFormatting>
  <conditionalFormatting sqref="BF58">
    <cfRule type="expression" dxfId="1148" priority="833" stopIfTrue="1">
      <formula>BI58&lt;&gt;""</formula>
    </cfRule>
  </conditionalFormatting>
  <conditionalFormatting sqref="BG58">
    <cfRule type="expression" dxfId="1147" priority="832" stopIfTrue="1">
      <formula>BI58&lt;&gt;""</formula>
    </cfRule>
  </conditionalFormatting>
  <conditionalFormatting sqref="BO58">
    <cfRule type="expression" dxfId="1146" priority="831" stopIfTrue="1">
      <formula>BR58&lt;&gt;""</formula>
    </cfRule>
  </conditionalFormatting>
  <conditionalFormatting sqref="BP58">
    <cfRule type="expression" dxfId="1145" priority="830" stopIfTrue="1">
      <formula>BR58&lt;&gt;""</formula>
    </cfRule>
  </conditionalFormatting>
  <conditionalFormatting sqref="AN58">
    <cfRule type="expression" dxfId="1144" priority="829" stopIfTrue="1">
      <formula>AQ58&lt;&gt;""</formula>
    </cfRule>
  </conditionalFormatting>
  <conditionalFormatting sqref="AO58">
    <cfRule type="expression" dxfId="1143" priority="828" stopIfTrue="1">
      <formula>AQ58&lt;&gt;""</formula>
    </cfRule>
  </conditionalFormatting>
  <conditionalFormatting sqref="CZ58">
    <cfRule type="expression" dxfId="1142" priority="827" stopIfTrue="1">
      <formula>DC58&lt;&gt;""</formula>
    </cfRule>
  </conditionalFormatting>
  <conditionalFormatting sqref="DA58">
    <cfRule type="expression" dxfId="1141" priority="826" stopIfTrue="1">
      <formula>DC58&lt;&gt;""</formula>
    </cfRule>
  </conditionalFormatting>
  <conditionalFormatting sqref="ED58">
    <cfRule type="expression" dxfId="1140" priority="825" stopIfTrue="1">
      <formula>EG58&lt;&gt;""</formula>
    </cfRule>
  </conditionalFormatting>
  <conditionalFormatting sqref="EE58">
    <cfRule type="expression" dxfId="1139" priority="824" stopIfTrue="1">
      <formula>EG58&lt;&gt;""</formula>
    </cfRule>
  </conditionalFormatting>
  <conditionalFormatting sqref="EP58">
    <cfRule type="expression" dxfId="1138" priority="823" stopIfTrue="1">
      <formula>ES58&lt;&gt;""</formula>
    </cfRule>
  </conditionalFormatting>
  <conditionalFormatting sqref="EQ58">
    <cfRule type="expression" dxfId="1137" priority="822" stopIfTrue="1">
      <formula>ES58&lt;&gt;""</formula>
    </cfRule>
  </conditionalFormatting>
  <conditionalFormatting sqref="EV58">
    <cfRule type="expression" dxfId="1136" priority="821" stopIfTrue="1">
      <formula>EY58&lt;&gt;""</formula>
    </cfRule>
  </conditionalFormatting>
  <conditionalFormatting sqref="EW58">
    <cfRule type="expression" dxfId="1135" priority="820" stopIfTrue="1">
      <formula>EY58&lt;&gt;""</formula>
    </cfRule>
  </conditionalFormatting>
  <conditionalFormatting sqref="HI58">
    <cfRule type="expression" dxfId="1134" priority="819" stopIfTrue="1">
      <formula>HL58&lt;&gt;""</formula>
    </cfRule>
  </conditionalFormatting>
  <conditionalFormatting sqref="HJ58">
    <cfRule type="expression" dxfId="1133" priority="818" stopIfTrue="1">
      <formula>HL58&lt;&gt;""</formula>
    </cfRule>
  </conditionalFormatting>
  <conditionalFormatting sqref="DJ58">
    <cfRule type="expression" dxfId="1132" priority="817" stopIfTrue="1">
      <formula>DM58&lt;&gt;""</formula>
    </cfRule>
  </conditionalFormatting>
  <conditionalFormatting sqref="DK58">
    <cfRule type="expression" dxfId="1131" priority="816" stopIfTrue="1">
      <formula>DM58&lt;&gt;""</formula>
    </cfRule>
  </conditionalFormatting>
  <conditionalFormatting sqref="DP58">
    <cfRule type="expression" dxfId="1130" priority="815" stopIfTrue="1">
      <formula>DS58&lt;&gt;""</formula>
    </cfRule>
  </conditionalFormatting>
  <conditionalFormatting sqref="DQ58">
    <cfRule type="expression" dxfId="1129" priority="814" stopIfTrue="1">
      <formula>DS58&lt;&gt;""</formula>
    </cfRule>
  </conditionalFormatting>
  <conditionalFormatting sqref="CZ58">
    <cfRule type="expression" dxfId="1128" priority="813" stopIfTrue="1">
      <formula>DC58&lt;&gt;""</formula>
    </cfRule>
  </conditionalFormatting>
  <conditionalFormatting sqref="DA58">
    <cfRule type="expression" dxfId="1127" priority="812" stopIfTrue="1">
      <formula>DC58&lt;&gt;""</formula>
    </cfRule>
  </conditionalFormatting>
  <conditionalFormatting sqref="ED58 EJ58 EP58 EV58 FB58 FH58 FN58 FT58 FZ58 GF58 GL58 GR58 HA58 HI58 HO58 HU58 IA58 IG58 IM58 IS58 IY58 JE58 JK58 JQ58">
    <cfRule type="expression" dxfId="1126" priority="811" stopIfTrue="1">
      <formula>EG58&lt;&gt;""</formula>
    </cfRule>
  </conditionalFormatting>
  <conditionalFormatting sqref="EE58 EK58 EQ58 EW58 FC58 FI58 FO58 FU58 GA58 GG58 GM58 GS58 HB58 HJ58 HP58 HV58 IB58 IH58 IN58 IT58 IZ58 JF58 JL58 JR58">
    <cfRule type="expression" dxfId="1125" priority="810" stopIfTrue="1">
      <formula>EG58&lt;&gt;""</formula>
    </cfRule>
  </conditionalFormatting>
  <conditionalFormatting sqref="AZ58">
    <cfRule type="expression" dxfId="1124" priority="809" stopIfTrue="1">
      <formula>BC58&lt;&gt;""</formula>
    </cfRule>
  </conditionalFormatting>
  <conditionalFormatting sqref="BA58">
    <cfRule type="expression" dxfId="1123" priority="808" stopIfTrue="1">
      <formula>BC58&lt;&gt;""</formula>
    </cfRule>
  </conditionalFormatting>
  <conditionalFormatting sqref="CF58">
    <cfRule type="expression" dxfId="1122" priority="807" stopIfTrue="1">
      <formula>CI58&lt;&gt;""</formula>
    </cfRule>
  </conditionalFormatting>
  <conditionalFormatting sqref="CG58">
    <cfRule type="expression" dxfId="1121" priority="806" stopIfTrue="1">
      <formula>CI58&lt;&gt;""</formula>
    </cfRule>
  </conditionalFormatting>
  <conditionalFormatting sqref="CC60">
    <cfRule type="expression" dxfId="1120" priority="805" stopIfTrue="1">
      <formula>CI60&lt;&gt;""</formula>
    </cfRule>
  </conditionalFormatting>
  <conditionalFormatting sqref="CD60">
    <cfRule type="expression" dxfId="1119" priority="804" stopIfTrue="1">
      <formula>CI60&lt;&gt;""</formula>
    </cfRule>
  </conditionalFormatting>
  <conditionalFormatting sqref="AI60">
    <cfRule type="expression" dxfId="1118" priority="802" stopIfTrue="1">
      <formula>AK60&lt;&gt;""</formula>
    </cfRule>
  </conditionalFormatting>
  <conditionalFormatting sqref="AT60">
    <cfRule type="expression" dxfId="1117" priority="801" stopIfTrue="1">
      <formula>AW60&lt;&gt;""</formula>
    </cfRule>
  </conditionalFormatting>
  <conditionalFormatting sqref="AU60">
    <cfRule type="expression" dxfId="1116" priority="800" stopIfTrue="1">
      <formula>AW60&lt;&gt;""</formula>
    </cfRule>
  </conditionalFormatting>
  <conditionalFormatting sqref="BF60">
    <cfRule type="expression" dxfId="1115" priority="799" stopIfTrue="1">
      <formula>BI60&lt;&gt;""</formula>
    </cfRule>
  </conditionalFormatting>
  <conditionalFormatting sqref="BG60">
    <cfRule type="expression" dxfId="1114" priority="798" stopIfTrue="1">
      <formula>BI60&lt;&gt;""</formula>
    </cfRule>
  </conditionalFormatting>
  <conditionalFormatting sqref="BO60">
    <cfRule type="expression" dxfId="1113" priority="797" stopIfTrue="1">
      <formula>BR60&lt;&gt;""</formula>
    </cfRule>
  </conditionalFormatting>
  <conditionalFormatting sqref="BP60">
    <cfRule type="expression" dxfId="1112" priority="796" stopIfTrue="1">
      <formula>BR60&lt;&gt;""</formula>
    </cfRule>
  </conditionalFormatting>
  <conditionalFormatting sqref="AN60">
    <cfRule type="expression" dxfId="1111" priority="795" stopIfTrue="1">
      <formula>AQ60&lt;&gt;""</formula>
    </cfRule>
  </conditionalFormatting>
  <conditionalFormatting sqref="AO60">
    <cfRule type="expression" dxfId="1110" priority="794" stopIfTrue="1">
      <formula>AQ60&lt;&gt;""</formula>
    </cfRule>
  </conditionalFormatting>
  <conditionalFormatting sqref="CZ60">
    <cfRule type="expression" dxfId="1109" priority="793" stopIfTrue="1">
      <formula>DC60&lt;&gt;""</formula>
    </cfRule>
  </conditionalFormatting>
  <conditionalFormatting sqref="DA60">
    <cfRule type="expression" dxfId="1108" priority="792" stopIfTrue="1">
      <formula>DC60&lt;&gt;""</formula>
    </cfRule>
  </conditionalFormatting>
  <conditionalFormatting sqref="ED60">
    <cfRule type="expression" dxfId="1107" priority="791" stopIfTrue="1">
      <formula>EG60&lt;&gt;""</formula>
    </cfRule>
  </conditionalFormatting>
  <conditionalFormatting sqref="EE60">
    <cfRule type="expression" dxfId="1106" priority="790" stopIfTrue="1">
      <formula>EG60&lt;&gt;""</formula>
    </cfRule>
  </conditionalFormatting>
  <conditionalFormatting sqref="EP60">
    <cfRule type="expression" dxfId="1105" priority="789" stopIfTrue="1">
      <formula>ES60&lt;&gt;""</formula>
    </cfRule>
  </conditionalFormatting>
  <conditionalFormatting sqref="EQ60">
    <cfRule type="expression" dxfId="1104" priority="788" stopIfTrue="1">
      <formula>ES60&lt;&gt;""</formula>
    </cfRule>
  </conditionalFormatting>
  <conditionalFormatting sqref="EV60">
    <cfRule type="expression" dxfId="1103" priority="787" stopIfTrue="1">
      <formula>EY60&lt;&gt;""</formula>
    </cfRule>
  </conditionalFormatting>
  <conditionalFormatting sqref="EW60">
    <cfRule type="expression" dxfId="1102" priority="786" stopIfTrue="1">
      <formula>EY60&lt;&gt;""</formula>
    </cfRule>
  </conditionalFormatting>
  <conditionalFormatting sqref="HI60">
    <cfRule type="expression" dxfId="1101" priority="785" stopIfTrue="1">
      <formula>HL60&lt;&gt;""</formula>
    </cfRule>
  </conditionalFormatting>
  <conditionalFormatting sqref="HJ60">
    <cfRule type="expression" dxfId="1100" priority="784" stopIfTrue="1">
      <formula>HL60&lt;&gt;""</formula>
    </cfRule>
  </conditionalFormatting>
  <conditionalFormatting sqref="DJ60">
    <cfRule type="expression" dxfId="1099" priority="783" stopIfTrue="1">
      <formula>DM60&lt;&gt;""</formula>
    </cfRule>
  </conditionalFormatting>
  <conditionalFormatting sqref="DK60">
    <cfRule type="expression" dxfId="1098" priority="782" stopIfTrue="1">
      <formula>DM60&lt;&gt;""</formula>
    </cfRule>
  </conditionalFormatting>
  <conditionalFormatting sqref="DP60">
    <cfRule type="expression" dxfId="1097" priority="781" stopIfTrue="1">
      <formula>DS60&lt;&gt;""</formula>
    </cfRule>
  </conditionalFormatting>
  <conditionalFormatting sqref="DQ60">
    <cfRule type="expression" dxfId="1096" priority="780" stopIfTrue="1">
      <formula>DS60&lt;&gt;""</formula>
    </cfRule>
  </conditionalFormatting>
  <conditionalFormatting sqref="CZ60">
    <cfRule type="expression" dxfId="1095" priority="779" stopIfTrue="1">
      <formula>DC60&lt;&gt;""</formula>
    </cfRule>
  </conditionalFormatting>
  <conditionalFormatting sqref="DA60">
    <cfRule type="expression" dxfId="1094" priority="778" stopIfTrue="1">
      <formula>DC60&lt;&gt;""</formula>
    </cfRule>
  </conditionalFormatting>
  <conditionalFormatting sqref="ED60 EJ60 EP60 EV60 FB60 FH60 FN60 FT60 FZ60 GF60 GL60 GR60 HA60 HI60 HO60 HU60 IA60 IG60 IM60 IS60 IY60 JE60 JK60 JQ60">
    <cfRule type="expression" dxfId="1093" priority="777" stopIfTrue="1">
      <formula>EG60&lt;&gt;""</formula>
    </cfRule>
  </conditionalFormatting>
  <conditionalFormatting sqref="EE60 EK60 EQ60 EW60 FC60 FI60 FO60 FU60 GA60 GG60 GM60 GS60 HB60 HJ60 HP60 HV60 IB60 IH60 IN60 IT60 IZ60 JF60 JL60 JR60">
    <cfRule type="expression" dxfId="1092" priority="776" stopIfTrue="1">
      <formula>EG60&lt;&gt;""</formula>
    </cfRule>
  </conditionalFormatting>
  <conditionalFormatting sqref="AZ60">
    <cfRule type="expression" dxfId="1091" priority="775" stopIfTrue="1">
      <formula>BC60&lt;&gt;""</formula>
    </cfRule>
  </conditionalFormatting>
  <conditionalFormatting sqref="BA60">
    <cfRule type="expression" dxfId="1090" priority="774" stopIfTrue="1">
      <formula>BC60&lt;&gt;""</formula>
    </cfRule>
  </conditionalFormatting>
  <conditionalFormatting sqref="CF60">
    <cfRule type="expression" dxfId="1089" priority="773" stopIfTrue="1">
      <formula>CI60&lt;&gt;""</formula>
    </cfRule>
  </conditionalFormatting>
  <conditionalFormatting sqref="CG60">
    <cfRule type="expression" dxfId="1088" priority="772" stopIfTrue="1">
      <formula>CI60&lt;&gt;""</formula>
    </cfRule>
  </conditionalFormatting>
  <conditionalFormatting sqref="CC62">
    <cfRule type="expression" dxfId="1087" priority="771" stopIfTrue="1">
      <formula>CI62&lt;&gt;""</formula>
    </cfRule>
  </conditionalFormatting>
  <conditionalFormatting sqref="CD62">
    <cfRule type="expression" dxfId="1086" priority="770" stopIfTrue="1">
      <formula>CI62&lt;&gt;""</formula>
    </cfRule>
  </conditionalFormatting>
  <conditionalFormatting sqref="AI62">
    <cfRule type="expression" dxfId="1085" priority="768" stopIfTrue="1">
      <formula>AK62&lt;&gt;""</formula>
    </cfRule>
  </conditionalFormatting>
  <conditionalFormatting sqref="AT62">
    <cfRule type="expression" dxfId="1084" priority="767" stopIfTrue="1">
      <formula>AW62&lt;&gt;""</formula>
    </cfRule>
  </conditionalFormatting>
  <conditionalFormatting sqref="AU62">
    <cfRule type="expression" dxfId="1083" priority="766" stopIfTrue="1">
      <formula>AW62&lt;&gt;""</formula>
    </cfRule>
  </conditionalFormatting>
  <conditionalFormatting sqref="BF62">
    <cfRule type="expression" dxfId="1082" priority="765" stopIfTrue="1">
      <formula>BI62&lt;&gt;""</formula>
    </cfRule>
  </conditionalFormatting>
  <conditionalFormatting sqref="BG62">
    <cfRule type="expression" dxfId="1081" priority="764" stopIfTrue="1">
      <formula>BI62&lt;&gt;""</formula>
    </cfRule>
  </conditionalFormatting>
  <conditionalFormatting sqref="BO62">
    <cfRule type="expression" dxfId="1080" priority="763" stopIfTrue="1">
      <formula>BR62&lt;&gt;""</formula>
    </cfRule>
  </conditionalFormatting>
  <conditionalFormatting sqref="BP62">
    <cfRule type="expression" dxfId="1079" priority="762" stopIfTrue="1">
      <formula>BR62&lt;&gt;""</formula>
    </cfRule>
  </conditionalFormatting>
  <conditionalFormatting sqref="AN62">
    <cfRule type="expression" dxfId="1078" priority="761" stopIfTrue="1">
      <formula>AQ62&lt;&gt;""</formula>
    </cfRule>
  </conditionalFormatting>
  <conditionalFormatting sqref="AO62">
    <cfRule type="expression" dxfId="1077" priority="760" stopIfTrue="1">
      <formula>AQ62&lt;&gt;""</formula>
    </cfRule>
  </conditionalFormatting>
  <conditionalFormatting sqref="CZ62">
    <cfRule type="expression" dxfId="1076" priority="759" stopIfTrue="1">
      <formula>DC62&lt;&gt;""</formula>
    </cfRule>
  </conditionalFormatting>
  <conditionalFormatting sqref="DA62">
    <cfRule type="expression" dxfId="1075" priority="758" stopIfTrue="1">
      <formula>DC62&lt;&gt;""</formula>
    </cfRule>
  </conditionalFormatting>
  <conditionalFormatting sqref="ED62">
    <cfRule type="expression" dxfId="1074" priority="757" stopIfTrue="1">
      <formula>EG62&lt;&gt;""</formula>
    </cfRule>
  </conditionalFormatting>
  <conditionalFormatting sqref="EE62">
    <cfRule type="expression" dxfId="1073" priority="756" stopIfTrue="1">
      <formula>EG62&lt;&gt;""</formula>
    </cfRule>
  </conditionalFormatting>
  <conditionalFormatting sqref="EP62">
    <cfRule type="expression" dxfId="1072" priority="755" stopIfTrue="1">
      <formula>ES62&lt;&gt;""</formula>
    </cfRule>
  </conditionalFormatting>
  <conditionalFormatting sqref="EQ62">
    <cfRule type="expression" dxfId="1071" priority="754" stopIfTrue="1">
      <formula>ES62&lt;&gt;""</formula>
    </cfRule>
  </conditionalFormatting>
  <conditionalFormatting sqref="EV62">
    <cfRule type="expression" dxfId="1070" priority="753" stopIfTrue="1">
      <formula>EY62&lt;&gt;""</formula>
    </cfRule>
  </conditionalFormatting>
  <conditionalFormatting sqref="EW62">
    <cfRule type="expression" dxfId="1069" priority="752" stopIfTrue="1">
      <formula>EY62&lt;&gt;""</formula>
    </cfRule>
  </conditionalFormatting>
  <conditionalFormatting sqref="HI62">
    <cfRule type="expression" dxfId="1068" priority="751" stopIfTrue="1">
      <formula>HL62&lt;&gt;""</formula>
    </cfRule>
  </conditionalFormatting>
  <conditionalFormatting sqref="HJ62">
    <cfRule type="expression" dxfId="1067" priority="750" stopIfTrue="1">
      <formula>HL62&lt;&gt;""</formula>
    </cfRule>
  </conditionalFormatting>
  <conditionalFormatting sqref="DJ62">
    <cfRule type="expression" dxfId="1066" priority="749" stopIfTrue="1">
      <formula>DM62&lt;&gt;""</formula>
    </cfRule>
  </conditionalFormatting>
  <conditionalFormatting sqref="DK62">
    <cfRule type="expression" dxfId="1065" priority="748" stopIfTrue="1">
      <formula>DM62&lt;&gt;""</formula>
    </cfRule>
  </conditionalFormatting>
  <conditionalFormatting sqref="DP62">
    <cfRule type="expression" dxfId="1064" priority="747" stopIfTrue="1">
      <formula>DS62&lt;&gt;""</formula>
    </cfRule>
  </conditionalFormatting>
  <conditionalFormatting sqref="DQ62">
    <cfRule type="expression" dxfId="1063" priority="746" stopIfTrue="1">
      <formula>DS62&lt;&gt;""</formula>
    </cfRule>
  </conditionalFormatting>
  <conditionalFormatting sqref="CZ62">
    <cfRule type="expression" dxfId="1062" priority="745" stopIfTrue="1">
      <formula>DC62&lt;&gt;""</formula>
    </cfRule>
  </conditionalFormatting>
  <conditionalFormatting sqref="DA62">
    <cfRule type="expression" dxfId="1061" priority="744" stopIfTrue="1">
      <formula>DC62&lt;&gt;""</formula>
    </cfRule>
  </conditionalFormatting>
  <conditionalFormatting sqref="ED62 EJ62 EP62 EV62 FB62 FH62 FN62 FT62 FZ62 GF62 GL62 GR62 HA62 HI62 HO62 HU62 IA62 IG62 IM62 IS62 IY62 JE62 JK62 JQ62">
    <cfRule type="expression" dxfId="1060" priority="743" stopIfTrue="1">
      <formula>EG62&lt;&gt;""</formula>
    </cfRule>
  </conditionalFormatting>
  <conditionalFormatting sqref="EE62 EK62 EQ62 EW62 FC62 FI62 FO62 FU62 GA62 GG62 GM62 GS62 HB62 HJ62 HP62 HV62 IB62 IH62 IN62 IT62 IZ62 JF62 JL62 JR62">
    <cfRule type="expression" dxfId="1059" priority="742" stopIfTrue="1">
      <formula>EG62&lt;&gt;""</formula>
    </cfRule>
  </conditionalFormatting>
  <conditionalFormatting sqref="AZ62">
    <cfRule type="expression" dxfId="1058" priority="741" stopIfTrue="1">
      <formula>BC62&lt;&gt;""</formula>
    </cfRule>
  </conditionalFormatting>
  <conditionalFormatting sqref="BA62">
    <cfRule type="expression" dxfId="1057" priority="740" stopIfTrue="1">
      <formula>BC62&lt;&gt;""</formula>
    </cfRule>
  </conditionalFormatting>
  <conditionalFormatting sqref="CF62">
    <cfRule type="expression" dxfId="1056" priority="739" stopIfTrue="1">
      <formula>CI62&lt;&gt;""</formula>
    </cfRule>
  </conditionalFormatting>
  <conditionalFormatting sqref="CG62">
    <cfRule type="expression" dxfId="1055" priority="738" stopIfTrue="1">
      <formula>CI62&lt;&gt;""</formula>
    </cfRule>
  </conditionalFormatting>
  <conditionalFormatting sqref="CC64">
    <cfRule type="expression" dxfId="1054" priority="737" stopIfTrue="1">
      <formula>CI64&lt;&gt;""</formula>
    </cfRule>
  </conditionalFormatting>
  <conditionalFormatting sqref="CD64">
    <cfRule type="expression" dxfId="1053" priority="736" stopIfTrue="1">
      <formula>CI64&lt;&gt;""</formula>
    </cfRule>
  </conditionalFormatting>
  <conditionalFormatting sqref="AI64">
    <cfRule type="expression" dxfId="1052" priority="734" stopIfTrue="1">
      <formula>AK64&lt;&gt;""</formula>
    </cfRule>
  </conditionalFormatting>
  <conditionalFormatting sqref="AT64">
    <cfRule type="expression" dxfId="1051" priority="733" stopIfTrue="1">
      <formula>AW64&lt;&gt;""</formula>
    </cfRule>
  </conditionalFormatting>
  <conditionalFormatting sqref="AU64">
    <cfRule type="expression" dxfId="1050" priority="732" stopIfTrue="1">
      <formula>AW64&lt;&gt;""</formula>
    </cfRule>
  </conditionalFormatting>
  <conditionalFormatting sqref="BF64">
    <cfRule type="expression" dxfId="1049" priority="731" stopIfTrue="1">
      <formula>BI64&lt;&gt;""</formula>
    </cfRule>
  </conditionalFormatting>
  <conditionalFormatting sqref="BG64">
    <cfRule type="expression" dxfId="1048" priority="730" stopIfTrue="1">
      <formula>BI64&lt;&gt;""</formula>
    </cfRule>
  </conditionalFormatting>
  <conditionalFormatting sqref="BO64">
    <cfRule type="expression" dxfId="1047" priority="729" stopIfTrue="1">
      <formula>BR64&lt;&gt;""</formula>
    </cfRule>
  </conditionalFormatting>
  <conditionalFormatting sqref="BP64">
    <cfRule type="expression" dxfId="1046" priority="728" stopIfTrue="1">
      <formula>BR64&lt;&gt;""</formula>
    </cfRule>
  </conditionalFormatting>
  <conditionalFormatting sqref="AN64">
    <cfRule type="expression" dxfId="1045" priority="727" stopIfTrue="1">
      <formula>AQ64&lt;&gt;""</formula>
    </cfRule>
  </conditionalFormatting>
  <conditionalFormatting sqref="AO64">
    <cfRule type="expression" dxfId="1044" priority="726" stopIfTrue="1">
      <formula>AQ64&lt;&gt;""</formula>
    </cfRule>
  </conditionalFormatting>
  <conditionalFormatting sqref="CZ64">
    <cfRule type="expression" dxfId="1043" priority="725" stopIfTrue="1">
      <formula>DC64&lt;&gt;""</formula>
    </cfRule>
  </conditionalFormatting>
  <conditionalFormatting sqref="DA64">
    <cfRule type="expression" dxfId="1042" priority="724" stopIfTrue="1">
      <formula>DC64&lt;&gt;""</formula>
    </cfRule>
  </conditionalFormatting>
  <conditionalFormatting sqref="ED64">
    <cfRule type="expression" dxfId="1041" priority="723" stopIfTrue="1">
      <formula>EG64&lt;&gt;""</formula>
    </cfRule>
  </conditionalFormatting>
  <conditionalFormatting sqref="EE64">
    <cfRule type="expression" dxfId="1040" priority="722" stopIfTrue="1">
      <formula>EG64&lt;&gt;""</formula>
    </cfRule>
  </conditionalFormatting>
  <conditionalFormatting sqref="EP64">
    <cfRule type="expression" dxfId="1039" priority="721" stopIfTrue="1">
      <formula>ES64&lt;&gt;""</formula>
    </cfRule>
  </conditionalFormatting>
  <conditionalFormatting sqref="EQ64">
    <cfRule type="expression" dxfId="1038" priority="720" stopIfTrue="1">
      <formula>ES64&lt;&gt;""</formula>
    </cfRule>
  </conditionalFormatting>
  <conditionalFormatting sqref="EV64">
    <cfRule type="expression" dxfId="1037" priority="719" stopIfTrue="1">
      <formula>EY64&lt;&gt;""</formula>
    </cfRule>
  </conditionalFormatting>
  <conditionalFormatting sqref="EW64">
    <cfRule type="expression" dxfId="1036" priority="718" stopIfTrue="1">
      <formula>EY64&lt;&gt;""</formula>
    </cfRule>
  </conditionalFormatting>
  <conditionalFormatting sqref="HI64">
    <cfRule type="expression" dxfId="1035" priority="717" stopIfTrue="1">
      <formula>HL64&lt;&gt;""</formula>
    </cfRule>
  </conditionalFormatting>
  <conditionalFormatting sqref="HJ64">
    <cfRule type="expression" dxfId="1034" priority="716" stopIfTrue="1">
      <formula>HL64&lt;&gt;""</formula>
    </cfRule>
  </conditionalFormatting>
  <conditionalFormatting sqref="DJ64">
    <cfRule type="expression" dxfId="1033" priority="715" stopIfTrue="1">
      <formula>DM64&lt;&gt;""</formula>
    </cfRule>
  </conditionalFormatting>
  <conditionalFormatting sqref="DK64">
    <cfRule type="expression" dxfId="1032" priority="714" stopIfTrue="1">
      <formula>DM64&lt;&gt;""</formula>
    </cfRule>
  </conditionalFormatting>
  <conditionalFormatting sqref="DP64">
    <cfRule type="expression" dxfId="1031" priority="713" stopIfTrue="1">
      <formula>DS64&lt;&gt;""</formula>
    </cfRule>
  </conditionalFormatting>
  <conditionalFormatting sqref="DQ64">
    <cfRule type="expression" dxfId="1030" priority="712" stopIfTrue="1">
      <formula>DS64&lt;&gt;""</formula>
    </cfRule>
  </conditionalFormatting>
  <conditionalFormatting sqref="CZ64">
    <cfRule type="expression" dxfId="1029" priority="711" stopIfTrue="1">
      <formula>DC64&lt;&gt;""</formula>
    </cfRule>
  </conditionalFormatting>
  <conditionalFormatting sqref="DA64">
    <cfRule type="expression" dxfId="1028" priority="710" stopIfTrue="1">
      <formula>DC64&lt;&gt;""</formula>
    </cfRule>
  </conditionalFormatting>
  <conditionalFormatting sqref="ED64 EJ64 EP64 EV64 FB64 FH64 FN64 FT64 FZ64 GF64 GL64 GR64 HA64 HI64 HO64 HU64 IA64 IG64 IM64 IS64 IY64 JE64 JK64 JQ64">
    <cfRule type="expression" dxfId="1027" priority="709" stopIfTrue="1">
      <formula>EG64&lt;&gt;""</formula>
    </cfRule>
  </conditionalFormatting>
  <conditionalFormatting sqref="EE64 EK64 EQ64 EW64 FC64 FI64 FO64 FU64 GA64 GG64 GM64 GS64 HB64 HJ64 HP64 HV64 IB64 IH64 IN64 IT64 IZ64 JF64 JL64 JR64">
    <cfRule type="expression" dxfId="1026" priority="708" stopIfTrue="1">
      <formula>EG64&lt;&gt;""</formula>
    </cfRule>
  </conditionalFormatting>
  <conditionalFormatting sqref="AZ64">
    <cfRule type="expression" dxfId="1025" priority="707" stopIfTrue="1">
      <formula>BC64&lt;&gt;""</formula>
    </cfRule>
  </conditionalFormatting>
  <conditionalFormatting sqref="BA64">
    <cfRule type="expression" dxfId="1024" priority="706" stopIfTrue="1">
      <formula>BC64&lt;&gt;""</formula>
    </cfRule>
  </conditionalFormatting>
  <conditionalFormatting sqref="CF64">
    <cfRule type="expression" dxfId="1023" priority="705" stopIfTrue="1">
      <formula>CI64&lt;&gt;""</formula>
    </cfRule>
  </conditionalFormatting>
  <conditionalFormatting sqref="CG64">
    <cfRule type="expression" dxfId="1022" priority="704" stopIfTrue="1">
      <formula>CI64&lt;&gt;""</formula>
    </cfRule>
  </conditionalFormatting>
  <conditionalFormatting sqref="CC66">
    <cfRule type="expression" dxfId="1021" priority="703" stopIfTrue="1">
      <formula>CI66&lt;&gt;""</formula>
    </cfRule>
  </conditionalFormatting>
  <conditionalFormatting sqref="CD66">
    <cfRule type="expression" dxfId="1020" priority="702" stopIfTrue="1">
      <formula>CI66&lt;&gt;""</formula>
    </cfRule>
  </conditionalFormatting>
  <conditionalFormatting sqref="AI66">
    <cfRule type="expression" dxfId="1019" priority="700" stopIfTrue="1">
      <formula>AK66&lt;&gt;""</formula>
    </cfRule>
  </conditionalFormatting>
  <conditionalFormatting sqref="AT66">
    <cfRule type="expression" dxfId="1018" priority="699" stopIfTrue="1">
      <formula>AW66&lt;&gt;""</formula>
    </cfRule>
  </conditionalFormatting>
  <conditionalFormatting sqref="AU66">
    <cfRule type="expression" dxfId="1017" priority="698" stopIfTrue="1">
      <formula>AW66&lt;&gt;""</formula>
    </cfRule>
  </conditionalFormatting>
  <conditionalFormatting sqref="BF66">
    <cfRule type="expression" dxfId="1016" priority="697" stopIfTrue="1">
      <formula>BI66&lt;&gt;""</formula>
    </cfRule>
  </conditionalFormatting>
  <conditionalFormatting sqref="BG66">
    <cfRule type="expression" dxfId="1015" priority="696" stopIfTrue="1">
      <formula>BI66&lt;&gt;""</formula>
    </cfRule>
  </conditionalFormatting>
  <conditionalFormatting sqref="BO66">
    <cfRule type="expression" dxfId="1014" priority="695" stopIfTrue="1">
      <formula>BR66&lt;&gt;""</formula>
    </cfRule>
  </conditionalFormatting>
  <conditionalFormatting sqref="BP66">
    <cfRule type="expression" dxfId="1013" priority="694" stopIfTrue="1">
      <formula>BR66&lt;&gt;""</formula>
    </cfRule>
  </conditionalFormatting>
  <conditionalFormatting sqref="AN66">
    <cfRule type="expression" dxfId="1012" priority="693" stopIfTrue="1">
      <formula>AQ66&lt;&gt;""</formula>
    </cfRule>
  </conditionalFormatting>
  <conditionalFormatting sqref="AO66">
    <cfRule type="expression" dxfId="1011" priority="692" stopIfTrue="1">
      <formula>AQ66&lt;&gt;""</formula>
    </cfRule>
  </conditionalFormatting>
  <conditionalFormatting sqref="CZ66">
    <cfRule type="expression" dxfId="1010" priority="691" stopIfTrue="1">
      <formula>DC66&lt;&gt;""</formula>
    </cfRule>
  </conditionalFormatting>
  <conditionalFormatting sqref="DA66">
    <cfRule type="expression" dxfId="1009" priority="690" stopIfTrue="1">
      <formula>DC66&lt;&gt;""</formula>
    </cfRule>
  </conditionalFormatting>
  <conditionalFormatting sqref="ED66">
    <cfRule type="expression" dxfId="1008" priority="689" stopIfTrue="1">
      <formula>EG66&lt;&gt;""</formula>
    </cfRule>
  </conditionalFormatting>
  <conditionalFormatting sqref="EE66">
    <cfRule type="expression" dxfId="1007" priority="688" stopIfTrue="1">
      <formula>EG66&lt;&gt;""</formula>
    </cfRule>
  </conditionalFormatting>
  <conditionalFormatting sqref="EP66">
    <cfRule type="expression" dxfId="1006" priority="687" stopIfTrue="1">
      <formula>ES66&lt;&gt;""</formula>
    </cfRule>
  </conditionalFormatting>
  <conditionalFormatting sqref="EQ66">
    <cfRule type="expression" dxfId="1005" priority="686" stopIfTrue="1">
      <formula>ES66&lt;&gt;""</formula>
    </cfRule>
  </conditionalFormatting>
  <conditionalFormatting sqref="EV66">
    <cfRule type="expression" dxfId="1004" priority="685" stopIfTrue="1">
      <formula>EY66&lt;&gt;""</formula>
    </cfRule>
  </conditionalFormatting>
  <conditionalFormatting sqref="EW66">
    <cfRule type="expression" dxfId="1003" priority="684" stopIfTrue="1">
      <formula>EY66&lt;&gt;""</formula>
    </cfRule>
  </conditionalFormatting>
  <conditionalFormatting sqref="HI66">
    <cfRule type="expression" dxfId="1002" priority="683" stopIfTrue="1">
      <formula>HL66&lt;&gt;""</formula>
    </cfRule>
  </conditionalFormatting>
  <conditionalFormatting sqref="HJ66">
    <cfRule type="expression" dxfId="1001" priority="682" stopIfTrue="1">
      <formula>HL66&lt;&gt;""</formula>
    </cfRule>
  </conditionalFormatting>
  <conditionalFormatting sqref="DJ66">
    <cfRule type="expression" dxfId="1000" priority="681" stopIfTrue="1">
      <formula>DM66&lt;&gt;""</formula>
    </cfRule>
  </conditionalFormatting>
  <conditionalFormatting sqref="DK66">
    <cfRule type="expression" dxfId="999" priority="680" stopIfTrue="1">
      <formula>DM66&lt;&gt;""</formula>
    </cfRule>
  </conditionalFormatting>
  <conditionalFormatting sqref="DP66">
    <cfRule type="expression" dxfId="998" priority="679" stopIfTrue="1">
      <formula>DS66&lt;&gt;""</formula>
    </cfRule>
  </conditionalFormatting>
  <conditionalFormatting sqref="DQ66">
    <cfRule type="expression" dxfId="997" priority="678" stopIfTrue="1">
      <formula>DS66&lt;&gt;""</formula>
    </cfRule>
  </conditionalFormatting>
  <conditionalFormatting sqref="CZ66">
    <cfRule type="expression" dxfId="996" priority="677" stopIfTrue="1">
      <formula>DC66&lt;&gt;""</formula>
    </cfRule>
  </conditionalFormatting>
  <conditionalFormatting sqref="DA66">
    <cfRule type="expression" dxfId="995" priority="676" stopIfTrue="1">
      <formula>DC66&lt;&gt;""</formula>
    </cfRule>
  </conditionalFormatting>
  <conditionalFormatting sqref="ED66 EJ66 EP66 EV66 FB66 FH66 FN66 FT66 FZ66 GF66 GL66 GR66 HA66 HI66 HO66 HU66 IA66 IG66 IM66 IS66 IY66 JE66 JK66 JQ66">
    <cfRule type="expression" dxfId="994" priority="675" stopIfTrue="1">
      <formula>EG66&lt;&gt;""</formula>
    </cfRule>
  </conditionalFormatting>
  <conditionalFormatting sqref="EE66 EK66 EQ66 EW66 FC66 FI66 FO66 FU66 GA66 GG66 GM66 GS66 HB66 HJ66 HP66 HV66 IB66 IH66 IN66 IT66 IZ66 JF66 JL66 JR66">
    <cfRule type="expression" dxfId="993" priority="674" stopIfTrue="1">
      <formula>EG66&lt;&gt;""</formula>
    </cfRule>
  </conditionalFormatting>
  <conditionalFormatting sqref="AZ66">
    <cfRule type="expression" dxfId="992" priority="673" stopIfTrue="1">
      <formula>BC66&lt;&gt;""</formula>
    </cfRule>
  </conditionalFormatting>
  <conditionalFormatting sqref="BA66">
    <cfRule type="expression" dxfId="991" priority="672" stopIfTrue="1">
      <formula>BC66&lt;&gt;""</formula>
    </cfRule>
  </conditionalFormatting>
  <conditionalFormatting sqref="CF66">
    <cfRule type="expression" dxfId="990" priority="671" stopIfTrue="1">
      <formula>CI66&lt;&gt;""</formula>
    </cfRule>
  </conditionalFormatting>
  <conditionalFormatting sqref="CG66">
    <cfRule type="expression" dxfId="989" priority="670" stopIfTrue="1">
      <formula>CI66&lt;&gt;""</formula>
    </cfRule>
  </conditionalFormatting>
  <conditionalFormatting sqref="CC68">
    <cfRule type="expression" dxfId="988" priority="669" stopIfTrue="1">
      <formula>CI68&lt;&gt;""</formula>
    </cfRule>
  </conditionalFormatting>
  <conditionalFormatting sqref="CD68">
    <cfRule type="expression" dxfId="987" priority="668" stopIfTrue="1">
      <formula>CI68&lt;&gt;""</formula>
    </cfRule>
  </conditionalFormatting>
  <conditionalFormatting sqref="AI68">
    <cfRule type="expression" dxfId="986" priority="666" stopIfTrue="1">
      <formula>AK68&lt;&gt;""</formula>
    </cfRule>
  </conditionalFormatting>
  <conditionalFormatting sqref="AT68">
    <cfRule type="expression" dxfId="985" priority="665" stopIfTrue="1">
      <formula>AW68&lt;&gt;""</formula>
    </cfRule>
  </conditionalFormatting>
  <conditionalFormatting sqref="AU68">
    <cfRule type="expression" dxfId="984" priority="664" stopIfTrue="1">
      <formula>AW68&lt;&gt;""</formula>
    </cfRule>
  </conditionalFormatting>
  <conditionalFormatting sqref="BF68">
    <cfRule type="expression" dxfId="983" priority="663" stopIfTrue="1">
      <formula>BI68&lt;&gt;""</formula>
    </cfRule>
  </conditionalFormatting>
  <conditionalFormatting sqref="BG68">
    <cfRule type="expression" dxfId="982" priority="662" stopIfTrue="1">
      <formula>BI68&lt;&gt;""</formula>
    </cfRule>
  </conditionalFormatting>
  <conditionalFormatting sqref="BO68">
    <cfRule type="expression" dxfId="981" priority="661" stopIfTrue="1">
      <formula>BR68&lt;&gt;""</formula>
    </cfRule>
  </conditionalFormatting>
  <conditionalFormatting sqref="BP68">
    <cfRule type="expression" dxfId="980" priority="660" stopIfTrue="1">
      <formula>BR68&lt;&gt;""</formula>
    </cfRule>
  </conditionalFormatting>
  <conditionalFormatting sqref="AN68">
    <cfRule type="expression" dxfId="979" priority="659" stopIfTrue="1">
      <formula>AQ68&lt;&gt;""</formula>
    </cfRule>
  </conditionalFormatting>
  <conditionalFormatting sqref="AO68">
    <cfRule type="expression" dxfId="978" priority="658" stopIfTrue="1">
      <formula>AQ68&lt;&gt;""</formula>
    </cfRule>
  </conditionalFormatting>
  <conditionalFormatting sqref="CZ68">
    <cfRule type="expression" dxfId="977" priority="657" stopIfTrue="1">
      <formula>DC68&lt;&gt;""</formula>
    </cfRule>
  </conditionalFormatting>
  <conditionalFormatting sqref="DA68">
    <cfRule type="expression" dxfId="976" priority="656" stopIfTrue="1">
      <formula>DC68&lt;&gt;""</formula>
    </cfRule>
  </conditionalFormatting>
  <conditionalFormatting sqref="ED68">
    <cfRule type="expression" dxfId="975" priority="655" stopIfTrue="1">
      <formula>EG68&lt;&gt;""</formula>
    </cfRule>
  </conditionalFormatting>
  <conditionalFormatting sqref="EE68">
    <cfRule type="expression" dxfId="974" priority="654" stopIfTrue="1">
      <formula>EG68&lt;&gt;""</formula>
    </cfRule>
  </conditionalFormatting>
  <conditionalFormatting sqref="EP68">
    <cfRule type="expression" dxfId="973" priority="653" stopIfTrue="1">
      <formula>ES68&lt;&gt;""</formula>
    </cfRule>
  </conditionalFormatting>
  <conditionalFormatting sqref="EQ68">
    <cfRule type="expression" dxfId="972" priority="652" stopIfTrue="1">
      <formula>ES68&lt;&gt;""</formula>
    </cfRule>
  </conditionalFormatting>
  <conditionalFormatting sqref="EV68">
    <cfRule type="expression" dxfId="971" priority="651" stopIfTrue="1">
      <formula>EY68&lt;&gt;""</formula>
    </cfRule>
  </conditionalFormatting>
  <conditionalFormatting sqref="EW68">
    <cfRule type="expression" dxfId="970" priority="650" stopIfTrue="1">
      <formula>EY68&lt;&gt;""</formula>
    </cfRule>
  </conditionalFormatting>
  <conditionalFormatting sqref="HI68">
    <cfRule type="expression" dxfId="969" priority="649" stopIfTrue="1">
      <formula>HL68&lt;&gt;""</formula>
    </cfRule>
  </conditionalFormatting>
  <conditionalFormatting sqref="HJ68">
    <cfRule type="expression" dxfId="968" priority="648" stopIfTrue="1">
      <formula>HL68&lt;&gt;""</formula>
    </cfRule>
  </conditionalFormatting>
  <conditionalFormatting sqref="DJ68">
    <cfRule type="expression" dxfId="967" priority="647" stopIfTrue="1">
      <formula>DM68&lt;&gt;""</formula>
    </cfRule>
  </conditionalFormatting>
  <conditionalFormatting sqref="DK68">
    <cfRule type="expression" dxfId="966" priority="646" stopIfTrue="1">
      <formula>DM68&lt;&gt;""</formula>
    </cfRule>
  </conditionalFormatting>
  <conditionalFormatting sqref="DP68">
    <cfRule type="expression" dxfId="965" priority="645" stopIfTrue="1">
      <formula>DS68&lt;&gt;""</formula>
    </cfRule>
  </conditionalFormatting>
  <conditionalFormatting sqref="DQ68">
    <cfRule type="expression" dxfId="964" priority="644" stopIfTrue="1">
      <formula>DS68&lt;&gt;""</formula>
    </cfRule>
  </conditionalFormatting>
  <conditionalFormatting sqref="CZ68">
    <cfRule type="expression" dxfId="963" priority="643" stopIfTrue="1">
      <formula>DC68&lt;&gt;""</formula>
    </cfRule>
  </conditionalFormatting>
  <conditionalFormatting sqref="DA68">
    <cfRule type="expression" dxfId="962" priority="642" stopIfTrue="1">
      <formula>DC68&lt;&gt;""</formula>
    </cfRule>
  </conditionalFormatting>
  <conditionalFormatting sqref="ED68 EJ68 EP68 EV68 FB68 FH68 FN68 FT68 FZ68 GF68 GL68 GR68 HA68 HI68 HO68 HU68 IA68 IG68 IM68 IS68 IY68 JE68 JK68 JQ68">
    <cfRule type="expression" dxfId="961" priority="641" stopIfTrue="1">
      <formula>EG68&lt;&gt;""</formula>
    </cfRule>
  </conditionalFormatting>
  <conditionalFormatting sqref="EE68 EK68 EQ68 EW68 FC68 FI68 FO68 FU68 GA68 GG68 GM68 GS68 HB68 HJ68 HP68 HV68 IB68 IH68 IN68 IT68 IZ68 JF68 JL68 JR68">
    <cfRule type="expression" dxfId="960" priority="640" stopIfTrue="1">
      <formula>EG68&lt;&gt;""</formula>
    </cfRule>
  </conditionalFormatting>
  <conditionalFormatting sqref="AZ68">
    <cfRule type="expression" dxfId="959" priority="639" stopIfTrue="1">
      <formula>BC68&lt;&gt;""</formula>
    </cfRule>
  </conditionalFormatting>
  <conditionalFormatting sqref="BA68">
    <cfRule type="expression" dxfId="958" priority="638" stopIfTrue="1">
      <formula>BC68&lt;&gt;""</formula>
    </cfRule>
  </conditionalFormatting>
  <conditionalFormatting sqref="CF68">
    <cfRule type="expression" dxfId="957" priority="637" stopIfTrue="1">
      <formula>CI68&lt;&gt;""</formula>
    </cfRule>
  </conditionalFormatting>
  <conditionalFormatting sqref="CG68">
    <cfRule type="expression" dxfId="956" priority="636" stopIfTrue="1">
      <formula>CI68&lt;&gt;""</formula>
    </cfRule>
  </conditionalFormatting>
  <conditionalFormatting sqref="CC70">
    <cfRule type="expression" dxfId="955" priority="635" stopIfTrue="1">
      <formula>CI70&lt;&gt;""</formula>
    </cfRule>
  </conditionalFormatting>
  <conditionalFormatting sqref="CD70">
    <cfRule type="expression" dxfId="954" priority="634" stopIfTrue="1">
      <formula>CI70&lt;&gt;""</formula>
    </cfRule>
  </conditionalFormatting>
  <conditionalFormatting sqref="AI70">
    <cfRule type="expression" dxfId="953" priority="632" stopIfTrue="1">
      <formula>AK70&lt;&gt;""</formula>
    </cfRule>
  </conditionalFormatting>
  <conditionalFormatting sqref="AT70">
    <cfRule type="expression" dxfId="952" priority="631" stopIfTrue="1">
      <formula>AW70&lt;&gt;""</formula>
    </cfRule>
  </conditionalFormatting>
  <conditionalFormatting sqref="AU70">
    <cfRule type="expression" dxfId="951" priority="630" stopIfTrue="1">
      <formula>AW70&lt;&gt;""</formula>
    </cfRule>
  </conditionalFormatting>
  <conditionalFormatting sqref="BF70">
    <cfRule type="expression" dxfId="950" priority="629" stopIfTrue="1">
      <formula>BI70&lt;&gt;""</formula>
    </cfRule>
  </conditionalFormatting>
  <conditionalFormatting sqref="BG70">
    <cfRule type="expression" dxfId="949" priority="628" stopIfTrue="1">
      <formula>BI70&lt;&gt;""</formula>
    </cfRule>
  </conditionalFormatting>
  <conditionalFormatting sqref="BO70">
    <cfRule type="expression" dxfId="948" priority="627" stopIfTrue="1">
      <formula>BR70&lt;&gt;""</formula>
    </cfRule>
  </conditionalFormatting>
  <conditionalFormatting sqref="BP70">
    <cfRule type="expression" dxfId="947" priority="626" stopIfTrue="1">
      <formula>BR70&lt;&gt;""</formula>
    </cfRule>
  </conditionalFormatting>
  <conditionalFormatting sqref="AN70">
    <cfRule type="expression" dxfId="946" priority="625" stopIfTrue="1">
      <formula>AQ70&lt;&gt;""</formula>
    </cfRule>
  </conditionalFormatting>
  <conditionalFormatting sqref="AO70">
    <cfRule type="expression" dxfId="945" priority="624" stopIfTrue="1">
      <formula>AQ70&lt;&gt;""</formula>
    </cfRule>
  </conditionalFormatting>
  <conditionalFormatting sqref="CZ70">
    <cfRule type="expression" dxfId="944" priority="623" stopIfTrue="1">
      <formula>DC70&lt;&gt;""</formula>
    </cfRule>
  </conditionalFormatting>
  <conditionalFormatting sqref="DA70">
    <cfRule type="expression" dxfId="943" priority="622" stopIfTrue="1">
      <formula>DC70&lt;&gt;""</formula>
    </cfRule>
  </conditionalFormatting>
  <conditionalFormatting sqref="ED70">
    <cfRule type="expression" dxfId="942" priority="621" stopIfTrue="1">
      <formula>EG70&lt;&gt;""</formula>
    </cfRule>
  </conditionalFormatting>
  <conditionalFormatting sqref="EE70">
    <cfRule type="expression" dxfId="941" priority="620" stopIfTrue="1">
      <formula>EG70&lt;&gt;""</formula>
    </cfRule>
  </conditionalFormatting>
  <conditionalFormatting sqref="EP70">
    <cfRule type="expression" dxfId="940" priority="619" stopIfTrue="1">
      <formula>ES70&lt;&gt;""</formula>
    </cfRule>
  </conditionalFormatting>
  <conditionalFormatting sqref="EQ70">
    <cfRule type="expression" dxfId="939" priority="618" stopIfTrue="1">
      <formula>ES70&lt;&gt;""</formula>
    </cfRule>
  </conditionalFormatting>
  <conditionalFormatting sqref="EV70">
    <cfRule type="expression" dxfId="938" priority="617" stopIfTrue="1">
      <formula>EY70&lt;&gt;""</formula>
    </cfRule>
  </conditionalFormatting>
  <conditionalFormatting sqref="EW70">
    <cfRule type="expression" dxfId="937" priority="616" stopIfTrue="1">
      <formula>EY70&lt;&gt;""</formula>
    </cfRule>
  </conditionalFormatting>
  <conditionalFormatting sqref="HI70">
    <cfRule type="expression" dxfId="936" priority="615" stopIfTrue="1">
      <formula>HL70&lt;&gt;""</formula>
    </cfRule>
  </conditionalFormatting>
  <conditionalFormatting sqref="HJ70">
    <cfRule type="expression" dxfId="935" priority="614" stopIfTrue="1">
      <formula>HL70&lt;&gt;""</formula>
    </cfRule>
  </conditionalFormatting>
  <conditionalFormatting sqref="DJ70">
    <cfRule type="expression" dxfId="934" priority="613" stopIfTrue="1">
      <formula>DM70&lt;&gt;""</formula>
    </cfRule>
  </conditionalFormatting>
  <conditionalFormatting sqref="DK70">
    <cfRule type="expression" dxfId="933" priority="612" stopIfTrue="1">
      <formula>DM70&lt;&gt;""</formula>
    </cfRule>
  </conditionalFormatting>
  <conditionalFormatting sqref="DP70">
    <cfRule type="expression" dxfId="932" priority="611" stopIfTrue="1">
      <formula>DS70&lt;&gt;""</formula>
    </cfRule>
  </conditionalFormatting>
  <conditionalFormatting sqref="DQ70">
    <cfRule type="expression" dxfId="931" priority="610" stopIfTrue="1">
      <formula>DS70&lt;&gt;""</formula>
    </cfRule>
  </conditionalFormatting>
  <conditionalFormatting sqref="CZ70">
    <cfRule type="expression" dxfId="930" priority="609" stopIfTrue="1">
      <formula>DC70&lt;&gt;""</formula>
    </cfRule>
  </conditionalFormatting>
  <conditionalFormatting sqref="DA70">
    <cfRule type="expression" dxfId="929" priority="608" stopIfTrue="1">
      <formula>DC70&lt;&gt;""</formula>
    </cfRule>
  </conditionalFormatting>
  <conditionalFormatting sqref="ED70 EJ70 EP70 EV70 FB70 FH70 FN70 FT70 FZ70 GF70 GL70 GR70 HA70 HI70 HO70 HU70 IA70 IG70 IM70 IS70 IY70 JE70 JK70 JQ70">
    <cfRule type="expression" dxfId="928" priority="607" stopIfTrue="1">
      <formula>EG70&lt;&gt;""</formula>
    </cfRule>
  </conditionalFormatting>
  <conditionalFormatting sqref="EE70 EK70 EQ70 EW70 FC70 FI70 FO70 FU70 GA70 GG70 GM70 GS70 HB70 HJ70 HP70 HV70 IB70 IH70 IN70 IT70 IZ70 JF70 JL70 JR70">
    <cfRule type="expression" dxfId="927" priority="606" stopIfTrue="1">
      <formula>EG70&lt;&gt;""</formula>
    </cfRule>
  </conditionalFormatting>
  <conditionalFormatting sqref="AZ70">
    <cfRule type="expression" dxfId="926" priority="605" stopIfTrue="1">
      <formula>BC70&lt;&gt;""</formula>
    </cfRule>
  </conditionalFormatting>
  <conditionalFormatting sqref="BA70">
    <cfRule type="expression" dxfId="925" priority="604" stopIfTrue="1">
      <formula>BC70&lt;&gt;""</formula>
    </cfRule>
  </conditionalFormatting>
  <conditionalFormatting sqref="CF70">
    <cfRule type="expression" dxfId="924" priority="603" stopIfTrue="1">
      <formula>CI70&lt;&gt;""</formula>
    </cfRule>
  </conditionalFormatting>
  <conditionalFormatting sqref="CG70">
    <cfRule type="expression" dxfId="923" priority="602" stopIfTrue="1">
      <formula>CI70&lt;&gt;""</formula>
    </cfRule>
  </conditionalFormatting>
  <conditionalFormatting sqref="CC116">
    <cfRule type="expression" dxfId="922" priority="601" stopIfTrue="1">
      <formula>CI116&lt;&gt;""</formula>
    </cfRule>
  </conditionalFormatting>
  <conditionalFormatting sqref="CD116">
    <cfRule type="expression" dxfId="921" priority="600" stopIfTrue="1">
      <formula>CI116&lt;&gt;""</formula>
    </cfRule>
  </conditionalFormatting>
  <conditionalFormatting sqref="AH116">
    <cfRule type="expression" dxfId="920" priority="9">
      <formula>IF(AI116="FE",TRUE,FALSE)</formula>
    </cfRule>
    <cfRule type="expression" dxfId="919" priority="598" stopIfTrue="1">
      <formula>AK116&lt;&gt;""</formula>
    </cfRule>
  </conditionalFormatting>
  <conditionalFormatting sqref="AI116">
    <cfRule type="expression" dxfId="918" priority="597" stopIfTrue="1">
      <formula>AK116&lt;&gt;""</formula>
    </cfRule>
  </conditionalFormatting>
  <conditionalFormatting sqref="AT116">
    <cfRule type="expression" dxfId="917" priority="596" stopIfTrue="1">
      <formula>AW116&lt;&gt;""</formula>
    </cfRule>
  </conditionalFormatting>
  <conditionalFormatting sqref="AU116">
    <cfRule type="expression" dxfId="916" priority="595" stopIfTrue="1">
      <formula>AW116&lt;&gt;""</formula>
    </cfRule>
  </conditionalFormatting>
  <conditionalFormatting sqref="BF116">
    <cfRule type="expression" dxfId="915" priority="594" stopIfTrue="1">
      <formula>BI116&lt;&gt;""</formula>
    </cfRule>
  </conditionalFormatting>
  <conditionalFormatting sqref="BG116">
    <cfRule type="expression" dxfId="914" priority="593" stopIfTrue="1">
      <formula>BI116&lt;&gt;""</formula>
    </cfRule>
  </conditionalFormatting>
  <conditionalFormatting sqref="BO116">
    <cfRule type="expression" dxfId="913" priority="592" stopIfTrue="1">
      <formula>BR116&lt;&gt;""</formula>
    </cfRule>
  </conditionalFormatting>
  <conditionalFormatting sqref="BP116">
    <cfRule type="expression" dxfId="912" priority="591" stopIfTrue="1">
      <formula>BR116&lt;&gt;""</formula>
    </cfRule>
  </conditionalFormatting>
  <conditionalFormatting sqref="AN116">
    <cfRule type="expression" dxfId="911" priority="590" stopIfTrue="1">
      <formula>AQ116&lt;&gt;""</formula>
    </cfRule>
  </conditionalFormatting>
  <conditionalFormatting sqref="AO116">
    <cfRule type="expression" dxfId="910" priority="589" stopIfTrue="1">
      <formula>AQ116&lt;&gt;""</formula>
    </cfRule>
  </conditionalFormatting>
  <conditionalFormatting sqref="CZ116">
    <cfRule type="expression" dxfId="909" priority="588" stopIfTrue="1">
      <formula>DC116&lt;&gt;""</formula>
    </cfRule>
  </conditionalFormatting>
  <conditionalFormatting sqref="DA116">
    <cfRule type="expression" dxfId="908" priority="587" stopIfTrue="1">
      <formula>DC116&lt;&gt;""</formula>
    </cfRule>
  </conditionalFormatting>
  <conditionalFormatting sqref="ED116">
    <cfRule type="expression" dxfId="907" priority="586" stopIfTrue="1">
      <formula>EG116&lt;&gt;""</formula>
    </cfRule>
  </conditionalFormatting>
  <conditionalFormatting sqref="EE116">
    <cfRule type="expression" dxfId="906" priority="585" stopIfTrue="1">
      <formula>EG116&lt;&gt;""</formula>
    </cfRule>
  </conditionalFormatting>
  <conditionalFormatting sqref="EP116">
    <cfRule type="expression" dxfId="905" priority="584" stopIfTrue="1">
      <formula>ES116&lt;&gt;""</formula>
    </cfRule>
  </conditionalFormatting>
  <conditionalFormatting sqref="EQ116">
    <cfRule type="expression" dxfId="904" priority="583" stopIfTrue="1">
      <formula>ES116&lt;&gt;""</formula>
    </cfRule>
  </conditionalFormatting>
  <conditionalFormatting sqref="EV116">
    <cfRule type="expression" dxfId="903" priority="582" stopIfTrue="1">
      <formula>EY116&lt;&gt;""</formula>
    </cfRule>
  </conditionalFormatting>
  <conditionalFormatting sqref="EW116">
    <cfRule type="expression" dxfId="902" priority="581" stopIfTrue="1">
      <formula>EY116&lt;&gt;""</formula>
    </cfRule>
  </conditionalFormatting>
  <conditionalFormatting sqref="HI116">
    <cfRule type="expression" dxfId="901" priority="580" stopIfTrue="1">
      <formula>HL116&lt;&gt;""</formula>
    </cfRule>
  </conditionalFormatting>
  <conditionalFormatting sqref="HJ116">
    <cfRule type="expression" dxfId="900" priority="579" stopIfTrue="1">
      <formula>HL116&lt;&gt;""</formula>
    </cfRule>
  </conditionalFormatting>
  <conditionalFormatting sqref="DJ116">
    <cfRule type="expression" dxfId="899" priority="578" stopIfTrue="1">
      <formula>DM116&lt;&gt;""</formula>
    </cfRule>
  </conditionalFormatting>
  <conditionalFormatting sqref="DK116">
    <cfRule type="expression" dxfId="898" priority="577" stopIfTrue="1">
      <formula>DM116&lt;&gt;""</formula>
    </cfRule>
  </conditionalFormatting>
  <conditionalFormatting sqref="DP116">
    <cfRule type="expression" dxfId="897" priority="576" stopIfTrue="1">
      <formula>DS116&lt;&gt;""</formula>
    </cfRule>
  </conditionalFormatting>
  <conditionalFormatting sqref="DQ116">
    <cfRule type="expression" dxfId="896" priority="575" stopIfTrue="1">
      <formula>DS116&lt;&gt;""</formula>
    </cfRule>
  </conditionalFormatting>
  <conditionalFormatting sqref="CZ116">
    <cfRule type="expression" dxfId="895" priority="574" stopIfTrue="1">
      <formula>DC116&lt;&gt;""</formula>
    </cfRule>
  </conditionalFormatting>
  <conditionalFormatting sqref="DA116">
    <cfRule type="expression" dxfId="894" priority="573" stopIfTrue="1">
      <formula>DC116&lt;&gt;""</formula>
    </cfRule>
  </conditionalFormatting>
  <conditionalFormatting sqref="ED116 EJ116 EP116 EV116 FB116 FH116 FN116 FT116 FZ116 GF116 GL116 GR116 HA116 HI116 HO116 HU116 IA116 IG116 IM116 IS116 IY116 JE116 JK116 JQ116">
    <cfRule type="expression" dxfId="893" priority="572" stopIfTrue="1">
      <formula>EG116&lt;&gt;""</formula>
    </cfRule>
  </conditionalFormatting>
  <conditionalFormatting sqref="EE116 EK116 EQ116 EW116 FC116 FI116 FO116 FU116 GA116 GG116 GM116 GS116 HB116 HJ116 HP116 HV116 IB116 IH116 IN116 IT116 IZ116 JF116 JL116 JR116">
    <cfRule type="expression" dxfId="892" priority="571" stopIfTrue="1">
      <formula>EG116&lt;&gt;""</formula>
    </cfRule>
  </conditionalFormatting>
  <conditionalFormatting sqref="AZ116">
    <cfRule type="expression" dxfId="891" priority="570" stopIfTrue="1">
      <formula>BC116&lt;&gt;""</formula>
    </cfRule>
  </conditionalFormatting>
  <conditionalFormatting sqref="BA116">
    <cfRule type="expression" dxfId="890" priority="569" stopIfTrue="1">
      <formula>BC116&lt;&gt;""</formula>
    </cfRule>
  </conditionalFormatting>
  <conditionalFormatting sqref="CF116">
    <cfRule type="expression" dxfId="889" priority="568" stopIfTrue="1">
      <formula>CI116&lt;&gt;""</formula>
    </cfRule>
  </conditionalFormatting>
  <conditionalFormatting sqref="CG116">
    <cfRule type="expression" dxfId="888" priority="567" stopIfTrue="1">
      <formula>CI116&lt;&gt;""</formula>
    </cfRule>
  </conditionalFormatting>
  <conditionalFormatting sqref="CC118">
    <cfRule type="expression" dxfId="887" priority="566" stopIfTrue="1">
      <formula>CI118&lt;&gt;""</formula>
    </cfRule>
  </conditionalFormatting>
  <conditionalFormatting sqref="CD118">
    <cfRule type="expression" dxfId="886" priority="565" stopIfTrue="1">
      <formula>CI118&lt;&gt;""</formula>
    </cfRule>
  </conditionalFormatting>
  <conditionalFormatting sqref="AI118">
    <cfRule type="expression" dxfId="885" priority="563" stopIfTrue="1">
      <formula>AK118&lt;&gt;""</formula>
    </cfRule>
  </conditionalFormatting>
  <conditionalFormatting sqref="AT118">
    <cfRule type="expression" dxfId="884" priority="562" stopIfTrue="1">
      <formula>AW118&lt;&gt;""</formula>
    </cfRule>
  </conditionalFormatting>
  <conditionalFormatting sqref="AU118">
    <cfRule type="expression" dxfId="883" priority="561" stopIfTrue="1">
      <formula>AW118&lt;&gt;""</formula>
    </cfRule>
  </conditionalFormatting>
  <conditionalFormatting sqref="BF118">
    <cfRule type="expression" dxfId="882" priority="560" stopIfTrue="1">
      <formula>BI118&lt;&gt;""</formula>
    </cfRule>
  </conditionalFormatting>
  <conditionalFormatting sqref="BG118">
    <cfRule type="expression" dxfId="881" priority="559" stopIfTrue="1">
      <formula>BI118&lt;&gt;""</formula>
    </cfRule>
  </conditionalFormatting>
  <conditionalFormatting sqref="BO118">
    <cfRule type="expression" dxfId="880" priority="558" stopIfTrue="1">
      <formula>BR118&lt;&gt;""</formula>
    </cfRule>
  </conditionalFormatting>
  <conditionalFormatting sqref="BP118">
    <cfRule type="expression" dxfId="879" priority="557" stopIfTrue="1">
      <formula>BR118&lt;&gt;""</formula>
    </cfRule>
  </conditionalFormatting>
  <conditionalFormatting sqref="AN118">
    <cfRule type="expression" dxfId="878" priority="556" stopIfTrue="1">
      <formula>AQ118&lt;&gt;""</formula>
    </cfRule>
  </conditionalFormatting>
  <conditionalFormatting sqref="AO118">
    <cfRule type="expression" dxfId="877" priority="555" stopIfTrue="1">
      <formula>AQ118&lt;&gt;""</formula>
    </cfRule>
  </conditionalFormatting>
  <conditionalFormatting sqref="CZ118">
    <cfRule type="expression" dxfId="876" priority="554" stopIfTrue="1">
      <formula>DC118&lt;&gt;""</formula>
    </cfRule>
  </conditionalFormatting>
  <conditionalFormatting sqref="DA118">
    <cfRule type="expression" dxfId="875" priority="553" stopIfTrue="1">
      <formula>DC118&lt;&gt;""</formula>
    </cfRule>
  </conditionalFormatting>
  <conditionalFormatting sqref="ED118">
    <cfRule type="expression" dxfId="874" priority="552" stopIfTrue="1">
      <formula>EG118&lt;&gt;""</formula>
    </cfRule>
  </conditionalFormatting>
  <conditionalFormatting sqref="EE118">
    <cfRule type="expression" dxfId="873" priority="551" stopIfTrue="1">
      <formula>EG118&lt;&gt;""</formula>
    </cfRule>
  </conditionalFormatting>
  <conditionalFormatting sqref="EP118">
    <cfRule type="expression" dxfId="872" priority="550" stopIfTrue="1">
      <formula>ES118&lt;&gt;""</formula>
    </cfRule>
  </conditionalFormatting>
  <conditionalFormatting sqref="EQ118">
    <cfRule type="expression" dxfId="871" priority="549" stopIfTrue="1">
      <formula>ES118&lt;&gt;""</formula>
    </cfRule>
  </conditionalFormatting>
  <conditionalFormatting sqref="EV118">
    <cfRule type="expression" dxfId="870" priority="548" stopIfTrue="1">
      <formula>EY118&lt;&gt;""</formula>
    </cfRule>
  </conditionalFormatting>
  <conditionalFormatting sqref="EW118">
    <cfRule type="expression" dxfId="869" priority="547" stopIfTrue="1">
      <formula>EY118&lt;&gt;""</formula>
    </cfRule>
  </conditionalFormatting>
  <conditionalFormatting sqref="HI118">
    <cfRule type="expression" dxfId="868" priority="546" stopIfTrue="1">
      <formula>HL118&lt;&gt;""</formula>
    </cfRule>
  </conditionalFormatting>
  <conditionalFormatting sqref="HJ118">
    <cfRule type="expression" dxfId="867" priority="545" stopIfTrue="1">
      <formula>HL118&lt;&gt;""</formula>
    </cfRule>
  </conditionalFormatting>
  <conditionalFormatting sqref="DJ118">
    <cfRule type="expression" dxfId="866" priority="544" stopIfTrue="1">
      <formula>DM118&lt;&gt;""</formula>
    </cfRule>
  </conditionalFormatting>
  <conditionalFormatting sqref="DK118">
    <cfRule type="expression" dxfId="865" priority="543" stopIfTrue="1">
      <formula>DM118&lt;&gt;""</formula>
    </cfRule>
  </conditionalFormatting>
  <conditionalFormatting sqref="DP118">
    <cfRule type="expression" dxfId="864" priority="542" stopIfTrue="1">
      <formula>DS118&lt;&gt;""</formula>
    </cfRule>
  </conditionalFormatting>
  <conditionalFormatting sqref="DQ118">
    <cfRule type="expression" dxfId="863" priority="541" stopIfTrue="1">
      <formula>DS118&lt;&gt;""</formula>
    </cfRule>
  </conditionalFormatting>
  <conditionalFormatting sqref="CZ118">
    <cfRule type="expression" dxfId="862" priority="540" stopIfTrue="1">
      <formula>DC118&lt;&gt;""</formula>
    </cfRule>
  </conditionalFormatting>
  <conditionalFormatting sqref="DA118">
    <cfRule type="expression" dxfId="861" priority="539" stopIfTrue="1">
      <formula>DC118&lt;&gt;""</formula>
    </cfRule>
  </conditionalFormatting>
  <conditionalFormatting sqref="ED118 EJ118 EP118 EV118 FB118 FH118 FN118 FT118 FZ118 GF118 GL118 GR118 HA118 HI118 HO118 HU118 IA118 IG118 IM118 IS118 IY118 JE118 JK118 JQ118">
    <cfRule type="expression" dxfId="860" priority="538" stopIfTrue="1">
      <formula>EG118&lt;&gt;""</formula>
    </cfRule>
  </conditionalFormatting>
  <conditionalFormatting sqref="EE118 EK118 EQ118 EW118 FC118 FI118 FO118 FU118 GA118 GG118 GM118 GS118 HB118 HJ118 HP118 HV118 IB118 IH118 IN118 IT118 IZ118 JF118 JL118 JR118">
    <cfRule type="expression" dxfId="859" priority="537" stopIfTrue="1">
      <formula>EG118&lt;&gt;""</formula>
    </cfRule>
  </conditionalFormatting>
  <conditionalFormatting sqref="AZ118">
    <cfRule type="expression" dxfId="858" priority="536" stopIfTrue="1">
      <formula>BC118&lt;&gt;""</formula>
    </cfRule>
  </conditionalFormatting>
  <conditionalFormatting sqref="BA118">
    <cfRule type="expression" dxfId="857" priority="535" stopIfTrue="1">
      <formula>BC118&lt;&gt;""</formula>
    </cfRule>
  </conditionalFormatting>
  <conditionalFormatting sqref="CF118">
    <cfRule type="expression" dxfId="856" priority="534" stopIfTrue="1">
      <formula>CI118&lt;&gt;""</formula>
    </cfRule>
  </conditionalFormatting>
  <conditionalFormatting sqref="CG118">
    <cfRule type="expression" dxfId="855" priority="533" stopIfTrue="1">
      <formula>CI118&lt;&gt;""</formula>
    </cfRule>
  </conditionalFormatting>
  <conditionalFormatting sqref="CC120">
    <cfRule type="expression" dxfId="854" priority="532" stopIfTrue="1">
      <formula>CI120&lt;&gt;""</formula>
    </cfRule>
  </conditionalFormatting>
  <conditionalFormatting sqref="CD120">
    <cfRule type="expression" dxfId="853" priority="531" stopIfTrue="1">
      <formula>CI120&lt;&gt;""</formula>
    </cfRule>
  </conditionalFormatting>
  <conditionalFormatting sqref="AI120">
    <cfRule type="expression" dxfId="852" priority="529" stopIfTrue="1">
      <formula>AK120&lt;&gt;""</formula>
    </cfRule>
  </conditionalFormatting>
  <conditionalFormatting sqref="AT120">
    <cfRule type="expression" dxfId="851" priority="528" stopIfTrue="1">
      <formula>AW120&lt;&gt;""</formula>
    </cfRule>
  </conditionalFormatting>
  <conditionalFormatting sqref="AU120">
    <cfRule type="expression" dxfId="850" priority="527" stopIfTrue="1">
      <formula>AW120&lt;&gt;""</formula>
    </cfRule>
  </conditionalFormatting>
  <conditionalFormatting sqref="BF120">
    <cfRule type="expression" dxfId="849" priority="526" stopIfTrue="1">
      <formula>BI120&lt;&gt;""</formula>
    </cfRule>
  </conditionalFormatting>
  <conditionalFormatting sqref="BG120">
    <cfRule type="expression" dxfId="848" priority="525" stopIfTrue="1">
      <formula>BI120&lt;&gt;""</formula>
    </cfRule>
  </conditionalFormatting>
  <conditionalFormatting sqref="BO120">
    <cfRule type="expression" dxfId="847" priority="524" stopIfTrue="1">
      <formula>BR120&lt;&gt;""</formula>
    </cfRule>
  </conditionalFormatting>
  <conditionalFormatting sqref="BP120">
    <cfRule type="expression" dxfId="846" priority="523" stopIfTrue="1">
      <formula>BR120&lt;&gt;""</formula>
    </cfRule>
  </conditionalFormatting>
  <conditionalFormatting sqref="AN120">
    <cfRule type="expression" dxfId="845" priority="522" stopIfTrue="1">
      <formula>AQ120&lt;&gt;""</formula>
    </cfRule>
  </conditionalFormatting>
  <conditionalFormatting sqref="AO120">
    <cfRule type="expression" dxfId="844" priority="521" stopIfTrue="1">
      <formula>AQ120&lt;&gt;""</formula>
    </cfRule>
  </conditionalFormatting>
  <conditionalFormatting sqref="CZ120">
    <cfRule type="expression" dxfId="843" priority="520" stopIfTrue="1">
      <formula>DC120&lt;&gt;""</formula>
    </cfRule>
  </conditionalFormatting>
  <conditionalFormatting sqref="DA120">
    <cfRule type="expression" dxfId="842" priority="519" stopIfTrue="1">
      <formula>DC120&lt;&gt;""</formula>
    </cfRule>
  </conditionalFormatting>
  <conditionalFormatting sqref="ED120">
    <cfRule type="expression" dxfId="841" priority="518" stopIfTrue="1">
      <formula>EG120&lt;&gt;""</formula>
    </cfRule>
  </conditionalFormatting>
  <conditionalFormatting sqref="EE120">
    <cfRule type="expression" dxfId="840" priority="517" stopIfTrue="1">
      <formula>EG120&lt;&gt;""</formula>
    </cfRule>
  </conditionalFormatting>
  <conditionalFormatting sqref="EP120">
    <cfRule type="expression" dxfId="839" priority="516" stopIfTrue="1">
      <formula>ES120&lt;&gt;""</formula>
    </cfRule>
  </conditionalFormatting>
  <conditionalFormatting sqref="EQ120">
    <cfRule type="expression" dxfId="838" priority="515" stopIfTrue="1">
      <formula>ES120&lt;&gt;""</formula>
    </cfRule>
  </conditionalFormatting>
  <conditionalFormatting sqref="EV120">
    <cfRule type="expression" dxfId="837" priority="514" stopIfTrue="1">
      <formula>EY120&lt;&gt;""</formula>
    </cfRule>
  </conditionalFormatting>
  <conditionalFormatting sqref="EW120">
    <cfRule type="expression" dxfId="836" priority="513" stopIfTrue="1">
      <formula>EY120&lt;&gt;""</formula>
    </cfRule>
  </conditionalFormatting>
  <conditionalFormatting sqref="HI120">
    <cfRule type="expression" dxfId="835" priority="512" stopIfTrue="1">
      <formula>HL120&lt;&gt;""</formula>
    </cfRule>
  </conditionalFormatting>
  <conditionalFormatting sqref="HJ120">
    <cfRule type="expression" dxfId="834" priority="511" stopIfTrue="1">
      <formula>HL120&lt;&gt;""</formula>
    </cfRule>
  </conditionalFormatting>
  <conditionalFormatting sqref="DJ120">
    <cfRule type="expression" dxfId="833" priority="510" stopIfTrue="1">
      <formula>DM120&lt;&gt;""</formula>
    </cfRule>
  </conditionalFormatting>
  <conditionalFormatting sqref="DK120">
    <cfRule type="expression" dxfId="832" priority="509" stopIfTrue="1">
      <formula>DM120&lt;&gt;""</formula>
    </cfRule>
  </conditionalFormatting>
  <conditionalFormatting sqref="DP120">
    <cfRule type="expression" dxfId="831" priority="508" stopIfTrue="1">
      <formula>DS120&lt;&gt;""</formula>
    </cfRule>
  </conditionalFormatting>
  <conditionalFormatting sqref="DQ120">
    <cfRule type="expression" dxfId="830" priority="507" stopIfTrue="1">
      <formula>DS120&lt;&gt;""</formula>
    </cfRule>
  </conditionalFormatting>
  <conditionalFormatting sqref="CZ120">
    <cfRule type="expression" dxfId="829" priority="506" stopIfTrue="1">
      <formula>DC120&lt;&gt;""</formula>
    </cfRule>
  </conditionalFormatting>
  <conditionalFormatting sqref="DA120">
    <cfRule type="expression" dxfId="828" priority="505" stopIfTrue="1">
      <formula>DC120&lt;&gt;""</formula>
    </cfRule>
  </conditionalFormatting>
  <conditionalFormatting sqref="ED120 EJ120 EP120 EV120 FB120 FH120 FN120 FT120 FZ120 GF120 GL120 GR120 HA120 HI120 HO120 HU120 IA120 IG120 IM120 IS120 IY120 JE120 JK120 JQ120">
    <cfRule type="expression" dxfId="827" priority="504" stopIfTrue="1">
      <formula>EG120&lt;&gt;""</formula>
    </cfRule>
  </conditionalFormatting>
  <conditionalFormatting sqref="EE120 EK120 EQ120 EW120 FC120 FI120 FO120 FU120 GA120 GG120 GM120 GS120 HB120 HJ120 HP120 HV120 IB120 IH120 IN120 IT120 IZ120 JF120 JL120 JR120">
    <cfRule type="expression" dxfId="826" priority="503" stopIfTrue="1">
      <formula>EG120&lt;&gt;""</formula>
    </cfRule>
  </conditionalFormatting>
  <conditionalFormatting sqref="AZ120">
    <cfRule type="expression" dxfId="825" priority="502" stopIfTrue="1">
      <formula>BC120&lt;&gt;""</formula>
    </cfRule>
  </conditionalFormatting>
  <conditionalFormatting sqref="BA120">
    <cfRule type="expression" dxfId="824" priority="501" stopIfTrue="1">
      <formula>BC120&lt;&gt;""</formula>
    </cfRule>
  </conditionalFormatting>
  <conditionalFormatting sqref="CF120">
    <cfRule type="expression" dxfId="823" priority="500" stopIfTrue="1">
      <formula>CI120&lt;&gt;""</formula>
    </cfRule>
  </conditionalFormatting>
  <conditionalFormatting sqref="CG120">
    <cfRule type="expression" dxfId="822" priority="499" stopIfTrue="1">
      <formula>CI120&lt;&gt;""</formula>
    </cfRule>
  </conditionalFormatting>
  <conditionalFormatting sqref="CC122">
    <cfRule type="expression" dxfId="821" priority="498" stopIfTrue="1">
      <formula>CI122&lt;&gt;""</formula>
    </cfRule>
  </conditionalFormatting>
  <conditionalFormatting sqref="CD122">
    <cfRule type="expression" dxfId="820" priority="497" stopIfTrue="1">
      <formula>CI122&lt;&gt;""</formula>
    </cfRule>
  </conditionalFormatting>
  <conditionalFormatting sqref="AI122">
    <cfRule type="expression" dxfId="819" priority="495" stopIfTrue="1">
      <formula>AK122&lt;&gt;""</formula>
    </cfRule>
  </conditionalFormatting>
  <conditionalFormatting sqref="AT122">
    <cfRule type="expression" dxfId="818" priority="494" stopIfTrue="1">
      <formula>AW122&lt;&gt;""</formula>
    </cfRule>
  </conditionalFormatting>
  <conditionalFormatting sqref="AU122">
    <cfRule type="expression" dxfId="817" priority="493" stopIfTrue="1">
      <formula>AW122&lt;&gt;""</formula>
    </cfRule>
  </conditionalFormatting>
  <conditionalFormatting sqref="BF122">
    <cfRule type="expression" dxfId="816" priority="492" stopIfTrue="1">
      <formula>BI122&lt;&gt;""</formula>
    </cfRule>
  </conditionalFormatting>
  <conditionalFormatting sqref="BG122">
    <cfRule type="expression" dxfId="815" priority="491" stopIfTrue="1">
      <formula>BI122&lt;&gt;""</formula>
    </cfRule>
  </conditionalFormatting>
  <conditionalFormatting sqref="BO122">
    <cfRule type="expression" dxfId="814" priority="490" stopIfTrue="1">
      <formula>BR122&lt;&gt;""</formula>
    </cfRule>
  </conditionalFormatting>
  <conditionalFormatting sqref="BP122">
    <cfRule type="expression" dxfId="813" priority="489" stopIfTrue="1">
      <formula>BR122&lt;&gt;""</formula>
    </cfRule>
  </conditionalFormatting>
  <conditionalFormatting sqref="AN122">
    <cfRule type="expression" dxfId="812" priority="488" stopIfTrue="1">
      <formula>AQ122&lt;&gt;""</formula>
    </cfRule>
  </conditionalFormatting>
  <conditionalFormatting sqref="AO122">
    <cfRule type="expression" dxfId="811" priority="487" stopIfTrue="1">
      <formula>AQ122&lt;&gt;""</formula>
    </cfRule>
  </conditionalFormatting>
  <conditionalFormatting sqref="CZ122">
    <cfRule type="expression" dxfId="810" priority="486" stopIfTrue="1">
      <formula>DC122&lt;&gt;""</formula>
    </cfRule>
  </conditionalFormatting>
  <conditionalFormatting sqref="DA122">
    <cfRule type="expression" dxfId="809" priority="485" stopIfTrue="1">
      <formula>DC122&lt;&gt;""</formula>
    </cfRule>
  </conditionalFormatting>
  <conditionalFormatting sqref="ED122">
    <cfRule type="expression" dxfId="808" priority="484" stopIfTrue="1">
      <formula>EG122&lt;&gt;""</formula>
    </cfRule>
  </conditionalFormatting>
  <conditionalFormatting sqref="EE122">
    <cfRule type="expression" dxfId="807" priority="483" stopIfTrue="1">
      <formula>EG122&lt;&gt;""</formula>
    </cfRule>
  </conditionalFormatting>
  <conditionalFormatting sqref="EP122">
    <cfRule type="expression" dxfId="806" priority="482" stopIfTrue="1">
      <formula>ES122&lt;&gt;""</formula>
    </cfRule>
  </conditionalFormatting>
  <conditionalFormatting sqref="EQ122">
    <cfRule type="expression" dxfId="805" priority="481" stopIfTrue="1">
      <formula>ES122&lt;&gt;""</formula>
    </cfRule>
  </conditionalFormatting>
  <conditionalFormatting sqref="EV122">
    <cfRule type="expression" dxfId="804" priority="480" stopIfTrue="1">
      <formula>EY122&lt;&gt;""</formula>
    </cfRule>
  </conditionalFormatting>
  <conditionalFormatting sqref="EW122">
    <cfRule type="expression" dxfId="803" priority="479" stopIfTrue="1">
      <formula>EY122&lt;&gt;""</formula>
    </cfRule>
  </conditionalFormatting>
  <conditionalFormatting sqref="HI122">
    <cfRule type="expression" dxfId="802" priority="478" stopIfTrue="1">
      <formula>HL122&lt;&gt;""</formula>
    </cfRule>
  </conditionalFormatting>
  <conditionalFormatting sqref="HJ122">
    <cfRule type="expression" dxfId="801" priority="477" stopIfTrue="1">
      <formula>HL122&lt;&gt;""</formula>
    </cfRule>
  </conditionalFormatting>
  <conditionalFormatting sqref="DJ122">
    <cfRule type="expression" dxfId="800" priority="476" stopIfTrue="1">
      <formula>DM122&lt;&gt;""</formula>
    </cfRule>
  </conditionalFormatting>
  <conditionalFormatting sqref="DK122">
    <cfRule type="expression" dxfId="799" priority="475" stopIfTrue="1">
      <formula>DM122&lt;&gt;""</formula>
    </cfRule>
  </conditionalFormatting>
  <conditionalFormatting sqref="DP122">
    <cfRule type="expression" dxfId="798" priority="474" stopIfTrue="1">
      <formula>DS122&lt;&gt;""</formula>
    </cfRule>
  </conditionalFormatting>
  <conditionalFormatting sqref="DQ122">
    <cfRule type="expression" dxfId="797" priority="473" stopIfTrue="1">
      <formula>DS122&lt;&gt;""</formula>
    </cfRule>
  </conditionalFormatting>
  <conditionalFormatting sqref="CZ122">
    <cfRule type="expression" dxfId="796" priority="472" stopIfTrue="1">
      <formula>DC122&lt;&gt;""</formula>
    </cfRule>
  </conditionalFormatting>
  <conditionalFormatting sqref="DA122">
    <cfRule type="expression" dxfId="795" priority="471" stopIfTrue="1">
      <formula>DC122&lt;&gt;""</formula>
    </cfRule>
  </conditionalFormatting>
  <conditionalFormatting sqref="ED122 EJ122 EP122 EV122 FB122 FH122 FN122 FT122 FZ122 GF122 GL122 GR122 HA122 HI122 HO122 HU122 IA122 IG122 IM122 IS122 IY122 JE122 JK122 JQ122">
    <cfRule type="expression" dxfId="794" priority="470" stopIfTrue="1">
      <formula>EG122&lt;&gt;""</formula>
    </cfRule>
  </conditionalFormatting>
  <conditionalFormatting sqref="EE122 EK122 EQ122 EW122 FC122 FI122 FO122 FU122 GA122 GG122 GM122 GS122 HB122 HJ122 HP122 HV122 IB122 IH122 IN122 IT122 IZ122 JF122 JL122 JR122">
    <cfRule type="expression" dxfId="793" priority="469" stopIfTrue="1">
      <formula>EG122&lt;&gt;""</formula>
    </cfRule>
  </conditionalFormatting>
  <conditionalFormatting sqref="AZ122">
    <cfRule type="expression" dxfId="792" priority="468" stopIfTrue="1">
      <formula>BC122&lt;&gt;""</formula>
    </cfRule>
  </conditionalFormatting>
  <conditionalFormatting sqref="BA122">
    <cfRule type="expression" dxfId="791" priority="467" stopIfTrue="1">
      <formula>BC122&lt;&gt;""</formula>
    </cfRule>
  </conditionalFormatting>
  <conditionalFormatting sqref="CF122">
    <cfRule type="expression" dxfId="790" priority="466" stopIfTrue="1">
      <formula>CI122&lt;&gt;""</formula>
    </cfRule>
  </conditionalFormatting>
  <conditionalFormatting sqref="CG122">
    <cfRule type="expression" dxfId="789" priority="465" stopIfTrue="1">
      <formula>CI122&lt;&gt;""</formula>
    </cfRule>
  </conditionalFormatting>
  <conditionalFormatting sqref="CC124">
    <cfRule type="expression" dxfId="788" priority="464" stopIfTrue="1">
      <formula>CI124&lt;&gt;""</formula>
    </cfRule>
  </conditionalFormatting>
  <conditionalFormatting sqref="CD124">
    <cfRule type="expression" dxfId="787" priority="463" stopIfTrue="1">
      <formula>CI124&lt;&gt;""</formula>
    </cfRule>
  </conditionalFormatting>
  <conditionalFormatting sqref="AI124">
    <cfRule type="expression" dxfId="786" priority="461" stopIfTrue="1">
      <formula>AK124&lt;&gt;""</formula>
    </cfRule>
  </conditionalFormatting>
  <conditionalFormatting sqref="AT124">
    <cfRule type="expression" dxfId="785" priority="460" stopIfTrue="1">
      <formula>AW124&lt;&gt;""</formula>
    </cfRule>
  </conditionalFormatting>
  <conditionalFormatting sqref="AU124">
    <cfRule type="expression" dxfId="784" priority="459" stopIfTrue="1">
      <formula>AW124&lt;&gt;""</formula>
    </cfRule>
  </conditionalFormatting>
  <conditionalFormatting sqref="BF124">
    <cfRule type="expression" dxfId="783" priority="458" stopIfTrue="1">
      <formula>BI124&lt;&gt;""</formula>
    </cfRule>
  </conditionalFormatting>
  <conditionalFormatting sqref="BG124">
    <cfRule type="expression" dxfId="782" priority="457" stopIfTrue="1">
      <formula>BI124&lt;&gt;""</formula>
    </cfRule>
  </conditionalFormatting>
  <conditionalFormatting sqref="BO124">
    <cfRule type="expression" dxfId="781" priority="456" stopIfTrue="1">
      <formula>BR124&lt;&gt;""</formula>
    </cfRule>
  </conditionalFormatting>
  <conditionalFormatting sqref="BP124">
    <cfRule type="expression" dxfId="780" priority="455" stopIfTrue="1">
      <formula>BR124&lt;&gt;""</formula>
    </cfRule>
  </conditionalFormatting>
  <conditionalFormatting sqref="AN124">
    <cfRule type="expression" dxfId="779" priority="454" stopIfTrue="1">
      <formula>AQ124&lt;&gt;""</formula>
    </cfRule>
  </conditionalFormatting>
  <conditionalFormatting sqref="AO124">
    <cfRule type="expression" dxfId="778" priority="453" stopIfTrue="1">
      <formula>AQ124&lt;&gt;""</formula>
    </cfRule>
  </conditionalFormatting>
  <conditionalFormatting sqref="CZ124">
    <cfRule type="expression" dxfId="777" priority="452" stopIfTrue="1">
      <formula>DC124&lt;&gt;""</formula>
    </cfRule>
  </conditionalFormatting>
  <conditionalFormatting sqref="DA124">
    <cfRule type="expression" dxfId="776" priority="451" stopIfTrue="1">
      <formula>DC124&lt;&gt;""</formula>
    </cfRule>
  </conditionalFormatting>
  <conditionalFormatting sqref="ED124">
    <cfRule type="expression" dxfId="775" priority="450" stopIfTrue="1">
      <formula>EG124&lt;&gt;""</formula>
    </cfRule>
  </conditionalFormatting>
  <conditionalFormatting sqref="EE124">
    <cfRule type="expression" dxfId="774" priority="449" stopIfTrue="1">
      <formula>EG124&lt;&gt;""</formula>
    </cfRule>
  </conditionalFormatting>
  <conditionalFormatting sqref="EP124">
    <cfRule type="expression" dxfId="773" priority="448" stopIfTrue="1">
      <formula>ES124&lt;&gt;""</formula>
    </cfRule>
  </conditionalFormatting>
  <conditionalFormatting sqref="EQ124">
    <cfRule type="expression" dxfId="772" priority="447" stopIfTrue="1">
      <formula>ES124&lt;&gt;""</formula>
    </cfRule>
  </conditionalFormatting>
  <conditionalFormatting sqref="EV124">
    <cfRule type="expression" dxfId="771" priority="446" stopIfTrue="1">
      <formula>EY124&lt;&gt;""</formula>
    </cfRule>
  </conditionalFormatting>
  <conditionalFormatting sqref="EW124">
    <cfRule type="expression" dxfId="770" priority="445" stopIfTrue="1">
      <formula>EY124&lt;&gt;""</formula>
    </cfRule>
  </conditionalFormatting>
  <conditionalFormatting sqref="HI124">
    <cfRule type="expression" dxfId="769" priority="444" stopIfTrue="1">
      <formula>HL124&lt;&gt;""</formula>
    </cfRule>
  </conditionalFormatting>
  <conditionalFormatting sqref="HJ124">
    <cfRule type="expression" dxfId="768" priority="443" stopIfTrue="1">
      <formula>HL124&lt;&gt;""</formula>
    </cfRule>
  </conditionalFormatting>
  <conditionalFormatting sqref="DJ124">
    <cfRule type="expression" dxfId="767" priority="442" stopIfTrue="1">
      <formula>DM124&lt;&gt;""</formula>
    </cfRule>
  </conditionalFormatting>
  <conditionalFormatting sqref="DK124">
    <cfRule type="expression" dxfId="766" priority="441" stopIfTrue="1">
      <formula>DM124&lt;&gt;""</formula>
    </cfRule>
  </conditionalFormatting>
  <conditionalFormatting sqref="DP124">
    <cfRule type="expression" dxfId="765" priority="440" stopIfTrue="1">
      <formula>DS124&lt;&gt;""</formula>
    </cfRule>
  </conditionalFormatting>
  <conditionalFormatting sqref="DQ124">
    <cfRule type="expression" dxfId="764" priority="439" stopIfTrue="1">
      <formula>DS124&lt;&gt;""</formula>
    </cfRule>
  </conditionalFormatting>
  <conditionalFormatting sqref="CZ124">
    <cfRule type="expression" dxfId="763" priority="438" stopIfTrue="1">
      <formula>DC124&lt;&gt;""</formula>
    </cfRule>
  </conditionalFormatting>
  <conditionalFormatting sqref="DA124">
    <cfRule type="expression" dxfId="762" priority="437" stopIfTrue="1">
      <formula>DC124&lt;&gt;""</formula>
    </cfRule>
  </conditionalFormatting>
  <conditionalFormatting sqref="ED124 EJ124 EP124 EV124 FB124 FH124 FN124 FT124 FZ124 GF124 GL124 GR124 HA124 HI124 HO124 HU124 IA124 IG124 IM124 IS124 IY124 JE124 JK124 JQ124">
    <cfRule type="expression" dxfId="761" priority="436" stopIfTrue="1">
      <formula>EG124&lt;&gt;""</formula>
    </cfRule>
  </conditionalFormatting>
  <conditionalFormatting sqref="EE124 EK124 EQ124 EW124 FC124 FI124 FO124 FU124 GA124 GG124 GM124 GS124 HB124 HJ124 HP124 HV124 IB124 IH124 IN124 IT124 IZ124 JF124 JL124 JR124">
    <cfRule type="expression" dxfId="760" priority="435" stopIfTrue="1">
      <formula>EG124&lt;&gt;""</formula>
    </cfRule>
  </conditionalFormatting>
  <conditionalFormatting sqref="AZ124">
    <cfRule type="expression" dxfId="759" priority="434" stopIfTrue="1">
      <formula>BC124&lt;&gt;""</formula>
    </cfRule>
  </conditionalFormatting>
  <conditionalFormatting sqref="BA124">
    <cfRule type="expression" dxfId="758" priority="433" stopIfTrue="1">
      <formula>BC124&lt;&gt;""</formula>
    </cfRule>
  </conditionalFormatting>
  <conditionalFormatting sqref="CF124">
    <cfRule type="expression" dxfId="757" priority="432" stopIfTrue="1">
      <formula>CI124&lt;&gt;""</formula>
    </cfRule>
  </conditionalFormatting>
  <conditionalFormatting sqref="CG124">
    <cfRule type="expression" dxfId="756" priority="431" stopIfTrue="1">
      <formula>CI124&lt;&gt;""</formula>
    </cfRule>
  </conditionalFormatting>
  <conditionalFormatting sqref="CC126">
    <cfRule type="expression" dxfId="755" priority="430" stopIfTrue="1">
      <formula>CI126&lt;&gt;""</formula>
    </cfRule>
  </conditionalFormatting>
  <conditionalFormatting sqref="CD126">
    <cfRule type="expression" dxfId="754" priority="429" stopIfTrue="1">
      <formula>CI126&lt;&gt;""</formula>
    </cfRule>
  </conditionalFormatting>
  <conditionalFormatting sqref="AI126">
    <cfRule type="expression" dxfId="753" priority="427" stopIfTrue="1">
      <formula>AK126&lt;&gt;""</formula>
    </cfRule>
  </conditionalFormatting>
  <conditionalFormatting sqref="AT126">
    <cfRule type="expression" dxfId="752" priority="426" stopIfTrue="1">
      <formula>AW126&lt;&gt;""</formula>
    </cfRule>
  </conditionalFormatting>
  <conditionalFormatting sqref="AU126">
    <cfRule type="expression" dxfId="751" priority="425" stopIfTrue="1">
      <formula>AW126&lt;&gt;""</formula>
    </cfRule>
  </conditionalFormatting>
  <conditionalFormatting sqref="BF126">
    <cfRule type="expression" dxfId="750" priority="424" stopIfTrue="1">
      <formula>BI126&lt;&gt;""</formula>
    </cfRule>
  </conditionalFormatting>
  <conditionalFormatting sqref="BG126">
    <cfRule type="expression" dxfId="749" priority="423" stopIfTrue="1">
      <formula>BI126&lt;&gt;""</formula>
    </cfRule>
  </conditionalFormatting>
  <conditionalFormatting sqref="BO126">
    <cfRule type="expression" dxfId="748" priority="422" stopIfTrue="1">
      <formula>BR126&lt;&gt;""</formula>
    </cfRule>
  </conditionalFormatting>
  <conditionalFormatting sqref="BP126">
    <cfRule type="expression" dxfId="747" priority="421" stopIfTrue="1">
      <formula>BR126&lt;&gt;""</formula>
    </cfRule>
  </conditionalFormatting>
  <conditionalFormatting sqref="AN126">
    <cfRule type="expression" dxfId="746" priority="420" stopIfTrue="1">
      <formula>AQ126&lt;&gt;""</formula>
    </cfRule>
  </conditionalFormatting>
  <conditionalFormatting sqref="AO126">
    <cfRule type="expression" dxfId="745" priority="419" stopIfTrue="1">
      <formula>AQ126&lt;&gt;""</formula>
    </cfRule>
  </conditionalFormatting>
  <conditionalFormatting sqref="CZ126">
    <cfRule type="expression" dxfId="744" priority="418" stopIfTrue="1">
      <formula>DC126&lt;&gt;""</formula>
    </cfRule>
  </conditionalFormatting>
  <conditionalFormatting sqref="DA126">
    <cfRule type="expression" dxfId="743" priority="417" stopIfTrue="1">
      <formula>DC126&lt;&gt;""</formula>
    </cfRule>
  </conditionalFormatting>
  <conditionalFormatting sqref="ED126">
    <cfRule type="expression" dxfId="742" priority="416" stopIfTrue="1">
      <formula>EG126&lt;&gt;""</formula>
    </cfRule>
  </conditionalFormatting>
  <conditionalFormatting sqref="EE126">
    <cfRule type="expression" dxfId="741" priority="415" stopIfTrue="1">
      <formula>EG126&lt;&gt;""</formula>
    </cfRule>
  </conditionalFormatting>
  <conditionalFormatting sqref="EP126">
    <cfRule type="expression" dxfId="740" priority="414" stopIfTrue="1">
      <formula>ES126&lt;&gt;""</formula>
    </cfRule>
  </conditionalFormatting>
  <conditionalFormatting sqref="EQ126">
    <cfRule type="expression" dxfId="739" priority="413" stopIfTrue="1">
      <formula>ES126&lt;&gt;""</formula>
    </cfRule>
  </conditionalFormatting>
  <conditionalFormatting sqref="EV126">
    <cfRule type="expression" dxfId="738" priority="412" stopIfTrue="1">
      <formula>EY126&lt;&gt;""</formula>
    </cfRule>
  </conditionalFormatting>
  <conditionalFormatting sqref="EW126">
    <cfRule type="expression" dxfId="737" priority="411" stopIfTrue="1">
      <formula>EY126&lt;&gt;""</formula>
    </cfRule>
  </conditionalFormatting>
  <conditionalFormatting sqref="HI126">
    <cfRule type="expression" dxfId="736" priority="410" stopIfTrue="1">
      <formula>HL126&lt;&gt;""</formula>
    </cfRule>
  </conditionalFormatting>
  <conditionalFormatting sqref="HJ126">
    <cfRule type="expression" dxfId="735" priority="409" stopIfTrue="1">
      <formula>HL126&lt;&gt;""</formula>
    </cfRule>
  </conditionalFormatting>
  <conditionalFormatting sqref="DJ126">
    <cfRule type="expression" dxfId="734" priority="408" stopIfTrue="1">
      <formula>DM126&lt;&gt;""</formula>
    </cfRule>
  </conditionalFormatting>
  <conditionalFormatting sqref="DK126">
    <cfRule type="expression" dxfId="733" priority="407" stopIfTrue="1">
      <formula>DM126&lt;&gt;""</formula>
    </cfRule>
  </conditionalFormatting>
  <conditionalFormatting sqref="DP126">
    <cfRule type="expression" dxfId="732" priority="406" stopIfTrue="1">
      <formula>DS126&lt;&gt;""</formula>
    </cfRule>
  </conditionalFormatting>
  <conditionalFormatting sqref="DQ126">
    <cfRule type="expression" dxfId="731" priority="405" stopIfTrue="1">
      <formula>DS126&lt;&gt;""</formula>
    </cfRule>
  </conditionalFormatting>
  <conditionalFormatting sqref="CZ126">
    <cfRule type="expression" dxfId="730" priority="404" stopIfTrue="1">
      <formula>DC126&lt;&gt;""</formula>
    </cfRule>
  </conditionalFormatting>
  <conditionalFormatting sqref="DA126">
    <cfRule type="expression" dxfId="729" priority="403" stopIfTrue="1">
      <formula>DC126&lt;&gt;""</formula>
    </cfRule>
  </conditionalFormatting>
  <conditionalFormatting sqref="ED126 EJ126 EP126 EV126 FB126 FH126 FN126 FT126 FZ126 GF126 GL126 GR126 HA126 HI126 HO126 HU126 IA126 IG126 IM126 IS126 IY126 JE126 JK126 JQ126">
    <cfRule type="expression" dxfId="728" priority="402" stopIfTrue="1">
      <formula>EG126&lt;&gt;""</formula>
    </cfRule>
  </conditionalFormatting>
  <conditionalFormatting sqref="EE126 EK126 EQ126 EW126 FC126 FI126 FO126 FU126 GA126 GG126 GM126 GS126 HB126 HJ126 HP126 HV126 IB126 IH126 IN126 IT126 IZ126 JF126 JL126 JR126">
    <cfRule type="expression" dxfId="727" priority="401" stopIfTrue="1">
      <formula>EG126&lt;&gt;""</formula>
    </cfRule>
  </conditionalFormatting>
  <conditionalFormatting sqref="AZ126">
    <cfRule type="expression" dxfId="726" priority="400" stopIfTrue="1">
      <formula>BC126&lt;&gt;""</formula>
    </cfRule>
  </conditionalFormatting>
  <conditionalFormatting sqref="BA126">
    <cfRule type="expression" dxfId="725" priority="399" stopIfTrue="1">
      <formula>BC126&lt;&gt;""</formula>
    </cfRule>
  </conditionalFormatting>
  <conditionalFormatting sqref="CF126">
    <cfRule type="expression" dxfId="724" priority="398" stopIfTrue="1">
      <formula>CI126&lt;&gt;""</formula>
    </cfRule>
  </conditionalFormatting>
  <conditionalFormatting sqref="CG126">
    <cfRule type="expression" dxfId="723" priority="397" stopIfTrue="1">
      <formula>CI126&lt;&gt;""</formula>
    </cfRule>
  </conditionalFormatting>
  <conditionalFormatting sqref="CC128">
    <cfRule type="expression" dxfId="722" priority="396" stopIfTrue="1">
      <formula>CI128&lt;&gt;""</formula>
    </cfRule>
  </conditionalFormatting>
  <conditionalFormatting sqref="CD128">
    <cfRule type="expression" dxfId="721" priority="395" stopIfTrue="1">
      <formula>CI128&lt;&gt;""</formula>
    </cfRule>
  </conditionalFormatting>
  <conditionalFormatting sqref="AI128">
    <cfRule type="expression" dxfId="720" priority="393" stopIfTrue="1">
      <formula>AK128&lt;&gt;""</formula>
    </cfRule>
  </conditionalFormatting>
  <conditionalFormatting sqref="AT128">
    <cfRule type="expression" dxfId="719" priority="392" stopIfTrue="1">
      <formula>AW128&lt;&gt;""</formula>
    </cfRule>
  </conditionalFormatting>
  <conditionalFormatting sqref="AU128">
    <cfRule type="expression" dxfId="718" priority="391" stopIfTrue="1">
      <formula>AW128&lt;&gt;""</formula>
    </cfRule>
  </conditionalFormatting>
  <conditionalFormatting sqref="BF128">
    <cfRule type="expression" dxfId="717" priority="390" stopIfTrue="1">
      <formula>BI128&lt;&gt;""</formula>
    </cfRule>
  </conditionalFormatting>
  <conditionalFormatting sqref="BG128">
    <cfRule type="expression" dxfId="716" priority="389" stopIfTrue="1">
      <formula>BI128&lt;&gt;""</formula>
    </cfRule>
  </conditionalFormatting>
  <conditionalFormatting sqref="BO128">
    <cfRule type="expression" dxfId="715" priority="388" stopIfTrue="1">
      <formula>BR128&lt;&gt;""</formula>
    </cfRule>
  </conditionalFormatting>
  <conditionalFormatting sqref="BP128">
    <cfRule type="expression" dxfId="714" priority="387" stopIfTrue="1">
      <formula>BR128&lt;&gt;""</formula>
    </cfRule>
  </conditionalFormatting>
  <conditionalFormatting sqref="AN128">
    <cfRule type="expression" dxfId="713" priority="386" stopIfTrue="1">
      <formula>AQ128&lt;&gt;""</formula>
    </cfRule>
  </conditionalFormatting>
  <conditionalFormatting sqref="AO128">
    <cfRule type="expression" dxfId="712" priority="385" stopIfTrue="1">
      <formula>AQ128&lt;&gt;""</formula>
    </cfRule>
  </conditionalFormatting>
  <conditionalFormatting sqref="CZ128">
    <cfRule type="expression" dxfId="711" priority="384" stopIfTrue="1">
      <formula>DC128&lt;&gt;""</formula>
    </cfRule>
  </conditionalFormatting>
  <conditionalFormatting sqref="DA128">
    <cfRule type="expression" dxfId="710" priority="383" stopIfTrue="1">
      <formula>DC128&lt;&gt;""</formula>
    </cfRule>
  </conditionalFormatting>
  <conditionalFormatting sqref="ED128">
    <cfRule type="expression" dxfId="709" priority="382" stopIfTrue="1">
      <formula>EG128&lt;&gt;""</formula>
    </cfRule>
  </conditionalFormatting>
  <conditionalFormatting sqref="EE128">
    <cfRule type="expression" dxfId="708" priority="381" stopIfTrue="1">
      <formula>EG128&lt;&gt;""</formula>
    </cfRule>
  </conditionalFormatting>
  <conditionalFormatting sqref="EP128">
    <cfRule type="expression" dxfId="707" priority="380" stopIfTrue="1">
      <formula>ES128&lt;&gt;""</formula>
    </cfRule>
  </conditionalFormatting>
  <conditionalFormatting sqref="EQ128">
    <cfRule type="expression" dxfId="706" priority="379" stopIfTrue="1">
      <formula>ES128&lt;&gt;""</formula>
    </cfRule>
  </conditionalFormatting>
  <conditionalFormatting sqref="EV128">
    <cfRule type="expression" dxfId="705" priority="378" stopIfTrue="1">
      <formula>EY128&lt;&gt;""</formula>
    </cfRule>
  </conditionalFormatting>
  <conditionalFormatting sqref="EW128">
    <cfRule type="expression" dxfId="704" priority="377" stopIfTrue="1">
      <formula>EY128&lt;&gt;""</formula>
    </cfRule>
  </conditionalFormatting>
  <conditionalFormatting sqref="HI128">
    <cfRule type="expression" dxfId="703" priority="376" stopIfTrue="1">
      <formula>HL128&lt;&gt;""</formula>
    </cfRule>
  </conditionalFormatting>
  <conditionalFormatting sqref="HJ128">
    <cfRule type="expression" dxfId="702" priority="375" stopIfTrue="1">
      <formula>HL128&lt;&gt;""</formula>
    </cfRule>
  </conditionalFormatting>
  <conditionalFormatting sqref="DJ128">
    <cfRule type="expression" dxfId="701" priority="374" stopIfTrue="1">
      <formula>DM128&lt;&gt;""</formula>
    </cfRule>
  </conditionalFormatting>
  <conditionalFormatting sqref="DK128">
    <cfRule type="expression" dxfId="700" priority="373" stopIfTrue="1">
      <formula>DM128&lt;&gt;""</formula>
    </cfRule>
  </conditionalFormatting>
  <conditionalFormatting sqref="DP128">
    <cfRule type="expression" dxfId="699" priority="372" stopIfTrue="1">
      <formula>DS128&lt;&gt;""</formula>
    </cfRule>
  </conditionalFormatting>
  <conditionalFormatting sqref="DQ128">
    <cfRule type="expression" dxfId="698" priority="371" stopIfTrue="1">
      <formula>DS128&lt;&gt;""</formula>
    </cfRule>
  </conditionalFormatting>
  <conditionalFormatting sqref="CZ128">
    <cfRule type="expression" dxfId="697" priority="370" stopIfTrue="1">
      <formula>DC128&lt;&gt;""</formula>
    </cfRule>
  </conditionalFormatting>
  <conditionalFormatting sqref="DA128">
    <cfRule type="expression" dxfId="696" priority="369" stopIfTrue="1">
      <formula>DC128&lt;&gt;""</formula>
    </cfRule>
  </conditionalFormatting>
  <conditionalFormatting sqref="ED128 EJ128 EP128 EV128 FB128 FH128 FN128 FT128 FZ128 GF128 GL128 GR128 HA128 HI128 HO128 HU128 IA128 IG128 IM128 IS128 IY128 JE128 JK128 JQ128">
    <cfRule type="expression" dxfId="695" priority="368" stopIfTrue="1">
      <formula>EG128&lt;&gt;""</formula>
    </cfRule>
  </conditionalFormatting>
  <conditionalFormatting sqref="EE128 EK128 EQ128 EW128 FC128 FI128 FO128 FU128 GA128 GG128 GM128 GS128 HB128 HJ128 HP128 HV128 IB128 IH128 IN128 IT128 IZ128 JF128 JL128 JR128">
    <cfRule type="expression" dxfId="694" priority="367" stopIfTrue="1">
      <formula>EG128&lt;&gt;""</formula>
    </cfRule>
  </conditionalFormatting>
  <conditionalFormatting sqref="AZ128">
    <cfRule type="expression" dxfId="693" priority="366" stopIfTrue="1">
      <formula>BC128&lt;&gt;""</formula>
    </cfRule>
  </conditionalFormatting>
  <conditionalFormatting sqref="BA128">
    <cfRule type="expression" dxfId="692" priority="365" stopIfTrue="1">
      <formula>BC128&lt;&gt;""</formula>
    </cfRule>
  </conditionalFormatting>
  <conditionalFormatting sqref="CF128">
    <cfRule type="expression" dxfId="691" priority="364" stopIfTrue="1">
      <formula>CI128&lt;&gt;""</formula>
    </cfRule>
  </conditionalFormatting>
  <conditionalFormatting sqref="CG128">
    <cfRule type="expression" dxfId="690" priority="363" stopIfTrue="1">
      <formula>CI128&lt;&gt;""</formula>
    </cfRule>
  </conditionalFormatting>
  <conditionalFormatting sqref="CC130">
    <cfRule type="expression" dxfId="689" priority="362" stopIfTrue="1">
      <formula>CI130&lt;&gt;""</formula>
    </cfRule>
  </conditionalFormatting>
  <conditionalFormatting sqref="CD130">
    <cfRule type="expression" dxfId="688" priority="361" stopIfTrue="1">
      <formula>CI130&lt;&gt;""</formula>
    </cfRule>
  </conditionalFormatting>
  <conditionalFormatting sqref="AI130">
    <cfRule type="expression" dxfId="687" priority="359" stopIfTrue="1">
      <formula>AK130&lt;&gt;""</formula>
    </cfRule>
  </conditionalFormatting>
  <conditionalFormatting sqref="AT130">
    <cfRule type="expression" dxfId="686" priority="358" stopIfTrue="1">
      <formula>AW130&lt;&gt;""</formula>
    </cfRule>
  </conditionalFormatting>
  <conditionalFormatting sqref="AU130">
    <cfRule type="expression" dxfId="685" priority="357" stopIfTrue="1">
      <formula>AW130&lt;&gt;""</formula>
    </cfRule>
  </conditionalFormatting>
  <conditionalFormatting sqref="BF130">
    <cfRule type="expression" dxfId="684" priority="356" stopIfTrue="1">
      <formula>BI130&lt;&gt;""</formula>
    </cfRule>
  </conditionalFormatting>
  <conditionalFormatting sqref="BG130">
    <cfRule type="expression" dxfId="683" priority="355" stopIfTrue="1">
      <formula>BI130&lt;&gt;""</formula>
    </cfRule>
  </conditionalFormatting>
  <conditionalFormatting sqref="BO130">
    <cfRule type="expression" dxfId="682" priority="354" stopIfTrue="1">
      <formula>BR130&lt;&gt;""</formula>
    </cfRule>
  </conditionalFormatting>
  <conditionalFormatting sqref="BP130">
    <cfRule type="expression" dxfId="681" priority="353" stopIfTrue="1">
      <formula>BR130&lt;&gt;""</formula>
    </cfRule>
  </conditionalFormatting>
  <conditionalFormatting sqref="AN130">
    <cfRule type="expression" dxfId="680" priority="352" stopIfTrue="1">
      <formula>AQ130&lt;&gt;""</formula>
    </cfRule>
  </conditionalFormatting>
  <conditionalFormatting sqref="AO130">
    <cfRule type="expression" dxfId="679" priority="351" stopIfTrue="1">
      <formula>AQ130&lt;&gt;""</formula>
    </cfRule>
  </conditionalFormatting>
  <conditionalFormatting sqref="CZ130">
    <cfRule type="expression" dxfId="678" priority="350" stopIfTrue="1">
      <formula>DC130&lt;&gt;""</formula>
    </cfRule>
  </conditionalFormatting>
  <conditionalFormatting sqref="DA130">
    <cfRule type="expression" dxfId="677" priority="349" stopIfTrue="1">
      <formula>DC130&lt;&gt;""</formula>
    </cfRule>
  </conditionalFormatting>
  <conditionalFormatting sqref="ED130">
    <cfRule type="expression" dxfId="676" priority="348" stopIfTrue="1">
      <formula>EG130&lt;&gt;""</formula>
    </cfRule>
  </conditionalFormatting>
  <conditionalFormatting sqref="EE130">
    <cfRule type="expression" dxfId="675" priority="347" stopIfTrue="1">
      <formula>EG130&lt;&gt;""</formula>
    </cfRule>
  </conditionalFormatting>
  <conditionalFormatting sqref="EP130">
    <cfRule type="expression" dxfId="674" priority="346" stopIfTrue="1">
      <formula>ES130&lt;&gt;""</formula>
    </cfRule>
  </conditionalFormatting>
  <conditionalFormatting sqref="EQ130">
    <cfRule type="expression" dxfId="673" priority="345" stopIfTrue="1">
      <formula>ES130&lt;&gt;""</formula>
    </cfRule>
  </conditionalFormatting>
  <conditionalFormatting sqref="EV130">
    <cfRule type="expression" dxfId="672" priority="344" stopIfTrue="1">
      <formula>EY130&lt;&gt;""</formula>
    </cfRule>
  </conditionalFormatting>
  <conditionalFormatting sqref="EW130">
    <cfRule type="expression" dxfId="671" priority="343" stopIfTrue="1">
      <formula>EY130&lt;&gt;""</formula>
    </cfRule>
  </conditionalFormatting>
  <conditionalFormatting sqref="HI130">
    <cfRule type="expression" dxfId="670" priority="342" stopIfTrue="1">
      <formula>HL130&lt;&gt;""</formula>
    </cfRule>
  </conditionalFormatting>
  <conditionalFormatting sqref="HJ130">
    <cfRule type="expression" dxfId="669" priority="341" stopIfTrue="1">
      <formula>HL130&lt;&gt;""</formula>
    </cfRule>
  </conditionalFormatting>
  <conditionalFormatting sqref="DJ130">
    <cfRule type="expression" dxfId="668" priority="340" stopIfTrue="1">
      <formula>DM130&lt;&gt;""</formula>
    </cfRule>
  </conditionalFormatting>
  <conditionalFormatting sqref="DK130">
    <cfRule type="expression" dxfId="667" priority="339" stopIfTrue="1">
      <formula>DM130&lt;&gt;""</formula>
    </cfRule>
  </conditionalFormatting>
  <conditionalFormatting sqref="DP130">
    <cfRule type="expression" dxfId="666" priority="338" stopIfTrue="1">
      <formula>DS130&lt;&gt;""</formula>
    </cfRule>
  </conditionalFormatting>
  <conditionalFormatting sqref="DQ130">
    <cfRule type="expression" dxfId="665" priority="337" stopIfTrue="1">
      <formula>DS130&lt;&gt;""</formula>
    </cfRule>
  </conditionalFormatting>
  <conditionalFormatting sqref="CZ130">
    <cfRule type="expression" dxfId="664" priority="336" stopIfTrue="1">
      <formula>DC130&lt;&gt;""</formula>
    </cfRule>
  </conditionalFormatting>
  <conditionalFormatting sqref="DA130">
    <cfRule type="expression" dxfId="663" priority="335" stopIfTrue="1">
      <formula>DC130&lt;&gt;""</formula>
    </cfRule>
  </conditionalFormatting>
  <conditionalFormatting sqref="ED130 EJ130 EP130 EV130 FB130 FH130 FN130 FT130 FZ130 GF130 GL130 GR130 HA130 HI130 HO130 HU130 IA130 IG130 IM130 IS130 IY130 JE130 JK130 JQ130">
    <cfRule type="expression" dxfId="662" priority="334" stopIfTrue="1">
      <formula>EG130&lt;&gt;""</formula>
    </cfRule>
  </conditionalFormatting>
  <conditionalFormatting sqref="EE130 EK130 EQ130 EW130 FC130 FI130 FO130 FU130 GA130 GG130 GM130 GS130 HB130 HJ130 HP130 HV130 IB130 IH130 IN130 IT130 IZ130 JF130 JL130 JR130">
    <cfRule type="expression" dxfId="661" priority="333" stopIfTrue="1">
      <formula>EG130&lt;&gt;""</formula>
    </cfRule>
  </conditionalFormatting>
  <conditionalFormatting sqref="AZ130">
    <cfRule type="expression" dxfId="660" priority="332" stopIfTrue="1">
      <formula>BC130&lt;&gt;""</formula>
    </cfRule>
  </conditionalFormatting>
  <conditionalFormatting sqref="BA130">
    <cfRule type="expression" dxfId="659" priority="331" stopIfTrue="1">
      <formula>BC130&lt;&gt;""</formula>
    </cfRule>
  </conditionalFormatting>
  <conditionalFormatting sqref="CF130">
    <cfRule type="expression" dxfId="658" priority="330" stopIfTrue="1">
      <formula>CI130&lt;&gt;""</formula>
    </cfRule>
  </conditionalFormatting>
  <conditionalFormatting sqref="CG130">
    <cfRule type="expression" dxfId="657" priority="329" stopIfTrue="1">
      <formula>CI130&lt;&gt;""</formula>
    </cfRule>
  </conditionalFormatting>
  <conditionalFormatting sqref="CC138">
    <cfRule type="expression" dxfId="656" priority="328" stopIfTrue="1">
      <formula>CI138&lt;&gt;""</formula>
    </cfRule>
  </conditionalFormatting>
  <conditionalFormatting sqref="CD138">
    <cfRule type="expression" dxfId="655" priority="327" stopIfTrue="1">
      <formula>CI138&lt;&gt;""</formula>
    </cfRule>
  </conditionalFormatting>
  <conditionalFormatting sqref="AI138">
    <cfRule type="expression" dxfId="654" priority="325" stopIfTrue="1">
      <formula>AK138&lt;&gt;""</formula>
    </cfRule>
  </conditionalFormatting>
  <conditionalFormatting sqref="AT138">
    <cfRule type="expression" dxfId="653" priority="324" stopIfTrue="1">
      <formula>AW138&lt;&gt;""</formula>
    </cfRule>
  </conditionalFormatting>
  <conditionalFormatting sqref="AU138">
    <cfRule type="expression" dxfId="652" priority="323" stopIfTrue="1">
      <formula>AW138&lt;&gt;""</formula>
    </cfRule>
  </conditionalFormatting>
  <conditionalFormatting sqref="BF138">
    <cfRule type="expression" dxfId="651" priority="322" stopIfTrue="1">
      <formula>BI138&lt;&gt;""</formula>
    </cfRule>
  </conditionalFormatting>
  <conditionalFormatting sqref="BG138">
    <cfRule type="expression" dxfId="650" priority="321" stopIfTrue="1">
      <formula>BI138&lt;&gt;""</formula>
    </cfRule>
  </conditionalFormatting>
  <conditionalFormatting sqref="BO138">
    <cfRule type="expression" dxfId="649" priority="320" stopIfTrue="1">
      <formula>BR138&lt;&gt;""</formula>
    </cfRule>
  </conditionalFormatting>
  <conditionalFormatting sqref="BP138">
    <cfRule type="expression" dxfId="648" priority="319" stopIfTrue="1">
      <formula>BR138&lt;&gt;""</formula>
    </cfRule>
  </conditionalFormatting>
  <conditionalFormatting sqref="AN138">
    <cfRule type="expression" dxfId="647" priority="318" stopIfTrue="1">
      <formula>AQ138&lt;&gt;""</formula>
    </cfRule>
  </conditionalFormatting>
  <conditionalFormatting sqref="AO138">
    <cfRule type="expression" dxfId="646" priority="317" stopIfTrue="1">
      <formula>AQ138&lt;&gt;""</formula>
    </cfRule>
  </conditionalFormatting>
  <conditionalFormatting sqref="CZ138">
    <cfRule type="expression" dxfId="645" priority="316" stopIfTrue="1">
      <formula>DC138&lt;&gt;""</formula>
    </cfRule>
  </conditionalFormatting>
  <conditionalFormatting sqref="DA138">
    <cfRule type="expression" dxfId="644" priority="315" stopIfTrue="1">
      <formula>DC138&lt;&gt;""</formula>
    </cfRule>
  </conditionalFormatting>
  <conditionalFormatting sqref="ED138">
    <cfRule type="expression" dxfId="643" priority="314" stopIfTrue="1">
      <formula>EG138&lt;&gt;""</formula>
    </cfRule>
  </conditionalFormatting>
  <conditionalFormatting sqref="EE138">
    <cfRule type="expression" dxfId="642" priority="313" stopIfTrue="1">
      <formula>EG138&lt;&gt;""</formula>
    </cfRule>
  </conditionalFormatting>
  <conditionalFormatting sqref="EP138">
    <cfRule type="expression" dxfId="641" priority="312" stopIfTrue="1">
      <formula>ES138&lt;&gt;""</formula>
    </cfRule>
  </conditionalFormatting>
  <conditionalFormatting sqref="EQ138">
    <cfRule type="expression" dxfId="640" priority="311" stopIfTrue="1">
      <formula>ES138&lt;&gt;""</formula>
    </cfRule>
  </conditionalFormatting>
  <conditionalFormatting sqref="EV138">
    <cfRule type="expression" dxfId="639" priority="310" stopIfTrue="1">
      <formula>EY138&lt;&gt;""</formula>
    </cfRule>
  </conditionalFormatting>
  <conditionalFormatting sqref="EW138">
    <cfRule type="expression" dxfId="638" priority="309" stopIfTrue="1">
      <formula>EY138&lt;&gt;""</formula>
    </cfRule>
  </conditionalFormatting>
  <conditionalFormatting sqref="HI138">
    <cfRule type="expression" dxfId="637" priority="308" stopIfTrue="1">
      <formula>HL138&lt;&gt;""</formula>
    </cfRule>
  </conditionalFormatting>
  <conditionalFormatting sqref="HJ138">
    <cfRule type="expression" dxfId="636" priority="307" stopIfTrue="1">
      <formula>HL138&lt;&gt;""</formula>
    </cfRule>
  </conditionalFormatting>
  <conditionalFormatting sqref="DJ138">
    <cfRule type="expression" dxfId="635" priority="306" stopIfTrue="1">
      <formula>DM138&lt;&gt;""</formula>
    </cfRule>
  </conditionalFormatting>
  <conditionalFormatting sqref="DK138">
    <cfRule type="expression" dxfId="634" priority="305" stopIfTrue="1">
      <formula>DM138&lt;&gt;""</formula>
    </cfRule>
  </conditionalFormatting>
  <conditionalFormatting sqref="DP138">
    <cfRule type="expression" dxfId="633" priority="304" stopIfTrue="1">
      <formula>DS138&lt;&gt;""</formula>
    </cfRule>
  </conditionalFormatting>
  <conditionalFormatting sqref="DQ138">
    <cfRule type="expression" dxfId="632" priority="303" stopIfTrue="1">
      <formula>DS138&lt;&gt;""</formula>
    </cfRule>
  </conditionalFormatting>
  <conditionalFormatting sqref="CZ138">
    <cfRule type="expression" dxfId="631" priority="302" stopIfTrue="1">
      <formula>DC138&lt;&gt;""</formula>
    </cfRule>
  </conditionalFormatting>
  <conditionalFormatting sqref="DA138">
    <cfRule type="expression" dxfId="630" priority="301" stopIfTrue="1">
      <formula>DC138&lt;&gt;""</formula>
    </cfRule>
  </conditionalFormatting>
  <conditionalFormatting sqref="ED138 EJ138 EP138 EV138 FB138 FH138 FN138 FT138 FZ138 GF138 GL138 GR138 HA138 HI138 HO138 HU138 IA138 IG138 IM138 IS138 IY138 JE138 JK138 JQ138">
    <cfRule type="expression" dxfId="629" priority="300" stopIfTrue="1">
      <formula>EG138&lt;&gt;""</formula>
    </cfRule>
  </conditionalFormatting>
  <conditionalFormatting sqref="EE138 EK138 EQ138 EW138 FC138 FI138 FO138 FU138 GA138 GG138 GM138 GS138 HB138 HJ138 HP138 HV138 IB138 IH138 IN138 IT138 IZ138 JF138 JL138 JR138">
    <cfRule type="expression" dxfId="628" priority="299" stopIfTrue="1">
      <formula>EG138&lt;&gt;""</formula>
    </cfRule>
  </conditionalFormatting>
  <conditionalFormatting sqref="AZ138">
    <cfRule type="expression" dxfId="627" priority="298" stopIfTrue="1">
      <formula>BC138&lt;&gt;""</formula>
    </cfRule>
  </conditionalFormatting>
  <conditionalFormatting sqref="BA138">
    <cfRule type="expression" dxfId="626" priority="297" stopIfTrue="1">
      <formula>BC138&lt;&gt;""</formula>
    </cfRule>
  </conditionalFormatting>
  <conditionalFormatting sqref="CF138">
    <cfRule type="expression" dxfId="625" priority="296" stopIfTrue="1">
      <formula>CI138&lt;&gt;""</formula>
    </cfRule>
  </conditionalFormatting>
  <conditionalFormatting sqref="CG138">
    <cfRule type="expression" dxfId="624" priority="295" stopIfTrue="1">
      <formula>CI138&lt;&gt;""</formula>
    </cfRule>
  </conditionalFormatting>
  <conditionalFormatting sqref="CC140">
    <cfRule type="expression" dxfId="623" priority="294" stopIfTrue="1">
      <formula>CI140&lt;&gt;""</formula>
    </cfRule>
  </conditionalFormatting>
  <conditionalFormatting sqref="CD140">
    <cfRule type="expression" dxfId="622" priority="293" stopIfTrue="1">
      <formula>CI140&lt;&gt;""</formula>
    </cfRule>
  </conditionalFormatting>
  <conditionalFormatting sqref="AI140">
    <cfRule type="expression" dxfId="621" priority="291" stopIfTrue="1">
      <formula>AK140&lt;&gt;""</formula>
    </cfRule>
  </conditionalFormatting>
  <conditionalFormatting sqref="AT140">
    <cfRule type="expression" dxfId="620" priority="290" stopIfTrue="1">
      <formula>AW140&lt;&gt;""</formula>
    </cfRule>
  </conditionalFormatting>
  <conditionalFormatting sqref="AU140">
    <cfRule type="expression" dxfId="619" priority="289" stopIfTrue="1">
      <formula>AW140&lt;&gt;""</formula>
    </cfRule>
  </conditionalFormatting>
  <conditionalFormatting sqref="BF140">
    <cfRule type="expression" dxfId="618" priority="288" stopIfTrue="1">
      <formula>BI140&lt;&gt;""</formula>
    </cfRule>
  </conditionalFormatting>
  <conditionalFormatting sqref="BG140">
    <cfRule type="expression" dxfId="617" priority="287" stopIfTrue="1">
      <formula>BI140&lt;&gt;""</formula>
    </cfRule>
  </conditionalFormatting>
  <conditionalFormatting sqref="BO140">
    <cfRule type="expression" dxfId="616" priority="286" stopIfTrue="1">
      <formula>BR140&lt;&gt;""</formula>
    </cfRule>
  </conditionalFormatting>
  <conditionalFormatting sqref="BP140">
    <cfRule type="expression" dxfId="615" priority="285" stopIfTrue="1">
      <formula>BR140&lt;&gt;""</formula>
    </cfRule>
  </conditionalFormatting>
  <conditionalFormatting sqref="AN140">
    <cfRule type="expression" dxfId="614" priority="284" stopIfTrue="1">
      <formula>AQ140&lt;&gt;""</formula>
    </cfRule>
  </conditionalFormatting>
  <conditionalFormatting sqref="AO140">
    <cfRule type="expression" dxfId="613" priority="283" stopIfTrue="1">
      <formula>AQ140&lt;&gt;""</formula>
    </cfRule>
  </conditionalFormatting>
  <conditionalFormatting sqref="CZ140">
    <cfRule type="expression" dxfId="612" priority="282" stopIfTrue="1">
      <formula>DC140&lt;&gt;""</formula>
    </cfRule>
  </conditionalFormatting>
  <conditionalFormatting sqref="DA140">
    <cfRule type="expression" dxfId="611" priority="281" stopIfTrue="1">
      <formula>DC140&lt;&gt;""</formula>
    </cfRule>
  </conditionalFormatting>
  <conditionalFormatting sqref="ED140">
    <cfRule type="expression" dxfId="610" priority="280" stopIfTrue="1">
      <formula>EG140&lt;&gt;""</formula>
    </cfRule>
  </conditionalFormatting>
  <conditionalFormatting sqref="EE140">
    <cfRule type="expression" dxfId="609" priority="279" stopIfTrue="1">
      <formula>EG140&lt;&gt;""</formula>
    </cfRule>
  </conditionalFormatting>
  <conditionalFormatting sqref="EP140">
    <cfRule type="expression" dxfId="608" priority="278" stopIfTrue="1">
      <formula>ES140&lt;&gt;""</formula>
    </cfRule>
  </conditionalFormatting>
  <conditionalFormatting sqref="EQ140">
    <cfRule type="expression" dxfId="607" priority="277" stopIfTrue="1">
      <formula>ES140&lt;&gt;""</formula>
    </cfRule>
  </conditionalFormatting>
  <conditionalFormatting sqref="EV140">
    <cfRule type="expression" dxfId="606" priority="276" stopIfTrue="1">
      <formula>EY140&lt;&gt;""</formula>
    </cfRule>
  </conditionalFormatting>
  <conditionalFormatting sqref="EW140">
    <cfRule type="expression" dxfId="605" priority="275" stopIfTrue="1">
      <formula>EY140&lt;&gt;""</formula>
    </cfRule>
  </conditionalFormatting>
  <conditionalFormatting sqref="HI140">
    <cfRule type="expression" dxfId="604" priority="274" stopIfTrue="1">
      <formula>HL140&lt;&gt;""</formula>
    </cfRule>
  </conditionalFormatting>
  <conditionalFormatting sqref="HJ140">
    <cfRule type="expression" dxfId="603" priority="273" stopIfTrue="1">
      <formula>HL140&lt;&gt;""</formula>
    </cfRule>
  </conditionalFormatting>
  <conditionalFormatting sqref="DJ140">
    <cfRule type="expression" dxfId="602" priority="272" stopIfTrue="1">
      <formula>DM140&lt;&gt;""</formula>
    </cfRule>
  </conditionalFormatting>
  <conditionalFormatting sqref="DK140">
    <cfRule type="expression" dxfId="601" priority="271" stopIfTrue="1">
      <formula>DM140&lt;&gt;""</formula>
    </cfRule>
  </conditionalFormatting>
  <conditionalFormatting sqref="DP140">
    <cfRule type="expression" dxfId="600" priority="270" stopIfTrue="1">
      <formula>DS140&lt;&gt;""</formula>
    </cfRule>
  </conditionalFormatting>
  <conditionalFormatting sqref="DQ140">
    <cfRule type="expression" dxfId="599" priority="269" stopIfTrue="1">
      <formula>DS140&lt;&gt;""</formula>
    </cfRule>
  </conditionalFormatting>
  <conditionalFormatting sqref="CZ140">
    <cfRule type="expression" dxfId="598" priority="268" stopIfTrue="1">
      <formula>DC140&lt;&gt;""</formula>
    </cfRule>
  </conditionalFormatting>
  <conditionalFormatting sqref="DA140">
    <cfRule type="expression" dxfId="597" priority="267" stopIfTrue="1">
      <formula>DC140&lt;&gt;""</formula>
    </cfRule>
  </conditionalFormatting>
  <conditionalFormatting sqref="ED140 EJ140 EP140 EV140 FB140 FH140 FN140 FT140 FZ140 GF140 GL140 GR140 HA140 HI140 HO140 HU140 IA140 IG140 IM140 IS140 IY140 JE140 JK140 JQ140">
    <cfRule type="expression" dxfId="596" priority="266" stopIfTrue="1">
      <formula>EG140&lt;&gt;""</formula>
    </cfRule>
  </conditionalFormatting>
  <conditionalFormatting sqref="EE140 EK140 EQ140 EW140 FC140 FI140 FO140 FU140 GA140 GG140 GM140 GS140 HB140 HJ140 HP140 HV140 IB140 IH140 IN140 IT140 IZ140 JF140 JL140 JR140">
    <cfRule type="expression" dxfId="595" priority="265" stopIfTrue="1">
      <formula>EG140&lt;&gt;""</formula>
    </cfRule>
  </conditionalFormatting>
  <conditionalFormatting sqref="AZ140">
    <cfRule type="expression" dxfId="594" priority="264" stopIfTrue="1">
      <formula>BC140&lt;&gt;""</formula>
    </cfRule>
  </conditionalFormatting>
  <conditionalFormatting sqref="BA140">
    <cfRule type="expression" dxfId="593" priority="263" stopIfTrue="1">
      <formula>BC140&lt;&gt;""</formula>
    </cfRule>
  </conditionalFormatting>
  <conditionalFormatting sqref="CF140">
    <cfRule type="expression" dxfId="592" priority="262" stopIfTrue="1">
      <formula>CI140&lt;&gt;""</formula>
    </cfRule>
  </conditionalFormatting>
  <conditionalFormatting sqref="CG140">
    <cfRule type="expression" dxfId="591" priority="261" stopIfTrue="1">
      <formula>CI140&lt;&gt;""</formula>
    </cfRule>
  </conditionalFormatting>
  <conditionalFormatting sqref="CC142">
    <cfRule type="expression" dxfId="590" priority="260" stopIfTrue="1">
      <formula>CI142&lt;&gt;""</formula>
    </cfRule>
  </conditionalFormatting>
  <conditionalFormatting sqref="CD142">
    <cfRule type="expression" dxfId="589" priority="259" stopIfTrue="1">
      <formula>CI142&lt;&gt;""</formula>
    </cfRule>
  </conditionalFormatting>
  <conditionalFormatting sqref="AI142">
    <cfRule type="expression" dxfId="588" priority="257" stopIfTrue="1">
      <formula>AK142&lt;&gt;""</formula>
    </cfRule>
  </conditionalFormatting>
  <conditionalFormatting sqref="AT142">
    <cfRule type="expression" dxfId="587" priority="256" stopIfTrue="1">
      <formula>AW142&lt;&gt;""</formula>
    </cfRule>
  </conditionalFormatting>
  <conditionalFormatting sqref="AU142">
    <cfRule type="expression" dxfId="586" priority="255" stopIfTrue="1">
      <formula>AW142&lt;&gt;""</formula>
    </cfRule>
  </conditionalFormatting>
  <conditionalFormatting sqref="BF142">
    <cfRule type="expression" dxfId="585" priority="254" stopIfTrue="1">
      <formula>BI142&lt;&gt;""</formula>
    </cfRule>
  </conditionalFormatting>
  <conditionalFormatting sqref="BG142">
    <cfRule type="expression" dxfId="584" priority="253" stopIfTrue="1">
      <formula>BI142&lt;&gt;""</formula>
    </cfRule>
  </conditionalFormatting>
  <conditionalFormatting sqref="BO142">
    <cfRule type="expression" dxfId="583" priority="252" stopIfTrue="1">
      <formula>BR142&lt;&gt;""</formula>
    </cfRule>
  </conditionalFormatting>
  <conditionalFormatting sqref="BP142">
    <cfRule type="expression" dxfId="582" priority="251" stopIfTrue="1">
      <formula>BR142&lt;&gt;""</formula>
    </cfRule>
  </conditionalFormatting>
  <conditionalFormatting sqref="AN142">
    <cfRule type="expression" dxfId="581" priority="250" stopIfTrue="1">
      <formula>AQ142&lt;&gt;""</formula>
    </cfRule>
  </conditionalFormatting>
  <conditionalFormatting sqref="AO142">
    <cfRule type="expression" dxfId="580" priority="249" stopIfTrue="1">
      <formula>AQ142&lt;&gt;""</formula>
    </cfRule>
  </conditionalFormatting>
  <conditionalFormatting sqref="CZ142">
    <cfRule type="expression" dxfId="579" priority="248" stopIfTrue="1">
      <formula>DC142&lt;&gt;""</formula>
    </cfRule>
  </conditionalFormatting>
  <conditionalFormatting sqref="DA142">
    <cfRule type="expression" dxfId="578" priority="247" stopIfTrue="1">
      <formula>DC142&lt;&gt;""</formula>
    </cfRule>
  </conditionalFormatting>
  <conditionalFormatting sqref="ED142">
    <cfRule type="expression" dxfId="577" priority="246" stopIfTrue="1">
      <formula>EG142&lt;&gt;""</formula>
    </cfRule>
  </conditionalFormatting>
  <conditionalFormatting sqref="EE142">
    <cfRule type="expression" dxfId="576" priority="245" stopIfTrue="1">
      <formula>EG142&lt;&gt;""</formula>
    </cfRule>
  </conditionalFormatting>
  <conditionalFormatting sqref="EP142">
    <cfRule type="expression" dxfId="575" priority="244" stopIfTrue="1">
      <formula>ES142&lt;&gt;""</formula>
    </cfRule>
  </conditionalFormatting>
  <conditionalFormatting sqref="EQ142">
    <cfRule type="expression" dxfId="574" priority="243" stopIfTrue="1">
      <formula>ES142&lt;&gt;""</formula>
    </cfRule>
  </conditionalFormatting>
  <conditionalFormatting sqref="EV142">
    <cfRule type="expression" dxfId="573" priority="242" stopIfTrue="1">
      <formula>EY142&lt;&gt;""</formula>
    </cfRule>
  </conditionalFormatting>
  <conditionalFormatting sqref="EW142">
    <cfRule type="expression" dxfId="572" priority="241" stopIfTrue="1">
      <formula>EY142&lt;&gt;""</formula>
    </cfRule>
  </conditionalFormatting>
  <conditionalFormatting sqref="HI142">
    <cfRule type="expression" dxfId="571" priority="240" stopIfTrue="1">
      <formula>HL142&lt;&gt;""</formula>
    </cfRule>
  </conditionalFormatting>
  <conditionalFormatting sqref="HJ142">
    <cfRule type="expression" dxfId="570" priority="239" stopIfTrue="1">
      <formula>HL142&lt;&gt;""</formula>
    </cfRule>
  </conditionalFormatting>
  <conditionalFormatting sqref="DJ142">
    <cfRule type="expression" dxfId="569" priority="238" stopIfTrue="1">
      <formula>DM142&lt;&gt;""</formula>
    </cfRule>
  </conditionalFormatting>
  <conditionalFormatting sqref="DK142">
    <cfRule type="expression" dxfId="568" priority="237" stopIfTrue="1">
      <formula>DM142&lt;&gt;""</formula>
    </cfRule>
  </conditionalFormatting>
  <conditionalFormatting sqref="DP142">
    <cfRule type="expression" dxfId="567" priority="236" stopIfTrue="1">
      <formula>DS142&lt;&gt;""</formula>
    </cfRule>
  </conditionalFormatting>
  <conditionalFormatting sqref="DQ142">
    <cfRule type="expression" dxfId="566" priority="235" stopIfTrue="1">
      <formula>DS142&lt;&gt;""</formula>
    </cfRule>
  </conditionalFormatting>
  <conditionalFormatting sqref="CZ142">
    <cfRule type="expression" dxfId="565" priority="234" stopIfTrue="1">
      <formula>DC142&lt;&gt;""</formula>
    </cfRule>
  </conditionalFormatting>
  <conditionalFormatting sqref="DA142">
    <cfRule type="expression" dxfId="564" priority="233" stopIfTrue="1">
      <formula>DC142&lt;&gt;""</formula>
    </cfRule>
  </conditionalFormatting>
  <conditionalFormatting sqref="ED142 EJ142 EP142 EV142 FB142 FH142 FN142 FT142 FZ142 GF142 GL142 GR142 HA142 HI142 HO142 HU142 IA142 IG142 IM142 IS142 IY142 JE142 JK142 JQ142">
    <cfRule type="expression" dxfId="563" priority="232" stopIfTrue="1">
      <formula>EG142&lt;&gt;""</formula>
    </cfRule>
  </conditionalFormatting>
  <conditionalFormatting sqref="EE142 EK142 EQ142 EW142 FC142 FI142 FO142 FU142 GA142 GG142 GM142 GS142 HB142 HJ142 HP142 HV142 IB142 IH142 IN142 IT142 IZ142 JF142 JL142 JR142">
    <cfRule type="expression" dxfId="562" priority="231" stopIfTrue="1">
      <formula>EG142&lt;&gt;""</formula>
    </cfRule>
  </conditionalFormatting>
  <conditionalFormatting sqref="AZ142">
    <cfRule type="expression" dxfId="561" priority="230" stopIfTrue="1">
      <formula>BC142&lt;&gt;""</formula>
    </cfRule>
  </conditionalFormatting>
  <conditionalFormatting sqref="BA142">
    <cfRule type="expression" dxfId="560" priority="229" stopIfTrue="1">
      <formula>BC142&lt;&gt;""</formula>
    </cfRule>
  </conditionalFormatting>
  <conditionalFormatting sqref="CF142">
    <cfRule type="expression" dxfId="559" priority="228" stopIfTrue="1">
      <formula>CI142&lt;&gt;""</formula>
    </cfRule>
  </conditionalFormatting>
  <conditionalFormatting sqref="CG142">
    <cfRule type="expression" dxfId="558" priority="227" stopIfTrue="1">
      <formula>CI142&lt;&gt;""</formula>
    </cfRule>
  </conditionalFormatting>
  <conditionalFormatting sqref="CC144">
    <cfRule type="expression" dxfId="557" priority="226" stopIfTrue="1">
      <formula>CI144&lt;&gt;""</formula>
    </cfRule>
  </conditionalFormatting>
  <conditionalFormatting sqref="CD144">
    <cfRule type="expression" dxfId="556" priority="225" stopIfTrue="1">
      <formula>CI144&lt;&gt;""</formula>
    </cfRule>
  </conditionalFormatting>
  <conditionalFormatting sqref="AI144">
    <cfRule type="expression" dxfId="555" priority="223" stopIfTrue="1">
      <formula>AK144&lt;&gt;""</formula>
    </cfRule>
  </conditionalFormatting>
  <conditionalFormatting sqref="AT144">
    <cfRule type="expression" dxfId="554" priority="222" stopIfTrue="1">
      <formula>AW144&lt;&gt;""</formula>
    </cfRule>
  </conditionalFormatting>
  <conditionalFormatting sqref="AU144">
    <cfRule type="expression" dxfId="553" priority="221" stopIfTrue="1">
      <formula>AW144&lt;&gt;""</formula>
    </cfRule>
  </conditionalFormatting>
  <conditionalFormatting sqref="BF144">
    <cfRule type="expression" dxfId="552" priority="220" stopIfTrue="1">
      <formula>BI144&lt;&gt;""</formula>
    </cfRule>
  </conditionalFormatting>
  <conditionalFormatting sqref="BG144">
    <cfRule type="expression" dxfId="551" priority="219" stopIfTrue="1">
      <formula>BI144&lt;&gt;""</formula>
    </cfRule>
  </conditionalFormatting>
  <conditionalFormatting sqref="BO144">
    <cfRule type="expression" dxfId="550" priority="218" stopIfTrue="1">
      <formula>BR144&lt;&gt;""</formula>
    </cfRule>
  </conditionalFormatting>
  <conditionalFormatting sqref="BP144">
    <cfRule type="expression" dxfId="549" priority="217" stopIfTrue="1">
      <formula>BR144&lt;&gt;""</formula>
    </cfRule>
  </conditionalFormatting>
  <conditionalFormatting sqref="AN144">
    <cfRule type="expression" dxfId="548" priority="216" stopIfTrue="1">
      <formula>AQ144&lt;&gt;""</formula>
    </cfRule>
  </conditionalFormatting>
  <conditionalFormatting sqref="AO144">
    <cfRule type="expression" dxfId="547" priority="215" stopIfTrue="1">
      <formula>AQ144&lt;&gt;""</formula>
    </cfRule>
  </conditionalFormatting>
  <conditionalFormatting sqref="CZ144">
    <cfRule type="expression" dxfId="546" priority="214" stopIfTrue="1">
      <formula>DC144&lt;&gt;""</formula>
    </cfRule>
  </conditionalFormatting>
  <conditionalFormatting sqref="DA144">
    <cfRule type="expression" dxfId="545" priority="213" stopIfTrue="1">
      <formula>DC144&lt;&gt;""</formula>
    </cfRule>
  </conditionalFormatting>
  <conditionalFormatting sqref="ED144">
    <cfRule type="expression" dxfId="544" priority="212" stopIfTrue="1">
      <formula>EG144&lt;&gt;""</formula>
    </cfRule>
  </conditionalFormatting>
  <conditionalFormatting sqref="EE144">
    <cfRule type="expression" dxfId="543" priority="211" stopIfTrue="1">
      <formula>EG144&lt;&gt;""</formula>
    </cfRule>
  </conditionalFormatting>
  <conditionalFormatting sqref="EP144">
    <cfRule type="expression" dxfId="542" priority="210" stopIfTrue="1">
      <formula>ES144&lt;&gt;""</formula>
    </cfRule>
  </conditionalFormatting>
  <conditionalFormatting sqref="EQ144">
    <cfRule type="expression" dxfId="541" priority="209" stopIfTrue="1">
      <formula>ES144&lt;&gt;""</formula>
    </cfRule>
  </conditionalFormatting>
  <conditionalFormatting sqref="EV144">
    <cfRule type="expression" dxfId="540" priority="208" stopIfTrue="1">
      <formula>EY144&lt;&gt;""</formula>
    </cfRule>
  </conditionalFormatting>
  <conditionalFormatting sqref="EW144">
    <cfRule type="expression" dxfId="539" priority="207" stopIfTrue="1">
      <formula>EY144&lt;&gt;""</formula>
    </cfRule>
  </conditionalFormatting>
  <conditionalFormatting sqref="HI144">
    <cfRule type="expression" dxfId="538" priority="206" stopIfTrue="1">
      <formula>HL144&lt;&gt;""</formula>
    </cfRule>
  </conditionalFormatting>
  <conditionalFormatting sqref="HJ144">
    <cfRule type="expression" dxfId="537" priority="205" stopIfTrue="1">
      <formula>HL144&lt;&gt;""</formula>
    </cfRule>
  </conditionalFormatting>
  <conditionalFormatting sqref="DJ144">
    <cfRule type="expression" dxfId="536" priority="204" stopIfTrue="1">
      <formula>DM144&lt;&gt;""</formula>
    </cfRule>
  </conditionalFormatting>
  <conditionalFormatting sqref="DK144">
    <cfRule type="expression" dxfId="535" priority="203" stopIfTrue="1">
      <formula>DM144&lt;&gt;""</formula>
    </cfRule>
  </conditionalFormatting>
  <conditionalFormatting sqref="DP144">
    <cfRule type="expression" dxfId="534" priority="202" stopIfTrue="1">
      <formula>DS144&lt;&gt;""</formula>
    </cfRule>
  </conditionalFormatting>
  <conditionalFormatting sqref="DQ144">
    <cfRule type="expression" dxfId="533" priority="201" stopIfTrue="1">
      <formula>DS144&lt;&gt;""</formula>
    </cfRule>
  </conditionalFormatting>
  <conditionalFormatting sqref="CZ144">
    <cfRule type="expression" dxfId="532" priority="200" stopIfTrue="1">
      <formula>DC144&lt;&gt;""</formula>
    </cfRule>
  </conditionalFormatting>
  <conditionalFormatting sqref="DA144">
    <cfRule type="expression" dxfId="531" priority="199" stopIfTrue="1">
      <formula>DC144&lt;&gt;""</formula>
    </cfRule>
  </conditionalFormatting>
  <conditionalFormatting sqref="ED144 EJ144 EP144 EV144 FB144 FH144 FN144 FT144 FZ144 GF144 GL144 GR144 HA144 HI144 HO144 HU144 IA144 IG144 IM144 IS144 IY144 JE144 JK144 JQ144">
    <cfRule type="expression" dxfId="530" priority="198" stopIfTrue="1">
      <formula>EG144&lt;&gt;""</formula>
    </cfRule>
  </conditionalFormatting>
  <conditionalFormatting sqref="EE144 EK144 EQ144 EW144 FC144 FI144 FO144 FU144 GA144 GG144 GM144 GS144 HB144 HJ144 HP144 HV144 IB144 IH144 IN144 IT144 IZ144 JF144 JL144 JR144">
    <cfRule type="expression" dxfId="529" priority="197" stopIfTrue="1">
      <formula>EG144&lt;&gt;""</formula>
    </cfRule>
  </conditionalFormatting>
  <conditionalFormatting sqref="AZ144">
    <cfRule type="expression" dxfId="528" priority="196" stopIfTrue="1">
      <formula>BC144&lt;&gt;""</formula>
    </cfRule>
  </conditionalFormatting>
  <conditionalFormatting sqref="BA144">
    <cfRule type="expression" dxfId="527" priority="195" stopIfTrue="1">
      <formula>BC144&lt;&gt;""</formula>
    </cfRule>
  </conditionalFormatting>
  <conditionalFormatting sqref="CF144">
    <cfRule type="expression" dxfId="526" priority="194" stopIfTrue="1">
      <formula>CI144&lt;&gt;""</formula>
    </cfRule>
  </conditionalFormatting>
  <conditionalFormatting sqref="CG144">
    <cfRule type="expression" dxfId="525" priority="193" stopIfTrue="1">
      <formula>CI144&lt;&gt;""</formula>
    </cfRule>
  </conditionalFormatting>
  <conditionalFormatting sqref="CC146">
    <cfRule type="expression" dxfId="524" priority="192" stopIfTrue="1">
      <formula>CI146&lt;&gt;""</formula>
    </cfRule>
  </conditionalFormatting>
  <conditionalFormatting sqref="CD146">
    <cfRule type="expression" dxfId="523" priority="191" stopIfTrue="1">
      <formula>CI146&lt;&gt;""</formula>
    </cfRule>
  </conditionalFormatting>
  <conditionalFormatting sqref="AI146">
    <cfRule type="expression" dxfId="522" priority="189" stopIfTrue="1">
      <formula>AK146&lt;&gt;""</formula>
    </cfRule>
  </conditionalFormatting>
  <conditionalFormatting sqref="AT146">
    <cfRule type="expression" dxfId="521" priority="188" stopIfTrue="1">
      <formula>AW146&lt;&gt;""</formula>
    </cfRule>
  </conditionalFormatting>
  <conditionalFormatting sqref="AU146">
    <cfRule type="expression" dxfId="520" priority="187" stopIfTrue="1">
      <formula>AW146&lt;&gt;""</formula>
    </cfRule>
  </conditionalFormatting>
  <conditionalFormatting sqref="BF146">
    <cfRule type="expression" dxfId="519" priority="186" stopIfTrue="1">
      <formula>BI146&lt;&gt;""</formula>
    </cfRule>
  </conditionalFormatting>
  <conditionalFormatting sqref="BG146">
    <cfRule type="expression" dxfId="518" priority="185" stopIfTrue="1">
      <formula>BI146&lt;&gt;""</formula>
    </cfRule>
  </conditionalFormatting>
  <conditionalFormatting sqref="BO146">
    <cfRule type="expression" dxfId="517" priority="184" stopIfTrue="1">
      <formula>BR146&lt;&gt;""</formula>
    </cfRule>
  </conditionalFormatting>
  <conditionalFormatting sqref="BP146">
    <cfRule type="expression" dxfId="516" priority="183" stopIfTrue="1">
      <formula>BR146&lt;&gt;""</formula>
    </cfRule>
  </conditionalFormatting>
  <conditionalFormatting sqref="AN146">
    <cfRule type="expression" dxfId="515" priority="182" stopIfTrue="1">
      <formula>AQ146&lt;&gt;""</formula>
    </cfRule>
  </conditionalFormatting>
  <conditionalFormatting sqref="AO146">
    <cfRule type="expression" dxfId="514" priority="181" stopIfTrue="1">
      <formula>AQ146&lt;&gt;""</formula>
    </cfRule>
  </conditionalFormatting>
  <conditionalFormatting sqref="CZ146">
    <cfRule type="expression" dxfId="513" priority="180" stopIfTrue="1">
      <formula>DC146&lt;&gt;""</formula>
    </cfRule>
  </conditionalFormatting>
  <conditionalFormatting sqref="DA146">
    <cfRule type="expression" dxfId="512" priority="179" stopIfTrue="1">
      <formula>DC146&lt;&gt;""</formula>
    </cfRule>
  </conditionalFormatting>
  <conditionalFormatting sqref="ED146">
    <cfRule type="expression" dxfId="511" priority="178" stopIfTrue="1">
      <formula>EG146&lt;&gt;""</formula>
    </cfRule>
  </conditionalFormatting>
  <conditionalFormatting sqref="EE146">
    <cfRule type="expression" dxfId="510" priority="177" stopIfTrue="1">
      <formula>EG146&lt;&gt;""</formula>
    </cfRule>
  </conditionalFormatting>
  <conditionalFormatting sqref="EP146">
    <cfRule type="expression" dxfId="509" priority="176" stopIfTrue="1">
      <formula>ES146&lt;&gt;""</formula>
    </cfRule>
  </conditionalFormatting>
  <conditionalFormatting sqref="EQ146">
    <cfRule type="expression" dxfId="508" priority="175" stopIfTrue="1">
      <formula>ES146&lt;&gt;""</formula>
    </cfRule>
  </conditionalFormatting>
  <conditionalFormatting sqref="EV146">
    <cfRule type="expression" dxfId="507" priority="174" stopIfTrue="1">
      <formula>EY146&lt;&gt;""</formula>
    </cfRule>
  </conditionalFormatting>
  <conditionalFormatting sqref="EW146">
    <cfRule type="expression" dxfId="506" priority="173" stopIfTrue="1">
      <formula>EY146&lt;&gt;""</formula>
    </cfRule>
  </conditionalFormatting>
  <conditionalFormatting sqref="HI146">
    <cfRule type="expression" dxfId="505" priority="172" stopIfTrue="1">
      <formula>HL146&lt;&gt;""</formula>
    </cfRule>
  </conditionalFormatting>
  <conditionalFormatting sqref="HJ146">
    <cfRule type="expression" dxfId="504" priority="171" stopIfTrue="1">
      <formula>HL146&lt;&gt;""</formula>
    </cfRule>
  </conditionalFormatting>
  <conditionalFormatting sqref="DJ146">
    <cfRule type="expression" dxfId="503" priority="170" stopIfTrue="1">
      <formula>DM146&lt;&gt;""</formula>
    </cfRule>
  </conditionalFormatting>
  <conditionalFormatting sqref="DK146">
    <cfRule type="expression" dxfId="502" priority="169" stopIfTrue="1">
      <formula>DM146&lt;&gt;""</formula>
    </cfRule>
  </conditionalFormatting>
  <conditionalFormatting sqref="DP146">
    <cfRule type="expression" dxfId="501" priority="168" stopIfTrue="1">
      <formula>DS146&lt;&gt;""</formula>
    </cfRule>
  </conditionalFormatting>
  <conditionalFormatting sqref="DQ146">
    <cfRule type="expression" dxfId="500" priority="167" stopIfTrue="1">
      <formula>DS146&lt;&gt;""</formula>
    </cfRule>
  </conditionalFormatting>
  <conditionalFormatting sqref="CZ146">
    <cfRule type="expression" dxfId="499" priority="166" stopIfTrue="1">
      <formula>DC146&lt;&gt;""</formula>
    </cfRule>
  </conditionalFormatting>
  <conditionalFormatting sqref="DA146">
    <cfRule type="expression" dxfId="498" priority="165" stopIfTrue="1">
      <formula>DC146&lt;&gt;""</formula>
    </cfRule>
  </conditionalFormatting>
  <conditionalFormatting sqref="ED146 EJ146 EP146 EV146 FB146 FH146 FN146 FT146 FZ146 GF146 GL146 GR146 HA146 HI146 HO146 HU146 IA146 IG146 IM146 IS146 IY146 JE146 JK146 JQ146">
    <cfRule type="expression" dxfId="497" priority="164" stopIfTrue="1">
      <formula>EG146&lt;&gt;""</formula>
    </cfRule>
  </conditionalFormatting>
  <conditionalFormatting sqref="EE146 EK146 EQ146 EW146 FC146 FI146 FO146 FU146 GA146 GG146 GM146 GS146 HB146 HJ146 HP146 HV146 IB146 IH146 IN146 IT146 IZ146 JF146 JL146 JR146">
    <cfRule type="expression" dxfId="496" priority="163" stopIfTrue="1">
      <formula>EG146&lt;&gt;""</formula>
    </cfRule>
  </conditionalFormatting>
  <conditionalFormatting sqref="AZ146">
    <cfRule type="expression" dxfId="495" priority="162" stopIfTrue="1">
      <formula>BC146&lt;&gt;""</formula>
    </cfRule>
  </conditionalFormatting>
  <conditionalFormatting sqref="BA146">
    <cfRule type="expression" dxfId="494" priority="161" stopIfTrue="1">
      <formula>BC146&lt;&gt;""</formula>
    </cfRule>
  </conditionalFormatting>
  <conditionalFormatting sqref="CF146">
    <cfRule type="expression" dxfId="493" priority="160" stopIfTrue="1">
      <formula>CI146&lt;&gt;""</formula>
    </cfRule>
  </conditionalFormatting>
  <conditionalFormatting sqref="CG146">
    <cfRule type="expression" dxfId="492" priority="159" stopIfTrue="1">
      <formula>CI146&lt;&gt;""</formula>
    </cfRule>
  </conditionalFormatting>
  <conditionalFormatting sqref="CC148">
    <cfRule type="expression" dxfId="491" priority="158" stopIfTrue="1">
      <formula>CI148&lt;&gt;""</formula>
    </cfRule>
  </conditionalFormatting>
  <conditionalFormatting sqref="CD148">
    <cfRule type="expression" dxfId="490" priority="157" stopIfTrue="1">
      <formula>CI148&lt;&gt;""</formula>
    </cfRule>
  </conditionalFormatting>
  <conditionalFormatting sqref="AI148">
    <cfRule type="expression" dxfId="489" priority="155" stopIfTrue="1">
      <formula>AK148&lt;&gt;""</formula>
    </cfRule>
  </conditionalFormatting>
  <conditionalFormatting sqref="AT148">
    <cfRule type="expression" dxfId="488" priority="154" stopIfTrue="1">
      <formula>AW148&lt;&gt;""</formula>
    </cfRule>
  </conditionalFormatting>
  <conditionalFormatting sqref="AU148">
    <cfRule type="expression" dxfId="487" priority="153" stopIfTrue="1">
      <formula>AW148&lt;&gt;""</formula>
    </cfRule>
  </conditionalFormatting>
  <conditionalFormatting sqref="BF148">
    <cfRule type="expression" dxfId="486" priority="152" stopIfTrue="1">
      <formula>BI148&lt;&gt;""</formula>
    </cfRule>
  </conditionalFormatting>
  <conditionalFormatting sqref="BG148">
    <cfRule type="expression" dxfId="485" priority="151" stopIfTrue="1">
      <formula>BI148&lt;&gt;""</formula>
    </cfRule>
  </conditionalFormatting>
  <conditionalFormatting sqref="BO148">
    <cfRule type="expression" dxfId="484" priority="150" stopIfTrue="1">
      <formula>BR148&lt;&gt;""</formula>
    </cfRule>
  </conditionalFormatting>
  <conditionalFormatting sqref="BP148">
    <cfRule type="expression" dxfId="483" priority="149" stopIfTrue="1">
      <formula>BR148&lt;&gt;""</formula>
    </cfRule>
  </conditionalFormatting>
  <conditionalFormatting sqref="AN148">
    <cfRule type="expression" dxfId="482" priority="148" stopIfTrue="1">
      <formula>AQ148&lt;&gt;""</formula>
    </cfRule>
  </conditionalFormatting>
  <conditionalFormatting sqref="AO148">
    <cfRule type="expression" dxfId="481" priority="147" stopIfTrue="1">
      <formula>AQ148&lt;&gt;""</formula>
    </cfRule>
  </conditionalFormatting>
  <conditionalFormatting sqref="CZ148">
    <cfRule type="expression" dxfId="480" priority="146" stopIfTrue="1">
      <formula>DC148&lt;&gt;""</formula>
    </cfRule>
  </conditionalFormatting>
  <conditionalFormatting sqref="DA148">
    <cfRule type="expression" dxfId="479" priority="145" stopIfTrue="1">
      <formula>DC148&lt;&gt;""</formula>
    </cfRule>
  </conditionalFormatting>
  <conditionalFormatting sqref="ED148">
    <cfRule type="expression" dxfId="478" priority="144" stopIfTrue="1">
      <formula>EG148&lt;&gt;""</formula>
    </cfRule>
  </conditionalFormatting>
  <conditionalFormatting sqref="EE148">
    <cfRule type="expression" dxfId="477" priority="143" stopIfTrue="1">
      <formula>EG148&lt;&gt;""</formula>
    </cfRule>
  </conditionalFormatting>
  <conditionalFormatting sqref="EP148">
    <cfRule type="expression" dxfId="476" priority="142" stopIfTrue="1">
      <formula>ES148&lt;&gt;""</formula>
    </cfRule>
  </conditionalFormatting>
  <conditionalFormatting sqref="EQ148">
    <cfRule type="expression" dxfId="475" priority="141" stopIfTrue="1">
      <formula>ES148&lt;&gt;""</formula>
    </cfRule>
  </conditionalFormatting>
  <conditionalFormatting sqref="EV148">
    <cfRule type="expression" dxfId="474" priority="140" stopIfTrue="1">
      <formula>EY148&lt;&gt;""</formula>
    </cfRule>
  </conditionalFormatting>
  <conditionalFormatting sqref="EW148">
    <cfRule type="expression" dxfId="473" priority="139" stopIfTrue="1">
      <formula>EY148&lt;&gt;""</formula>
    </cfRule>
  </conditionalFormatting>
  <conditionalFormatting sqref="HI148">
    <cfRule type="expression" dxfId="472" priority="138" stopIfTrue="1">
      <formula>HL148&lt;&gt;""</formula>
    </cfRule>
  </conditionalFormatting>
  <conditionalFormatting sqref="HJ148">
    <cfRule type="expression" dxfId="471" priority="137" stopIfTrue="1">
      <formula>HL148&lt;&gt;""</formula>
    </cfRule>
  </conditionalFormatting>
  <conditionalFormatting sqref="DJ148">
    <cfRule type="expression" dxfId="470" priority="136" stopIfTrue="1">
      <formula>DM148&lt;&gt;""</formula>
    </cfRule>
  </conditionalFormatting>
  <conditionalFormatting sqref="DK148">
    <cfRule type="expression" dxfId="469" priority="135" stopIfTrue="1">
      <formula>DM148&lt;&gt;""</formula>
    </cfRule>
  </conditionalFormatting>
  <conditionalFormatting sqref="DP148">
    <cfRule type="expression" dxfId="468" priority="134" stopIfTrue="1">
      <formula>DS148&lt;&gt;""</formula>
    </cfRule>
  </conditionalFormatting>
  <conditionalFormatting sqref="DQ148">
    <cfRule type="expression" dxfId="467" priority="133" stopIfTrue="1">
      <formula>DS148&lt;&gt;""</formula>
    </cfRule>
  </conditionalFormatting>
  <conditionalFormatting sqref="CZ148">
    <cfRule type="expression" dxfId="466" priority="132" stopIfTrue="1">
      <formula>DC148&lt;&gt;""</formula>
    </cfRule>
  </conditionalFormatting>
  <conditionalFormatting sqref="DA148">
    <cfRule type="expression" dxfId="465" priority="131" stopIfTrue="1">
      <formula>DC148&lt;&gt;""</formula>
    </cfRule>
  </conditionalFormatting>
  <conditionalFormatting sqref="ED148 EJ148 EP148 EV148 FB148 FH148 FN148 FT148 FZ148 GF148 GL148 GR148 HA148 HI148 HO148 HU148 IA148 IG148 IM148 IS148 IY148 JE148 JK148 JQ148">
    <cfRule type="expression" dxfId="464" priority="130" stopIfTrue="1">
      <formula>EG148&lt;&gt;""</formula>
    </cfRule>
  </conditionalFormatting>
  <conditionalFormatting sqref="EE148 EK148 EQ148 EW148 FC148 FI148 FO148 FU148 GA148 GG148 GM148 GS148 HB148 HJ148 HP148 HV148 IB148 IH148 IN148 IT148 IZ148 JF148 JL148 JR148">
    <cfRule type="expression" dxfId="463" priority="129" stopIfTrue="1">
      <formula>EG148&lt;&gt;""</formula>
    </cfRule>
  </conditionalFormatting>
  <conditionalFormatting sqref="AZ148">
    <cfRule type="expression" dxfId="462" priority="128" stopIfTrue="1">
      <formula>BC148&lt;&gt;""</formula>
    </cfRule>
  </conditionalFormatting>
  <conditionalFormatting sqref="BA148">
    <cfRule type="expression" dxfId="461" priority="127" stopIfTrue="1">
      <formula>BC148&lt;&gt;""</formula>
    </cfRule>
  </conditionalFormatting>
  <conditionalFormatting sqref="CF148">
    <cfRule type="expression" dxfId="460" priority="126" stopIfTrue="1">
      <formula>CI148&lt;&gt;""</formula>
    </cfRule>
  </conditionalFormatting>
  <conditionalFormatting sqref="CG148">
    <cfRule type="expression" dxfId="459" priority="125" stopIfTrue="1">
      <formula>CI148&lt;&gt;""</formula>
    </cfRule>
  </conditionalFormatting>
  <conditionalFormatting sqref="CC150">
    <cfRule type="expression" dxfId="458" priority="124" stopIfTrue="1">
      <formula>CI150&lt;&gt;""</formula>
    </cfRule>
  </conditionalFormatting>
  <conditionalFormatting sqref="CD150">
    <cfRule type="expression" dxfId="457" priority="123" stopIfTrue="1">
      <formula>CI150&lt;&gt;""</formula>
    </cfRule>
  </conditionalFormatting>
  <conditionalFormatting sqref="AI150">
    <cfRule type="expression" dxfId="456" priority="121" stopIfTrue="1">
      <formula>AK150&lt;&gt;""</formula>
    </cfRule>
  </conditionalFormatting>
  <conditionalFormatting sqref="AT150">
    <cfRule type="expression" dxfId="455" priority="120" stopIfTrue="1">
      <formula>AW150&lt;&gt;""</formula>
    </cfRule>
  </conditionalFormatting>
  <conditionalFormatting sqref="AU150">
    <cfRule type="expression" dxfId="454" priority="119" stopIfTrue="1">
      <formula>AW150&lt;&gt;""</formula>
    </cfRule>
  </conditionalFormatting>
  <conditionalFormatting sqref="BF150">
    <cfRule type="expression" dxfId="453" priority="118" stopIfTrue="1">
      <formula>BI150&lt;&gt;""</formula>
    </cfRule>
  </conditionalFormatting>
  <conditionalFormatting sqref="BG150">
    <cfRule type="expression" dxfId="452" priority="117" stopIfTrue="1">
      <formula>BI150&lt;&gt;""</formula>
    </cfRule>
  </conditionalFormatting>
  <conditionalFormatting sqref="BO150">
    <cfRule type="expression" dxfId="451" priority="116" stopIfTrue="1">
      <formula>BR150&lt;&gt;""</formula>
    </cfRule>
  </conditionalFormatting>
  <conditionalFormatting sqref="BP150">
    <cfRule type="expression" dxfId="450" priority="115" stopIfTrue="1">
      <formula>BR150&lt;&gt;""</formula>
    </cfRule>
  </conditionalFormatting>
  <conditionalFormatting sqref="AN150">
    <cfRule type="expression" dxfId="449" priority="114" stopIfTrue="1">
      <formula>AQ150&lt;&gt;""</formula>
    </cfRule>
  </conditionalFormatting>
  <conditionalFormatting sqref="AO150">
    <cfRule type="expression" dxfId="448" priority="113" stopIfTrue="1">
      <formula>AQ150&lt;&gt;""</formula>
    </cfRule>
  </conditionalFormatting>
  <conditionalFormatting sqref="CZ150">
    <cfRule type="expression" dxfId="447" priority="112" stopIfTrue="1">
      <formula>DC150&lt;&gt;""</formula>
    </cfRule>
  </conditionalFormatting>
  <conditionalFormatting sqref="DA150">
    <cfRule type="expression" dxfId="446" priority="111" stopIfTrue="1">
      <formula>DC150&lt;&gt;""</formula>
    </cfRule>
  </conditionalFormatting>
  <conditionalFormatting sqref="ED150">
    <cfRule type="expression" dxfId="445" priority="110" stopIfTrue="1">
      <formula>EG150&lt;&gt;""</formula>
    </cfRule>
  </conditionalFormatting>
  <conditionalFormatting sqref="EE150">
    <cfRule type="expression" dxfId="444" priority="109" stopIfTrue="1">
      <formula>EG150&lt;&gt;""</formula>
    </cfRule>
  </conditionalFormatting>
  <conditionalFormatting sqref="EP150">
    <cfRule type="expression" dxfId="443" priority="108" stopIfTrue="1">
      <formula>ES150&lt;&gt;""</formula>
    </cfRule>
  </conditionalFormatting>
  <conditionalFormatting sqref="EQ150">
    <cfRule type="expression" dxfId="442" priority="107" stopIfTrue="1">
      <formula>ES150&lt;&gt;""</formula>
    </cfRule>
  </conditionalFormatting>
  <conditionalFormatting sqref="EV150">
    <cfRule type="expression" dxfId="441" priority="106" stopIfTrue="1">
      <formula>EY150&lt;&gt;""</formula>
    </cfRule>
  </conditionalFormatting>
  <conditionalFormatting sqref="EW150">
    <cfRule type="expression" dxfId="440" priority="105" stopIfTrue="1">
      <formula>EY150&lt;&gt;""</formula>
    </cfRule>
  </conditionalFormatting>
  <conditionalFormatting sqref="HI150">
    <cfRule type="expression" dxfId="439" priority="104" stopIfTrue="1">
      <formula>HL150&lt;&gt;""</formula>
    </cfRule>
  </conditionalFormatting>
  <conditionalFormatting sqref="HJ150">
    <cfRule type="expression" dxfId="438" priority="103" stopIfTrue="1">
      <formula>HL150&lt;&gt;""</formula>
    </cfRule>
  </conditionalFormatting>
  <conditionalFormatting sqref="DJ150">
    <cfRule type="expression" dxfId="437" priority="102" stopIfTrue="1">
      <formula>DM150&lt;&gt;""</formula>
    </cfRule>
  </conditionalFormatting>
  <conditionalFormatting sqref="DK150">
    <cfRule type="expression" dxfId="436" priority="101" stopIfTrue="1">
      <formula>DM150&lt;&gt;""</formula>
    </cfRule>
  </conditionalFormatting>
  <conditionalFormatting sqref="DP150">
    <cfRule type="expression" dxfId="435" priority="100" stopIfTrue="1">
      <formula>DS150&lt;&gt;""</formula>
    </cfRule>
  </conditionalFormatting>
  <conditionalFormatting sqref="DQ150">
    <cfRule type="expression" dxfId="434" priority="99" stopIfTrue="1">
      <formula>DS150&lt;&gt;""</formula>
    </cfRule>
  </conditionalFormatting>
  <conditionalFormatting sqref="CZ150">
    <cfRule type="expression" dxfId="433" priority="98" stopIfTrue="1">
      <formula>DC150&lt;&gt;""</formula>
    </cfRule>
  </conditionalFormatting>
  <conditionalFormatting sqref="DA150">
    <cfRule type="expression" dxfId="432" priority="97" stopIfTrue="1">
      <formula>DC150&lt;&gt;""</formula>
    </cfRule>
  </conditionalFormatting>
  <conditionalFormatting sqref="ED150 EJ150 EP150 EV150 FB150 FH150 FN150 FT150 FZ150 GF150 GL150 GR150 HA150 HI150 HO150 HU150 IA150 IG150 IM150 IS150 IY150 JE150 JK150 JQ150">
    <cfRule type="expression" dxfId="431" priority="96" stopIfTrue="1">
      <formula>EG150&lt;&gt;""</formula>
    </cfRule>
  </conditionalFormatting>
  <conditionalFormatting sqref="EE150 EK150 EQ150 EW150 FC150 FI150 FO150 FU150 GA150 GG150 GM150 GS150 HB150 HJ150 HP150 HV150 IB150 IH150 IN150 IT150 IZ150 JF150 JL150 JR150">
    <cfRule type="expression" dxfId="430" priority="95" stopIfTrue="1">
      <formula>EG150&lt;&gt;""</formula>
    </cfRule>
  </conditionalFormatting>
  <conditionalFormatting sqref="AZ150">
    <cfRule type="expression" dxfId="429" priority="94" stopIfTrue="1">
      <formula>BC150&lt;&gt;""</formula>
    </cfRule>
  </conditionalFormatting>
  <conditionalFormatting sqref="BA150">
    <cfRule type="expression" dxfId="428" priority="93" stopIfTrue="1">
      <formula>BC150&lt;&gt;""</formula>
    </cfRule>
  </conditionalFormatting>
  <conditionalFormatting sqref="CF150">
    <cfRule type="expression" dxfId="427" priority="92" stopIfTrue="1">
      <formula>CI150&lt;&gt;""</formula>
    </cfRule>
  </conditionalFormatting>
  <conditionalFormatting sqref="CG150">
    <cfRule type="expression" dxfId="426" priority="91" stopIfTrue="1">
      <formula>CI150&lt;&gt;""</formula>
    </cfRule>
  </conditionalFormatting>
  <conditionalFormatting sqref="CC152">
    <cfRule type="expression" dxfId="425" priority="90" stopIfTrue="1">
      <formula>CI152&lt;&gt;""</formula>
    </cfRule>
  </conditionalFormatting>
  <conditionalFormatting sqref="CD152">
    <cfRule type="expression" dxfId="424" priority="89" stopIfTrue="1">
      <formula>CI152&lt;&gt;""</formula>
    </cfRule>
  </conditionalFormatting>
  <conditionalFormatting sqref="AI152">
    <cfRule type="expression" dxfId="423" priority="87" stopIfTrue="1">
      <formula>AK152&lt;&gt;""</formula>
    </cfRule>
  </conditionalFormatting>
  <conditionalFormatting sqref="AT152">
    <cfRule type="expression" dxfId="422" priority="86" stopIfTrue="1">
      <formula>AW152&lt;&gt;""</formula>
    </cfRule>
  </conditionalFormatting>
  <conditionalFormatting sqref="AU152">
    <cfRule type="expression" dxfId="421" priority="85" stopIfTrue="1">
      <formula>AW152&lt;&gt;""</formula>
    </cfRule>
  </conditionalFormatting>
  <conditionalFormatting sqref="BF152">
    <cfRule type="expression" dxfId="420" priority="84" stopIfTrue="1">
      <formula>BI152&lt;&gt;""</formula>
    </cfRule>
  </conditionalFormatting>
  <conditionalFormatting sqref="BG152">
    <cfRule type="expression" dxfId="419" priority="83" stopIfTrue="1">
      <formula>BI152&lt;&gt;""</formula>
    </cfRule>
  </conditionalFormatting>
  <conditionalFormatting sqref="BO152">
    <cfRule type="expression" dxfId="418" priority="82" stopIfTrue="1">
      <formula>BR152&lt;&gt;""</formula>
    </cfRule>
  </conditionalFormatting>
  <conditionalFormatting sqref="BP152">
    <cfRule type="expression" dxfId="417" priority="81" stopIfTrue="1">
      <formula>BR152&lt;&gt;""</formula>
    </cfRule>
  </conditionalFormatting>
  <conditionalFormatting sqref="AN152">
    <cfRule type="expression" dxfId="416" priority="80" stopIfTrue="1">
      <formula>AQ152&lt;&gt;""</formula>
    </cfRule>
  </conditionalFormatting>
  <conditionalFormatting sqref="AO152">
    <cfRule type="expression" dxfId="415" priority="79" stopIfTrue="1">
      <formula>AQ152&lt;&gt;""</formula>
    </cfRule>
  </conditionalFormatting>
  <conditionalFormatting sqref="CZ152">
    <cfRule type="expression" dxfId="414" priority="78" stopIfTrue="1">
      <formula>DC152&lt;&gt;""</formula>
    </cfRule>
  </conditionalFormatting>
  <conditionalFormatting sqref="DA152">
    <cfRule type="expression" dxfId="413" priority="77" stopIfTrue="1">
      <formula>DC152&lt;&gt;""</formula>
    </cfRule>
  </conditionalFormatting>
  <conditionalFormatting sqref="ED152">
    <cfRule type="expression" dxfId="412" priority="76" stopIfTrue="1">
      <formula>EG152&lt;&gt;""</formula>
    </cfRule>
  </conditionalFormatting>
  <conditionalFormatting sqref="EE152">
    <cfRule type="expression" dxfId="411" priority="75" stopIfTrue="1">
      <formula>EG152&lt;&gt;""</formula>
    </cfRule>
  </conditionalFormatting>
  <conditionalFormatting sqref="EP152">
    <cfRule type="expression" dxfId="410" priority="74" stopIfTrue="1">
      <formula>ES152&lt;&gt;""</formula>
    </cfRule>
  </conditionalFormatting>
  <conditionalFormatting sqref="EQ152">
    <cfRule type="expression" dxfId="409" priority="73" stopIfTrue="1">
      <formula>ES152&lt;&gt;""</formula>
    </cfRule>
  </conditionalFormatting>
  <conditionalFormatting sqref="EV152">
    <cfRule type="expression" dxfId="408" priority="72" stopIfTrue="1">
      <formula>EY152&lt;&gt;""</formula>
    </cfRule>
  </conditionalFormatting>
  <conditionalFormatting sqref="EW152">
    <cfRule type="expression" dxfId="407" priority="71" stopIfTrue="1">
      <formula>EY152&lt;&gt;""</formula>
    </cfRule>
  </conditionalFormatting>
  <conditionalFormatting sqref="HI152">
    <cfRule type="expression" dxfId="406" priority="70" stopIfTrue="1">
      <formula>HL152&lt;&gt;""</formula>
    </cfRule>
  </conditionalFormatting>
  <conditionalFormatting sqref="HJ152">
    <cfRule type="expression" dxfId="405" priority="69" stopIfTrue="1">
      <formula>HL152&lt;&gt;""</formula>
    </cfRule>
  </conditionalFormatting>
  <conditionalFormatting sqref="DJ152">
    <cfRule type="expression" dxfId="404" priority="68" stopIfTrue="1">
      <formula>DM152&lt;&gt;""</formula>
    </cfRule>
  </conditionalFormatting>
  <conditionalFormatting sqref="DK152">
    <cfRule type="expression" dxfId="403" priority="67" stopIfTrue="1">
      <formula>DM152&lt;&gt;""</formula>
    </cfRule>
  </conditionalFormatting>
  <conditionalFormatting sqref="DP152">
    <cfRule type="expression" dxfId="402" priority="66" stopIfTrue="1">
      <formula>DS152&lt;&gt;""</formula>
    </cfRule>
  </conditionalFormatting>
  <conditionalFormatting sqref="DQ152">
    <cfRule type="expression" dxfId="401" priority="65" stopIfTrue="1">
      <formula>DS152&lt;&gt;""</formula>
    </cfRule>
  </conditionalFormatting>
  <conditionalFormatting sqref="CZ152">
    <cfRule type="expression" dxfId="400" priority="64" stopIfTrue="1">
      <formula>DC152&lt;&gt;""</formula>
    </cfRule>
  </conditionalFormatting>
  <conditionalFormatting sqref="DA152">
    <cfRule type="expression" dxfId="399" priority="63" stopIfTrue="1">
      <formula>DC152&lt;&gt;""</formula>
    </cfRule>
  </conditionalFormatting>
  <conditionalFormatting sqref="ED152 EJ152 EP152 EV152 FB152 FH152 FN152 FT152 FZ152 GF152 GL152 GR152 HA152 HI152 HO152 HU152 IA152 IG152 IM152 IS152 IY152 JE152 JK152 JQ152">
    <cfRule type="expression" dxfId="398" priority="62" stopIfTrue="1">
      <formula>EG152&lt;&gt;""</formula>
    </cfRule>
  </conditionalFormatting>
  <conditionalFormatting sqref="EE152 EK152 EQ152 EW152 FC152 FI152 FO152 FU152 GA152 GG152 GM152 GS152 HB152 HJ152 HP152 HV152 IB152 IH152 IN152 IT152 IZ152 JF152 JL152 JR152">
    <cfRule type="expression" dxfId="397" priority="61" stopIfTrue="1">
      <formula>EG152&lt;&gt;""</formula>
    </cfRule>
  </conditionalFormatting>
  <conditionalFormatting sqref="AZ152">
    <cfRule type="expression" dxfId="396" priority="60" stopIfTrue="1">
      <formula>BC152&lt;&gt;""</formula>
    </cfRule>
  </conditionalFormatting>
  <conditionalFormatting sqref="BA152">
    <cfRule type="expression" dxfId="395" priority="59" stopIfTrue="1">
      <formula>BC152&lt;&gt;""</formula>
    </cfRule>
  </conditionalFormatting>
  <conditionalFormatting sqref="CF152">
    <cfRule type="expression" dxfId="394" priority="58" stopIfTrue="1">
      <formula>CI152&lt;&gt;""</formula>
    </cfRule>
  </conditionalFormatting>
  <conditionalFormatting sqref="CG152">
    <cfRule type="expression" dxfId="393" priority="57" stopIfTrue="1">
      <formula>CI152&lt;&gt;""</formula>
    </cfRule>
  </conditionalFormatting>
  <conditionalFormatting sqref="CC118 CC120 CC122 CC124 CC126 CC128 CC130 CC138 CC140 CC142 CC144 CC146 CC148 CC150 CC152">
    <cfRule type="expression" dxfId="392" priority="56" stopIfTrue="1">
      <formula>CI118&lt;&gt;""</formula>
    </cfRule>
  </conditionalFormatting>
  <conditionalFormatting sqref="CD118 CD120 CD122 CD124 CD126 CD128 CD130 CD138 CD140 CD142 CD144 CD146 CD148 CD150 CD152">
    <cfRule type="expression" dxfId="391" priority="55" stopIfTrue="1">
      <formula>CI118&lt;&gt;""</formula>
    </cfRule>
  </conditionalFormatting>
  <conditionalFormatting sqref="AI118 AI120 AI122 AI124 AI126 AI128 AI130 AI138 AI140 AI142 AI144 AI146 AI148 AI150 AI152">
    <cfRule type="expression" dxfId="390" priority="53" stopIfTrue="1">
      <formula>AK118&lt;&gt;""</formula>
    </cfRule>
  </conditionalFormatting>
  <conditionalFormatting sqref="AT118 AT120 AT122 AT124 AT126 AT128 AT130 AT138 AT140 AT142 AT144 AT146 AT148 AT150 AT152">
    <cfRule type="expression" dxfId="389" priority="52" stopIfTrue="1">
      <formula>AW118&lt;&gt;""</formula>
    </cfRule>
  </conditionalFormatting>
  <conditionalFormatting sqref="AU118 AU120 AU122 AU124 AU126 AU128 AU130 AU138 AU140 AU142 AU144 AU146 AU148 AU150 AU152">
    <cfRule type="expression" dxfId="388" priority="51" stopIfTrue="1">
      <formula>AW118&lt;&gt;""</formula>
    </cfRule>
  </conditionalFormatting>
  <conditionalFormatting sqref="BF118 BF120 BF122 BF124 BF126 BF128 BF130 BF138 BF140 BF142 BF144 BF146 BF148 BF150 BF152">
    <cfRule type="expression" dxfId="387" priority="50" stopIfTrue="1">
      <formula>BI118&lt;&gt;""</formula>
    </cfRule>
  </conditionalFormatting>
  <conditionalFormatting sqref="BG118 BG120 BG122 BG124 BG126 BG128 BG130 BG138 BG140 BG142 BG144 BG146 BG148 BG150 BG152">
    <cfRule type="expression" dxfId="386" priority="49" stopIfTrue="1">
      <formula>BI118&lt;&gt;""</formula>
    </cfRule>
  </conditionalFormatting>
  <conditionalFormatting sqref="AN118 AN120 AN122 AN124 AN126 AN128 AN130 AN138 AN140 AN142 AN144 AN146 AN148 AN150 AN152">
    <cfRule type="expression" dxfId="385" priority="48" stopIfTrue="1">
      <formula>AQ118&lt;&gt;""</formula>
    </cfRule>
  </conditionalFormatting>
  <conditionalFormatting sqref="AO118 AO120 AO122 AO124 AO126 AO128 AO130 AO138 AO140 AO142 AO144 AO146 AO148 AO150 AO152">
    <cfRule type="expression" dxfId="384" priority="47" stopIfTrue="1">
      <formula>AQ118&lt;&gt;""</formula>
    </cfRule>
  </conditionalFormatting>
  <conditionalFormatting sqref="AZ118 AZ120 AZ122 AZ124 AZ126 AZ128 AZ130 AZ138 AZ140 AZ142 AZ144 AZ146 AZ148 AZ150 AZ152">
    <cfRule type="expression" dxfId="383" priority="46" stopIfTrue="1">
      <formula>BC118&lt;&gt;""</formula>
    </cfRule>
  </conditionalFormatting>
  <conditionalFormatting sqref="BA118 BA120 BA122 BA124 BA126 BA128 BA130 BA138 BA140 BA142 BA144 BA146 BA148 BA150 BA152">
    <cfRule type="expression" dxfId="382" priority="45" stopIfTrue="1">
      <formula>BC118&lt;&gt;""</formula>
    </cfRule>
  </conditionalFormatting>
  <conditionalFormatting sqref="CF118 CF120 CF122 CF124 CF126 CF128 CF130 CF138 CF140 CF142 CF144 CF146 CF148 CF150 CF152">
    <cfRule type="expression" dxfId="381" priority="44" stopIfTrue="1">
      <formula>CI118&lt;&gt;""</formula>
    </cfRule>
  </conditionalFormatting>
  <conditionalFormatting sqref="CG118 CG120 CG122 CG124 CG126 CG128 CG130 CG138 CG140 CG142 CG144 CG146 CG148 CG150 CG152">
    <cfRule type="expression" dxfId="380" priority="43" stopIfTrue="1">
      <formula>CI118&lt;&gt;""</formula>
    </cfRule>
  </conditionalFormatting>
  <conditionalFormatting sqref="BO118 BO120 BO122 BO124 BO126 BO128 BO130 BO138 BO140 BO142 BO144 BO146 BO148 BO150 BO152">
    <cfRule type="expression" dxfId="379" priority="42" stopIfTrue="1">
      <formula>BR118&lt;&gt;""</formula>
    </cfRule>
  </conditionalFormatting>
  <conditionalFormatting sqref="BP118 BP120 BP122 BP124 BP126 BP128 BP130 BP138 BP140 BP142 BP144 BP146 BP148 BP150 BP152">
    <cfRule type="expression" dxfId="378" priority="41" stopIfTrue="1">
      <formula>BR118&lt;&gt;""</formula>
    </cfRule>
  </conditionalFormatting>
  <conditionalFormatting sqref="CZ118 CZ120 CZ122 CZ124 CZ126 CZ128 CZ130 CZ138 CZ140 CZ142 CZ144 CZ146 CZ148 CZ150 CZ152">
    <cfRule type="expression" dxfId="377" priority="40" stopIfTrue="1">
      <formula>DC118&lt;&gt;""</formula>
    </cfRule>
  </conditionalFormatting>
  <conditionalFormatting sqref="DA118 DA120 DA122 DA124 DA126 DA128 DA130 DA138 DA140 DA142 DA144 DA146 DA148 DA150 DA152">
    <cfRule type="expression" dxfId="376" priority="39" stopIfTrue="1">
      <formula>DC118&lt;&gt;""</formula>
    </cfRule>
  </conditionalFormatting>
  <conditionalFormatting sqref="DJ118 DJ120 DJ122 DJ124 DJ126 DJ128 DJ130 DJ138 DJ140 DJ142 DJ144 DJ146 DJ148 DJ150 DJ152">
    <cfRule type="expression" dxfId="375" priority="38" stopIfTrue="1">
      <formula>DM118&lt;&gt;""</formula>
    </cfRule>
  </conditionalFormatting>
  <conditionalFormatting sqref="DK118 DK120 DK122 DK124 DK126 DK128 DK130 DK138 DK140 DK142 DK144 DK146 DK148 DK150 DK152">
    <cfRule type="expression" dxfId="374" priority="37" stopIfTrue="1">
      <formula>DM118&lt;&gt;""</formula>
    </cfRule>
  </conditionalFormatting>
  <conditionalFormatting sqref="DP118 DP120 DP122 DP124 DP126 DP128 DP130 DP138 DP140 DP142 DP144 DP146 DP148 DP150 DP152">
    <cfRule type="expression" dxfId="373" priority="36" stopIfTrue="1">
      <formula>DS118&lt;&gt;""</formula>
    </cfRule>
  </conditionalFormatting>
  <conditionalFormatting sqref="DQ118 DQ120 DQ122 DQ124 DQ126 DQ128 DQ130 DQ138 DQ140 DQ142 DQ144 DQ146 DQ148 DQ150 DQ152">
    <cfRule type="expression" dxfId="372" priority="35" stopIfTrue="1">
      <formula>DS118&lt;&gt;""</formula>
    </cfRule>
  </conditionalFormatting>
  <conditionalFormatting sqref="CZ118 CZ120 CZ122 CZ124 CZ126 CZ128 CZ130 CZ138 CZ140 CZ142 CZ144 CZ146 CZ148 CZ150 CZ152">
    <cfRule type="expression" dxfId="371" priority="34" stopIfTrue="1">
      <formula>DC118&lt;&gt;""</formula>
    </cfRule>
  </conditionalFormatting>
  <conditionalFormatting sqref="DA118 DA120 DA122 DA124 DA126 DA128 DA130 DA138 DA140 DA142 DA144 DA146 DA148 DA150 DA152">
    <cfRule type="expression" dxfId="370" priority="33" stopIfTrue="1">
      <formula>DC118&lt;&gt;""</formula>
    </cfRule>
  </conditionalFormatting>
  <conditionalFormatting sqref="ED118 ED120 ED122 ED124 ED126 ED128 ED130 ED138 ED140 ED142 ED144 ED146 ED148 ED150 ED152">
    <cfRule type="expression" dxfId="369" priority="32" stopIfTrue="1">
      <formula>EG118&lt;&gt;""</formula>
    </cfRule>
  </conditionalFormatting>
  <conditionalFormatting sqref="EE118 EE120 EE122 EE124 EE126 EE128 EE130 EE138 EE140 EE142 EE144 EE146 EE148 EE150 EE152">
    <cfRule type="expression" dxfId="368" priority="31" stopIfTrue="1">
      <formula>EG118&lt;&gt;""</formula>
    </cfRule>
  </conditionalFormatting>
  <conditionalFormatting sqref="EP118 EP120 EP122 EP124 EP126 EP128 EP130 EP138 EP140 EP142 EP144 EP146 EP148 EP150 EP152">
    <cfRule type="expression" dxfId="367" priority="30" stopIfTrue="1">
      <formula>ES118&lt;&gt;""</formula>
    </cfRule>
  </conditionalFormatting>
  <conditionalFormatting sqref="EQ118 EQ120 EQ122 EQ124 EQ126 EQ128 EQ130 EQ138 EQ140 EQ142 EQ144 EQ146 EQ148 EQ150 EQ152">
    <cfRule type="expression" dxfId="366" priority="29" stopIfTrue="1">
      <formula>ES118&lt;&gt;""</formula>
    </cfRule>
  </conditionalFormatting>
  <conditionalFormatting sqref="EV118 EV120 EV122 EV124 EV126 EV128 EV130 EV138 EV140 EV142 EV144 EV146 EV148 EV150 EV152">
    <cfRule type="expression" dxfId="365" priority="28" stopIfTrue="1">
      <formula>EY118&lt;&gt;""</formula>
    </cfRule>
  </conditionalFormatting>
  <conditionalFormatting sqref="EW118 EW120 EW122 EW124 EW126 EW128 EW130 EW138 EW140 EW142 EW144 EW146 EW148 EW150 EW152">
    <cfRule type="expression" dxfId="364" priority="27" stopIfTrue="1">
      <formula>EY118&lt;&gt;""</formula>
    </cfRule>
  </conditionalFormatting>
  <conditionalFormatting sqref="HI118 HI120 HI122 HI124 HI126 HI128 HI130 HI138 HI140 HI142 HI144 HI146 HI148 HI150 HI152">
    <cfRule type="expression" dxfId="363" priority="26" stopIfTrue="1">
      <formula>HL118&lt;&gt;""</formula>
    </cfRule>
  </conditionalFormatting>
  <conditionalFormatting sqref="HJ118 HJ120 HJ122 HJ124 HJ126 HJ128 HJ130 HJ138 HJ140 HJ142 HJ144 HJ146 HJ148 HJ150 HJ152">
    <cfRule type="expression" dxfId="362" priority="25" stopIfTrue="1">
      <formula>HL118&lt;&gt;""</formula>
    </cfRule>
  </conditionalFormatting>
  <conditionalFormatting sqref="ED118 EJ118 EP118 EV118 FB118 FH118 FN118 FT118 FZ118 GF118 GL118 GR118 HA118 HI118 HO118 HU118 IA118 IG118 IM118 IS118 IY118 JE118 JK118 JQ118 ED120 EJ120 EP120 EV120 FB120 FH120 FN120 FT120 FZ120 GF120 GL120 GR120 HA120 HI120 HO120 HU120 IA120 IG120 IM120 IS120 IY120 JE120 JK120 JQ120 ED122 EJ122 EP122 EV122 FB122 FH122 FN122 FT122 FZ122 GF122 GL122 GR122 HA122 HI122 HO122 HU122 IA122 IG122 IM122 IS122 IY122 JE122 JK122 JQ122 ED124 EJ124 EP124 EV124 FB124 FH124 FN124 FT124 FZ124 GF124 GL124 GR124 HA124 HI124 HO124 HU124 IA124 IG124 IM124 IS124 IY124 JE124 JK124 JQ124 ED126 EJ126 EP126 EV126 FB126 FH126 FN126 FT126 FZ126 GF126 GL126 GR126 HA126 HI126 HO126 HU126 IA126 IG126 IM126 IS126 IY126 JE126 JK126 JQ126 ED128 EJ128 EP128 EV128 FB128 FH128 FN128 FT128 FZ128 GF128 GL128 GR128 HA128 HI128 HO128 HU128 IA128 IG128 IM128 IS128 IY128 JE128 JK128 JQ128 ED130 EJ130 EP130 EV130 FB130 FH130 FN130 FT130 FZ130 GF130 GL130 GR130 HA130 HI130 HO130 HU130 IA130 IG130 IM130 IS130 IY130 JE130 JK130 JQ130 ED138 EJ138 EP138 EV138 FB138 FH138 FN138 FT138 FZ138 GF138 GL138 GR138 HA138 HI138 HO138 HU138 IA138 IG138 IM138 IS138 IY138 JE138 JK138 JQ138 ED140 EJ140 EP140 EV140 FB140 FH140 FN140 FT140 FZ140 GF140 GL140 GR140 HA140 HI140 HO140 HU140 IA140 IG140 IM140 IS140 IY140 JE140 JK140 JQ140 ED142 EJ142 EP142 EV142 FB142 FH142 FN142 FT142 FZ142 GF142 GL142 GR142 HA142 HI142 HO142 HU142 IA142 IG142 IM142 IS142 IY142 JE142 JK142 JQ142 ED144 EJ144 EP144 EV144 FB144 FH144 FN144 FT144 FZ144 GF144 GL144 GR144 HA144 HI144 HO144 HU144 IA144 IG144 IM144 IS144 IY144 JE144 JK144 JQ144 ED146 EJ146 EP146 EV146 FB146 FH146 FN146 FT146 FZ146 GF146 GL146 GR146 HA146 HI146 HO146 HU146 IA146 IG146 IM146 IS146 IY146 JE146 JK146 JQ146 ED148 EJ148 EP148 EV148 FB148 FH148 FN148 FT148 FZ148 GF148 GL148 GR148 HA148 HI148 HO148 HU148 IA148 IG148 IM148 IS148 IY148 JE148 JK148 JQ148 ED150 EJ150 EP150 EV150 FB150 FH150 FN150 FT150 FZ150 GF150 GL150 GR150 HA150 HI150 HO150 HU150 IA150 IG150 IM150 IS150 IY150 JE150 JK150 JQ150 ED152 EJ152 EP152 EV152 FB152 FH152 FN152 FT152 FZ152 GF152 GL152 GR152 HA152 HI152 HO152 HU152 IA152 IG152 IM152 IS152 IY152 JE152 JK152 JQ152">
    <cfRule type="expression" dxfId="361" priority="24" stopIfTrue="1">
      <formula>EG118&lt;&gt;""</formula>
    </cfRule>
  </conditionalFormatting>
  <conditionalFormatting sqref="EE118 EK118 EQ118 EW118 FC118 FI118 FO118 FU118 GA118 GG118 GM118 GS118 HB118 HJ118 HP118 HV118 IB118 IH118 IN118 IT118 IZ118 JF118 JL118 JR118 EE120 EK120 EQ120 EW120 FC120 FI120 FO120 FU120 GA120 GG120 GM120 GS120 HB120 HJ120 HP120 HV120 IB120 IH120 IN120 IT120 IZ120 JF120 JL120 JR120 EE122 EK122 EQ122 EW122 FC122 FI122 FO122 FU122 GA122 GG122 GM122 GS122 HB122 HJ122 HP122 HV122 IB122 IH122 IN122 IT122 IZ122 JF122 JL122 JR122 EE124 EK124 EQ124 EW124 FC124 FI124 FO124 FU124 GA124 GG124 GM124 GS124 HB124 HJ124 HP124 HV124 IB124 IH124 IN124 IT124 IZ124 JF124 JL124 JR124 EE126 EK126 EQ126 EW126 FC126 FI126 FO126 FU126 GA126 GG126 GM126 GS126 HB126 HJ126 HP126 HV126 IB126 IH126 IN126 IT126 IZ126 JF126 JL126 JR126 EE128 EK128 EQ128 EW128 FC128 FI128 FO128 FU128 GA128 GG128 GM128 GS128 HB128 HJ128 HP128 HV128 IB128 IH128 IN128 IT128 IZ128 JF128 JL128 JR128 EE130 EK130 EQ130 EW130 FC130 FI130 FO130 FU130 GA130 GG130 GM130 GS130 HB130 HJ130 HP130 HV130 IB130 IH130 IN130 IT130 IZ130 JF130 JL130 JR130 EE138 EK138 EQ138 EW138 FC138 FI138 FO138 FU138 GA138 GG138 GM138 GS138 HB138 HJ138 HP138 HV138 IB138 IH138 IN138 IT138 IZ138 JF138 JL138 JR138 EE140 EK140 EQ140 EW140 FC140 FI140 FO140 FU140 GA140 GG140 GM140 GS140 HB140 HJ140 HP140 HV140 IB140 IH140 IN140 IT140 IZ140 JF140 JL140 JR140 EE142 EK142 EQ142 EW142 FC142 FI142 FO142 FU142 GA142 GG142 GM142 GS142 HB142 HJ142 HP142 HV142 IB142 IH142 IN142 IT142 IZ142 JF142 JL142 JR142 EE144 EK144 EQ144 EW144 FC144 FI144 FO144 FU144 GA144 GG144 GM144 GS144 HB144 HJ144 HP144 HV144 IB144 IH144 IN144 IT144 IZ144 JF144 JL144 JR144 EE146 EK146 EQ146 EW146 FC146 FI146 FO146 FU146 GA146 GG146 GM146 GS146 HB146 HJ146 HP146 HV146 IB146 IH146 IN146 IT146 IZ146 JF146 JL146 JR146 EE148 EK148 EQ148 EW148 FC148 FI148 FO148 FU148 GA148 GG148 GM148 GS148 HB148 HJ148 HP148 HV148 IB148 IH148 IN148 IT148 IZ148 JF148 JL148 JR148 EE150 EK150 EQ150 EW150 FC150 FI150 FO150 FU150 GA150 GG150 GM150 GS150 HB150 HJ150 HP150 HV150 IB150 IH150 IN150 IT150 IZ150 JF150 JL150 JR150 EE152 EK152 EQ152 EW152 FC152 FI152 FO152 FU152 GA152 GG152 GM152 GS152 HB152 HJ152 HP152 HV152 IB152 IH152 IN152 IT152 IZ152 JF152 JL152 JR152">
    <cfRule type="expression" dxfId="360" priority="23" stopIfTrue="1">
      <formula>EG118&lt;&gt;""</formula>
    </cfRule>
  </conditionalFormatting>
  <conditionalFormatting sqref="H210 O210 U210">
    <cfRule type="expression" dxfId="359" priority="22" stopIfTrue="1">
      <formula>K210&lt;&gt;""</formula>
    </cfRule>
  </conditionalFormatting>
  <conditionalFormatting sqref="I210 P210 V210">
    <cfRule type="expression" dxfId="358" priority="21" stopIfTrue="1">
      <formula>K210&lt;&gt;""</formula>
    </cfRule>
  </conditionalFormatting>
  <conditionalFormatting sqref="H19">
    <cfRule type="expression" dxfId="357" priority="20" stopIfTrue="1">
      <formula>K19&lt;&gt;""</formula>
    </cfRule>
  </conditionalFormatting>
  <conditionalFormatting sqref="I19">
    <cfRule type="expression" dxfId="356" priority="19" stopIfTrue="1">
      <formula>K19&lt;&gt;""</formula>
    </cfRule>
  </conditionalFormatting>
  <conditionalFormatting sqref="CI118">
    <cfRule type="expression" dxfId="355" priority="1148" stopIfTrue="1">
      <formula>AH118&lt;&gt;""</formula>
    </cfRule>
  </conditionalFormatting>
  <conditionalFormatting sqref="K194:L194">
    <cfRule type="expression" dxfId="354" priority="1149" stopIfTrue="1">
      <formula>#REF!&lt;&gt;""</formula>
    </cfRule>
  </conditionalFormatting>
  <conditionalFormatting sqref="K194">
    <cfRule type="expression" dxfId="353" priority="16" stopIfTrue="1">
      <formula>N194&lt;&gt;""</formula>
    </cfRule>
  </conditionalFormatting>
  <conditionalFormatting sqref="L194">
    <cfRule type="expression" dxfId="352" priority="15" stopIfTrue="1">
      <formula>N194&lt;&gt;""</formula>
    </cfRule>
  </conditionalFormatting>
  <conditionalFormatting sqref="BF36 BF38 BF40 BF42 BF44 BF46 BF48 BF56 BF58 BF60 BF62 BF64 BF66 BF68 BF70 BF116 BF118 BF120 BF122 BF124 BF126 BF128 BF130 BF138 BF140 BF142 BF144 BF146 BF148 BF150 BF152">
    <cfRule type="expression" dxfId="351" priority="14" stopIfTrue="1">
      <formula>BI36&lt;&gt;""</formula>
    </cfRule>
  </conditionalFormatting>
  <conditionalFormatting sqref="T5">
    <cfRule type="expression" dxfId="350" priority="13">
      <formula>IF(Postnr="",TRUE,FALSE)</formula>
    </cfRule>
  </conditionalFormatting>
  <conditionalFormatting sqref="AH118">
    <cfRule type="expression" dxfId="349" priority="7">
      <formula>IF(AI118="FE",TRUE,FALSE)</formula>
    </cfRule>
    <cfRule type="expression" dxfId="348" priority="8" stopIfTrue="1">
      <formula>AK118&lt;&gt;""</formula>
    </cfRule>
  </conditionalFormatting>
  <conditionalFormatting sqref="AH130 AH128 AH126 AH124 AH122 AH120">
    <cfRule type="expression" dxfId="347" priority="5">
      <formula>IF(AI120="FE",TRUE,FALSE)</formula>
    </cfRule>
    <cfRule type="expression" dxfId="346" priority="6" stopIfTrue="1">
      <formula>AK120&lt;&gt;""</formula>
    </cfRule>
  </conditionalFormatting>
  <conditionalFormatting sqref="AH152 AH150 AH148 AH146 AH144 AH142 AH140 AH138">
    <cfRule type="expression" dxfId="345" priority="3">
      <formula>IF(AI138="FE",TRUE,FALSE)</formula>
    </cfRule>
    <cfRule type="expression" dxfId="344" priority="4" stopIfTrue="1">
      <formula>AK138&lt;&gt;""</formula>
    </cfRule>
  </conditionalFormatting>
  <conditionalFormatting sqref="AH70 AH66:AH68 AH64 AH62 AH60 AH58 AH56 AH48 AH46 AH44 AH42 AH40 AH38 AH36 AH34">
    <cfRule type="expression" dxfId="343" priority="1">
      <formula>IF(AI34="FE",TRUE,FALSE)</formula>
    </cfRule>
    <cfRule type="expression" dxfId="342" priority="2" stopIfTrue="1">
      <formula>AK34&lt;&gt;""</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Drop Down 1">
              <controlPr defaultSize="0" autoLine="0" autoPict="0">
                <anchor moveWithCells="1">
                  <from>
                    <xdr:col>2</xdr:col>
                    <xdr:colOff>76200</xdr:colOff>
                    <xdr:row>33</xdr:row>
                    <xdr:rowOff>0</xdr:rowOff>
                  </from>
                  <to>
                    <xdr:col>5</xdr:col>
                    <xdr:colOff>257175</xdr:colOff>
                    <xdr:row>34</xdr:row>
                    <xdr:rowOff>9525</xdr:rowOff>
                  </to>
                </anchor>
              </controlPr>
            </control>
          </mc:Choice>
        </mc:AlternateContent>
        <mc:AlternateContent xmlns:mc="http://schemas.openxmlformats.org/markup-compatibility/2006">
          <mc:Choice Requires="x14">
            <control shapeId="1026" r:id="rId5" name="Drop Down 2">
              <controlPr defaultSize="0" autoLine="0" autoPict="0">
                <anchor moveWithCells="1">
                  <from>
                    <xdr:col>6</xdr:col>
                    <xdr:colOff>0</xdr:colOff>
                    <xdr:row>33</xdr:row>
                    <xdr:rowOff>0</xdr:rowOff>
                  </from>
                  <to>
                    <xdr:col>9</xdr:col>
                    <xdr:colOff>190500</xdr:colOff>
                    <xdr:row>34</xdr:row>
                    <xdr:rowOff>9525</xdr:rowOff>
                  </to>
                </anchor>
              </controlPr>
            </control>
          </mc:Choice>
        </mc:AlternateContent>
        <mc:AlternateContent xmlns:mc="http://schemas.openxmlformats.org/markup-compatibility/2006">
          <mc:Choice Requires="x14">
            <control shapeId="1027" r:id="rId6" name="Drop Down 3">
              <controlPr defaultSize="0" autoLine="0" autoPict="0">
                <anchor moveWithCells="1">
                  <from>
                    <xdr:col>12</xdr:col>
                    <xdr:colOff>0</xdr:colOff>
                    <xdr:row>33</xdr:row>
                    <xdr:rowOff>0</xdr:rowOff>
                  </from>
                  <to>
                    <xdr:col>15</xdr:col>
                    <xdr:colOff>190500</xdr:colOff>
                    <xdr:row>34</xdr:row>
                    <xdr:rowOff>9525</xdr:rowOff>
                  </to>
                </anchor>
              </controlPr>
            </control>
          </mc:Choice>
        </mc:AlternateContent>
        <mc:AlternateContent xmlns:mc="http://schemas.openxmlformats.org/markup-compatibility/2006">
          <mc:Choice Requires="x14">
            <control shapeId="1028" r:id="rId7" name="Drop Down 4">
              <controlPr defaultSize="0" autoLine="0" autoPict="0">
                <anchor moveWithCells="1">
                  <from>
                    <xdr:col>16</xdr:col>
                    <xdr:colOff>0</xdr:colOff>
                    <xdr:row>33</xdr:row>
                    <xdr:rowOff>0</xdr:rowOff>
                  </from>
                  <to>
                    <xdr:col>19</xdr:col>
                    <xdr:colOff>190500</xdr:colOff>
                    <xdr:row>34</xdr:row>
                    <xdr:rowOff>9525</xdr:rowOff>
                  </to>
                </anchor>
              </controlPr>
            </control>
          </mc:Choice>
        </mc:AlternateContent>
        <mc:AlternateContent xmlns:mc="http://schemas.openxmlformats.org/markup-compatibility/2006">
          <mc:Choice Requires="x14">
            <control shapeId="1031" r:id="rId8" name="Check Box 7">
              <controlPr defaultSize="0" autoFill="0" autoLine="0" autoPict="0">
                <anchor moveWithCells="1">
                  <from>
                    <xdr:col>10</xdr:col>
                    <xdr:colOff>38100</xdr:colOff>
                    <xdr:row>33</xdr:row>
                    <xdr:rowOff>0</xdr:rowOff>
                  </from>
                  <to>
                    <xdr:col>10</xdr:col>
                    <xdr:colOff>342900</xdr:colOff>
                    <xdr:row>34</xdr:row>
                    <xdr:rowOff>28575</xdr:rowOff>
                  </to>
                </anchor>
              </controlPr>
            </control>
          </mc:Choice>
        </mc:AlternateContent>
        <mc:AlternateContent xmlns:mc="http://schemas.openxmlformats.org/markup-compatibility/2006">
          <mc:Choice Requires="x14">
            <control shapeId="1032" r:id="rId9" name="Drop Down 8">
              <controlPr defaultSize="0" autoLine="0" autoPict="0">
                <anchor moveWithCells="1">
                  <from>
                    <xdr:col>20</xdr:col>
                    <xdr:colOff>0</xdr:colOff>
                    <xdr:row>33</xdr:row>
                    <xdr:rowOff>0</xdr:rowOff>
                  </from>
                  <to>
                    <xdr:col>23</xdr:col>
                    <xdr:colOff>190500</xdr:colOff>
                    <xdr:row>34</xdr:row>
                    <xdr:rowOff>9525</xdr:rowOff>
                  </to>
                </anchor>
              </controlPr>
            </control>
          </mc:Choice>
        </mc:AlternateContent>
        <mc:AlternateContent xmlns:mc="http://schemas.openxmlformats.org/markup-compatibility/2006">
          <mc:Choice Requires="x14">
            <control shapeId="1033" r:id="rId10" name="Drop Down 9">
              <controlPr defaultSize="0" autoLine="0" autoPict="0">
                <anchor moveWithCells="1">
                  <from>
                    <xdr:col>4</xdr:col>
                    <xdr:colOff>9525</xdr:colOff>
                    <xdr:row>29</xdr:row>
                    <xdr:rowOff>0</xdr:rowOff>
                  </from>
                  <to>
                    <xdr:col>5</xdr:col>
                    <xdr:colOff>190500</xdr:colOff>
                    <xdr:row>30</xdr:row>
                    <xdr:rowOff>9525</xdr:rowOff>
                  </to>
                </anchor>
              </controlPr>
            </control>
          </mc:Choice>
        </mc:AlternateContent>
        <mc:AlternateContent xmlns:mc="http://schemas.openxmlformats.org/markup-compatibility/2006">
          <mc:Choice Requires="x14">
            <control shapeId="1034" r:id="rId11" name="Drop Down 10">
              <controlPr defaultSize="0" autoLine="0" autoPict="0">
                <anchor moveWithCells="1">
                  <from>
                    <xdr:col>6</xdr:col>
                    <xdr:colOff>0</xdr:colOff>
                    <xdr:row>29</xdr:row>
                    <xdr:rowOff>0</xdr:rowOff>
                  </from>
                  <to>
                    <xdr:col>9</xdr:col>
                    <xdr:colOff>19050</xdr:colOff>
                    <xdr:row>30</xdr:row>
                    <xdr:rowOff>9525</xdr:rowOff>
                  </to>
                </anchor>
              </controlPr>
            </control>
          </mc:Choice>
        </mc:AlternateContent>
        <mc:AlternateContent xmlns:mc="http://schemas.openxmlformats.org/markup-compatibility/2006">
          <mc:Choice Requires="x14">
            <control shapeId="1036" r:id="rId12" name="Drop Down 12">
              <controlPr defaultSize="0" autoLine="0" autoPict="0">
                <anchor moveWithCells="1">
                  <from>
                    <xdr:col>63</xdr:col>
                    <xdr:colOff>0</xdr:colOff>
                    <xdr:row>33</xdr:row>
                    <xdr:rowOff>0</xdr:rowOff>
                  </from>
                  <to>
                    <xdr:col>65</xdr:col>
                    <xdr:colOff>19050</xdr:colOff>
                    <xdr:row>34</xdr:row>
                    <xdr:rowOff>9525</xdr:rowOff>
                  </to>
                </anchor>
              </controlPr>
            </control>
          </mc:Choice>
        </mc:AlternateContent>
        <mc:AlternateContent xmlns:mc="http://schemas.openxmlformats.org/markup-compatibility/2006">
          <mc:Choice Requires="x14">
            <control shapeId="1037" r:id="rId13" name="Drop Down 13">
              <controlPr defaultSize="0" autoLine="0" autoPict="0">
                <anchor moveWithCells="1">
                  <from>
                    <xdr:col>109</xdr:col>
                    <xdr:colOff>0</xdr:colOff>
                    <xdr:row>33</xdr:row>
                    <xdr:rowOff>0</xdr:rowOff>
                  </from>
                  <to>
                    <xdr:col>111</xdr:col>
                    <xdr:colOff>333375</xdr:colOff>
                    <xdr:row>34</xdr:row>
                    <xdr:rowOff>9525</xdr:rowOff>
                  </to>
                </anchor>
              </controlPr>
            </control>
          </mc:Choice>
        </mc:AlternateContent>
        <mc:AlternateContent xmlns:mc="http://schemas.openxmlformats.org/markup-compatibility/2006">
          <mc:Choice Requires="x14">
            <control shapeId="1038" r:id="rId14" name="Drop Down 14">
              <controlPr defaultSize="0" autoLine="0" autoPict="0">
                <anchor moveWithCells="1">
                  <from>
                    <xdr:col>205</xdr:col>
                    <xdr:colOff>0</xdr:colOff>
                    <xdr:row>33</xdr:row>
                    <xdr:rowOff>0</xdr:rowOff>
                  </from>
                  <to>
                    <xdr:col>207</xdr:col>
                    <xdr:colOff>161925</xdr:colOff>
                    <xdr:row>34</xdr:row>
                    <xdr:rowOff>9525</xdr:rowOff>
                  </to>
                </anchor>
              </controlPr>
            </control>
          </mc:Choice>
        </mc:AlternateContent>
        <mc:AlternateContent xmlns:mc="http://schemas.openxmlformats.org/markup-compatibility/2006">
          <mc:Choice Requires="x14">
            <control shapeId="1041" r:id="rId15" name="Drop Down 17">
              <controlPr defaultSize="0" autoLine="0" autoPict="0">
                <anchor moveWithCells="1">
                  <from>
                    <xdr:col>4</xdr:col>
                    <xdr:colOff>0</xdr:colOff>
                    <xdr:row>51</xdr:row>
                    <xdr:rowOff>0</xdr:rowOff>
                  </from>
                  <to>
                    <xdr:col>5</xdr:col>
                    <xdr:colOff>133350</xdr:colOff>
                    <xdr:row>52</xdr:row>
                    <xdr:rowOff>19050</xdr:rowOff>
                  </to>
                </anchor>
              </controlPr>
            </control>
          </mc:Choice>
        </mc:AlternateContent>
        <mc:AlternateContent xmlns:mc="http://schemas.openxmlformats.org/markup-compatibility/2006">
          <mc:Choice Requires="x14">
            <control shapeId="1042" r:id="rId16" name="Drop Down 18">
              <controlPr defaultSize="0" autoLine="0" autoPict="0">
                <anchor moveWithCells="1">
                  <from>
                    <xdr:col>6</xdr:col>
                    <xdr:colOff>0</xdr:colOff>
                    <xdr:row>51</xdr:row>
                    <xdr:rowOff>0</xdr:rowOff>
                  </from>
                  <to>
                    <xdr:col>9</xdr:col>
                    <xdr:colOff>9525</xdr:colOff>
                    <xdr:row>52</xdr:row>
                    <xdr:rowOff>9525</xdr:rowOff>
                  </to>
                </anchor>
              </controlPr>
            </control>
          </mc:Choice>
        </mc:AlternateContent>
        <mc:AlternateContent xmlns:mc="http://schemas.openxmlformats.org/markup-compatibility/2006">
          <mc:Choice Requires="x14">
            <control shapeId="1043" r:id="rId17" name="Drop Down 19">
              <controlPr defaultSize="0" autoLine="0" autoPict="0">
                <anchor moveWithCells="1">
                  <from>
                    <xdr:col>16</xdr:col>
                    <xdr:colOff>0</xdr:colOff>
                    <xdr:row>14</xdr:row>
                    <xdr:rowOff>0</xdr:rowOff>
                  </from>
                  <to>
                    <xdr:col>19</xdr:col>
                    <xdr:colOff>333375</xdr:colOff>
                    <xdr:row>15</xdr:row>
                    <xdr:rowOff>9525</xdr:rowOff>
                  </to>
                </anchor>
              </controlPr>
            </control>
          </mc:Choice>
        </mc:AlternateContent>
        <mc:AlternateContent xmlns:mc="http://schemas.openxmlformats.org/markup-compatibility/2006">
          <mc:Choice Requires="x14">
            <control shapeId="1046" r:id="rId18" name="Drop Down 22">
              <controlPr defaultSize="0" autoLine="0" autoPict="0">
                <anchor moveWithCells="1">
                  <from>
                    <xdr:col>2</xdr:col>
                    <xdr:colOff>76200</xdr:colOff>
                    <xdr:row>35</xdr:row>
                    <xdr:rowOff>0</xdr:rowOff>
                  </from>
                  <to>
                    <xdr:col>5</xdr:col>
                    <xdr:colOff>257175</xdr:colOff>
                    <xdr:row>36</xdr:row>
                    <xdr:rowOff>9525</xdr:rowOff>
                  </to>
                </anchor>
              </controlPr>
            </control>
          </mc:Choice>
        </mc:AlternateContent>
        <mc:AlternateContent xmlns:mc="http://schemas.openxmlformats.org/markup-compatibility/2006">
          <mc:Choice Requires="x14">
            <control shapeId="1047" r:id="rId19" name="Drop Down 23">
              <controlPr defaultSize="0" autoLine="0" autoPict="0">
                <anchor moveWithCells="1">
                  <from>
                    <xdr:col>6</xdr:col>
                    <xdr:colOff>0</xdr:colOff>
                    <xdr:row>35</xdr:row>
                    <xdr:rowOff>0</xdr:rowOff>
                  </from>
                  <to>
                    <xdr:col>9</xdr:col>
                    <xdr:colOff>190500</xdr:colOff>
                    <xdr:row>36</xdr:row>
                    <xdr:rowOff>9525</xdr:rowOff>
                  </to>
                </anchor>
              </controlPr>
            </control>
          </mc:Choice>
        </mc:AlternateContent>
        <mc:AlternateContent xmlns:mc="http://schemas.openxmlformats.org/markup-compatibility/2006">
          <mc:Choice Requires="x14">
            <control shapeId="1048" r:id="rId20" name="Drop Down 24">
              <controlPr defaultSize="0" autoLine="0" autoPict="0">
                <anchor moveWithCells="1">
                  <from>
                    <xdr:col>12</xdr:col>
                    <xdr:colOff>0</xdr:colOff>
                    <xdr:row>35</xdr:row>
                    <xdr:rowOff>0</xdr:rowOff>
                  </from>
                  <to>
                    <xdr:col>15</xdr:col>
                    <xdr:colOff>190500</xdr:colOff>
                    <xdr:row>36</xdr:row>
                    <xdr:rowOff>9525</xdr:rowOff>
                  </to>
                </anchor>
              </controlPr>
            </control>
          </mc:Choice>
        </mc:AlternateContent>
        <mc:AlternateContent xmlns:mc="http://schemas.openxmlformats.org/markup-compatibility/2006">
          <mc:Choice Requires="x14">
            <control shapeId="1049" r:id="rId21" name="Drop Down 25">
              <controlPr defaultSize="0" autoLine="0" autoPict="0">
                <anchor moveWithCells="1">
                  <from>
                    <xdr:col>16</xdr:col>
                    <xdr:colOff>0</xdr:colOff>
                    <xdr:row>35</xdr:row>
                    <xdr:rowOff>0</xdr:rowOff>
                  </from>
                  <to>
                    <xdr:col>19</xdr:col>
                    <xdr:colOff>190500</xdr:colOff>
                    <xdr:row>36</xdr:row>
                    <xdr:rowOff>9525</xdr:rowOff>
                  </to>
                </anchor>
              </controlPr>
            </control>
          </mc:Choice>
        </mc:AlternateContent>
        <mc:AlternateContent xmlns:mc="http://schemas.openxmlformats.org/markup-compatibility/2006">
          <mc:Choice Requires="x14">
            <control shapeId="1050" r:id="rId22" name="Check Box 26">
              <controlPr defaultSize="0" autoFill="0" autoLine="0" autoPict="0">
                <anchor moveWithCells="1">
                  <from>
                    <xdr:col>10</xdr:col>
                    <xdr:colOff>38100</xdr:colOff>
                    <xdr:row>35</xdr:row>
                    <xdr:rowOff>0</xdr:rowOff>
                  </from>
                  <to>
                    <xdr:col>10</xdr:col>
                    <xdr:colOff>342900</xdr:colOff>
                    <xdr:row>36</xdr:row>
                    <xdr:rowOff>28575</xdr:rowOff>
                  </to>
                </anchor>
              </controlPr>
            </control>
          </mc:Choice>
        </mc:AlternateContent>
        <mc:AlternateContent xmlns:mc="http://schemas.openxmlformats.org/markup-compatibility/2006">
          <mc:Choice Requires="x14">
            <control shapeId="1051" r:id="rId23" name="Drop Down 27">
              <controlPr defaultSize="0" autoLine="0" autoPict="0">
                <anchor moveWithCells="1">
                  <from>
                    <xdr:col>20</xdr:col>
                    <xdr:colOff>0</xdr:colOff>
                    <xdr:row>35</xdr:row>
                    <xdr:rowOff>0</xdr:rowOff>
                  </from>
                  <to>
                    <xdr:col>23</xdr:col>
                    <xdr:colOff>190500</xdr:colOff>
                    <xdr:row>36</xdr:row>
                    <xdr:rowOff>9525</xdr:rowOff>
                  </to>
                </anchor>
              </controlPr>
            </control>
          </mc:Choice>
        </mc:AlternateContent>
        <mc:AlternateContent xmlns:mc="http://schemas.openxmlformats.org/markup-compatibility/2006">
          <mc:Choice Requires="x14">
            <control shapeId="1052" r:id="rId24" name="Drop Down 28">
              <controlPr defaultSize="0" autoLine="0" autoPict="0">
                <anchor moveWithCells="1">
                  <from>
                    <xdr:col>63</xdr:col>
                    <xdr:colOff>0</xdr:colOff>
                    <xdr:row>35</xdr:row>
                    <xdr:rowOff>0</xdr:rowOff>
                  </from>
                  <to>
                    <xdr:col>65</xdr:col>
                    <xdr:colOff>19050</xdr:colOff>
                    <xdr:row>36</xdr:row>
                    <xdr:rowOff>9525</xdr:rowOff>
                  </to>
                </anchor>
              </controlPr>
            </control>
          </mc:Choice>
        </mc:AlternateContent>
        <mc:AlternateContent xmlns:mc="http://schemas.openxmlformats.org/markup-compatibility/2006">
          <mc:Choice Requires="x14">
            <control shapeId="1053" r:id="rId25" name="Drop Down 29">
              <controlPr defaultSize="0" autoLine="0" autoPict="0">
                <anchor moveWithCells="1">
                  <from>
                    <xdr:col>109</xdr:col>
                    <xdr:colOff>0</xdr:colOff>
                    <xdr:row>35</xdr:row>
                    <xdr:rowOff>0</xdr:rowOff>
                  </from>
                  <to>
                    <xdr:col>111</xdr:col>
                    <xdr:colOff>333375</xdr:colOff>
                    <xdr:row>36</xdr:row>
                    <xdr:rowOff>9525</xdr:rowOff>
                  </to>
                </anchor>
              </controlPr>
            </control>
          </mc:Choice>
        </mc:AlternateContent>
        <mc:AlternateContent xmlns:mc="http://schemas.openxmlformats.org/markup-compatibility/2006">
          <mc:Choice Requires="x14">
            <control shapeId="1054" r:id="rId26" name="Drop Down 30">
              <controlPr defaultSize="0" autoLine="0" autoPict="0">
                <anchor moveWithCells="1">
                  <from>
                    <xdr:col>205</xdr:col>
                    <xdr:colOff>0</xdr:colOff>
                    <xdr:row>35</xdr:row>
                    <xdr:rowOff>0</xdr:rowOff>
                  </from>
                  <to>
                    <xdr:col>207</xdr:col>
                    <xdr:colOff>161925</xdr:colOff>
                    <xdr:row>36</xdr:row>
                    <xdr:rowOff>9525</xdr:rowOff>
                  </to>
                </anchor>
              </controlPr>
            </control>
          </mc:Choice>
        </mc:AlternateContent>
        <mc:AlternateContent xmlns:mc="http://schemas.openxmlformats.org/markup-compatibility/2006">
          <mc:Choice Requires="x14">
            <control shapeId="1055" r:id="rId27" name="Drop Down 31">
              <controlPr defaultSize="0" autoLine="0" autoPict="0">
                <anchor moveWithCells="1">
                  <from>
                    <xdr:col>2</xdr:col>
                    <xdr:colOff>76200</xdr:colOff>
                    <xdr:row>37</xdr:row>
                    <xdr:rowOff>0</xdr:rowOff>
                  </from>
                  <to>
                    <xdr:col>5</xdr:col>
                    <xdr:colOff>257175</xdr:colOff>
                    <xdr:row>38</xdr:row>
                    <xdr:rowOff>9525</xdr:rowOff>
                  </to>
                </anchor>
              </controlPr>
            </control>
          </mc:Choice>
        </mc:AlternateContent>
        <mc:AlternateContent xmlns:mc="http://schemas.openxmlformats.org/markup-compatibility/2006">
          <mc:Choice Requires="x14">
            <control shapeId="1056" r:id="rId28" name="Drop Down 32">
              <controlPr defaultSize="0" autoLine="0" autoPict="0">
                <anchor moveWithCells="1">
                  <from>
                    <xdr:col>6</xdr:col>
                    <xdr:colOff>0</xdr:colOff>
                    <xdr:row>37</xdr:row>
                    <xdr:rowOff>0</xdr:rowOff>
                  </from>
                  <to>
                    <xdr:col>9</xdr:col>
                    <xdr:colOff>190500</xdr:colOff>
                    <xdr:row>38</xdr:row>
                    <xdr:rowOff>9525</xdr:rowOff>
                  </to>
                </anchor>
              </controlPr>
            </control>
          </mc:Choice>
        </mc:AlternateContent>
        <mc:AlternateContent xmlns:mc="http://schemas.openxmlformats.org/markup-compatibility/2006">
          <mc:Choice Requires="x14">
            <control shapeId="1057" r:id="rId29" name="Drop Down 33">
              <controlPr defaultSize="0" autoLine="0" autoPict="0">
                <anchor moveWithCells="1">
                  <from>
                    <xdr:col>12</xdr:col>
                    <xdr:colOff>0</xdr:colOff>
                    <xdr:row>37</xdr:row>
                    <xdr:rowOff>0</xdr:rowOff>
                  </from>
                  <to>
                    <xdr:col>15</xdr:col>
                    <xdr:colOff>190500</xdr:colOff>
                    <xdr:row>38</xdr:row>
                    <xdr:rowOff>9525</xdr:rowOff>
                  </to>
                </anchor>
              </controlPr>
            </control>
          </mc:Choice>
        </mc:AlternateContent>
        <mc:AlternateContent xmlns:mc="http://schemas.openxmlformats.org/markup-compatibility/2006">
          <mc:Choice Requires="x14">
            <control shapeId="1058" r:id="rId30" name="Drop Down 34">
              <controlPr defaultSize="0" autoLine="0" autoPict="0">
                <anchor moveWithCells="1">
                  <from>
                    <xdr:col>16</xdr:col>
                    <xdr:colOff>0</xdr:colOff>
                    <xdr:row>37</xdr:row>
                    <xdr:rowOff>0</xdr:rowOff>
                  </from>
                  <to>
                    <xdr:col>19</xdr:col>
                    <xdr:colOff>190500</xdr:colOff>
                    <xdr:row>38</xdr:row>
                    <xdr:rowOff>9525</xdr:rowOff>
                  </to>
                </anchor>
              </controlPr>
            </control>
          </mc:Choice>
        </mc:AlternateContent>
        <mc:AlternateContent xmlns:mc="http://schemas.openxmlformats.org/markup-compatibility/2006">
          <mc:Choice Requires="x14">
            <control shapeId="1059" r:id="rId31" name="Check Box 35">
              <controlPr defaultSize="0" autoFill="0" autoLine="0" autoPict="0">
                <anchor moveWithCells="1">
                  <from>
                    <xdr:col>10</xdr:col>
                    <xdr:colOff>38100</xdr:colOff>
                    <xdr:row>37</xdr:row>
                    <xdr:rowOff>0</xdr:rowOff>
                  </from>
                  <to>
                    <xdr:col>10</xdr:col>
                    <xdr:colOff>342900</xdr:colOff>
                    <xdr:row>38</xdr:row>
                    <xdr:rowOff>28575</xdr:rowOff>
                  </to>
                </anchor>
              </controlPr>
            </control>
          </mc:Choice>
        </mc:AlternateContent>
        <mc:AlternateContent xmlns:mc="http://schemas.openxmlformats.org/markup-compatibility/2006">
          <mc:Choice Requires="x14">
            <control shapeId="1060" r:id="rId32" name="Drop Down 36">
              <controlPr defaultSize="0" autoLine="0" autoPict="0">
                <anchor moveWithCells="1">
                  <from>
                    <xdr:col>20</xdr:col>
                    <xdr:colOff>0</xdr:colOff>
                    <xdr:row>37</xdr:row>
                    <xdr:rowOff>0</xdr:rowOff>
                  </from>
                  <to>
                    <xdr:col>23</xdr:col>
                    <xdr:colOff>190500</xdr:colOff>
                    <xdr:row>38</xdr:row>
                    <xdr:rowOff>9525</xdr:rowOff>
                  </to>
                </anchor>
              </controlPr>
            </control>
          </mc:Choice>
        </mc:AlternateContent>
        <mc:AlternateContent xmlns:mc="http://schemas.openxmlformats.org/markup-compatibility/2006">
          <mc:Choice Requires="x14">
            <control shapeId="1061" r:id="rId33" name="Drop Down 37">
              <controlPr defaultSize="0" autoLine="0" autoPict="0">
                <anchor moveWithCells="1">
                  <from>
                    <xdr:col>63</xdr:col>
                    <xdr:colOff>0</xdr:colOff>
                    <xdr:row>37</xdr:row>
                    <xdr:rowOff>0</xdr:rowOff>
                  </from>
                  <to>
                    <xdr:col>65</xdr:col>
                    <xdr:colOff>19050</xdr:colOff>
                    <xdr:row>38</xdr:row>
                    <xdr:rowOff>9525</xdr:rowOff>
                  </to>
                </anchor>
              </controlPr>
            </control>
          </mc:Choice>
        </mc:AlternateContent>
        <mc:AlternateContent xmlns:mc="http://schemas.openxmlformats.org/markup-compatibility/2006">
          <mc:Choice Requires="x14">
            <control shapeId="1062" r:id="rId34" name="Drop Down 38">
              <controlPr defaultSize="0" autoLine="0" autoPict="0">
                <anchor moveWithCells="1">
                  <from>
                    <xdr:col>109</xdr:col>
                    <xdr:colOff>0</xdr:colOff>
                    <xdr:row>37</xdr:row>
                    <xdr:rowOff>0</xdr:rowOff>
                  </from>
                  <to>
                    <xdr:col>111</xdr:col>
                    <xdr:colOff>333375</xdr:colOff>
                    <xdr:row>38</xdr:row>
                    <xdr:rowOff>9525</xdr:rowOff>
                  </to>
                </anchor>
              </controlPr>
            </control>
          </mc:Choice>
        </mc:AlternateContent>
        <mc:AlternateContent xmlns:mc="http://schemas.openxmlformats.org/markup-compatibility/2006">
          <mc:Choice Requires="x14">
            <control shapeId="1063" r:id="rId35" name="Drop Down 39">
              <controlPr defaultSize="0" autoLine="0" autoPict="0">
                <anchor moveWithCells="1">
                  <from>
                    <xdr:col>205</xdr:col>
                    <xdr:colOff>0</xdr:colOff>
                    <xdr:row>37</xdr:row>
                    <xdr:rowOff>0</xdr:rowOff>
                  </from>
                  <to>
                    <xdr:col>207</xdr:col>
                    <xdr:colOff>161925</xdr:colOff>
                    <xdr:row>38</xdr:row>
                    <xdr:rowOff>9525</xdr:rowOff>
                  </to>
                </anchor>
              </controlPr>
            </control>
          </mc:Choice>
        </mc:AlternateContent>
        <mc:AlternateContent xmlns:mc="http://schemas.openxmlformats.org/markup-compatibility/2006">
          <mc:Choice Requires="x14">
            <control shapeId="1064" r:id="rId36" name="Drop Down 40">
              <controlPr defaultSize="0" autoLine="0" autoPict="0">
                <anchor moveWithCells="1">
                  <from>
                    <xdr:col>2</xdr:col>
                    <xdr:colOff>76200</xdr:colOff>
                    <xdr:row>39</xdr:row>
                    <xdr:rowOff>0</xdr:rowOff>
                  </from>
                  <to>
                    <xdr:col>5</xdr:col>
                    <xdr:colOff>257175</xdr:colOff>
                    <xdr:row>40</xdr:row>
                    <xdr:rowOff>9525</xdr:rowOff>
                  </to>
                </anchor>
              </controlPr>
            </control>
          </mc:Choice>
        </mc:AlternateContent>
        <mc:AlternateContent xmlns:mc="http://schemas.openxmlformats.org/markup-compatibility/2006">
          <mc:Choice Requires="x14">
            <control shapeId="1065" r:id="rId37" name="Drop Down 41">
              <controlPr defaultSize="0" autoLine="0" autoPict="0">
                <anchor moveWithCells="1">
                  <from>
                    <xdr:col>6</xdr:col>
                    <xdr:colOff>0</xdr:colOff>
                    <xdr:row>39</xdr:row>
                    <xdr:rowOff>0</xdr:rowOff>
                  </from>
                  <to>
                    <xdr:col>9</xdr:col>
                    <xdr:colOff>190500</xdr:colOff>
                    <xdr:row>40</xdr:row>
                    <xdr:rowOff>9525</xdr:rowOff>
                  </to>
                </anchor>
              </controlPr>
            </control>
          </mc:Choice>
        </mc:AlternateContent>
        <mc:AlternateContent xmlns:mc="http://schemas.openxmlformats.org/markup-compatibility/2006">
          <mc:Choice Requires="x14">
            <control shapeId="1066" r:id="rId38" name="Drop Down 42">
              <controlPr defaultSize="0" autoLine="0" autoPict="0">
                <anchor moveWithCells="1">
                  <from>
                    <xdr:col>12</xdr:col>
                    <xdr:colOff>0</xdr:colOff>
                    <xdr:row>39</xdr:row>
                    <xdr:rowOff>0</xdr:rowOff>
                  </from>
                  <to>
                    <xdr:col>15</xdr:col>
                    <xdr:colOff>190500</xdr:colOff>
                    <xdr:row>40</xdr:row>
                    <xdr:rowOff>9525</xdr:rowOff>
                  </to>
                </anchor>
              </controlPr>
            </control>
          </mc:Choice>
        </mc:AlternateContent>
        <mc:AlternateContent xmlns:mc="http://schemas.openxmlformats.org/markup-compatibility/2006">
          <mc:Choice Requires="x14">
            <control shapeId="1067" r:id="rId39" name="Drop Down 43">
              <controlPr defaultSize="0" autoLine="0" autoPict="0">
                <anchor moveWithCells="1">
                  <from>
                    <xdr:col>16</xdr:col>
                    <xdr:colOff>0</xdr:colOff>
                    <xdr:row>39</xdr:row>
                    <xdr:rowOff>0</xdr:rowOff>
                  </from>
                  <to>
                    <xdr:col>19</xdr:col>
                    <xdr:colOff>190500</xdr:colOff>
                    <xdr:row>40</xdr:row>
                    <xdr:rowOff>9525</xdr:rowOff>
                  </to>
                </anchor>
              </controlPr>
            </control>
          </mc:Choice>
        </mc:AlternateContent>
        <mc:AlternateContent xmlns:mc="http://schemas.openxmlformats.org/markup-compatibility/2006">
          <mc:Choice Requires="x14">
            <control shapeId="1068" r:id="rId40" name="Check Box 44">
              <controlPr defaultSize="0" autoFill="0" autoLine="0" autoPict="0">
                <anchor moveWithCells="1">
                  <from>
                    <xdr:col>10</xdr:col>
                    <xdr:colOff>38100</xdr:colOff>
                    <xdr:row>39</xdr:row>
                    <xdr:rowOff>0</xdr:rowOff>
                  </from>
                  <to>
                    <xdr:col>10</xdr:col>
                    <xdr:colOff>342900</xdr:colOff>
                    <xdr:row>40</xdr:row>
                    <xdr:rowOff>28575</xdr:rowOff>
                  </to>
                </anchor>
              </controlPr>
            </control>
          </mc:Choice>
        </mc:AlternateContent>
        <mc:AlternateContent xmlns:mc="http://schemas.openxmlformats.org/markup-compatibility/2006">
          <mc:Choice Requires="x14">
            <control shapeId="1069" r:id="rId41" name="Drop Down 45">
              <controlPr defaultSize="0" autoLine="0" autoPict="0">
                <anchor moveWithCells="1">
                  <from>
                    <xdr:col>20</xdr:col>
                    <xdr:colOff>0</xdr:colOff>
                    <xdr:row>39</xdr:row>
                    <xdr:rowOff>0</xdr:rowOff>
                  </from>
                  <to>
                    <xdr:col>23</xdr:col>
                    <xdr:colOff>190500</xdr:colOff>
                    <xdr:row>40</xdr:row>
                    <xdr:rowOff>9525</xdr:rowOff>
                  </to>
                </anchor>
              </controlPr>
            </control>
          </mc:Choice>
        </mc:AlternateContent>
        <mc:AlternateContent xmlns:mc="http://schemas.openxmlformats.org/markup-compatibility/2006">
          <mc:Choice Requires="x14">
            <control shapeId="1070" r:id="rId42" name="Drop Down 46">
              <controlPr defaultSize="0" autoLine="0" autoPict="0">
                <anchor moveWithCells="1">
                  <from>
                    <xdr:col>63</xdr:col>
                    <xdr:colOff>0</xdr:colOff>
                    <xdr:row>39</xdr:row>
                    <xdr:rowOff>0</xdr:rowOff>
                  </from>
                  <to>
                    <xdr:col>65</xdr:col>
                    <xdr:colOff>19050</xdr:colOff>
                    <xdr:row>40</xdr:row>
                    <xdr:rowOff>9525</xdr:rowOff>
                  </to>
                </anchor>
              </controlPr>
            </control>
          </mc:Choice>
        </mc:AlternateContent>
        <mc:AlternateContent xmlns:mc="http://schemas.openxmlformats.org/markup-compatibility/2006">
          <mc:Choice Requires="x14">
            <control shapeId="1071" r:id="rId43" name="Drop Down 47">
              <controlPr defaultSize="0" autoLine="0" autoPict="0">
                <anchor moveWithCells="1">
                  <from>
                    <xdr:col>109</xdr:col>
                    <xdr:colOff>0</xdr:colOff>
                    <xdr:row>39</xdr:row>
                    <xdr:rowOff>0</xdr:rowOff>
                  </from>
                  <to>
                    <xdr:col>111</xdr:col>
                    <xdr:colOff>333375</xdr:colOff>
                    <xdr:row>40</xdr:row>
                    <xdr:rowOff>9525</xdr:rowOff>
                  </to>
                </anchor>
              </controlPr>
            </control>
          </mc:Choice>
        </mc:AlternateContent>
        <mc:AlternateContent xmlns:mc="http://schemas.openxmlformats.org/markup-compatibility/2006">
          <mc:Choice Requires="x14">
            <control shapeId="1072" r:id="rId44" name="Drop Down 48">
              <controlPr defaultSize="0" autoLine="0" autoPict="0">
                <anchor moveWithCells="1">
                  <from>
                    <xdr:col>205</xdr:col>
                    <xdr:colOff>0</xdr:colOff>
                    <xdr:row>39</xdr:row>
                    <xdr:rowOff>0</xdr:rowOff>
                  </from>
                  <to>
                    <xdr:col>207</xdr:col>
                    <xdr:colOff>161925</xdr:colOff>
                    <xdr:row>40</xdr:row>
                    <xdr:rowOff>9525</xdr:rowOff>
                  </to>
                </anchor>
              </controlPr>
            </control>
          </mc:Choice>
        </mc:AlternateContent>
        <mc:AlternateContent xmlns:mc="http://schemas.openxmlformats.org/markup-compatibility/2006">
          <mc:Choice Requires="x14">
            <control shapeId="1073" r:id="rId45" name="Drop Down 49">
              <controlPr defaultSize="0" autoLine="0" autoPict="0">
                <anchor moveWithCells="1">
                  <from>
                    <xdr:col>2</xdr:col>
                    <xdr:colOff>76200</xdr:colOff>
                    <xdr:row>41</xdr:row>
                    <xdr:rowOff>0</xdr:rowOff>
                  </from>
                  <to>
                    <xdr:col>5</xdr:col>
                    <xdr:colOff>257175</xdr:colOff>
                    <xdr:row>42</xdr:row>
                    <xdr:rowOff>9525</xdr:rowOff>
                  </to>
                </anchor>
              </controlPr>
            </control>
          </mc:Choice>
        </mc:AlternateContent>
        <mc:AlternateContent xmlns:mc="http://schemas.openxmlformats.org/markup-compatibility/2006">
          <mc:Choice Requires="x14">
            <control shapeId="1074" r:id="rId46" name="Drop Down 50">
              <controlPr defaultSize="0" autoLine="0" autoPict="0">
                <anchor moveWithCells="1">
                  <from>
                    <xdr:col>6</xdr:col>
                    <xdr:colOff>0</xdr:colOff>
                    <xdr:row>41</xdr:row>
                    <xdr:rowOff>0</xdr:rowOff>
                  </from>
                  <to>
                    <xdr:col>9</xdr:col>
                    <xdr:colOff>190500</xdr:colOff>
                    <xdr:row>42</xdr:row>
                    <xdr:rowOff>9525</xdr:rowOff>
                  </to>
                </anchor>
              </controlPr>
            </control>
          </mc:Choice>
        </mc:AlternateContent>
        <mc:AlternateContent xmlns:mc="http://schemas.openxmlformats.org/markup-compatibility/2006">
          <mc:Choice Requires="x14">
            <control shapeId="1075" r:id="rId47" name="Drop Down 51">
              <controlPr defaultSize="0" autoLine="0" autoPict="0">
                <anchor moveWithCells="1">
                  <from>
                    <xdr:col>12</xdr:col>
                    <xdr:colOff>0</xdr:colOff>
                    <xdr:row>41</xdr:row>
                    <xdr:rowOff>0</xdr:rowOff>
                  </from>
                  <to>
                    <xdr:col>15</xdr:col>
                    <xdr:colOff>190500</xdr:colOff>
                    <xdr:row>42</xdr:row>
                    <xdr:rowOff>9525</xdr:rowOff>
                  </to>
                </anchor>
              </controlPr>
            </control>
          </mc:Choice>
        </mc:AlternateContent>
        <mc:AlternateContent xmlns:mc="http://schemas.openxmlformats.org/markup-compatibility/2006">
          <mc:Choice Requires="x14">
            <control shapeId="1076" r:id="rId48" name="Drop Down 52">
              <controlPr defaultSize="0" autoLine="0" autoPict="0">
                <anchor moveWithCells="1">
                  <from>
                    <xdr:col>16</xdr:col>
                    <xdr:colOff>0</xdr:colOff>
                    <xdr:row>41</xdr:row>
                    <xdr:rowOff>0</xdr:rowOff>
                  </from>
                  <to>
                    <xdr:col>19</xdr:col>
                    <xdr:colOff>190500</xdr:colOff>
                    <xdr:row>42</xdr:row>
                    <xdr:rowOff>9525</xdr:rowOff>
                  </to>
                </anchor>
              </controlPr>
            </control>
          </mc:Choice>
        </mc:AlternateContent>
        <mc:AlternateContent xmlns:mc="http://schemas.openxmlformats.org/markup-compatibility/2006">
          <mc:Choice Requires="x14">
            <control shapeId="1077" r:id="rId49" name="Check Box 53">
              <controlPr defaultSize="0" autoFill="0" autoLine="0" autoPict="0">
                <anchor moveWithCells="1">
                  <from>
                    <xdr:col>10</xdr:col>
                    <xdr:colOff>38100</xdr:colOff>
                    <xdr:row>41</xdr:row>
                    <xdr:rowOff>0</xdr:rowOff>
                  </from>
                  <to>
                    <xdr:col>10</xdr:col>
                    <xdr:colOff>342900</xdr:colOff>
                    <xdr:row>42</xdr:row>
                    <xdr:rowOff>28575</xdr:rowOff>
                  </to>
                </anchor>
              </controlPr>
            </control>
          </mc:Choice>
        </mc:AlternateContent>
        <mc:AlternateContent xmlns:mc="http://schemas.openxmlformats.org/markup-compatibility/2006">
          <mc:Choice Requires="x14">
            <control shapeId="1078" r:id="rId50" name="Drop Down 54">
              <controlPr defaultSize="0" autoLine="0" autoPict="0">
                <anchor moveWithCells="1">
                  <from>
                    <xdr:col>20</xdr:col>
                    <xdr:colOff>0</xdr:colOff>
                    <xdr:row>41</xdr:row>
                    <xdr:rowOff>0</xdr:rowOff>
                  </from>
                  <to>
                    <xdr:col>23</xdr:col>
                    <xdr:colOff>190500</xdr:colOff>
                    <xdr:row>42</xdr:row>
                    <xdr:rowOff>9525</xdr:rowOff>
                  </to>
                </anchor>
              </controlPr>
            </control>
          </mc:Choice>
        </mc:AlternateContent>
        <mc:AlternateContent xmlns:mc="http://schemas.openxmlformats.org/markup-compatibility/2006">
          <mc:Choice Requires="x14">
            <control shapeId="1079" r:id="rId51" name="Drop Down 55">
              <controlPr defaultSize="0" autoLine="0" autoPict="0">
                <anchor moveWithCells="1">
                  <from>
                    <xdr:col>63</xdr:col>
                    <xdr:colOff>0</xdr:colOff>
                    <xdr:row>41</xdr:row>
                    <xdr:rowOff>0</xdr:rowOff>
                  </from>
                  <to>
                    <xdr:col>65</xdr:col>
                    <xdr:colOff>19050</xdr:colOff>
                    <xdr:row>42</xdr:row>
                    <xdr:rowOff>9525</xdr:rowOff>
                  </to>
                </anchor>
              </controlPr>
            </control>
          </mc:Choice>
        </mc:AlternateContent>
        <mc:AlternateContent xmlns:mc="http://schemas.openxmlformats.org/markup-compatibility/2006">
          <mc:Choice Requires="x14">
            <control shapeId="1080" r:id="rId52" name="Drop Down 56">
              <controlPr defaultSize="0" autoLine="0" autoPict="0">
                <anchor moveWithCells="1">
                  <from>
                    <xdr:col>109</xdr:col>
                    <xdr:colOff>0</xdr:colOff>
                    <xdr:row>41</xdr:row>
                    <xdr:rowOff>0</xdr:rowOff>
                  </from>
                  <to>
                    <xdr:col>111</xdr:col>
                    <xdr:colOff>333375</xdr:colOff>
                    <xdr:row>42</xdr:row>
                    <xdr:rowOff>9525</xdr:rowOff>
                  </to>
                </anchor>
              </controlPr>
            </control>
          </mc:Choice>
        </mc:AlternateContent>
        <mc:AlternateContent xmlns:mc="http://schemas.openxmlformats.org/markup-compatibility/2006">
          <mc:Choice Requires="x14">
            <control shapeId="1081" r:id="rId53" name="Drop Down 57">
              <controlPr defaultSize="0" autoLine="0" autoPict="0">
                <anchor moveWithCells="1">
                  <from>
                    <xdr:col>205</xdr:col>
                    <xdr:colOff>0</xdr:colOff>
                    <xdr:row>41</xdr:row>
                    <xdr:rowOff>0</xdr:rowOff>
                  </from>
                  <to>
                    <xdr:col>207</xdr:col>
                    <xdr:colOff>161925</xdr:colOff>
                    <xdr:row>42</xdr:row>
                    <xdr:rowOff>9525</xdr:rowOff>
                  </to>
                </anchor>
              </controlPr>
            </control>
          </mc:Choice>
        </mc:AlternateContent>
        <mc:AlternateContent xmlns:mc="http://schemas.openxmlformats.org/markup-compatibility/2006">
          <mc:Choice Requires="x14">
            <control shapeId="1082" r:id="rId54" name="Drop Down 58">
              <controlPr defaultSize="0" autoLine="0" autoPict="0">
                <anchor moveWithCells="1">
                  <from>
                    <xdr:col>2</xdr:col>
                    <xdr:colOff>76200</xdr:colOff>
                    <xdr:row>43</xdr:row>
                    <xdr:rowOff>0</xdr:rowOff>
                  </from>
                  <to>
                    <xdr:col>5</xdr:col>
                    <xdr:colOff>257175</xdr:colOff>
                    <xdr:row>44</xdr:row>
                    <xdr:rowOff>9525</xdr:rowOff>
                  </to>
                </anchor>
              </controlPr>
            </control>
          </mc:Choice>
        </mc:AlternateContent>
        <mc:AlternateContent xmlns:mc="http://schemas.openxmlformats.org/markup-compatibility/2006">
          <mc:Choice Requires="x14">
            <control shapeId="1083" r:id="rId55" name="Drop Down 59">
              <controlPr defaultSize="0" autoLine="0" autoPict="0">
                <anchor moveWithCells="1">
                  <from>
                    <xdr:col>6</xdr:col>
                    <xdr:colOff>0</xdr:colOff>
                    <xdr:row>43</xdr:row>
                    <xdr:rowOff>0</xdr:rowOff>
                  </from>
                  <to>
                    <xdr:col>9</xdr:col>
                    <xdr:colOff>190500</xdr:colOff>
                    <xdr:row>44</xdr:row>
                    <xdr:rowOff>9525</xdr:rowOff>
                  </to>
                </anchor>
              </controlPr>
            </control>
          </mc:Choice>
        </mc:AlternateContent>
        <mc:AlternateContent xmlns:mc="http://schemas.openxmlformats.org/markup-compatibility/2006">
          <mc:Choice Requires="x14">
            <control shapeId="1084" r:id="rId56" name="Drop Down 60">
              <controlPr defaultSize="0" autoLine="0" autoPict="0">
                <anchor moveWithCells="1">
                  <from>
                    <xdr:col>12</xdr:col>
                    <xdr:colOff>0</xdr:colOff>
                    <xdr:row>43</xdr:row>
                    <xdr:rowOff>0</xdr:rowOff>
                  </from>
                  <to>
                    <xdr:col>15</xdr:col>
                    <xdr:colOff>190500</xdr:colOff>
                    <xdr:row>44</xdr:row>
                    <xdr:rowOff>9525</xdr:rowOff>
                  </to>
                </anchor>
              </controlPr>
            </control>
          </mc:Choice>
        </mc:AlternateContent>
        <mc:AlternateContent xmlns:mc="http://schemas.openxmlformats.org/markup-compatibility/2006">
          <mc:Choice Requires="x14">
            <control shapeId="1085" r:id="rId57" name="Drop Down 61">
              <controlPr defaultSize="0" autoLine="0" autoPict="0">
                <anchor moveWithCells="1">
                  <from>
                    <xdr:col>16</xdr:col>
                    <xdr:colOff>0</xdr:colOff>
                    <xdr:row>43</xdr:row>
                    <xdr:rowOff>0</xdr:rowOff>
                  </from>
                  <to>
                    <xdr:col>19</xdr:col>
                    <xdr:colOff>190500</xdr:colOff>
                    <xdr:row>44</xdr:row>
                    <xdr:rowOff>9525</xdr:rowOff>
                  </to>
                </anchor>
              </controlPr>
            </control>
          </mc:Choice>
        </mc:AlternateContent>
        <mc:AlternateContent xmlns:mc="http://schemas.openxmlformats.org/markup-compatibility/2006">
          <mc:Choice Requires="x14">
            <control shapeId="1086" r:id="rId58" name="Check Box 62">
              <controlPr defaultSize="0" autoFill="0" autoLine="0" autoPict="0">
                <anchor moveWithCells="1">
                  <from>
                    <xdr:col>10</xdr:col>
                    <xdr:colOff>38100</xdr:colOff>
                    <xdr:row>43</xdr:row>
                    <xdr:rowOff>0</xdr:rowOff>
                  </from>
                  <to>
                    <xdr:col>10</xdr:col>
                    <xdr:colOff>342900</xdr:colOff>
                    <xdr:row>44</xdr:row>
                    <xdr:rowOff>28575</xdr:rowOff>
                  </to>
                </anchor>
              </controlPr>
            </control>
          </mc:Choice>
        </mc:AlternateContent>
        <mc:AlternateContent xmlns:mc="http://schemas.openxmlformats.org/markup-compatibility/2006">
          <mc:Choice Requires="x14">
            <control shapeId="1087" r:id="rId59" name="Drop Down 63">
              <controlPr defaultSize="0" autoLine="0" autoPict="0">
                <anchor moveWithCells="1">
                  <from>
                    <xdr:col>20</xdr:col>
                    <xdr:colOff>0</xdr:colOff>
                    <xdr:row>43</xdr:row>
                    <xdr:rowOff>0</xdr:rowOff>
                  </from>
                  <to>
                    <xdr:col>23</xdr:col>
                    <xdr:colOff>190500</xdr:colOff>
                    <xdr:row>44</xdr:row>
                    <xdr:rowOff>9525</xdr:rowOff>
                  </to>
                </anchor>
              </controlPr>
            </control>
          </mc:Choice>
        </mc:AlternateContent>
        <mc:AlternateContent xmlns:mc="http://schemas.openxmlformats.org/markup-compatibility/2006">
          <mc:Choice Requires="x14">
            <control shapeId="1088" r:id="rId60" name="Drop Down 64">
              <controlPr defaultSize="0" autoLine="0" autoPict="0">
                <anchor moveWithCells="1">
                  <from>
                    <xdr:col>63</xdr:col>
                    <xdr:colOff>0</xdr:colOff>
                    <xdr:row>43</xdr:row>
                    <xdr:rowOff>0</xdr:rowOff>
                  </from>
                  <to>
                    <xdr:col>65</xdr:col>
                    <xdr:colOff>19050</xdr:colOff>
                    <xdr:row>44</xdr:row>
                    <xdr:rowOff>9525</xdr:rowOff>
                  </to>
                </anchor>
              </controlPr>
            </control>
          </mc:Choice>
        </mc:AlternateContent>
        <mc:AlternateContent xmlns:mc="http://schemas.openxmlformats.org/markup-compatibility/2006">
          <mc:Choice Requires="x14">
            <control shapeId="1089" r:id="rId61" name="Drop Down 65">
              <controlPr defaultSize="0" autoLine="0" autoPict="0">
                <anchor moveWithCells="1">
                  <from>
                    <xdr:col>109</xdr:col>
                    <xdr:colOff>0</xdr:colOff>
                    <xdr:row>43</xdr:row>
                    <xdr:rowOff>0</xdr:rowOff>
                  </from>
                  <to>
                    <xdr:col>111</xdr:col>
                    <xdr:colOff>333375</xdr:colOff>
                    <xdr:row>44</xdr:row>
                    <xdr:rowOff>9525</xdr:rowOff>
                  </to>
                </anchor>
              </controlPr>
            </control>
          </mc:Choice>
        </mc:AlternateContent>
        <mc:AlternateContent xmlns:mc="http://schemas.openxmlformats.org/markup-compatibility/2006">
          <mc:Choice Requires="x14">
            <control shapeId="1090" r:id="rId62" name="Drop Down 66">
              <controlPr defaultSize="0" autoLine="0" autoPict="0">
                <anchor moveWithCells="1">
                  <from>
                    <xdr:col>205</xdr:col>
                    <xdr:colOff>0</xdr:colOff>
                    <xdr:row>43</xdr:row>
                    <xdr:rowOff>0</xdr:rowOff>
                  </from>
                  <to>
                    <xdr:col>207</xdr:col>
                    <xdr:colOff>161925</xdr:colOff>
                    <xdr:row>44</xdr:row>
                    <xdr:rowOff>9525</xdr:rowOff>
                  </to>
                </anchor>
              </controlPr>
            </control>
          </mc:Choice>
        </mc:AlternateContent>
        <mc:AlternateContent xmlns:mc="http://schemas.openxmlformats.org/markup-compatibility/2006">
          <mc:Choice Requires="x14">
            <control shapeId="1091" r:id="rId63" name="Drop Down 67">
              <controlPr defaultSize="0" autoLine="0" autoPict="0">
                <anchor moveWithCells="1">
                  <from>
                    <xdr:col>2</xdr:col>
                    <xdr:colOff>76200</xdr:colOff>
                    <xdr:row>45</xdr:row>
                    <xdr:rowOff>0</xdr:rowOff>
                  </from>
                  <to>
                    <xdr:col>5</xdr:col>
                    <xdr:colOff>257175</xdr:colOff>
                    <xdr:row>46</xdr:row>
                    <xdr:rowOff>9525</xdr:rowOff>
                  </to>
                </anchor>
              </controlPr>
            </control>
          </mc:Choice>
        </mc:AlternateContent>
        <mc:AlternateContent xmlns:mc="http://schemas.openxmlformats.org/markup-compatibility/2006">
          <mc:Choice Requires="x14">
            <control shapeId="1092" r:id="rId64" name="Drop Down 68">
              <controlPr defaultSize="0" autoLine="0" autoPict="0">
                <anchor moveWithCells="1">
                  <from>
                    <xdr:col>6</xdr:col>
                    <xdr:colOff>0</xdr:colOff>
                    <xdr:row>45</xdr:row>
                    <xdr:rowOff>0</xdr:rowOff>
                  </from>
                  <to>
                    <xdr:col>9</xdr:col>
                    <xdr:colOff>190500</xdr:colOff>
                    <xdr:row>46</xdr:row>
                    <xdr:rowOff>9525</xdr:rowOff>
                  </to>
                </anchor>
              </controlPr>
            </control>
          </mc:Choice>
        </mc:AlternateContent>
        <mc:AlternateContent xmlns:mc="http://schemas.openxmlformats.org/markup-compatibility/2006">
          <mc:Choice Requires="x14">
            <control shapeId="1093" r:id="rId65" name="Drop Down 69">
              <controlPr defaultSize="0" autoLine="0" autoPict="0">
                <anchor moveWithCells="1">
                  <from>
                    <xdr:col>12</xdr:col>
                    <xdr:colOff>0</xdr:colOff>
                    <xdr:row>45</xdr:row>
                    <xdr:rowOff>0</xdr:rowOff>
                  </from>
                  <to>
                    <xdr:col>15</xdr:col>
                    <xdr:colOff>190500</xdr:colOff>
                    <xdr:row>46</xdr:row>
                    <xdr:rowOff>9525</xdr:rowOff>
                  </to>
                </anchor>
              </controlPr>
            </control>
          </mc:Choice>
        </mc:AlternateContent>
        <mc:AlternateContent xmlns:mc="http://schemas.openxmlformats.org/markup-compatibility/2006">
          <mc:Choice Requires="x14">
            <control shapeId="1094" r:id="rId66" name="Drop Down 70">
              <controlPr defaultSize="0" autoLine="0" autoPict="0">
                <anchor moveWithCells="1">
                  <from>
                    <xdr:col>16</xdr:col>
                    <xdr:colOff>0</xdr:colOff>
                    <xdr:row>45</xdr:row>
                    <xdr:rowOff>0</xdr:rowOff>
                  </from>
                  <to>
                    <xdr:col>19</xdr:col>
                    <xdr:colOff>190500</xdr:colOff>
                    <xdr:row>46</xdr:row>
                    <xdr:rowOff>9525</xdr:rowOff>
                  </to>
                </anchor>
              </controlPr>
            </control>
          </mc:Choice>
        </mc:AlternateContent>
        <mc:AlternateContent xmlns:mc="http://schemas.openxmlformats.org/markup-compatibility/2006">
          <mc:Choice Requires="x14">
            <control shapeId="1095" r:id="rId67" name="Check Box 71">
              <controlPr defaultSize="0" autoFill="0" autoLine="0" autoPict="0">
                <anchor moveWithCells="1">
                  <from>
                    <xdr:col>10</xdr:col>
                    <xdr:colOff>38100</xdr:colOff>
                    <xdr:row>45</xdr:row>
                    <xdr:rowOff>0</xdr:rowOff>
                  </from>
                  <to>
                    <xdr:col>10</xdr:col>
                    <xdr:colOff>342900</xdr:colOff>
                    <xdr:row>46</xdr:row>
                    <xdr:rowOff>28575</xdr:rowOff>
                  </to>
                </anchor>
              </controlPr>
            </control>
          </mc:Choice>
        </mc:AlternateContent>
        <mc:AlternateContent xmlns:mc="http://schemas.openxmlformats.org/markup-compatibility/2006">
          <mc:Choice Requires="x14">
            <control shapeId="1096" r:id="rId68" name="Drop Down 72">
              <controlPr defaultSize="0" autoLine="0" autoPict="0">
                <anchor moveWithCells="1">
                  <from>
                    <xdr:col>20</xdr:col>
                    <xdr:colOff>0</xdr:colOff>
                    <xdr:row>45</xdr:row>
                    <xdr:rowOff>0</xdr:rowOff>
                  </from>
                  <to>
                    <xdr:col>23</xdr:col>
                    <xdr:colOff>190500</xdr:colOff>
                    <xdr:row>46</xdr:row>
                    <xdr:rowOff>9525</xdr:rowOff>
                  </to>
                </anchor>
              </controlPr>
            </control>
          </mc:Choice>
        </mc:AlternateContent>
        <mc:AlternateContent xmlns:mc="http://schemas.openxmlformats.org/markup-compatibility/2006">
          <mc:Choice Requires="x14">
            <control shapeId="1097" r:id="rId69" name="Drop Down 73">
              <controlPr defaultSize="0" autoLine="0" autoPict="0">
                <anchor moveWithCells="1">
                  <from>
                    <xdr:col>63</xdr:col>
                    <xdr:colOff>0</xdr:colOff>
                    <xdr:row>45</xdr:row>
                    <xdr:rowOff>0</xdr:rowOff>
                  </from>
                  <to>
                    <xdr:col>65</xdr:col>
                    <xdr:colOff>19050</xdr:colOff>
                    <xdr:row>46</xdr:row>
                    <xdr:rowOff>9525</xdr:rowOff>
                  </to>
                </anchor>
              </controlPr>
            </control>
          </mc:Choice>
        </mc:AlternateContent>
        <mc:AlternateContent xmlns:mc="http://schemas.openxmlformats.org/markup-compatibility/2006">
          <mc:Choice Requires="x14">
            <control shapeId="1098" r:id="rId70" name="Drop Down 74">
              <controlPr defaultSize="0" autoLine="0" autoPict="0">
                <anchor moveWithCells="1">
                  <from>
                    <xdr:col>109</xdr:col>
                    <xdr:colOff>0</xdr:colOff>
                    <xdr:row>45</xdr:row>
                    <xdr:rowOff>0</xdr:rowOff>
                  </from>
                  <to>
                    <xdr:col>111</xdr:col>
                    <xdr:colOff>333375</xdr:colOff>
                    <xdr:row>46</xdr:row>
                    <xdr:rowOff>9525</xdr:rowOff>
                  </to>
                </anchor>
              </controlPr>
            </control>
          </mc:Choice>
        </mc:AlternateContent>
        <mc:AlternateContent xmlns:mc="http://schemas.openxmlformats.org/markup-compatibility/2006">
          <mc:Choice Requires="x14">
            <control shapeId="1099" r:id="rId71" name="Drop Down 75">
              <controlPr defaultSize="0" autoLine="0" autoPict="0">
                <anchor moveWithCells="1">
                  <from>
                    <xdr:col>205</xdr:col>
                    <xdr:colOff>0</xdr:colOff>
                    <xdr:row>45</xdr:row>
                    <xdr:rowOff>0</xdr:rowOff>
                  </from>
                  <to>
                    <xdr:col>207</xdr:col>
                    <xdr:colOff>161925</xdr:colOff>
                    <xdr:row>46</xdr:row>
                    <xdr:rowOff>9525</xdr:rowOff>
                  </to>
                </anchor>
              </controlPr>
            </control>
          </mc:Choice>
        </mc:AlternateContent>
        <mc:AlternateContent xmlns:mc="http://schemas.openxmlformats.org/markup-compatibility/2006">
          <mc:Choice Requires="x14">
            <control shapeId="1100" r:id="rId72" name="Drop Down 76">
              <controlPr defaultSize="0" autoLine="0" autoPict="0">
                <anchor moveWithCells="1">
                  <from>
                    <xdr:col>2</xdr:col>
                    <xdr:colOff>76200</xdr:colOff>
                    <xdr:row>47</xdr:row>
                    <xdr:rowOff>0</xdr:rowOff>
                  </from>
                  <to>
                    <xdr:col>5</xdr:col>
                    <xdr:colOff>257175</xdr:colOff>
                    <xdr:row>48</xdr:row>
                    <xdr:rowOff>9525</xdr:rowOff>
                  </to>
                </anchor>
              </controlPr>
            </control>
          </mc:Choice>
        </mc:AlternateContent>
        <mc:AlternateContent xmlns:mc="http://schemas.openxmlformats.org/markup-compatibility/2006">
          <mc:Choice Requires="x14">
            <control shapeId="1101" r:id="rId73" name="Drop Down 77">
              <controlPr defaultSize="0" autoLine="0" autoPict="0">
                <anchor moveWithCells="1">
                  <from>
                    <xdr:col>6</xdr:col>
                    <xdr:colOff>0</xdr:colOff>
                    <xdr:row>47</xdr:row>
                    <xdr:rowOff>0</xdr:rowOff>
                  </from>
                  <to>
                    <xdr:col>9</xdr:col>
                    <xdr:colOff>190500</xdr:colOff>
                    <xdr:row>48</xdr:row>
                    <xdr:rowOff>9525</xdr:rowOff>
                  </to>
                </anchor>
              </controlPr>
            </control>
          </mc:Choice>
        </mc:AlternateContent>
        <mc:AlternateContent xmlns:mc="http://schemas.openxmlformats.org/markup-compatibility/2006">
          <mc:Choice Requires="x14">
            <control shapeId="1102" r:id="rId74" name="Drop Down 78">
              <controlPr defaultSize="0" autoLine="0" autoPict="0">
                <anchor moveWithCells="1">
                  <from>
                    <xdr:col>12</xdr:col>
                    <xdr:colOff>0</xdr:colOff>
                    <xdr:row>47</xdr:row>
                    <xdr:rowOff>0</xdr:rowOff>
                  </from>
                  <to>
                    <xdr:col>15</xdr:col>
                    <xdr:colOff>190500</xdr:colOff>
                    <xdr:row>48</xdr:row>
                    <xdr:rowOff>9525</xdr:rowOff>
                  </to>
                </anchor>
              </controlPr>
            </control>
          </mc:Choice>
        </mc:AlternateContent>
        <mc:AlternateContent xmlns:mc="http://schemas.openxmlformats.org/markup-compatibility/2006">
          <mc:Choice Requires="x14">
            <control shapeId="1103" r:id="rId75" name="Drop Down 79">
              <controlPr defaultSize="0" autoLine="0" autoPict="0">
                <anchor moveWithCells="1">
                  <from>
                    <xdr:col>16</xdr:col>
                    <xdr:colOff>0</xdr:colOff>
                    <xdr:row>47</xdr:row>
                    <xdr:rowOff>0</xdr:rowOff>
                  </from>
                  <to>
                    <xdr:col>19</xdr:col>
                    <xdr:colOff>190500</xdr:colOff>
                    <xdr:row>48</xdr:row>
                    <xdr:rowOff>9525</xdr:rowOff>
                  </to>
                </anchor>
              </controlPr>
            </control>
          </mc:Choice>
        </mc:AlternateContent>
        <mc:AlternateContent xmlns:mc="http://schemas.openxmlformats.org/markup-compatibility/2006">
          <mc:Choice Requires="x14">
            <control shapeId="1104" r:id="rId76" name="Check Box 80">
              <controlPr defaultSize="0" autoFill="0" autoLine="0" autoPict="0">
                <anchor moveWithCells="1">
                  <from>
                    <xdr:col>10</xdr:col>
                    <xdr:colOff>38100</xdr:colOff>
                    <xdr:row>47</xdr:row>
                    <xdr:rowOff>0</xdr:rowOff>
                  </from>
                  <to>
                    <xdr:col>10</xdr:col>
                    <xdr:colOff>342900</xdr:colOff>
                    <xdr:row>48</xdr:row>
                    <xdr:rowOff>28575</xdr:rowOff>
                  </to>
                </anchor>
              </controlPr>
            </control>
          </mc:Choice>
        </mc:AlternateContent>
        <mc:AlternateContent xmlns:mc="http://schemas.openxmlformats.org/markup-compatibility/2006">
          <mc:Choice Requires="x14">
            <control shapeId="1105" r:id="rId77" name="Drop Down 81">
              <controlPr defaultSize="0" autoLine="0" autoPict="0">
                <anchor moveWithCells="1">
                  <from>
                    <xdr:col>20</xdr:col>
                    <xdr:colOff>0</xdr:colOff>
                    <xdr:row>47</xdr:row>
                    <xdr:rowOff>0</xdr:rowOff>
                  </from>
                  <to>
                    <xdr:col>23</xdr:col>
                    <xdr:colOff>190500</xdr:colOff>
                    <xdr:row>48</xdr:row>
                    <xdr:rowOff>9525</xdr:rowOff>
                  </to>
                </anchor>
              </controlPr>
            </control>
          </mc:Choice>
        </mc:AlternateContent>
        <mc:AlternateContent xmlns:mc="http://schemas.openxmlformats.org/markup-compatibility/2006">
          <mc:Choice Requires="x14">
            <control shapeId="1106" r:id="rId78" name="Drop Down 82">
              <controlPr defaultSize="0" autoLine="0" autoPict="0">
                <anchor moveWithCells="1">
                  <from>
                    <xdr:col>63</xdr:col>
                    <xdr:colOff>0</xdr:colOff>
                    <xdr:row>47</xdr:row>
                    <xdr:rowOff>0</xdr:rowOff>
                  </from>
                  <to>
                    <xdr:col>65</xdr:col>
                    <xdr:colOff>19050</xdr:colOff>
                    <xdr:row>48</xdr:row>
                    <xdr:rowOff>9525</xdr:rowOff>
                  </to>
                </anchor>
              </controlPr>
            </control>
          </mc:Choice>
        </mc:AlternateContent>
        <mc:AlternateContent xmlns:mc="http://schemas.openxmlformats.org/markup-compatibility/2006">
          <mc:Choice Requires="x14">
            <control shapeId="1107" r:id="rId79" name="Drop Down 83">
              <controlPr defaultSize="0" autoLine="0" autoPict="0">
                <anchor moveWithCells="1">
                  <from>
                    <xdr:col>109</xdr:col>
                    <xdr:colOff>0</xdr:colOff>
                    <xdr:row>47</xdr:row>
                    <xdr:rowOff>0</xdr:rowOff>
                  </from>
                  <to>
                    <xdr:col>111</xdr:col>
                    <xdr:colOff>333375</xdr:colOff>
                    <xdr:row>48</xdr:row>
                    <xdr:rowOff>9525</xdr:rowOff>
                  </to>
                </anchor>
              </controlPr>
            </control>
          </mc:Choice>
        </mc:AlternateContent>
        <mc:AlternateContent xmlns:mc="http://schemas.openxmlformats.org/markup-compatibility/2006">
          <mc:Choice Requires="x14">
            <control shapeId="1108" r:id="rId80" name="Drop Down 84">
              <controlPr defaultSize="0" autoLine="0" autoPict="0">
                <anchor moveWithCells="1">
                  <from>
                    <xdr:col>205</xdr:col>
                    <xdr:colOff>0</xdr:colOff>
                    <xdr:row>47</xdr:row>
                    <xdr:rowOff>0</xdr:rowOff>
                  </from>
                  <to>
                    <xdr:col>207</xdr:col>
                    <xdr:colOff>161925</xdr:colOff>
                    <xdr:row>48</xdr:row>
                    <xdr:rowOff>9525</xdr:rowOff>
                  </to>
                </anchor>
              </controlPr>
            </control>
          </mc:Choice>
        </mc:AlternateContent>
        <mc:AlternateContent xmlns:mc="http://schemas.openxmlformats.org/markup-compatibility/2006">
          <mc:Choice Requires="x14">
            <control shapeId="1109" r:id="rId81" name="Drop Down 85">
              <controlPr defaultSize="0" autoLine="0" autoPict="0">
                <anchor moveWithCells="1">
                  <from>
                    <xdr:col>2</xdr:col>
                    <xdr:colOff>76200</xdr:colOff>
                    <xdr:row>55</xdr:row>
                    <xdr:rowOff>0</xdr:rowOff>
                  </from>
                  <to>
                    <xdr:col>5</xdr:col>
                    <xdr:colOff>257175</xdr:colOff>
                    <xdr:row>56</xdr:row>
                    <xdr:rowOff>9525</xdr:rowOff>
                  </to>
                </anchor>
              </controlPr>
            </control>
          </mc:Choice>
        </mc:AlternateContent>
        <mc:AlternateContent xmlns:mc="http://schemas.openxmlformats.org/markup-compatibility/2006">
          <mc:Choice Requires="x14">
            <control shapeId="1110" r:id="rId82" name="Drop Down 86">
              <controlPr defaultSize="0" autoLine="0" autoPict="0">
                <anchor moveWithCells="1">
                  <from>
                    <xdr:col>6</xdr:col>
                    <xdr:colOff>0</xdr:colOff>
                    <xdr:row>55</xdr:row>
                    <xdr:rowOff>0</xdr:rowOff>
                  </from>
                  <to>
                    <xdr:col>9</xdr:col>
                    <xdr:colOff>190500</xdr:colOff>
                    <xdr:row>56</xdr:row>
                    <xdr:rowOff>9525</xdr:rowOff>
                  </to>
                </anchor>
              </controlPr>
            </control>
          </mc:Choice>
        </mc:AlternateContent>
        <mc:AlternateContent xmlns:mc="http://schemas.openxmlformats.org/markup-compatibility/2006">
          <mc:Choice Requires="x14">
            <control shapeId="1111" r:id="rId83" name="Drop Down 87">
              <controlPr defaultSize="0" autoLine="0" autoPict="0">
                <anchor moveWithCells="1">
                  <from>
                    <xdr:col>12</xdr:col>
                    <xdr:colOff>0</xdr:colOff>
                    <xdr:row>55</xdr:row>
                    <xdr:rowOff>0</xdr:rowOff>
                  </from>
                  <to>
                    <xdr:col>15</xdr:col>
                    <xdr:colOff>190500</xdr:colOff>
                    <xdr:row>56</xdr:row>
                    <xdr:rowOff>9525</xdr:rowOff>
                  </to>
                </anchor>
              </controlPr>
            </control>
          </mc:Choice>
        </mc:AlternateContent>
        <mc:AlternateContent xmlns:mc="http://schemas.openxmlformats.org/markup-compatibility/2006">
          <mc:Choice Requires="x14">
            <control shapeId="1112" r:id="rId84" name="Drop Down 88">
              <controlPr defaultSize="0" autoLine="0" autoPict="0">
                <anchor moveWithCells="1">
                  <from>
                    <xdr:col>16</xdr:col>
                    <xdr:colOff>0</xdr:colOff>
                    <xdr:row>55</xdr:row>
                    <xdr:rowOff>0</xdr:rowOff>
                  </from>
                  <to>
                    <xdr:col>19</xdr:col>
                    <xdr:colOff>190500</xdr:colOff>
                    <xdr:row>56</xdr:row>
                    <xdr:rowOff>9525</xdr:rowOff>
                  </to>
                </anchor>
              </controlPr>
            </control>
          </mc:Choice>
        </mc:AlternateContent>
        <mc:AlternateContent xmlns:mc="http://schemas.openxmlformats.org/markup-compatibility/2006">
          <mc:Choice Requires="x14">
            <control shapeId="1113" r:id="rId85" name="Check Box 89">
              <controlPr defaultSize="0" autoFill="0" autoLine="0" autoPict="0">
                <anchor moveWithCells="1">
                  <from>
                    <xdr:col>10</xdr:col>
                    <xdr:colOff>38100</xdr:colOff>
                    <xdr:row>55</xdr:row>
                    <xdr:rowOff>0</xdr:rowOff>
                  </from>
                  <to>
                    <xdr:col>10</xdr:col>
                    <xdr:colOff>342900</xdr:colOff>
                    <xdr:row>56</xdr:row>
                    <xdr:rowOff>28575</xdr:rowOff>
                  </to>
                </anchor>
              </controlPr>
            </control>
          </mc:Choice>
        </mc:AlternateContent>
        <mc:AlternateContent xmlns:mc="http://schemas.openxmlformats.org/markup-compatibility/2006">
          <mc:Choice Requires="x14">
            <control shapeId="1114" r:id="rId86" name="Drop Down 90">
              <controlPr defaultSize="0" autoLine="0" autoPict="0">
                <anchor moveWithCells="1">
                  <from>
                    <xdr:col>20</xdr:col>
                    <xdr:colOff>0</xdr:colOff>
                    <xdr:row>55</xdr:row>
                    <xdr:rowOff>0</xdr:rowOff>
                  </from>
                  <to>
                    <xdr:col>23</xdr:col>
                    <xdr:colOff>190500</xdr:colOff>
                    <xdr:row>56</xdr:row>
                    <xdr:rowOff>9525</xdr:rowOff>
                  </to>
                </anchor>
              </controlPr>
            </control>
          </mc:Choice>
        </mc:AlternateContent>
        <mc:AlternateContent xmlns:mc="http://schemas.openxmlformats.org/markup-compatibility/2006">
          <mc:Choice Requires="x14">
            <control shapeId="1115" r:id="rId87" name="Drop Down 91">
              <controlPr defaultSize="0" autoLine="0" autoPict="0">
                <anchor moveWithCells="1">
                  <from>
                    <xdr:col>63</xdr:col>
                    <xdr:colOff>0</xdr:colOff>
                    <xdr:row>55</xdr:row>
                    <xdr:rowOff>0</xdr:rowOff>
                  </from>
                  <to>
                    <xdr:col>65</xdr:col>
                    <xdr:colOff>19050</xdr:colOff>
                    <xdr:row>56</xdr:row>
                    <xdr:rowOff>9525</xdr:rowOff>
                  </to>
                </anchor>
              </controlPr>
            </control>
          </mc:Choice>
        </mc:AlternateContent>
        <mc:AlternateContent xmlns:mc="http://schemas.openxmlformats.org/markup-compatibility/2006">
          <mc:Choice Requires="x14">
            <control shapeId="1116" r:id="rId88" name="Drop Down 92">
              <controlPr defaultSize="0" autoLine="0" autoPict="0">
                <anchor moveWithCells="1">
                  <from>
                    <xdr:col>109</xdr:col>
                    <xdr:colOff>0</xdr:colOff>
                    <xdr:row>55</xdr:row>
                    <xdr:rowOff>0</xdr:rowOff>
                  </from>
                  <to>
                    <xdr:col>111</xdr:col>
                    <xdr:colOff>333375</xdr:colOff>
                    <xdr:row>56</xdr:row>
                    <xdr:rowOff>9525</xdr:rowOff>
                  </to>
                </anchor>
              </controlPr>
            </control>
          </mc:Choice>
        </mc:AlternateContent>
        <mc:AlternateContent xmlns:mc="http://schemas.openxmlformats.org/markup-compatibility/2006">
          <mc:Choice Requires="x14">
            <control shapeId="1117" r:id="rId89" name="Drop Down 93">
              <controlPr defaultSize="0" autoLine="0" autoPict="0">
                <anchor moveWithCells="1">
                  <from>
                    <xdr:col>205</xdr:col>
                    <xdr:colOff>0</xdr:colOff>
                    <xdr:row>55</xdr:row>
                    <xdr:rowOff>0</xdr:rowOff>
                  </from>
                  <to>
                    <xdr:col>207</xdr:col>
                    <xdr:colOff>161925</xdr:colOff>
                    <xdr:row>56</xdr:row>
                    <xdr:rowOff>9525</xdr:rowOff>
                  </to>
                </anchor>
              </controlPr>
            </control>
          </mc:Choice>
        </mc:AlternateContent>
        <mc:AlternateContent xmlns:mc="http://schemas.openxmlformats.org/markup-compatibility/2006">
          <mc:Choice Requires="x14">
            <control shapeId="1119" r:id="rId90" name="Drop Down 95">
              <controlPr defaultSize="0" autoLine="0" autoPict="0">
                <anchor moveWithCells="1">
                  <from>
                    <xdr:col>2</xdr:col>
                    <xdr:colOff>76200</xdr:colOff>
                    <xdr:row>57</xdr:row>
                    <xdr:rowOff>0</xdr:rowOff>
                  </from>
                  <to>
                    <xdr:col>5</xdr:col>
                    <xdr:colOff>257175</xdr:colOff>
                    <xdr:row>58</xdr:row>
                    <xdr:rowOff>9525</xdr:rowOff>
                  </to>
                </anchor>
              </controlPr>
            </control>
          </mc:Choice>
        </mc:AlternateContent>
        <mc:AlternateContent xmlns:mc="http://schemas.openxmlformats.org/markup-compatibility/2006">
          <mc:Choice Requires="x14">
            <control shapeId="1120" r:id="rId91" name="Drop Down 96">
              <controlPr defaultSize="0" autoLine="0" autoPict="0">
                <anchor moveWithCells="1">
                  <from>
                    <xdr:col>6</xdr:col>
                    <xdr:colOff>0</xdr:colOff>
                    <xdr:row>57</xdr:row>
                    <xdr:rowOff>0</xdr:rowOff>
                  </from>
                  <to>
                    <xdr:col>9</xdr:col>
                    <xdr:colOff>190500</xdr:colOff>
                    <xdr:row>58</xdr:row>
                    <xdr:rowOff>9525</xdr:rowOff>
                  </to>
                </anchor>
              </controlPr>
            </control>
          </mc:Choice>
        </mc:AlternateContent>
        <mc:AlternateContent xmlns:mc="http://schemas.openxmlformats.org/markup-compatibility/2006">
          <mc:Choice Requires="x14">
            <control shapeId="1121" r:id="rId92" name="Drop Down 97">
              <controlPr defaultSize="0" autoLine="0" autoPict="0">
                <anchor moveWithCells="1">
                  <from>
                    <xdr:col>12</xdr:col>
                    <xdr:colOff>0</xdr:colOff>
                    <xdr:row>57</xdr:row>
                    <xdr:rowOff>0</xdr:rowOff>
                  </from>
                  <to>
                    <xdr:col>15</xdr:col>
                    <xdr:colOff>190500</xdr:colOff>
                    <xdr:row>58</xdr:row>
                    <xdr:rowOff>9525</xdr:rowOff>
                  </to>
                </anchor>
              </controlPr>
            </control>
          </mc:Choice>
        </mc:AlternateContent>
        <mc:AlternateContent xmlns:mc="http://schemas.openxmlformats.org/markup-compatibility/2006">
          <mc:Choice Requires="x14">
            <control shapeId="1122" r:id="rId93" name="Drop Down 98">
              <controlPr defaultSize="0" autoLine="0" autoPict="0">
                <anchor moveWithCells="1">
                  <from>
                    <xdr:col>16</xdr:col>
                    <xdr:colOff>0</xdr:colOff>
                    <xdr:row>57</xdr:row>
                    <xdr:rowOff>0</xdr:rowOff>
                  </from>
                  <to>
                    <xdr:col>19</xdr:col>
                    <xdr:colOff>190500</xdr:colOff>
                    <xdr:row>58</xdr:row>
                    <xdr:rowOff>9525</xdr:rowOff>
                  </to>
                </anchor>
              </controlPr>
            </control>
          </mc:Choice>
        </mc:AlternateContent>
        <mc:AlternateContent xmlns:mc="http://schemas.openxmlformats.org/markup-compatibility/2006">
          <mc:Choice Requires="x14">
            <control shapeId="1123" r:id="rId94" name="Check Box 99">
              <controlPr defaultSize="0" autoFill="0" autoLine="0" autoPict="0">
                <anchor moveWithCells="1">
                  <from>
                    <xdr:col>10</xdr:col>
                    <xdr:colOff>38100</xdr:colOff>
                    <xdr:row>57</xdr:row>
                    <xdr:rowOff>0</xdr:rowOff>
                  </from>
                  <to>
                    <xdr:col>10</xdr:col>
                    <xdr:colOff>342900</xdr:colOff>
                    <xdr:row>58</xdr:row>
                    <xdr:rowOff>28575</xdr:rowOff>
                  </to>
                </anchor>
              </controlPr>
            </control>
          </mc:Choice>
        </mc:AlternateContent>
        <mc:AlternateContent xmlns:mc="http://schemas.openxmlformats.org/markup-compatibility/2006">
          <mc:Choice Requires="x14">
            <control shapeId="1124" r:id="rId95" name="Drop Down 100">
              <controlPr defaultSize="0" autoLine="0" autoPict="0">
                <anchor moveWithCells="1">
                  <from>
                    <xdr:col>20</xdr:col>
                    <xdr:colOff>0</xdr:colOff>
                    <xdr:row>57</xdr:row>
                    <xdr:rowOff>0</xdr:rowOff>
                  </from>
                  <to>
                    <xdr:col>23</xdr:col>
                    <xdr:colOff>190500</xdr:colOff>
                    <xdr:row>58</xdr:row>
                    <xdr:rowOff>9525</xdr:rowOff>
                  </to>
                </anchor>
              </controlPr>
            </control>
          </mc:Choice>
        </mc:AlternateContent>
        <mc:AlternateContent xmlns:mc="http://schemas.openxmlformats.org/markup-compatibility/2006">
          <mc:Choice Requires="x14">
            <control shapeId="1125" r:id="rId96" name="Drop Down 101">
              <controlPr defaultSize="0" autoLine="0" autoPict="0">
                <anchor moveWithCells="1">
                  <from>
                    <xdr:col>63</xdr:col>
                    <xdr:colOff>0</xdr:colOff>
                    <xdr:row>57</xdr:row>
                    <xdr:rowOff>0</xdr:rowOff>
                  </from>
                  <to>
                    <xdr:col>65</xdr:col>
                    <xdr:colOff>19050</xdr:colOff>
                    <xdr:row>58</xdr:row>
                    <xdr:rowOff>9525</xdr:rowOff>
                  </to>
                </anchor>
              </controlPr>
            </control>
          </mc:Choice>
        </mc:AlternateContent>
        <mc:AlternateContent xmlns:mc="http://schemas.openxmlformats.org/markup-compatibility/2006">
          <mc:Choice Requires="x14">
            <control shapeId="1126" r:id="rId97" name="Drop Down 102">
              <controlPr defaultSize="0" autoLine="0" autoPict="0">
                <anchor moveWithCells="1">
                  <from>
                    <xdr:col>109</xdr:col>
                    <xdr:colOff>0</xdr:colOff>
                    <xdr:row>57</xdr:row>
                    <xdr:rowOff>0</xdr:rowOff>
                  </from>
                  <to>
                    <xdr:col>111</xdr:col>
                    <xdr:colOff>333375</xdr:colOff>
                    <xdr:row>58</xdr:row>
                    <xdr:rowOff>9525</xdr:rowOff>
                  </to>
                </anchor>
              </controlPr>
            </control>
          </mc:Choice>
        </mc:AlternateContent>
        <mc:AlternateContent xmlns:mc="http://schemas.openxmlformats.org/markup-compatibility/2006">
          <mc:Choice Requires="x14">
            <control shapeId="1127" r:id="rId98" name="Drop Down 103">
              <controlPr defaultSize="0" autoLine="0" autoPict="0">
                <anchor moveWithCells="1">
                  <from>
                    <xdr:col>205</xdr:col>
                    <xdr:colOff>0</xdr:colOff>
                    <xdr:row>57</xdr:row>
                    <xdr:rowOff>0</xdr:rowOff>
                  </from>
                  <to>
                    <xdr:col>207</xdr:col>
                    <xdr:colOff>161925</xdr:colOff>
                    <xdr:row>58</xdr:row>
                    <xdr:rowOff>9525</xdr:rowOff>
                  </to>
                </anchor>
              </controlPr>
            </control>
          </mc:Choice>
        </mc:AlternateContent>
        <mc:AlternateContent xmlns:mc="http://schemas.openxmlformats.org/markup-compatibility/2006">
          <mc:Choice Requires="x14">
            <control shapeId="1128" r:id="rId99" name="Drop Down 104">
              <controlPr defaultSize="0" autoLine="0" autoPict="0">
                <anchor moveWithCells="1">
                  <from>
                    <xdr:col>2</xdr:col>
                    <xdr:colOff>76200</xdr:colOff>
                    <xdr:row>59</xdr:row>
                    <xdr:rowOff>0</xdr:rowOff>
                  </from>
                  <to>
                    <xdr:col>5</xdr:col>
                    <xdr:colOff>257175</xdr:colOff>
                    <xdr:row>60</xdr:row>
                    <xdr:rowOff>9525</xdr:rowOff>
                  </to>
                </anchor>
              </controlPr>
            </control>
          </mc:Choice>
        </mc:AlternateContent>
        <mc:AlternateContent xmlns:mc="http://schemas.openxmlformats.org/markup-compatibility/2006">
          <mc:Choice Requires="x14">
            <control shapeId="1129" r:id="rId100" name="Drop Down 105">
              <controlPr defaultSize="0" autoLine="0" autoPict="0">
                <anchor moveWithCells="1">
                  <from>
                    <xdr:col>6</xdr:col>
                    <xdr:colOff>0</xdr:colOff>
                    <xdr:row>59</xdr:row>
                    <xdr:rowOff>0</xdr:rowOff>
                  </from>
                  <to>
                    <xdr:col>9</xdr:col>
                    <xdr:colOff>190500</xdr:colOff>
                    <xdr:row>60</xdr:row>
                    <xdr:rowOff>9525</xdr:rowOff>
                  </to>
                </anchor>
              </controlPr>
            </control>
          </mc:Choice>
        </mc:AlternateContent>
        <mc:AlternateContent xmlns:mc="http://schemas.openxmlformats.org/markup-compatibility/2006">
          <mc:Choice Requires="x14">
            <control shapeId="1130" r:id="rId101" name="Drop Down 106">
              <controlPr defaultSize="0" autoLine="0" autoPict="0">
                <anchor moveWithCells="1">
                  <from>
                    <xdr:col>12</xdr:col>
                    <xdr:colOff>0</xdr:colOff>
                    <xdr:row>59</xdr:row>
                    <xdr:rowOff>0</xdr:rowOff>
                  </from>
                  <to>
                    <xdr:col>15</xdr:col>
                    <xdr:colOff>190500</xdr:colOff>
                    <xdr:row>60</xdr:row>
                    <xdr:rowOff>9525</xdr:rowOff>
                  </to>
                </anchor>
              </controlPr>
            </control>
          </mc:Choice>
        </mc:AlternateContent>
        <mc:AlternateContent xmlns:mc="http://schemas.openxmlformats.org/markup-compatibility/2006">
          <mc:Choice Requires="x14">
            <control shapeId="1131" r:id="rId102" name="Drop Down 107">
              <controlPr defaultSize="0" autoLine="0" autoPict="0">
                <anchor moveWithCells="1">
                  <from>
                    <xdr:col>16</xdr:col>
                    <xdr:colOff>0</xdr:colOff>
                    <xdr:row>59</xdr:row>
                    <xdr:rowOff>0</xdr:rowOff>
                  </from>
                  <to>
                    <xdr:col>19</xdr:col>
                    <xdr:colOff>190500</xdr:colOff>
                    <xdr:row>60</xdr:row>
                    <xdr:rowOff>9525</xdr:rowOff>
                  </to>
                </anchor>
              </controlPr>
            </control>
          </mc:Choice>
        </mc:AlternateContent>
        <mc:AlternateContent xmlns:mc="http://schemas.openxmlformats.org/markup-compatibility/2006">
          <mc:Choice Requires="x14">
            <control shapeId="1132" r:id="rId103" name="Check Box 108">
              <controlPr defaultSize="0" autoFill="0" autoLine="0" autoPict="0">
                <anchor moveWithCells="1">
                  <from>
                    <xdr:col>10</xdr:col>
                    <xdr:colOff>38100</xdr:colOff>
                    <xdr:row>59</xdr:row>
                    <xdr:rowOff>0</xdr:rowOff>
                  </from>
                  <to>
                    <xdr:col>10</xdr:col>
                    <xdr:colOff>342900</xdr:colOff>
                    <xdr:row>60</xdr:row>
                    <xdr:rowOff>28575</xdr:rowOff>
                  </to>
                </anchor>
              </controlPr>
            </control>
          </mc:Choice>
        </mc:AlternateContent>
        <mc:AlternateContent xmlns:mc="http://schemas.openxmlformats.org/markup-compatibility/2006">
          <mc:Choice Requires="x14">
            <control shapeId="1133" r:id="rId104" name="Drop Down 109">
              <controlPr defaultSize="0" autoLine="0" autoPict="0">
                <anchor moveWithCells="1">
                  <from>
                    <xdr:col>20</xdr:col>
                    <xdr:colOff>0</xdr:colOff>
                    <xdr:row>59</xdr:row>
                    <xdr:rowOff>0</xdr:rowOff>
                  </from>
                  <to>
                    <xdr:col>23</xdr:col>
                    <xdr:colOff>190500</xdr:colOff>
                    <xdr:row>60</xdr:row>
                    <xdr:rowOff>9525</xdr:rowOff>
                  </to>
                </anchor>
              </controlPr>
            </control>
          </mc:Choice>
        </mc:AlternateContent>
        <mc:AlternateContent xmlns:mc="http://schemas.openxmlformats.org/markup-compatibility/2006">
          <mc:Choice Requires="x14">
            <control shapeId="1134" r:id="rId105" name="Drop Down 110">
              <controlPr defaultSize="0" autoLine="0" autoPict="0">
                <anchor moveWithCells="1">
                  <from>
                    <xdr:col>63</xdr:col>
                    <xdr:colOff>0</xdr:colOff>
                    <xdr:row>59</xdr:row>
                    <xdr:rowOff>0</xdr:rowOff>
                  </from>
                  <to>
                    <xdr:col>65</xdr:col>
                    <xdr:colOff>19050</xdr:colOff>
                    <xdr:row>60</xdr:row>
                    <xdr:rowOff>9525</xdr:rowOff>
                  </to>
                </anchor>
              </controlPr>
            </control>
          </mc:Choice>
        </mc:AlternateContent>
        <mc:AlternateContent xmlns:mc="http://schemas.openxmlformats.org/markup-compatibility/2006">
          <mc:Choice Requires="x14">
            <control shapeId="1135" r:id="rId106" name="Drop Down 111">
              <controlPr defaultSize="0" autoLine="0" autoPict="0">
                <anchor moveWithCells="1">
                  <from>
                    <xdr:col>109</xdr:col>
                    <xdr:colOff>0</xdr:colOff>
                    <xdr:row>59</xdr:row>
                    <xdr:rowOff>0</xdr:rowOff>
                  </from>
                  <to>
                    <xdr:col>111</xdr:col>
                    <xdr:colOff>333375</xdr:colOff>
                    <xdr:row>60</xdr:row>
                    <xdr:rowOff>9525</xdr:rowOff>
                  </to>
                </anchor>
              </controlPr>
            </control>
          </mc:Choice>
        </mc:AlternateContent>
        <mc:AlternateContent xmlns:mc="http://schemas.openxmlformats.org/markup-compatibility/2006">
          <mc:Choice Requires="x14">
            <control shapeId="1136" r:id="rId107" name="Drop Down 112">
              <controlPr defaultSize="0" autoLine="0" autoPict="0">
                <anchor moveWithCells="1">
                  <from>
                    <xdr:col>205</xdr:col>
                    <xdr:colOff>0</xdr:colOff>
                    <xdr:row>59</xdr:row>
                    <xdr:rowOff>0</xdr:rowOff>
                  </from>
                  <to>
                    <xdr:col>207</xdr:col>
                    <xdr:colOff>161925</xdr:colOff>
                    <xdr:row>60</xdr:row>
                    <xdr:rowOff>9525</xdr:rowOff>
                  </to>
                </anchor>
              </controlPr>
            </control>
          </mc:Choice>
        </mc:AlternateContent>
        <mc:AlternateContent xmlns:mc="http://schemas.openxmlformats.org/markup-compatibility/2006">
          <mc:Choice Requires="x14">
            <control shapeId="1137" r:id="rId108" name="Drop Down 113">
              <controlPr defaultSize="0" autoLine="0" autoPict="0">
                <anchor moveWithCells="1">
                  <from>
                    <xdr:col>2</xdr:col>
                    <xdr:colOff>76200</xdr:colOff>
                    <xdr:row>61</xdr:row>
                    <xdr:rowOff>0</xdr:rowOff>
                  </from>
                  <to>
                    <xdr:col>5</xdr:col>
                    <xdr:colOff>257175</xdr:colOff>
                    <xdr:row>62</xdr:row>
                    <xdr:rowOff>9525</xdr:rowOff>
                  </to>
                </anchor>
              </controlPr>
            </control>
          </mc:Choice>
        </mc:AlternateContent>
        <mc:AlternateContent xmlns:mc="http://schemas.openxmlformats.org/markup-compatibility/2006">
          <mc:Choice Requires="x14">
            <control shapeId="1138" r:id="rId109" name="Drop Down 114">
              <controlPr defaultSize="0" autoLine="0" autoPict="0">
                <anchor moveWithCells="1">
                  <from>
                    <xdr:col>6</xdr:col>
                    <xdr:colOff>0</xdr:colOff>
                    <xdr:row>61</xdr:row>
                    <xdr:rowOff>0</xdr:rowOff>
                  </from>
                  <to>
                    <xdr:col>9</xdr:col>
                    <xdr:colOff>190500</xdr:colOff>
                    <xdr:row>62</xdr:row>
                    <xdr:rowOff>9525</xdr:rowOff>
                  </to>
                </anchor>
              </controlPr>
            </control>
          </mc:Choice>
        </mc:AlternateContent>
        <mc:AlternateContent xmlns:mc="http://schemas.openxmlformats.org/markup-compatibility/2006">
          <mc:Choice Requires="x14">
            <control shapeId="1139" r:id="rId110" name="Drop Down 115">
              <controlPr defaultSize="0" autoLine="0" autoPict="0">
                <anchor moveWithCells="1">
                  <from>
                    <xdr:col>12</xdr:col>
                    <xdr:colOff>0</xdr:colOff>
                    <xdr:row>61</xdr:row>
                    <xdr:rowOff>0</xdr:rowOff>
                  </from>
                  <to>
                    <xdr:col>15</xdr:col>
                    <xdr:colOff>190500</xdr:colOff>
                    <xdr:row>62</xdr:row>
                    <xdr:rowOff>9525</xdr:rowOff>
                  </to>
                </anchor>
              </controlPr>
            </control>
          </mc:Choice>
        </mc:AlternateContent>
        <mc:AlternateContent xmlns:mc="http://schemas.openxmlformats.org/markup-compatibility/2006">
          <mc:Choice Requires="x14">
            <control shapeId="1140" r:id="rId111" name="Drop Down 116">
              <controlPr defaultSize="0" autoLine="0" autoPict="0">
                <anchor moveWithCells="1">
                  <from>
                    <xdr:col>16</xdr:col>
                    <xdr:colOff>0</xdr:colOff>
                    <xdr:row>61</xdr:row>
                    <xdr:rowOff>0</xdr:rowOff>
                  </from>
                  <to>
                    <xdr:col>19</xdr:col>
                    <xdr:colOff>190500</xdr:colOff>
                    <xdr:row>62</xdr:row>
                    <xdr:rowOff>9525</xdr:rowOff>
                  </to>
                </anchor>
              </controlPr>
            </control>
          </mc:Choice>
        </mc:AlternateContent>
        <mc:AlternateContent xmlns:mc="http://schemas.openxmlformats.org/markup-compatibility/2006">
          <mc:Choice Requires="x14">
            <control shapeId="1141" r:id="rId112" name="Check Box 117">
              <controlPr defaultSize="0" autoFill="0" autoLine="0" autoPict="0">
                <anchor moveWithCells="1">
                  <from>
                    <xdr:col>10</xdr:col>
                    <xdr:colOff>38100</xdr:colOff>
                    <xdr:row>61</xdr:row>
                    <xdr:rowOff>0</xdr:rowOff>
                  </from>
                  <to>
                    <xdr:col>10</xdr:col>
                    <xdr:colOff>342900</xdr:colOff>
                    <xdr:row>62</xdr:row>
                    <xdr:rowOff>28575</xdr:rowOff>
                  </to>
                </anchor>
              </controlPr>
            </control>
          </mc:Choice>
        </mc:AlternateContent>
        <mc:AlternateContent xmlns:mc="http://schemas.openxmlformats.org/markup-compatibility/2006">
          <mc:Choice Requires="x14">
            <control shapeId="1142" r:id="rId113" name="Drop Down 118">
              <controlPr defaultSize="0" autoLine="0" autoPict="0">
                <anchor moveWithCells="1">
                  <from>
                    <xdr:col>20</xdr:col>
                    <xdr:colOff>0</xdr:colOff>
                    <xdr:row>61</xdr:row>
                    <xdr:rowOff>0</xdr:rowOff>
                  </from>
                  <to>
                    <xdr:col>23</xdr:col>
                    <xdr:colOff>190500</xdr:colOff>
                    <xdr:row>62</xdr:row>
                    <xdr:rowOff>9525</xdr:rowOff>
                  </to>
                </anchor>
              </controlPr>
            </control>
          </mc:Choice>
        </mc:AlternateContent>
        <mc:AlternateContent xmlns:mc="http://schemas.openxmlformats.org/markup-compatibility/2006">
          <mc:Choice Requires="x14">
            <control shapeId="1143" r:id="rId114" name="Drop Down 119">
              <controlPr defaultSize="0" autoLine="0" autoPict="0">
                <anchor moveWithCells="1">
                  <from>
                    <xdr:col>63</xdr:col>
                    <xdr:colOff>0</xdr:colOff>
                    <xdr:row>61</xdr:row>
                    <xdr:rowOff>0</xdr:rowOff>
                  </from>
                  <to>
                    <xdr:col>65</xdr:col>
                    <xdr:colOff>19050</xdr:colOff>
                    <xdr:row>62</xdr:row>
                    <xdr:rowOff>9525</xdr:rowOff>
                  </to>
                </anchor>
              </controlPr>
            </control>
          </mc:Choice>
        </mc:AlternateContent>
        <mc:AlternateContent xmlns:mc="http://schemas.openxmlformats.org/markup-compatibility/2006">
          <mc:Choice Requires="x14">
            <control shapeId="1144" r:id="rId115" name="Drop Down 120">
              <controlPr defaultSize="0" autoLine="0" autoPict="0">
                <anchor moveWithCells="1">
                  <from>
                    <xdr:col>109</xdr:col>
                    <xdr:colOff>0</xdr:colOff>
                    <xdr:row>61</xdr:row>
                    <xdr:rowOff>0</xdr:rowOff>
                  </from>
                  <to>
                    <xdr:col>111</xdr:col>
                    <xdr:colOff>333375</xdr:colOff>
                    <xdr:row>62</xdr:row>
                    <xdr:rowOff>9525</xdr:rowOff>
                  </to>
                </anchor>
              </controlPr>
            </control>
          </mc:Choice>
        </mc:AlternateContent>
        <mc:AlternateContent xmlns:mc="http://schemas.openxmlformats.org/markup-compatibility/2006">
          <mc:Choice Requires="x14">
            <control shapeId="1145" r:id="rId116" name="Drop Down 121">
              <controlPr defaultSize="0" autoLine="0" autoPict="0">
                <anchor moveWithCells="1">
                  <from>
                    <xdr:col>205</xdr:col>
                    <xdr:colOff>0</xdr:colOff>
                    <xdr:row>61</xdr:row>
                    <xdr:rowOff>0</xdr:rowOff>
                  </from>
                  <to>
                    <xdr:col>207</xdr:col>
                    <xdr:colOff>161925</xdr:colOff>
                    <xdr:row>62</xdr:row>
                    <xdr:rowOff>9525</xdr:rowOff>
                  </to>
                </anchor>
              </controlPr>
            </control>
          </mc:Choice>
        </mc:AlternateContent>
        <mc:AlternateContent xmlns:mc="http://schemas.openxmlformats.org/markup-compatibility/2006">
          <mc:Choice Requires="x14">
            <control shapeId="1146" r:id="rId117" name="Drop Down 122">
              <controlPr defaultSize="0" autoLine="0" autoPict="0">
                <anchor moveWithCells="1">
                  <from>
                    <xdr:col>2</xdr:col>
                    <xdr:colOff>76200</xdr:colOff>
                    <xdr:row>63</xdr:row>
                    <xdr:rowOff>0</xdr:rowOff>
                  </from>
                  <to>
                    <xdr:col>5</xdr:col>
                    <xdr:colOff>257175</xdr:colOff>
                    <xdr:row>64</xdr:row>
                    <xdr:rowOff>9525</xdr:rowOff>
                  </to>
                </anchor>
              </controlPr>
            </control>
          </mc:Choice>
        </mc:AlternateContent>
        <mc:AlternateContent xmlns:mc="http://schemas.openxmlformats.org/markup-compatibility/2006">
          <mc:Choice Requires="x14">
            <control shapeId="1147" r:id="rId118" name="Drop Down 123">
              <controlPr defaultSize="0" autoLine="0" autoPict="0">
                <anchor moveWithCells="1">
                  <from>
                    <xdr:col>6</xdr:col>
                    <xdr:colOff>0</xdr:colOff>
                    <xdr:row>63</xdr:row>
                    <xdr:rowOff>0</xdr:rowOff>
                  </from>
                  <to>
                    <xdr:col>9</xdr:col>
                    <xdr:colOff>190500</xdr:colOff>
                    <xdr:row>64</xdr:row>
                    <xdr:rowOff>9525</xdr:rowOff>
                  </to>
                </anchor>
              </controlPr>
            </control>
          </mc:Choice>
        </mc:AlternateContent>
        <mc:AlternateContent xmlns:mc="http://schemas.openxmlformats.org/markup-compatibility/2006">
          <mc:Choice Requires="x14">
            <control shapeId="1148" r:id="rId119" name="Drop Down 124">
              <controlPr defaultSize="0" autoLine="0" autoPict="0">
                <anchor moveWithCells="1">
                  <from>
                    <xdr:col>12</xdr:col>
                    <xdr:colOff>0</xdr:colOff>
                    <xdr:row>63</xdr:row>
                    <xdr:rowOff>0</xdr:rowOff>
                  </from>
                  <to>
                    <xdr:col>15</xdr:col>
                    <xdr:colOff>190500</xdr:colOff>
                    <xdr:row>64</xdr:row>
                    <xdr:rowOff>9525</xdr:rowOff>
                  </to>
                </anchor>
              </controlPr>
            </control>
          </mc:Choice>
        </mc:AlternateContent>
        <mc:AlternateContent xmlns:mc="http://schemas.openxmlformats.org/markup-compatibility/2006">
          <mc:Choice Requires="x14">
            <control shapeId="1149" r:id="rId120" name="Drop Down 125">
              <controlPr defaultSize="0" autoLine="0" autoPict="0">
                <anchor moveWithCells="1">
                  <from>
                    <xdr:col>16</xdr:col>
                    <xdr:colOff>0</xdr:colOff>
                    <xdr:row>63</xdr:row>
                    <xdr:rowOff>0</xdr:rowOff>
                  </from>
                  <to>
                    <xdr:col>19</xdr:col>
                    <xdr:colOff>190500</xdr:colOff>
                    <xdr:row>64</xdr:row>
                    <xdr:rowOff>9525</xdr:rowOff>
                  </to>
                </anchor>
              </controlPr>
            </control>
          </mc:Choice>
        </mc:AlternateContent>
        <mc:AlternateContent xmlns:mc="http://schemas.openxmlformats.org/markup-compatibility/2006">
          <mc:Choice Requires="x14">
            <control shapeId="1150" r:id="rId121" name="Check Box 126">
              <controlPr defaultSize="0" autoFill="0" autoLine="0" autoPict="0">
                <anchor moveWithCells="1">
                  <from>
                    <xdr:col>10</xdr:col>
                    <xdr:colOff>38100</xdr:colOff>
                    <xdr:row>63</xdr:row>
                    <xdr:rowOff>0</xdr:rowOff>
                  </from>
                  <to>
                    <xdr:col>10</xdr:col>
                    <xdr:colOff>342900</xdr:colOff>
                    <xdr:row>64</xdr:row>
                    <xdr:rowOff>28575</xdr:rowOff>
                  </to>
                </anchor>
              </controlPr>
            </control>
          </mc:Choice>
        </mc:AlternateContent>
        <mc:AlternateContent xmlns:mc="http://schemas.openxmlformats.org/markup-compatibility/2006">
          <mc:Choice Requires="x14">
            <control shapeId="1151" r:id="rId122" name="Drop Down 127">
              <controlPr defaultSize="0" autoLine="0" autoPict="0">
                <anchor moveWithCells="1">
                  <from>
                    <xdr:col>20</xdr:col>
                    <xdr:colOff>0</xdr:colOff>
                    <xdr:row>63</xdr:row>
                    <xdr:rowOff>0</xdr:rowOff>
                  </from>
                  <to>
                    <xdr:col>23</xdr:col>
                    <xdr:colOff>190500</xdr:colOff>
                    <xdr:row>64</xdr:row>
                    <xdr:rowOff>9525</xdr:rowOff>
                  </to>
                </anchor>
              </controlPr>
            </control>
          </mc:Choice>
        </mc:AlternateContent>
        <mc:AlternateContent xmlns:mc="http://schemas.openxmlformats.org/markup-compatibility/2006">
          <mc:Choice Requires="x14">
            <control shapeId="1152" r:id="rId123" name="Drop Down 128">
              <controlPr defaultSize="0" autoLine="0" autoPict="0">
                <anchor moveWithCells="1">
                  <from>
                    <xdr:col>63</xdr:col>
                    <xdr:colOff>0</xdr:colOff>
                    <xdr:row>63</xdr:row>
                    <xdr:rowOff>0</xdr:rowOff>
                  </from>
                  <to>
                    <xdr:col>65</xdr:col>
                    <xdr:colOff>19050</xdr:colOff>
                    <xdr:row>64</xdr:row>
                    <xdr:rowOff>9525</xdr:rowOff>
                  </to>
                </anchor>
              </controlPr>
            </control>
          </mc:Choice>
        </mc:AlternateContent>
        <mc:AlternateContent xmlns:mc="http://schemas.openxmlformats.org/markup-compatibility/2006">
          <mc:Choice Requires="x14">
            <control shapeId="1153" r:id="rId124" name="Drop Down 129">
              <controlPr defaultSize="0" autoLine="0" autoPict="0">
                <anchor moveWithCells="1">
                  <from>
                    <xdr:col>109</xdr:col>
                    <xdr:colOff>0</xdr:colOff>
                    <xdr:row>63</xdr:row>
                    <xdr:rowOff>0</xdr:rowOff>
                  </from>
                  <to>
                    <xdr:col>111</xdr:col>
                    <xdr:colOff>333375</xdr:colOff>
                    <xdr:row>64</xdr:row>
                    <xdr:rowOff>9525</xdr:rowOff>
                  </to>
                </anchor>
              </controlPr>
            </control>
          </mc:Choice>
        </mc:AlternateContent>
        <mc:AlternateContent xmlns:mc="http://schemas.openxmlformats.org/markup-compatibility/2006">
          <mc:Choice Requires="x14">
            <control shapeId="1154" r:id="rId125" name="Drop Down 130">
              <controlPr defaultSize="0" autoLine="0" autoPict="0">
                <anchor moveWithCells="1">
                  <from>
                    <xdr:col>205</xdr:col>
                    <xdr:colOff>0</xdr:colOff>
                    <xdr:row>63</xdr:row>
                    <xdr:rowOff>0</xdr:rowOff>
                  </from>
                  <to>
                    <xdr:col>207</xdr:col>
                    <xdr:colOff>161925</xdr:colOff>
                    <xdr:row>64</xdr:row>
                    <xdr:rowOff>9525</xdr:rowOff>
                  </to>
                </anchor>
              </controlPr>
            </control>
          </mc:Choice>
        </mc:AlternateContent>
        <mc:AlternateContent xmlns:mc="http://schemas.openxmlformats.org/markup-compatibility/2006">
          <mc:Choice Requires="x14">
            <control shapeId="1155" r:id="rId126" name="Drop Down 131">
              <controlPr defaultSize="0" autoLine="0" autoPict="0">
                <anchor moveWithCells="1">
                  <from>
                    <xdr:col>2</xdr:col>
                    <xdr:colOff>76200</xdr:colOff>
                    <xdr:row>65</xdr:row>
                    <xdr:rowOff>0</xdr:rowOff>
                  </from>
                  <to>
                    <xdr:col>5</xdr:col>
                    <xdr:colOff>257175</xdr:colOff>
                    <xdr:row>66</xdr:row>
                    <xdr:rowOff>9525</xdr:rowOff>
                  </to>
                </anchor>
              </controlPr>
            </control>
          </mc:Choice>
        </mc:AlternateContent>
        <mc:AlternateContent xmlns:mc="http://schemas.openxmlformats.org/markup-compatibility/2006">
          <mc:Choice Requires="x14">
            <control shapeId="1156" r:id="rId127" name="Drop Down 132">
              <controlPr defaultSize="0" autoLine="0" autoPict="0">
                <anchor moveWithCells="1">
                  <from>
                    <xdr:col>6</xdr:col>
                    <xdr:colOff>0</xdr:colOff>
                    <xdr:row>65</xdr:row>
                    <xdr:rowOff>0</xdr:rowOff>
                  </from>
                  <to>
                    <xdr:col>9</xdr:col>
                    <xdr:colOff>190500</xdr:colOff>
                    <xdr:row>66</xdr:row>
                    <xdr:rowOff>9525</xdr:rowOff>
                  </to>
                </anchor>
              </controlPr>
            </control>
          </mc:Choice>
        </mc:AlternateContent>
        <mc:AlternateContent xmlns:mc="http://schemas.openxmlformats.org/markup-compatibility/2006">
          <mc:Choice Requires="x14">
            <control shapeId="1157" r:id="rId128" name="Drop Down 133">
              <controlPr defaultSize="0" autoLine="0" autoPict="0">
                <anchor moveWithCells="1">
                  <from>
                    <xdr:col>12</xdr:col>
                    <xdr:colOff>0</xdr:colOff>
                    <xdr:row>65</xdr:row>
                    <xdr:rowOff>0</xdr:rowOff>
                  </from>
                  <to>
                    <xdr:col>15</xdr:col>
                    <xdr:colOff>190500</xdr:colOff>
                    <xdr:row>66</xdr:row>
                    <xdr:rowOff>9525</xdr:rowOff>
                  </to>
                </anchor>
              </controlPr>
            </control>
          </mc:Choice>
        </mc:AlternateContent>
        <mc:AlternateContent xmlns:mc="http://schemas.openxmlformats.org/markup-compatibility/2006">
          <mc:Choice Requires="x14">
            <control shapeId="1158" r:id="rId129" name="Drop Down 134">
              <controlPr defaultSize="0" autoLine="0" autoPict="0">
                <anchor moveWithCells="1">
                  <from>
                    <xdr:col>16</xdr:col>
                    <xdr:colOff>0</xdr:colOff>
                    <xdr:row>65</xdr:row>
                    <xdr:rowOff>0</xdr:rowOff>
                  </from>
                  <to>
                    <xdr:col>19</xdr:col>
                    <xdr:colOff>190500</xdr:colOff>
                    <xdr:row>66</xdr:row>
                    <xdr:rowOff>9525</xdr:rowOff>
                  </to>
                </anchor>
              </controlPr>
            </control>
          </mc:Choice>
        </mc:AlternateContent>
        <mc:AlternateContent xmlns:mc="http://schemas.openxmlformats.org/markup-compatibility/2006">
          <mc:Choice Requires="x14">
            <control shapeId="1159" r:id="rId130" name="Check Box 135">
              <controlPr defaultSize="0" autoFill="0" autoLine="0" autoPict="0">
                <anchor moveWithCells="1">
                  <from>
                    <xdr:col>10</xdr:col>
                    <xdr:colOff>38100</xdr:colOff>
                    <xdr:row>65</xdr:row>
                    <xdr:rowOff>0</xdr:rowOff>
                  </from>
                  <to>
                    <xdr:col>10</xdr:col>
                    <xdr:colOff>342900</xdr:colOff>
                    <xdr:row>66</xdr:row>
                    <xdr:rowOff>28575</xdr:rowOff>
                  </to>
                </anchor>
              </controlPr>
            </control>
          </mc:Choice>
        </mc:AlternateContent>
        <mc:AlternateContent xmlns:mc="http://schemas.openxmlformats.org/markup-compatibility/2006">
          <mc:Choice Requires="x14">
            <control shapeId="1160" r:id="rId131" name="Drop Down 136">
              <controlPr defaultSize="0" autoLine="0" autoPict="0">
                <anchor moveWithCells="1">
                  <from>
                    <xdr:col>20</xdr:col>
                    <xdr:colOff>0</xdr:colOff>
                    <xdr:row>65</xdr:row>
                    <xdr:rowOff>0</xdr:rowOff>
                  </from>
                  <to>
                    <xdr:col>23</xdr:col>
                    <xdr:colOff>190500</xdr:colOff>
                    <xdr:row>66</xdr:row>
                    <xdr:rowOff>9525</xdr:rowOff>
                  </to>
                </anchor>
              </controlPr>
            </control>
          </mc:Choice>
        </mc:AlternateContent>
        <mc:AlternateContent xmlns:mc="http://schemas.openxmlformats.org/markup-compatibility/2006">
          <mc:Choice Requires="x14">
            <control shapeId="1161" r:id="rId132" name="Drop Down 137">
              <controlPr defaultSize="0" autoLine="0" autoPict="0">
                <anchor moveWithCells="1">
                  <from>
                    <xdr:col>63</xdr:col>
                    <xdr:colOff>0</xdr:colOff>
                    <xdr:row>65</xdr:row>
                    <xdr:rowOff>0</xdr:rowOff>
                  </from>
                  <to>
                    <xdr:col>65</xdr:col>
                    <xdr:colOff>19050</xdr:colOff>
                    <xdr:row>66</xdr:row>
                    <xdr:rowOff>9525</xdr:rowOff>
                  </to>
                </anchor>
              </controlPr>
            </control>
          </mc:Choice>
        </mc:AlternateContent>
        <mc:AlternateContent xmlns:mc="http://schemas.openxmlformats.org/markup-compatibility/2006">
          <mc:Choice Requires="x14">
            <control shapeId="1162" r:id="rId133" name="Drop Down 138">
              <controlPr defaultSize="0" autoLine="0" autoPict="0">
                <anchor moveWithCells="1">
                  <from>
                    <xdr:col>109</xdr:col>
                    <xdr:colOff>0</xdr:colOff>
                    <xdr:row>65</xdr:row>
                    <xdr:rowOff>0</xdr:rowOff>
                  </from>
                  <to>
                    <xdr:col>111</xdr:col>
                    <xdr:colOff>333375</xdr:colOff>
                    <xdr:row>66</xdr:row>
                    <xdr:rowOff>9525</xdr:rowOff>
                  </to>
                </anchor>
              </controlPr>
            </control>
          </mc:Choice>
        </mc:AlternateContent>
        <mc:AlternateContent xmlns:mc="http://schemas.openxmlformats.org/markup-compatibility/2006">
          <mc:Choice Requires="x14">
            <control shapeId="1163" r:id="rId134" name="Drop Down 139">
              <controlPr defaultSize="0" autoLine="0" autoPict="0">
                <anchor moveWithCells="1">
                  <from>
                    <xdr:col>205</xdr:col>
                    <xdr:colOff>0</xdr:colOff>
                    <xdr:row>65</xdr:row>
                    <xdr:rowOff>0</xdr:rowOff>
                  </from>
                  <to>
                    <xdr:col>207</xdr:col>
                    <xdr:colOff>161925</xdr:colOff>
                    <xdr:row>66</xdr:row>
                    <xdr:rowOff>9525</xdr:rowOff>
                  </to>
                </anchor>
              </controlPr>
            </control>
          </mc:Choice>
        </mc:AlternateContent>
        <mc:AlternateContent xmlns:mc="http://schemas.openxmlformats.org/markup-compatibility/2006">
          <mc:Choice Requires="x14">
            <control shapeId="1164" r:id="rId135" name="Drop Down 140">
              <controlPr defaultSize="0" autoLine="0" autoPict="0">
                <anchor moveWithCells="1">
                  <from>
                    <xdr:col>2</xdr:col>
                    <xdr:colOff>76200</xdr:colOff>
                    <xdr:row>67</xdr:row>
                    <xdr:rowOff>0</xdr:rowOff>
                  </from>
                  <to>
                    <xdr:col>5</xdr:col>
                    <xdr:colOff>257175</xdr:colOff>
                    <xdr:row>68</xdr:row>
                    <xdr:rowOff>9525</xdr:rowOff>
                  </to>
                </anchor>
              </controlPr>
            </control>
          </mc:Choice>
        </mc:AlternateContent>
        <mc:AlternateContent xmlns:mc="http://schemas.openxmlformats.org/markup-compatibility/2006">
          <mc:Choice Requires="x14">
            <control shapeId="1165" r:id="rId136" name="Drop Down 141">
              <controlPr defaultSize="0" autoLine="0" autoPict="0">
                <anchor moveWithCells="1">
                  <from>
                    <xdr:col>6</xdr:col>
                    <xdr:colOff>0</xdr:colOff>
                    <xdr:row>67</xdr:row>
                    <xdr:rowOff>0</xdr:rowOff>
                  </from>
                  <to>
                    <xdr:col>9</xdr:col>
                    <xdr:colOff>190500</xdr:colOff>
                    <xdr:row>68</xdr:row>
                    <xdr:rowOff>9525</xdr:rowOff>
                  </to>
                </anchor>
              </controlPr>
            </control>
          </mc:Choice>
        </mc:AlternateContent>
        <mc:AlternateContent xmlns:mc="http://schemas.openxmlformats.org/markup-compatibility/2006">
          <mc:Choice Requires="x14">
            <control shapeId="1166" r:id="rId137" name="Drop Down 142">
              <controlPr defaultSize="0" autoLine="0" autoPict="0">
                <anchor moveWithCells="1">
                  <from>
                    <xdr:col>12</xdr:col>
                    <xdr:colOff>0</xdr:colOff>
                    <xdr:row>67</xdr:row>
                    <xdr:rowOff>0</xdr:rowOff>
                  </from>
                  <to>
                    <xdr:col>15</xdr:col>
                    <xdr:colOff>190500</xdr:colOff>
                    <xdr:row>68</xdr:row>
                    <xdr:rowOff>9525</xdr:rowOff>
                  </to>
                </anchor>
              </controlPr>
            </control>
          </mc:Choice>
        </mc:AlternateContent>
        <mc:AlternateContent xmlns:mc="http://schemas.openxmlformats.org/markup-compatibility/2006">
          <mc:Choice Requires="x14">
            <control shapeId="1167" r:id="rId138" name="Drop Down 143">
              <controlPr defaultSize="0" autoLine="0" autoPict="0">
                <anchor moveWithCells="1">
                  <from>
                    <xdr:col>16</xdr:col>
                    <xdr:colOff>0</xdr:colOff>
                    <xdr:row>67</xdr:row>
                    <xdr:rowOff>0</xdr:rowOff>
                  </from>
                  <to>
                    <xdr:col>19</xdr:col>
                    <xdr:colOff>190500</xdr:colOff>
                    <xdr:row>68</xdr:row>
                    <xdr:rowOff>9525</xdr:rowOff>
                  </to>
                </anchor>
              </controlPr>
            </control>
          </mc:Choice>
        </mc:AlternateContent>
        <mc:AlternateContent xmlns:mc="http://schemas.openxmlformats.org/markup-compatibility/2006">
          <mc:Choice Requires="x14">
            <control shapeId="1168" r:id="rId139" name="Check Box 144">
              <controlPr defaultSize="0" autoFill="0" autoLine="0" autoPict="0">
                <anchor moveWithCells="1">
                  <from>
                    <xdr:col>10</xdr:col>
                    <xdr:colOff>38100</xdr:colOff>
                    <xdr:row>67</xdr:row>
                    <xdr:rowOff>0</xdr:rowOff>
                  </from>
                  <to>
                    <xdr:col>10</xdr:col>
                    <xdr:colOff>342900</xdr:colOff>
                    <xdr:row>68</xdr:row>
                    <xdr:rowOff>28575</xdr:rowOff>
                  </to>
                </anchor>
              </controlPr>
            </control>
          </mc:Choice>
        </mc:AlternateContent>
        <mc:AlternateContent xmlns:mc="http://schemas.openxmlformats.org/markup-compatibility/2006">
          <mc:Choice Requires="x14">
            <control shapeId="1169" r:id="rId140" name="Drop Down 145">
              <controlPr defaultSize="0" autoLine="0" autoPict="0">
                <anchor moveWithCells="1">
                  <from>
                    <xdr:col>20</xdr:col>
                    <xdr:colOff>0</xdr:colOff>
                    <xdr:row>67</xdr:row>
                    <xdr:rowOff>0</xdr:rowOff>
                  </from>
                  <to>
                    <xdr:col>23</xdr:col>
                    <xdr:colOff>190500</xdr:colOff>
                    <xdr:row>68</xdr:row>
                    <xdr:rowOff>9525</xdr:rowOff>
                  </to>
                </anchor>
              </controlPr>
            </control>
          </mc:Choice>
        </mc:AlternateContent>
        <mc:AlternateContent xmlns:mc="http://schemas.openxmlformats.org/markup-compatibility/2006">
          <mc:Choice Requires="x14">
            <control shapeId="1170" r:id="rId141" name="Drop Down 146">
              <controlPr defaultSize="0" autoLine="0" autoPict="0">
                <anchor moveWithCells="1">
                  <from>
                    <xdr:col>63</xdr:col>
                    <xdr:colOff>0</xdr:colOff>
                    <xdr:row>67</xdr:row>
                    <xdr:rowOff>0</xdr:rowOff>
                  </from>
                  <to>
                    <xdr:col>65</xdr:col>
                    <xdr:colOff>19050</xdr:colOff>
                    <xdr:row>68</xdr:row>
                    <xdr:rowOff>9525</xdr:rowOff>
                  </to>
                </anchor>
              </controlPr>
            </control>
          </mc:Choice>
        </mc:AlternateContent>
        <mc:AlternateContent xmlns:mc="http://schemas.openxmlformats.org/markup-compatibility/2006">
          <mc:Choice Requires="x14">
            <control shapeId="1171" r:id="rId142" name="Drop Down 147">
              <controlPr defaultSize="0" autoLine="0" autoPict="0">
                <anchor moveWithCells="1">
                  <from>
                    <xdr:col>109</xdr:col>
                    <xdr:colOff>0</xdr:colOff>
                    <xdr:row>67</xdr:row>
                    <xdr:rowOff>0</xdr:rowOff>
                  </from>
                  <to>
                    <xdr:col>111</xdr:col>
                    <xdr:colOff>333375</xdr:colOff>
                    <xdr:row>68</xdr:row>
                    <xdr:rowOff>9525</xdr:rowOff>
                  </to>
                </anchor>
              </controlPr>
            </control>
          </mc:Choice>
        </mc:AlternateContent>
        <mc:AlternateContent xmlns:mc="http://schemas.openxmlformats.org/markup-compatibility/2006">
          <mc:Choice Requires="x14">
            <control shapeId="1172" r:id="rId143" name="Drop Down 148">
              <controlPr defaultSize="0" autoLine="0" autoPict="0">
                <anchor moveWithCells="1">
                  <from>
                    <xdr:col>205</xdr:col>
                    <xdr:colOff>0</xdr:colOff>
                    <xdr:row>67</xdr:row>
                    <xdr:rowOff>0</xdr:rowOff>
                  </from>
                  <to>
                    <xdr:col>207</xdr:col>
                    <xdr:colOff>161925</xdr:colOff>
                    <xdr:row>68</xdr:row>
                    <xdr:rowOff>9525</xdr:rowOff>
                  </to>
                </anchor>
              </controlPr>
            </control>
          </mc:Choice>
        </mc:AlternateContent>
        <mc:AlternateContent xmlns:mc="http://schemas.openxmlformats.org/markup-compatibility/2006">
          <mc:Choice Requires="x14">
            <control shapeId="1173" r:id="rId144" name="Drop Down 149">
              <controlPr defaultSize="0" autoLine="0" autoPict="0">
                <anchor moveWithCells="1">
                  <from>
                    <xdr:col>2</xdr:col>
                    <xdr:colOff>76200</xdr:colOff>
                    <xdr:row>69</xdr:row>
                    <xdr:rowOff>0</xdr:rowOff>
                  </from>
                  <to>
                    <xdr:col>5</xdr:col>
                    <xdr:colOff>257175</xdr:colOff>
                    <xdr:row>70</xdr:row>
                    <xdr:rowOff>9525</xdr:rowOff>
                  </to>
                </anchor>
              </controlPr>
            </control>
          </mc:Choice>
        </mc:AlternateContent>
        <mc:AlternateContent xmlns:mc="http://schemas.openxmlformats.org/markup-compatibility/2006">
          <mc:Choice Requires="x14">
            <control shapeId="1174" r:id="rId145" name="Drop Down 150">
              <controlPr defaultSize="0" autoLine="0" autoPict="0">
                <anchor moveWithCells="1">
                  <from>
                    <xdr:col>6</xdr:col>
                    <xdr:colOff>0</xdr:colOff>
                    <xdr:row>69</xdr:row>
                    <xdr:rowOff>0</xdr:rowOff>
                  </from>
                  <to>
                    <xdr:col>9</xdr:col>
                    <xdr:colOff>190500</xdr:colOff>
                    <xdr:row>70</xdr:row>
                    <xdr:rowOff>9525</xdr:rowOff>
                  </to>
                </anchor>
              </controlPr>
            </control>
          </mc:Choice>
        </mc:AlternateContent>
        <mc:AlternateContent xmlns:mc="http://schemas.openxmlformats.org/markup-compatibility/2006">
          <mc:Choice Requires="x14">
            <control shapeId="1175" r:id="rId146" name="Drop Down 151">
              <controlPr defaultSize="0" autoLine="0" autoPict="0">
                <anchor moveWithCells="1">
                  <from>
                    <xdr:col>12</xdr:col>
                    <xdr:colOff>0</xdr:colOff>
                    <xdr:row>69</xdr:row>
                    <xdr:rowOff>0</xdr:rowOff>
                  </from>
                  <to>
                    <xdr:col>15</xdr:col>
                    <xdr:colOff>190500</xdr:colOff>
                    <xdr:row>70</xdr:row>
                    <xdr:rowOff>9525</xdr:rowOff>
                  </to>
                </anchor>
              </controlPr>
            </control>
          </mc:Choice>
        </mc:AlternateContent>
        <mc:AlternateContent xmlns:mc="http://schemas.openxmlformats.org/markup-compatibility/2006">
          <mc:Choice Requires="x14">
            <control shapeId="1176" r:id="rId147" name="Drop Down 152">
              <controlPr defaultSize="0" autoLine="0" autoPict="0">
                <anchor moveWithCells="1">
                  <from>
                    <xdr:col>16</xdr:col>
                    <xdr:colOff>0</xdr:colOff>
                    <xdr:row>69</xdr:row>
                    <xdr:rowOff>0</xdr:rowOff>
                  </from>
                  <to>
                    <xdr:col>19</xdr:col>
                    <xdr:colOff>190500</xdr:colOff>
                    <xdr:row>70</xdr:row>
                    <xdr:rowOff>9525</xdr:rowOff>
                  </to>
                </anchor>
              </controlPr>
            </control>
          </mc:Choice>
        </mc:AlternateContent>
        <mc:AlternateContent xmlns:mc="http://schemas.openxmlformats.org/markup-compatibility/2006">
          <mc:Choice Requires="x14">
            <control shapeId="1177" r:id="rId148" name="Check Box 153">
              <controlPr defaultSize="0" autoFill="0" autoLine="0" autoPict="0">
                <anchor moveWithCells="1">
                  <from>
                    <xdr:col>10</xdr:col>
                    <xdr:colOff>38100</xdr:colOff>
                    <xdr:row>69</xdr:row>
                    <xdr:rowOff>0</xdr:rowOff>
                  </from>
                  <to>
                    <xdr:col>10</xdr:col>
                    <xdr:colOff>342900</xdr:colOff>
                    <xdr:row>70</xdr:row>
                    <xdr:rowOff>28575</xdr:rowOff>
                  </to>
                </anchor>
              </controlPr>
            </control>
          </mc:Choice>
        </mc:AlternateContent>
        <mc:AlternateContent xmlns:mc="http://schemas.openxmlformats.org/markup-compatibility/2006">
          <mc:Choice Requires="x14">
            <control shapeId="1178" r:id="rId149" name="Drop Down 154">
              <controlPr defaultSize="0" autoLine="0" autoPict="0">
                <anchor moveWithCells="1">
                  <from>
                    <xdr:col>20</xdr:col>
                    <xdr:colOff>0</xdr:colOff>
                    <xdr:row>69</xdr:row>
                    <xdr:rowOff>0</xdr:rowOff>
                  </from>
                  <to>
                    <xdr:col>23</xdr:col>
                    <xdr:colOff>190500</xdr:colOff>
                    <xdr:row>70</xdr:row>
                    <xdr:rowOff>9525</xdr:rowOff>
                  </to>
                </anchor>
              </controlPr>
            </control>
          </mc:Choice>
        </mc:AlternateContent>
        <mc:AlternateContent xmlns:mc="http://schemas.openxmlformats.org/markup-compatibility/2006">
          <mc:Choice Requires="x14">
            <control shapeId="1179" r:id="rId150" name="Drop Down 155">
              <controlPr defaultSize="0" autoLine="0" autoPict="0">
                <anchor moveWithCells="1">
                  <from>
                    <xdr:col>63</xdr:col>
                    <xdr:colOff>0</xdr:colOff>
                    <xdr:row>69</xdr:row>
                    <xdr:rowOff>0</xdr:rowOff>
                  </from>
                  <to>
                    <xdr:col>65</xdr:col>
                    <xdr:colOff>19050</xdr:colOff>
                    <xdr:row>70</xdr:row>
                    <xdr:rowOff>9525</xdr:rowOff>
                  </to>
                </anchor>
              </controlPr>
            </control>
          </mc:Choice>
        </mc:AlternateContent>
        <mc:AlternateContent xmlns:mc="http://schemas.openxmlformats.org/markup-compatibility/2006">
          <mc:Choice Requires="x14">
            <control shapeId="1180" r:id="rId151" name="Drop Down 156">
              <controlPr defaultSize="0" autoLine="0" autoPict="0">
                <anchor moveWithCells="1">
                  <from>
                    <xdr:col>109</xdr:col>
                    <xdr:colOff>0</xdr:colOff>
                    <xdr:row>69</xdr:row>
                    <xdr:rowOff>0</xdr:rowOff>
                  </from>
                  <to>
                    <xdr:col>111</xdr:col>
                    <xdr:colOff>333375</xdr:colOff>
                    <xdr:row>70</xdr:row>
                    <xdr:rowOff>9525</xdr:rowOff>
                  </to>
                </anchor>
              </controlPr>
            </control>
          </mc:Choice>
        </mc:AlternateContent>
        <mc:AlternateContent xmlns:mc="http://schemas.openxmlformats.org/markup-compatibility/2006">
          <mc:Choice Requires="x14">
            <control shapeId="1181" r:id="rId152" name="Drop Down 157">
              <controlPr defaultSize="0" autoLine="0" autoPict="0">
                <anchor moveWithCells="1">
                  <from>
                    <xdr:col>205</xdr:col>
                    <xdr:colOff>0</xdr:colOff>
                    <xdr:row>69</xdr:row>
                    <xdr:rowOff>0</xdr:rowOff>
                  </from>
                  <to>
                    <xdr:col>207</xdr:col>
                    <xdr:colOff>161925</xdr:colOff>
                    <xdr:row>70</xdr:row>
                    <xdr:rowOff>9525</xdr:rowOff>
                  </to>
                </anchor>
              </controlPr>
            </control>
          </mc:Choice>
        </mc:AlternateContent>
        <mc:AlternateContent xmlns:mc="http://schemas.openxmlformats.org/markup-compatibility/2006">
          <mc:Choice Requires="x14">
            <control shapeId="1184" r:id="rId153" name="Drop Down 160">
              <controlPr defaultSize="0" autoLine="0" autoPict="0">
                <anchor moveWithCells="1">
                  <from>
                    <xdr:col>10</xdr:col>
                    <xdr:colOff>0</xdr:colOff>
                    <xdr:row>12</xdr:row>
                    <xdr:rowOff>0</xdr:rowOff>
                  </from>
                  <to>
                    <xdr:col>13</xdr:col>
                    <xdr:colOff>38100</xdr:colOff>
                    <xdr:row>13</xdr:row>
                    <xdr:rowOff>9525</xdr:rowOff>
                  </to>
                </anchor>
              </controlPr>
            </control>
          </mc:Choice>
        </mc:AlternateContent>
        <mc:AlternateContent xmlns:mc="http://schemas.openxmlformats.org/markup-compatibility/2006">
          <mc:Choice Requires="x14">
            <control shapeId="1185" r:id="rId154" name="Drop Down 161">
              <controlPr defaultSize="0" autoLine="0" autoPict="0">
                <anchor moveWithCells="1">
                  <from>
                    <xdr:col>2</xdr:col>
                    <xdr:colOff>76200</xdr:colOff>
                    <xdr:row>115</xdr:row>
                    <xdr:rowOff>0</xdr:rowOff>
                  </from>
                  <to>
                    <xdr:col>5</xdr:col>
                    <xdr:colOff>257175</xdr:colOff>
                    <xdr:row>116</xdr:row>
                    <xdr:rowOff>9525</xdr:rowOff>
                  </to>
                </anchor>
              </controlPr>
            </control>
          </mc:Choice>
        </mc:AlternateContent>
        <mc:AlternateContent xmlns:mc="http://schemas.openxmlformats.org/markup-compatibility/2006">
          <mc:Choice Requires="x14">
            <control shapeId="1186" r:id="rId155" name="Drop Down 162">
              <controlPr defaultSize="0" autoLine="0" autoPict="0">
                <anchor moveWithCells="1">
                  <from>
                    <xdr:col>6</xdr:col>
                    <xdr:colOff>0</xdr:colOff>
                    <xdr:row>115</xdr:row>
                    <xdr:rowOff>0</xdr:rowOff>
                  </from>
                  <to>
                    <xdr:col>9</xdr:col>
                    <xdr:colOff>190500</xdr:colOff>
                    <xdr:row>116</xdr:row>
                    <xdr:rowOff>9525</xdr:rowOff>
                  </to>
                </anchor>
              </controlPr>
            </control>
          </mc:Choice>
        </mc:AlternateContent>
        <mc:AlternateContent xmlns:mc="http://schemas.openxmlformats.org/markup-compatibility/2006">
          <mc:Choice Requires="x14">
            <control shapeId="1187" r:id="rId156" name="Drop Down 163">
              <controlPr defaultSize="0" autoLine="0" autoPict="0">
                <anchor moveWithCells="1">
                  <from>
                    <xdr:col>12</xdr:col>
                    <xdr:colOff>0</xdr:colOff>
                    <xdr:row>115</xdr:row>
                    <xdr:rowOff>0</xdr:rowOff>
                  </from>
                  <to>
                    <xdr:col>15</xdr:col>
                    <xdr:colOff>190500</xdr:colOff>
                    <xdr:row>116</xdr:row>
                    <xdr:rowOff>9525</xdr:rowOff>
                  </to>
                </anchor>
              </controlPr>
            </control>
          </mc:Choice>
        </mc:AlternateContent>
        <mc:AlternateContent xmlns:mc="http://schemas.openxmlformats.org/markup-compatibility/2006">
          <mc:Choice Requires="x14">
            <control shapeId="1188" r:id="rId157" name="Drop Down 164">
              <controlPr defaultSize="0" autoLine="0" autoPict="0">
                <anchor moveWithCells="1">
                  <from>
                    <xdr:col>16</xdr:col>
                    <xdr:colOff>0</xdr:colOff>
                    <xdr:row>115</xdr:row>
                    <xdr:rowOff>0</xdr:rowOff>
                  </from>
                  <to>
                    <xdr:col>19</xdr:col>
                    <xdr:colOff>190500</xdr:colOff>
                    <xdr:row>116</xdr:row>
                    <xdr:rowOff>9525</xdr:rowOff>
                  </to>
                </anchor>
              </controlPr>
            </control>
          </mc:Choice>
        </mc:AlternateContent>
        <mc:AlternateContent xmlns:mc="http://schemas.openxmlformats.org/markup-compatibility/2006">
          <mc:Choice Requires="x14">
            <control shapeId="1189" r:id="rId158" name="Check Box 165">
              <controlPr defaultSize="0" autoFill="0" autoLine="0" autoPict="0">
                <anchor moveWithCells="1">
                  <from>
                    <xdr:col>10</xdr:col>
                    <xdr:colOff>38100</xdr:colOff>
                    <xdr:row>115</xdr:row>
                    <xdr:rowOff>0</xdr:rowOff>
                  </from>
                  <to>
                    <xdr:col>10</xdr:col>
                    <xdr:colOff>342900</xdr:colOff>
                    <xdr:row>116</xdr:row>
                    <xdr:rowOff>28575</xdr:rowOff>
                  </to>
                </anchor>
              </controlPr>
            </control>
          </mc:Choice>
        </mc:AlternateContent>
        <mc:AlternateContent xmlns:mc="http://schemas.openxmlformats.org/markup-compatibility/2006">
          <mc:Choice Requires="x14">
            <control shapeId="1190" r:id="rId159" name="Drop Down 166">
              <controlPr defaultSize="0" autoLine="0" autoPict="0">
                <anchor moveWithCells="1">
                  <from>
                    <xdr:col>20</xdr:col>
                    <xdr:colOff>0</xdr:colOff>
                    <xdr:row>115</xdr:row>
                    <xdr:rowOff>0</xdr:rowOff>
                  </from>
                  <to>
                    <xdr:col>23</xdr:col>
                    <xdr:colOff>190500</xdr:colOff>
                    <xdr:row>116</xdr:row>
                    <xdr:rowOff>9525</xdr:rowOff>
                  </to>
                </anchor>
              </controlPr>
            </control>
          </mc:Choice>
        </mc:AlternateContent>
        <mc:AlternateContent xmlns:mc="http://schemas.openxmlformats.org/markup-compatibility/2006">
          <mc:Choice Requires="x14">
            <control shapeId="1191" r:id="rId160" name="Drop Down 167">
              <controlPr defaultSize="0" autoLine="0" autoPict="0">
                <anchor moveWithCells="1">
                  <from>
                    <xdr:col>4</xdr:col>
                    <xdr:colOff>9525</xdr:colOff>
                    <xdr:row>111</xdr:row>
                    <xdr:rowOff>0</xdr:rowOff>
                  </from>
                  <to>
                    <xdr:col>5</xdr:col>
                    <xdr:colOff>190500</xdr:colOff>
                    <xdr:row>112</xdr:row>
                    <xdr:rowOff>9525</xdr:rowOff>
                  </to>
                </anchor>
              </controlPr>
            </control>
          </mc:Choice>
        </mc:AlternateContent>
        <mc:AlternateContent xmlns:mc="http://schemas.openxmlformats.org/markup-compatibility/2006">
          <mc:Choice Requires="x14">
            <control shapeId="1192" r:id="rId161" name="Drop Down 168">
              <controlPr defaultSize="0" autoLine="0" autoPict="0">
                <anchor moveWithCells="1">
                  <from>
                    <xdr:col>6</xdr:col>
                    <xdr:colOff>0</xdr:colOff>
                    <xdr:row>111</xdr:row>
                    <xdr:rowOff>0</xdr:rowOff>
                  </from>
                  <to>
                    <xdr:col>8</xdr:col>
                    <xdr:colOff>371475</xdr:colOff>
                    <xdr:row>112</xdr:row>
                    <xdr:rowOff>9525</xdr:rowOff>
                  </to>
                </anchor>
              </controlPr>
            </control>
          </mc:Choice>
        </mc:AlternateContent>
        <mc:AlternateContent xmlns:mc="http://schemas.openxmlformats.org/markup-compatibility/2006">
          <mc:Choice Requires="x14">
            <control shapeId="1193" r:id="rId162" name="Drop Down 169">
              <controlPr defaultSize="0" autoLine="0" autoPict="0">
                <anchor moveWithCells="1">
                  <from>
                    <xdr:col>63</xdr:col>
                    <xdr:colOff>0</xdr:colOff>
                    <xdr:row>115</xdr:row>
                    <xdr:rowOff>0</xdr:rowOff>
                  </from>
                  <to>
                    <xdr:col>65</xdr:col>
                    <xdr:colOff>19050</xdr:colOff>
                    <xdr:row>116</xdr:row>
                    <xdr:rowOff>9525</xdr:rowOff>
                  </to>
                </anchor>
              </controlPr>
            </control>
          </mc:Choice>
        </mc:AlternateContent>
        <mc:AlternateContent xmlns:mc="http://schemas.openxmlformats.org/markup-compatibility/2006">
          <mc:Choice Requires="x14">
            <control shapeId="1194" r:id="rId163" name="Drop Down 170">
              <controlPr defaultSize="0" autoLine="0" autoPict="0">
                <anchor moveWithCells="1">
                  <from>
                    <xdr:col>109</xdr:col>
                    <xdr:colOff>0</xdr:colOff>
                    <xdr:row>115</xdr:row>
                    <xdr:rowOff>0</xdr:rowOff>
                  </from>
                  <to>
                    <xdr:col>111</xdr:col>
                    <xdr:colOff>333375</xdr:colOff>
                    <xdr:row>116</xdr:row>
                    <xdr:rowOff>9525</xdr:rowOff>
                  </to>
                </anchor>
              </controlPr>
            </control>
          </mc:Choice>
        </mc:AlternateContent>
        <mc:AlternateContent xmlns:mc="http://schemas.openxmlformats.org/markup-compatibility/2006">
          <mc:Choice Requires="x14">
            <control shapeId="1195" r:id="rId164" name="Drop Down 171">
              <controlPr defaultSize="0" autoLine="0" autoPict="0">
                <anchor moveWithCells="1">
                  <from>
                    <xdr:col>205</xdr:col>
                    <xdr:colOff>0</xdr:colOff>
                    <xdr:row>115</xdr:row>
                    <xdr:rowOff>0</xdr:rowOff>
                  </from>
                  <to>
                    <xdr:col>207</xdr:col>
                    <xdr:colOff>161925</xdr:colOff>
                    <xdr:row>116</xdr:row>
                    <xdr:rowOff>9525</xdr:rowOff>
                  </to>
                </anchor>
              </controlPr>
            </control>
          </mc:Choice>
        </mc:AlternateContent>
        <mc:AlternateContent xmlns:mc="http://schemas.openxmlformats.org/markup-compatibility/2006">
          <mc:Choice Requires="x14">
            <control shapeId="1196" r:id="rId165" name="Drop Down 172">
              <controlPr defaultSize="0" autoLine="0" autoPict="0">
                <anchor moveWithCells="1">
                  <from>
                    <xdr:col>4</xdr:col>
                    <xdr:colOff>0</xdr:colOff>
                    <xdr:row>133</xdr:row>
                    <xdr:rowOff>0</xdr:rowOff>
                  </from>
                  <to>
                    <xdr:col>5</xdr:col>
                    <xdr:colOff>133350</xdr:colOff>
                    <xdr:row>134</xdr:row>
                    <xdr:rowOff>19050</xdr:rowOff>
                  </to>
                </anchor>
              </controlPr>
            </control>
          </mc:Choice>
        </mc:AlternateContent>
        <mc:AlternateContent xmlns:mc="http://schemas.openxmlformats.org/markup-compatibility/2006">
          <mc:Choice Requires="x14">
            <control shapeId="1197" r:id="rId166" name="Drop Down 173">
              <controlPr defaultSize="0" autoLine="0" autoPict="0">
                <anchor moveWithCells="1">
                  <from>
                    <xdr:col>6</xdr:col>
                    <xdr:colOff>0</xdr:colOff>
                    <xdr:row>133</xdr:row>
                    <xdr:rowOff>0</xdr:rowOff>
                  </from>
                  <to>
                    <xdr:col>8</xdr:col>
                    <xdr:colOff>371475</xdr:colOff>
                    <xdr:row>134</xdr:row>
                    <xdr:rowOff>9525</xdr:rowOff>
                  </to>
                </anchor>
              </controlPr>
            </control>
          </mc:Choice>
        </mc:AlternateContent>
        <mc:AlternateContent xmlns:mc="http://schemas.openxmlformats.org/markup-compatibility/2006">
          <mc:Choice Requires="x14">
            <control shapeId="1198" r:id="rId167" name="Drop Down 174">
              <controlPr defaultSize="0" autoLine="0" autoPict="0">
                <anchor moveWithCells="1">
                  <from>
                    <xdr:col>16</xdr:col>
                    <xdr:colOff>0</xdr:colOff>
                    <xdr:row>96</xdr:row>
                    <xdr:rowOff>0</xdr:rowOff>
                  </from>
                  <to>
                    <xdr:col>19</xdr:col>
                    <xdr:colOff>333375</xdr:colOff>
                    <xdr:row>97</xdr:row>
                    <xdr:rowOff>9525</xdr:rowOff>
                  </to>
                </anchor>
              </controlPr>
            </control>
          </mc:Choice>
        </mc:AlternateContent>
        <mc:AlternateContent xmlns:mc="http://schemas.openxmlformats.org/markup-compatibility/2006">
          <mc:Choice Requires="x14">
            <control shapeId="1199" r:id="rId168" name="Drop Down 175">
              <controlPr defaultSize="0" autoLine="0" autoPict="0">
                <anchor moveWithCells="1">
                  <from>
                    <xdr:col>2</xdr:col>
                    <xdr:colOff>76200</xdr:colOff>
                    <xdr:row>117</xdr:row>
                    <xdr:rowOff>0</xdr:rowOff>
                  </from>
                  <to>
                    <xdr:col>5</xdr:col>
                    <xdr:colOff>257175</xdr:colOff>
                    <xdr:row>118</xdr:row>
                    <xdr:rowOff>9525</xdr:rowOff>
                  </to>
                </anchor>
              </controlPr>
            </control>
          </mc:Choice>
        </mc:AlternateContent>
        <mc:AlternateContent xmlns:mc="http://schemas.openxmlformats.org/markup-compatibility/2006">
          <mc:Choice Requires="x14">
            <control shapeId="1200" r:id="rId169" name="Drop Down 176">
              <controlPr defaultSize="0" autoLine="0" autoPict="0">
                <anchor moveWithCells="1">
                  <from>
                    <xdr:col>6</xdr:col>
                    <xdr:colOff>0</xdr:colOff>
                    <xdr:row>117</xdr:row>
                    <xdr:rowOff>0</xdr:rowOff>
                  </from>
                  <to>
                    <xdr:col>9</xdr:col>
                    <xdr:colOff>190500</xdr:colOff>
                    <xdr:row>118</xdr:row>
                    <xdr:rowOff>9525</xdr:rowOff>
                  </to>
                </anchor>
              </controlPr>
            </control>
          </mc:Choice>
        </mc:AlternateContent>
        <mc:AlternateContent xmlns:mc="http://schemas.openxmlformats.org/markup-compatibility/2006">
          <mc:Choice Requires="x14">
            <control shapeId="1201" r:id="rId170" name="Drop Down 177">
              <controlPr defaultSize="0" autoLine="0" autoPict="0">
                <anchor moveWithCells="1">
                  <from>
                    <xdr:col>12</xdr:col>
                    <xdr:colOff>0</xdr:colOff>
                    <xdr:row>117</xdr:row>
                    <xdr:rowOff>0</xdr:rowOff>
                  </from>
                  <to>
                    <xdr:col>15</xdr:col>
                    <xdr:colOff>190500</xdr:colOff>
                    <xdr:row>118</xdr:row>
                    <xdr:rowOff>9525</xdr:rowOff>
                  </to>
                </anchor>
              </controlPr>
            </control>
          </mc:Choice>
        </mc:AlternateContent>
        <mc:AlternateContent xmlns:mc="http://schemas.openxmlformats.org/markup-compatibility/2006">
          <mc:Choice Requires="x14">
            <control shapeId="1202" r:id="rId171" name="Drop Down 178">
              <controlPr defaultSize="0" autoLine="0" autoPict="0">
                <anchor moveWithCells="1">
                  <from>
                    <xdr:col>16</xdr:col>
                    <xdr:colOff>0</xdr:colOff>
                    <xdr:row>117</xdr:row>
                    <xdr:rowOff>0</xdr:rowOff>
                  </from>
                  <to>
                    <xdr:col>19</xdr:col>
                    <xdr:colOff>190500</xdr:colOff>
                    <xdr:row>118</xdr:row>
                    <xdr:rowOff>9525</xdr:rowOff>
                  </to>
                </anchor>
              </controlPr>
            </control>
          </mc:Choice>
        </mc:AlternateContent>
        <mc:AlternateContent xmlns:mc="http://schemas.openxmlformats.org/markup-compatibility/2006">
          <mc:Choice Requires="x14">
            <control shapeId="1203" r:id="rId172" name="Check Box 179">
              <controlPr defaultSize="0" autoFill="0" autoLine="0" autoPict="0">
                <anchor moveWithCells="1">
                  <from>
                    <xdr:col>10</xdr:col>
                    <xdr:colOff>38100</xdr:colOff>
                    <xdr:row>117</xdr:row>
                    <xdr:rowOff>0</xdr:rowOff>
                  </from>
                  <to>
                    <xdr:col>10</xdr:col>
                    <xdr:colOff>342900</xdr:colOff>
                    <xdr:row>118</xdr:row>
                    <xdr:rowOff>28575</xdr:rowOff>
                  </to>
                </anchor>
              </controlPr>
            </control>
          </mc:Choice>
        </mc:AlternateContent>
        <mc:AlternateContent xmlns:mc="http://schemas.openxmlformats.org/markup-compatibility/2006">
          <mc:Choice Requires="x14">
            <control shapeId="1204" r:id="rId173" name="Drop Down 180">
              <controlPr defaultSize="0" autoLine="0" autoPict="0">
                <anchor moveWithCells="1">
                  <from>
                    <xdr:col>20</xdr:col>
                    <xdr:colOff>0</xdr:colOff>
                    <xdr:row>117</xdr:row>
                    <xdr:rowOff>0</xdr:rowOff>
                  </from>
                  <to>
                    <xdr:col>23</xdr:col>
                    <xdr:colOff>190500</xdr:colOff>
                    <xdr:row>118</xdr:row>
                    <xdr:rowOff>9525</xdr:rowOff>
                  </to>
                </anchor>
              </controlPr>
            </control>
          </mc:Choice>
        </mc:AlternateContent>
        <mc:AlternateContent xmlns:mc="http://schemas.openxmlformats.org/markup-compatibility/2006">
          <mc:Choice Requires="x14">
            <control shapeId="1205" r:id="rId174" name="Drop Down 181">
              <controlPr defaultSize="0" autoLine="0" autoPict="0">
                <anchor moveWithCells="1">
                  <from>
                    <xdr:col>63</xdr:col>
                    <xdr:colOff>0</xdr:colOff>
                    <xdr:row>117</xdr:row>
                    <xdr:rowOff>0</xdr:rowOff>
                  </from>
                  <to>
                    <xdr:col>65</xdr:col>
                    <xdr:colOff>19050</xdr:colOff>
                    <xdr:row>118</xdr:row>
                    <xdr:rowOff>9525</xdr:rowOff>
                  </to>
                </anchor>
              </controlPr>
            </control>
          </mc:Choice>
        </mc:AlternateContent>
        <mc:AlternateContent xmlns:mc="http://schemas.openxmlformats.org/markup-compatibility/2006">
          <mc:Choice Requires="x14">
            <control shapeId="1206" r:id="rId175" name="Drop Down 182">
              <controlPr defaultSize="0" autoLine="0" autoPict="0">
                <anchor moveWithCells="1">
                  <from>
                    <xdr:col>109</xdr:col>
                    <xdr:colOff>0</xdr:colOff>
                    <xdr:row>117</xdr:row>
                    <xdr:rowOff>0</xdr:rowOff>
                  </from>
                  <to>
                    <xdr:col>111</xdr:col>
                    <xdr:colOff>333375</xdr:colOff>
                    <xdr:row>118</xdr:row>
                    <xdr:rowOff>9525</xdr:rowOff>
                  </to>
                </anchor>
              </controlPr>
            </control>
          </mc:Choice>
        </mc:AlternateContent>
        <mc:AlternateContent xmlns:mc="http://schemas.openxmlformats.org/markup-compatibility/2006">
          <mc:Choice Requires="x14">
            <control shapeId="1207" r:id="rId176" name="Drop Down 183">
              <controlPr defaultSize="0" autoLine="0" autoPict="0">
                <anchor moveWithCells="1">
                  <from>
                    <xdr:col>205</xdr:col>
                    <xdr:colOff>0</xdr:colOff>
                    <xdr:row>117</xdr:row>
                    <xdr:rowOff>0</xdr:rowOff>
                  </from>
                  <to>
                    <xdr:col>207</xdr:col>
                    <xdr:colOff>161925</xdr:colOff>
                    <xdr:row>118</xdr:row>
                    <xdr:rowOff>9525</xdr:rowOff>
                  </to>
                </anchor>
              </controlPr>
            </control>
          </mc:Choice>
        </mc:AlternateContent>
        <mc:AlternateContent xmlns:mc="http://schemas.openxmlformats.org/markup-compatibility/2006">
          <mc:Choice Requires="x14">
            <control shapeId="1208" r:id="rId177" name="Drop Down 184">
              <controlPr defaultSize="0" autoLine="0" autoPict="0">
                <anchor moveWithCells="1">
                  <from>
                    <xdr:col>2</xdr:col>
                    <xdr:colOff>76200</xdr:colOff>
                    <xdr:row>119</xdr:row>
                    <xdr:rowOff>0</xdr:rowOff>
                  </from>
                  <to>
                    <xdr:col>5</xdr:col>
                    <xdr:colOff>257175</xdr:colOff>
                    <xdr:row>120</xdr:row>
                    <xdr:rowOff>9525</xdr:rowOff>
                  </to>
                </anchor>
              </controlPr>
            </control>
          </mc:Choice>
        </mc:AlternateContent>
        <mc:AlternateContent xmlns:mc="http://schemas.openxmlformats.org/markup-compatibility/2006">
          <mc:Choice Requires="x14">
            <control shapeId="1209" r:id="rId178" name="Drop Down 185">
              <controlPr defaultSize="0" autoLine="0" autoPict="0">
                <anchor moveWithCells="1">
                  <from>
                    <xdr:col>6</xdr:col>
                    <xdr:colOff>0</xdr:colOff>
                    <xdr:row>119</xdr:row>
                    <xdr:rowOff>0</xdr:rowOff>
                  </from>
                  <to>
                    <xdr:col>9</xdr:col>
                    <xdr:colOff>190500</xdr:colOff>
                    <xdr:row>120</xdr:row>
                    <xdr:rowOff>9525</xdr:rowOff>
                  </to>
                </anchor>
              </controlPr>
            </control>
          </mc:Choice>
        </mc:AlternateContent>
        <mc:AlternateContent xmlns:mc="http://schemas.openxmlformats.org/markup-compatibility/2006">
          <mc:Choice Requires="x14">
            <control shapeId="1210" r:id="rId179" name="Drop Down 186">
              <controlPr defaultSize="0" autoLine="0" autoPict="0">
                <anchor moveWithCells="1">
                  <from>
                    <xdr:col>12</xdr:col>
                    <xdr:colOff>0</xdr:colOff>
                    <xdr:row>119</xdr:row>
                    <xdr:rowOff>0</xdr:rowOff>
                  </from>
                  <to>
                    <xdr:col>15</xdr:col>
                    <xdr:colOff>190500</xdr:colOff>
                    <xdr:row>120</xdr:row>
                    <xdr:rowOff>9525</xdr:rowOff>
                  </to>
                </anchor>
              </controlPr>
            </control>
          </mc:Choice>
        </mc:AlternateContent>
        <mc:AlternateContent xmlns:mc="http://schemas.openxmlformats.org/markup-compatibility/2006">
          <mc:Choice Requires="x14">
            <control shapeId="1211" r:id="rId180" name="Drop Down 187">
              <controlPr defaultSize="0" autoLine="0" autoPict="0">
                <anchor moveWithCells="1">
                  <from>
                    <xdr:col>16</xdr:col>
                    <xdr:colOff>0</xdr:colOff>
                    <xdr:row>119</xdr:row>
                    <xdr:rowOff>0</xdr:rowOff>
                  </from>
                  <to>
                    <xdr:col>19</xdr:col>
                    <xdr:colOff>190500</xdr:colOff>
                    <xdr:row>120</xdr:row>
                    <xdr:rowOff>9525</xdr:rowOff>
                  </to>
                </anchor>
              </controlPr>
            </control>
          </mc:Choice>
        </mc:AlternateContent>
        <mc:AlternateContent xmlns:mc="http://schemas.openxmlformats.org/markup-compatibility/2006">
          <mc:Choice Requires="x14">
            <control shapeId="1212" r:id="rId181" name="Check Box 188">
              <controlPr defaultSize="0" autoFill="0" autoLine="0" autoPict="0">
                <anchor moveWithCells="1">
                  <from>
                    <xdr:col>10</xdr:col>
                    <xdr:colOff>38100</xdr:colOff>
                    <xdr:row>119</xdr:row>
                    <xdr:rowOff>0</xdr:rowOff>
                  </from>
                  <to>
                    <xdr:col>10</xdr:col>
                    <xdr:colOff>342900</xdr:colOff>
                    <xdr:row>120</xdr:row>
                    <xdr:rowOff>28575</xdr:rowOff>
                  </to>
                </anchor>
              </controlPr>
            </control>
          </mc:Choice>
        </mc:AlternateContent>
        <mc:AlternateContent xmlns:mc="http://schemas.openxmlformats.org/markup-compatibility/2006">
          <mc:Choice Requires="x14">
            <control shapeId="1213" r:id="rId182" name="Drop Down 189">
              <controlPr defaultSize="0" autoLine="0" autoPict="0">
                <anchor moveWithCells="1">
                  <from>
                    <xdr:col>20</xdr:col>
                    <xdr:colOff>0</xdr:colOff>
                    <xdr:row>119</xdr:row>
                    <xdr:rowOff>0</xdr:rowOff>
                  </from>
                  <to>
                    <xdr:col>23</xdr:col>
                    <xdr:colOff>190500</xdr:colOff>
                    <xdr:row>120</xdr:row>
                    <xdr:rowOff>9525</xdr:rowOff>
                  </to>
                </anchor>
              </controlPr>
            </control>
          </mc:Choice>
        </mc:AlternateContent>
        <mc:AlternateContent xmlns:mc="http://schemas.openxmlformats.org/markup-compatibility/2006">
          <mc:Choice Requires="x14">
            <control shapeId="1214" r:id="rId183" name="Drop Down 190">
              <controlPr defaultSize="0" autoLine="0" autoPict="0">
                <anchor moveWithCells="1">
                  <from>
                    <xdr:col>63</xdr:col>
                    <xdr:colOff>0</xdr:colOff>
                    <xdr:row>119</xdr:row>
                    <xdr:rowOff>0</xdr:rowOff>
                  </from>
                  <to>
                    <xdr:col>65</xdr:col>
                    <xdr:colOff>19050</xdr:colOff>
                    <xdr:row>120</xdr:row>
                    <xdr:rowOff>9525</xdr:rowOff>
                  </to>
                </anchor>
              </controlPr>
            </control>
          </mc:Choice>
        </mc:AlternateContent>
        <mc:AlternateContent xmlns:mc="http://schemas.openxmlformats.org/markup-compatibility/2006">
          <mc:Choice Requires="x14">
            <control shapeId="1215" r:id="rId184" name="Drop Down 191">
              <controlPr defaultSize="0" autoLine="0" autoPict="0">
                <anchor moveWithCells="1">
                  <from>
                    <xdr:col>109</xdr:col>
                    <xdr:colOff>0</xdr:colOff>
                    <xdr:row>119</xdr:row>
                    <xdr:rowOff>0</xdr:rowOff>
                  </from>
                  <to>
                    <xdr:col>111</xdr:col>
                    <xdr:colOff>333375</xdr:colOff>
                    <xdr:row>120</xdr:row>
                    <xdr:rowOff>9525</xdr:rowOff>
                  </to>
                </anchor>
              </controlPr>
            </control>
          </mc:Choice>
        </mc:AlternateContent>
        <mc:AlternateContent xmlns:mc="http://schemas.openxmlformats.org/markup-compatibility/2006">
          <mc:Choice Requires="x14">
            <control shapeId="1216" r:id="rId185" name="Drop Down 192">
              <controlPr defaultSize="0" autoLine="0" autoPict="0">
                <anchor moveWithCells="1">
                  <from>
                    <xdr:col>205</xdr:col>
                    <xdr:colOff>0</xdr:colOff>
                    <xdr:row>119</xdr:row>
                    <xdr:rowOff>0</xdr:rowOff>
                  </from>
                  <to>
                    <xdr:col>207</xdr:col>
                    <xdr:colOff>161925</xdr:colOff>
                    <xdr:row>120</xdr:row>
                    <xdr:rowOff>9525</xdr:rowOff>
                  </to>
                </anchor>
              </controlPr>
            </control>
          </mc:Choice>
        </mc:AlternateContent>
        <mc:AlternateContent xmlns:mc="http://schemas.openxmlformats.org/markup-compatibility/2006">
          <mc:Choice Requires="x14">
            <control shapeId="1217" r:id="rId186" name="Drop Down 193">
              <controlPr defaultSize="0" autoLine="0" autoPict="0">
                <anchor moveWithCells="1">
                  <from>
                    <xdr:col>2</xdr:col>
                    <xdr:colOff>76200</xdr:colOff>
                    <xdr:row>121</xdr:row>
                    <xdr:rowOff>0</xdr:rowOff>
                  </from>
                  <to>
                    <xdr:col>5</xdr:col>
                    <xdr:colOff>257175</xdr:colOff>
                    <xdr:row>122</xdr:row>
                    <xdr:rowOff>9525</xdr:rowOff>
                  </to>
                </anchor>
              </controlPr>
            </control>
          </mc:Choice>
        </mc:AlternateContent>
        <mc:AlternateContent xmlns:mc="http://schemas.openxmlformats.org/markup-compatibility/2006">
          <mc:Choice Requires="x14">
            <control shapeId="1218" r:id="rId187" name="Drop Down 194">
              <controlPr defaultSize="0" autoLine="0" autoPict="0">
                <anchor moveWithCells="1">
                  <from>
                    <xdr:col>6</xdr:col>
                    <xdr:colOff>0</xdr:colOff>
                    <xdr:row>121</xdr:row>
                    <xdr:rowOff>0</xdr:rowOff>
                  </from>
                  <to>
                    <xdr:col>9</xdr:col>
                    <xdr:colOff>190500</xdr:colOff>
                    <xdr:row>122</xdr:row>
                    <xdr:rowOff>9525</xdr:rowOff>
                  </to>
                </anchor>
              </controlPr>
            </control>
          </mc:Choice>
        </mc:AlternateContent>
        <mc:AlternateContent xmlns:mc="http://schemas.openxmlformats.org/markup-compatibility/2006">
          <mc:Choice Requires="x14">
            <control shapeId="1219" r:id="rId188" name="Drop Down 195">
              <controlPr defaultSize="0" autoLine="0" autoPict="0">
                <anchor moveWithCells="1">
                  <from>
                    <xdr:col>12</xdr:col>
                    <xdr:colOff>0</xdr:colOff>
                    <xdr:row>121</xdr:row>
                    <xdr:rowOff>0</xdr:rowOff>
                  </from>
                  <to>
                    <xdr:col>15</xdr:col>
                    <xdr:colOff>190500</xdr:colOff>
                    <xdr:row>122</xdr:row>
                    <xdr:rowOff>9525</xdr:rowOff>
                  </to>
                </anchor>
              </controlPr>
            </control>
          </mc:Choice>
        </mc:AlternateContent>
        <mc:AlternateContent xmlns:mc="http://schemas.openxmlformats.org/markup-compatibility/2006">
          <mc:Choice Requires="x14">
            <control shapeId="1220" r:id="rId189" name="Drop Down 196">
              <controlPr defaultSize="0" autoLine="0" autoPict="0">
                <anchor moveWithCells="1">
                  <from>
                    <xdr:col>16</xdr:col>
                    <xdr:colOff>0</xdr:colOff>
                    <xdr:row>121</xdr:row>
                    <xdr:rowOff>0</xdr:rowOff>
                  </from>
                  <to>
                    <xdr:col>19</xdr:col>
                    <xdr:colOff>190500</xdr:colOff>
                    <xdr:row>122</xdr:row>
                    <xdr:rowOff>9525</xdr:rowOff>
                  </to>
                </anchor>
              </controlPr>
            </control>
          </mc:Choice>
        </mc:AlternateContent>
        <mc:AlternateContent xmlns:mc="http://schemas.openxmlformats.org/markup-compatibility/2006">
          <mc:Choice Requires="x14">
            <control shapeId="1221" r:id="rId190" name="Check Box 197">
              <controlPr defaultSize="0" autoFill="0" autoLine="0" autoPict="0">
                <anchor moveWithCells="1">
                  <from>
                    <xdr:col>10</xdr:col>
                    <xdr:colOff>38100</xdr:colOff>
                    <xdr:row>121</xdr:row>
                    <xdr:rowOff>0</xdr:rowOff>
                  </from>
                  <to>
                    <xdr:col>10</xdr:col>
                    <xdr:colOff>342900</xdr:colOff>
                    <xdr:row>122</xdr:row>
                    <xdr:rowOff>28575</xdr:rowOff>
                  </to>
                </anchor>
              </controlPr>
            </control>
          </mc:Choice>
        </mc:AlternateContent>
        <mc:AlternateContent xmlns:mc="http://schemas.openxmlformats.org/markup-compatibility/2006">
          <mc:Choice Requires="x14">
            <control shapeId="1222" r:id="rId191" name="Drop Down 198">
              <controlPr defaultSize="0" autoLine="0" autoPict="0">
                <anchor moveWithCells="1">
                  <from>
                    <xdr:col>20</xdr:col>
                    <xdr:colOff>0</xdr:colOff>
                    <xdr:row>121</xdr:row>
                    <xdr:rowOff>0</xdr:rowOff>
                  </from>
                  <to>
                    <xdr:col>23</xdr:col>
                    <xdr:colOff>190500</xdr:colOff>
                    <xdr:row>122</xdr:row>
                    <xdr:rowOff>9525</xdr:rowOff>
                  </to>
                </anchor>
              </controlPr>
            </control>
          </mc:Choice>
        </mc:AlternateContent>
        <mc:AlternateContent xmlns:mc="http://schemas.openxmlformats.org/markup-compatibility/2006">
          <mc:Choice Requires="x14">
            <control shapeId="1223" r:id="rId192" name="Drop Down 199">
              <controlPr defaultSize="0" autoLine="0" autoPict="0">
                <anchor moveWithCells="1">
                  <from>
                    <xdr:col>63</xdr:col>
                    <xdr:colOff>0</xdr:colOff>
                    <xdr:row>121</xdr:row>
                    <xdr:rowOff>0</xdr:rowOff>
                  </from>
                  <to>
                    <xdr:col>65</xdr:col>
                    <xdr:colOff>19050</xdr:colOff>
                    <xdr:row>122</xdr:row>
                    <xdr:rowOff>9525</xdr:rowOff>
                  </to>
                </anchor>
              </controlPr>
            </control>
          </mc:Choice>
        </mc:AlternateContent>
        <mc:AlternateContent xmlns:mc="http://schemas.openxmlformats.org/markup-compatibility/2006">
          <mc:Choice Requires="x14">
            <control shapeId="1224" r:id="rId193" name="Drop Down 200">
              <controlPr defaultSize="0" autoLine="0" autoPict="0">
                <anchor moveWithCells="1">
                  <from>
                    <xdr:col>109</xdr:col>
                    <xdr:colOff>0</xdr:colOff>
                    <xdr:row>121</xdr:row>
                    <xdr:rowOff>0</xdr:rowOff>
                  </from>
                  <to>
                    <xdr:col>111</xdr:col>
                    <xdr:colOff>333375</xdr:colOff>
                    <xdr:row>122</xdr:row>
                    <xdr:rowOff>9525</xdr:rowOff>
                  </to>
                </anchor>
              </controlPr>
            </control>
          </mc:Choice>
        </mc:AlternateContent>
        <mc:AlternateContent xmlns:mc="http://schemas.openxmlformats.org/markup-compatibility/2006">
          <mc:Choice Requires="x14">
            <control shapeId="1225" r:id="rId194" name="Drop Down 201">
              <controlPr defaultSize="0" autoLine="0" autoPict="0">
                <anchor moveWithCells="1">
                  <from>
                    <xdr:col>205</xdr:col>
                    <xdr:colOff>0</xdr:colOff>
                    <xdr:row>121</xdr:row>
                    <xdr:rowOff>0</xdr:rowOff>
                  </from>
                  <to>
                    <xdr:col>207</xdr:col>
                    <xdr:colOff>161925</xdr:colOff>
                    <xdr:row>122</xdr:row>
                    <xdr:rowOff>9525</xdr:rowOff>
                  </to>
                </anchor>
              </controlPr>
            </control>
          </mc:Choice>
        </mc:AlternateContent>
        <mc:AlternateContent xmlns:mc="http://schemas.openxmlformats.org/markup-compatibility/2006">
          <mc:Choice Requires="x14">
            <control shapeId="1226" r:id="rId195" name="Drop Down 202">
              <controlPr defaultSize="0" autoLine="0" autoPict="0">
                <anchor moveWithCells="1">
                  <from>
                    <xdr:col>2</xdr:col>
                    <xdr:colOff>76200</xdr:colOff>
                    <xdr:row>123</xdr:row>
                    <xdr:rowOff>0</xdr:rowOff>
                  </from>
                  <to>
                    <xdr:col>5</xdr:col>
                    <xdr:colOff>257175</xdr:colOff>
                    <xdr:row>124</xdr:row>
                    <xdr:rowOff>9525</xdr:rowOff>
                  </to>
                </anchor>
              </controlPr>
            </control>
          </mc:Choice>
        </mc:AlternateContent>
        <mc:AlternateContent xmlns:mc="http://schemas.openxmlformats.org/markup-compatibility/2006">
          <mc:Choice Requires="x14">
            <control shapeId="1227" r:id="rId196" name="Drop Down 203">
              <controlPr defaultSize="0" autoLine="0" autoPict="0">
                <anchor moveWithCells="1">
                  <from>
                    <xdr:col>6</xdr:col>
                    <xdr:colOff>0</xdr:colOff>
                    <xdr:row>123</xdr:row>
                    <xdr:rowOff>0</xdr:rowOff>
                  </from>
                  <to>
                    <xdr:col>9</xdr:col>
                    <xdr:colOff>190500</xdr:colOff>
                    <xdr:row>124</xdr:row>
                    <xdr:rowOff>9525</xdr:rowOff>
                  </to>
                </anchor>
              </controlPr>
            </control>
          </mc:Choice>
        </mc:AlternateContent>
        <mc:AlternateContent xmlns:mc="http://schemas.openxmlformats.org/markup-compatibility/2006">
          <mc:Choice Requires="x14">
            <control shapeId="1228" r:id="rId197" name="Drop Down 204">
              <controlPr defaultSize="0" autoLine="0" autoPict="0">
                <anchor moveWithCells="1">
                  <from>
                    <xdr:col>12</xdr:col>
                    <xdr:colOff>0</xdr:colOff>
                    <xdr:row>123</xdr:row>
                    <xdr:rowOff>0</xdr:rowOff>
                  </from>
                  <to>
                    <xdr:col>15</xdr:col>
                    <xdr:colOff>190500</xdr:colOff>
                    <xdr:row>124</xdr:row>
                    <xdr:rowOff>9525</xdr:rowOff>
                  </to>
                </anchor>
              </controlPr>
            </control>
          </mc:Choice>
        </mc:AlternateContent>
        <mc:AlternateContent xmlns:mc="http://schemas.openxmlformats.org/markup-compatibility/2006">
          <mc:Choice Requires="x14">
            <control shapeId="1229" r:id="rId198" name="Drop Down 205">
              <controlPr defaultSize="0" autoLine="0" autoPict="0">
                <anchor moveWithCells="1">
                  <from>
                    <xdr:col>16</xdr:col>
                    <xdr:colOff>0</xdr:colOff>
                    <xdr:row>123</xdr:row>
                    <xdr:rowOff>0</xdr:rowOff>
                  </from>
                  <to>
                    <xdr:col>19</xdr:col>
                    <xdr:colOff>190500</xdr:colOff>
                    <xdr:row>124</xdr:row>
                    <xdr:rowOff>9525</xdr:rowOff>
                  </to>
                </anchor>
              </controlPr>
            </control>
          </mc:Choice>
        </mc:AlternateContent>
        <mc:AlternateContent xmlns:mc="http://schemas.openxmlformats.org/markup-compatibility/2006">
          <mc:Choice Requires="x14">
            <control shapeId="1230" r:id="rId199" name="Check Box 206">
              <controlPr defaultSize="0" autoFill="0" autoLine="0" autoPict="0">
                <anchor moveWithCells="1">
                  <from>
                    <xdr:col>10</xdr:col>
                    <xdr:colOff>38100</xdr:colOff>
                    <xdr:row>123</xdr:row>
                    <xdr:rowOff>0</xdr:rowOff>
                  </from>
                  <to>
                    <xdr:col>10</xdr:col>
                    <xdr:colOff>342900</xdr:colOff>
                    <xdr:row>124</xdr:row>
                    <xdr:rowOff>28575</xdr:rowOff>
                  </to>
                </anchor>
              </controlPr>
            </control>
          </mc:Choice>
        </mc:AlternateContent>
        <mc:AlternateContent xmlns:mc="http://schemas.openxmlformats.org/markup-compatibility/2006">
          <mc:Choice Requires="x14">
            <control shapeId="1231" r:id="rId200" name="Drop Down 207">
              <controlPr defaultSize="0" autoLine="0" autoPict="0">
                <anchor moveWithCells="1">
                  <from>
                    <xdr:col>20</xdr:col>
                    <xdr:colOff>0</xdr:colOff>
                    <xdr:row>123</xdr:row>
                    <xdr:rowOff>0</xdr:rowOff>
                  </from>
                  <to>
                    <xdr:col>23</xdr:col>
                    <xdr:colOff>190500</xdr:colOff>
                    <xdr:row>124</xdr:row>
                    <xdr:rowOff>9525</xdr:rowOff>
                  </to>
                </anchor>
              </controlPr>
            </control>
          </mc:Choice>
        </mc:AlternateContent>
        <mc:AlternateContent xmlns:mc="http://schemas.openxmlformats.org/markup-compatibility/2006">
          <mc:Choice Requires="x14">
            <control shapeId="1232" r:id="rId201" name="Drop Down 208">
              <controlPr defaultSize="0" autoLine="0" autoPict="0">
                <anchor moveWithCells="1">
                  <from>
                    <xdr:col>63</xdr:col>
                    <xdr:colOff>0</xdr:colOff>
                    <xdr:row>123</xdr:row>
                    <xdr:rowOff>0</xdr:rowOff>
                  </from>
                  <to>
                    <xdr:col>65</xdr:col>
                    <xdr:colOff>19050</xdr:colOff>
                    <xdr:row>124</xdr:row>
                    <xdr:rowOff>9525</xdr:rowOff>
                  </to>
                </anchor>
              </controlPr>
            </control>
          </mc:Choice>
        </mc:AlternateContent>
        <mc:AlternateContent xmlns:mc="http://schemas.openxmlformats.org/markup-compatibility/2006">
          <mc:Choice Requires="x14">
            <control shapeId="1233" r:id="rId202" name="Drop Down 209">
              <controlPr defaultSize="0" autoLine="0" autoPict="0">
                <anchor moveWithCells="1">
                  <from>
                    <xdr:col>109</xdr:col>
                    <xdr:colOff>0</xdr:colOff>
                    <xdr:row>123</xdr:row>
                    <xdr:rowOff>0</xdr:rowOff>
                  </from>
                  <to>
                    <xdr:col>111</xdr:col>
                    <xdr:colOff>333375</xdr:colOff>
                    <xdr:row>124</xdr:row>
                    <xdr:rowOff>9525</xdr:rowOff>
                  </to>
                </anchor>
              </controlPr>
            </control>
          </mc:Choice>
        </mc:AlternateContent>
        <mc:AlternateContent xmlns:mc="http://schemas.openxmlformats.org/markup-compatibility/2006">
          <mc:Choice Requires="x14">
            <control shapeId="1234" r:id="rId203" name="Drop Down 210">
              <controlPr defaultSize="0" autoLine="0" autoPict="0">
                <anchor moveWithCells="1">
                  <from>
                    <xdr:col>205</xdr:col>
                    <xdr:colOff>0</xdr:colOff>
                    <xdr:row>123</xdr:row>
                    <xdr:rowOff>0</xdr:rowOff>
                  </from>
                  <to>
                    <xdr:col>207</xdr:col>
                    <xdr:colOff>161925</xdr:colOff>
                    <xdr:row>124</xdr:row>
                    <xdr:rowOff>9525</xdr:rowOff>
                  </to>
                </anchor>
              </controlPr>
            </control>
          </mc:Choice>
        </mc:AlternateContent>
        <mc:AlternateContent xmlns:mc="http://schemas.openxmlformats.org/markup-compatibility/2006">
          <mc:Choice Requires="x14">
            <control shapeId="1235" r:id="rId204" name="Drop Down 211">
              <controlPr defaultSize="0" autoLine="0" autoPict="0">
                <anchor moveWithCells="1">
                  <from>
                    <xdr:col>2</xdr:col>
                    <xdr:colOff>76200</xdr:colOff>
                    <xdr:row>125</xdr:row>
                    <xdr:rowOff>0</xdr:rowOff>
                  </from>
                  <to>
                    <xdr:col>5</xdr:col>
                    <xdr:colOff>257175</xdr:colOff>
                    <xdr:row>126</xdr:row>
                    <xdr:rowOff>9525</xdr:rowOff>
                  </to>
                </anchor>
              </controlPr>
            </control>
          </mc:Choice>
        </mc:AlternateContent>
        <mc:AlternateContent xmlns:mc="http://schemas.openxmlformats.org/markup-compatibility/2006">
          <mc:Choice Requires="x14">
            <control shapeId="1236" r:id="rId205" name="Drop Down 212">
              <controlPr defaultSize="0" autoLine="0" autoPict="0">
                <anchor moveWithCells="1">
                  <from>
                    <xdr:col>6</xdr:col>
                    <xdr:colOff>0</xdr:colOff>
                    <xdr:row>125</xdr:row>
                    <xdr:rowOff>0</xdr:rowOff>
                  </from>
                  <to>
                    <xdr:col>9</xdr:col>
                    <xdr:colOff>190500</xdr:colOff>
                    <xdr:row>126</xdr:row>
                    <xdr:rowOff>9525</xdr:rowOff>
                  </to>
                </anchor>
              </controlPr>
            </control>
          </mc:Choice>
        </mc:AlternateContent>
        <mc:AlternateContent xmlns:mc="http://schemas.openxmlformats.org/markup-compatibility/2006">
          <mc:Choice Requires="x14">
            <control shapeId="1237" r:id="rId206" name="Drop Down 213">
              <controlPr defaultSize="0" autoLine="0" autoPict="0">
                <anchor moveWithCells="1">
                  <from>
                    <xdr:col>12</xdr:col>
                    <xdr:colOff>0</xdr:colOff>
                    <xdr:row>125</xdr:row>
                    <xdr:rowOff>0</xdr:rowOff>
                  </from>
                  <to>
                    <xdr:col>15</xdr:col>
                    <xdr:colOff>190500</xdr:colOff>
                    <xdr:row>126</xdr:row>
                    <xdr:rowOff>9525</xdr:rowOff>
                  </to>
                </anchor>
              </controlPr>
            </control>
          </mc:Choice>
        </mc:AlternateContent>
        <mc:AlternateContent xmlns:mc="http://schemas.openxmlformats.org/markup-compatibility/2006">
          <mc:Choice Requires="x14">
            <control shapeId="1238" r:id="rId207" name="Drop Down 214">
              <controlPr defaultSize="0" autoLine="0" autoPict="0">
                <anchor moveWithCells="1">
                  <from>
                    <xdr:col>16</xdr:col>
                    <xdr:colOff>0</xdr:colOff>
                    <xdr:row>125</xdr:row>
                    <xdr:rowOff>0</xdr:rowOff>
                  </from>
                  <to>
                    <xdr:col>19</xdr:col>
                    <xdr:colOff>190500</xdr:colOff>
                    <xdr:row>126</xdr:row>
                    <xdr:rowOff>9525</xdr:rowOff>
                  </to>
                </anchor>
              </controlPr>
            </control>
          </mc:Choice>
        </mc:AlternateContent>
        <mc:AlternateContent xmlns:mc="http://schemas.openxmlformats.org/markup-compatibility/2006">
          <mc:Choice Requires="x14">
            <control shapeId="1239" r:id="rId208" name="Check Box 215">
              <controlPr defaultSize="0" autoFill="0" autoLine="0" autoPict="0">
                <anchor moveWithCells="1">
                  <from>
                    <xdr:col>10</xdr:col>
                    <xdr:colOff>38100</xdr:colOff>
                    <xdr:row>125</xdr:row>
                    <xdr:rowOff>0</xdr:rowOff>
                  </from>
                  <to>
                    <xdr:col>10</xdr:col>
                    <xdr:colOff>342900</xdr:colOff>
                    <xdr:row>126</xdr:row>
                    <xdr:rowOff>28575</xdr:rowOff>
                  </to>
                </anchor>
              </controlPr>
            </control>
          </mc:Choice>
        </mc:AlternateContent>
        <mc:AlternateContent xmlns:mc="http://schemas.openxmlformats.org/markup-compatibility/2006">
          <mc:Choice Requires="x14">
            <control shapeId="1240" r:id="rId209" name="Drop Down 216">
              <controlPr defaultSize="0" autoLine="0" autoPict="0">
                <anchor moveWithCells="1">
                  <from>
                    <xdr:col>20</xdr:col>
                    <xdr:colOff>0</xdr:colOff>
                    <xdr:row>125</xdr:row>
                    <xdr:rowOff>0</xdr:rowOff>
                  </from>
                  <to>
                    <xdr:col>23</xdr:col>
                    <xdr:colOff>190500</xdr:colOff>
                    <xdr:row>126</xdr:row>
                    <xdr:rowOff>9525</xdr:rowOff>
                  </to>
                </anchor>
              </controlPr>
            </control>
          </mc:Choice>
        </mc:AlternateContent>
        <mc:AlternateContent xmlns:mc="http://schemas.openxmlformats.org/markup-compatibility/2006">
          <mc:Choice Requires="x14">
            <control shapeId="1241" r:id="rId210" name="Drop Down 217">
              <controlPr defaultSize="0" autoLine="0" autoPict="0">
                <anchor moveWithCells="1">
                  <from>
                    <xdr:col>63</xdr:col>
                    <xdr:colOff>0</xdr:colOff>
                    <xdr:row>125</xdr:row>
                    <xdr:rowOff>0</xdr:rowOff>
                  </from>
                  <to>
                    <xdr:col>65</xdr:col>
                    <xdr:colOff>19050</xdr:colOff>
                    <xdr:row>126</xdr:row>
                    <xdr:rowOff>9525</xdr:rowOff>
                  </to>
                </anchor>
              </controlPr>
            </control>
          </mc:Choice>
        </mc:AlternateContent>
        <mc:AlternateContent xmlns:mc="http://schemas.openxmlformats.org/markup-compatibility/2006">
          <mc:Choice Requires="x14">
            <control shapeId="1242" r:id="rId211" name="Drop Down 218">
              <controlPr defaultSize="0" autoLine="0" autoPict="0">
                <anchor moveWithCells="1">
                  <from>
                    <xdr:col>109</xdr:col>
                    <xdr:colOff>0</xdr:colOff>
                    <xdr:row>125</xdr:row>
                    <xdr:rowOff>0</xdr:rowOff>
                  </from>
                  <to>
                    <xdr:col>111</xdr:col>
                    <xdr:colOff>333375</xdr:colOff>
                    <xdr:row>126</xdr:row>
                    <xdr:rowOff>9525</xdr:rowOff>
                  </to>
                </anchor>
              </controlPr>
            </control>
          </mc:Choice>
        </mc:AlternateContent>
        <mc:AlternateContent xmlns:mc="http://schemas.openxmlformats.org/markup-compatibility/2006">
          <mc:Choice Requires="x14">
            <control shapeId="1243" r:id="rId212" name="Drop Down 219">
              <controlPr defaultSize="0" autoLine="0" autoPict="0">
                <anchor moveWithCells="1">
                  <from>
                    <xdr:col>205</xdr:col>
                    <xdr:colOff>0</xdr:colOff>
                    <xdr:row>125</xdr:row>
                    <xdr:rowOff>0</xdr:rowOff>
                  </from>
                  <to>
                    <xdr:col>207</xdr:col>
                    <xdr:colOff>161925</xdr:colOff>
                    <xdr:row>126</xdr:row>
                    <xdr:rowOff>9525</xdr:rowOff>
                  </to>
                </anchor>
              </controlPr>
            </control>
          </mc:Choice>
        </mc:AlternateContent>
        <mc:AlternateContent xmlns:mc="http://schemas.openxmlformats.org/markup-compatibility/2006">
          <mc:Choice Requires="x14">
            <control shapeId="1244" r:id="rId213" name="Drop Down 220">
              <controlPr defaultSize="0" autoLine="0" autoPict="0">
                <anchor moveWithCells="1">
                  <from>
                    <xdr:col>2</xdr:col>
                    <xdr:colOff>76200</xdr:colOff>
                    <xdr:row>127</xdr:row>
                    <xdr:rowOff>0</xdr:rowOff>
                  </from>
                  <to>
                    <xdr:col>5</xdr:col>
                    <xdr:colOff>257175</xdr:colOff>
                    <xdr:row>128</xdr:row>
                    <xdr:rowOff>9525</xdr:rowOff>
                  </to>
                </anchor>
              </controlPr>
            </control>
          </mc:Choice>
        </mc:AlternateContent>
        <mc:AlternateContent xmlns:mc="http://schemas.openxmlformats.org/markup-compatibility/2006">
          <mc:Choice Requires="x14">
            <control shapeId="1245" r:id="rId214" name="Drop Down 221">
              <controlPr defaultSize="0" autoLine="0" autoPict="0">
                <anchor moveWithCells="1">
                  <from>
                    <xdr:col>6</xdr:col>
                    <xdr:colOff>0</xdr:colOff>
                    <xdr:row>127</xdr:row>
                    <xdr:rowOff>0</xdr:rowOff>
                  </from>
                  <to>
                    <xdr:col>9</xdr:col>
                    <xdr:colOff>190500</xdr:colOff>
                    <xdr:row>128</xdr:row>
                    <xdr:rowOff>9525</xdr:rowOff>
                  </to>
                </anchor>
              </controlPr>
            </control>
          </mc:Choice>
        </mc:AlternateContent>
        <mc:AlternateContent xmlns:mc="http://schemas.openxmlformats.org/markup-compatibility/2006">
          <mc:Choice Requires="x14">
            <control shapeId="1246" r:id="rId215" name="Drop Down 222">
              <controlPr defaultSize="0" autoLine="0" autoPict="0">
                <anchor moveWithCells="1">
                  <from>
                    <xdr:col>12</xdr:col>
                    <xdr:colOff>0</xdr:colOff>
                    <xdr:row>127</xdr:row>
                    <xdr:rowOff>0</xdr:rowOff>
                  </from>
                  <to>
                    <xdr:col>15</xdr:col>
                    <xdr:colOff>190500</xdr:colOff>
                    <xdr:row>128</xdr:row>
                    <xdr:rowOff>9525</xdr:rowOff>
                  </to>
                </anchor>
              </controlPr>
            </control>
          </mc:Choice>
        </mc:AlternateContent>
        <mc:AlternateContent xmlns:mc="http://schemas.openxmlformats.org/markup-compatibility/2006">
          <mc:Choice Requires="x14">
            <control shapeId="1247" r:id="rId216" name="Drop Down 223">
              <controlPr defaultSize="0" autoLine="0" autoPict="0">
                <anchor moveWithCells="1">
                  <from>
                    <xdr:col>16</xdr:col>
                    <xdr:colOff>0</xdr:colOff>
                    <xdr:row>127</xdr:row>
                    <xdr:rowOff>0</xdr:rowOff>
                  </from>
                  <to>
                    <xdr:col>19</xdr:col>
                    <xdr:colOff>190500</xdr:colOff>
                    <xdr:row>128</xdr:row>
                    <xdr:rowOff>9525</xdr:rowOff>
                  </to>
                </anchor>
              </controlPr>
            </control>
          </mc:Choice>
        </mc:AlternateContent>
        <mc:AlternateContent xmlns:mc="http://schemas.openxmlformats.org/markup-compatibility/2006">
          <mc:Choice Requires="x14">
            <control shapeId="1248" r:id="rId217" name="Check Box 224">
              <controlPr defaultSize="0" autoFill="0" autoLine="0" autoPict="0">
                <anchor moveWithCells="1">
                  <from>
                    <xdr:col>10</xdr:col>
                    <xdr:colOff>38100</xdr:colOff>
                    <xdr:row>127</xdr:row>
                    <xdr:rowOff>0</xdr:rowOff>
                  </from>
                  <to>
                    <xdr:col>10</xdr:col>
                    <xdr:colOff>342900</xdr:colOff>
                    <xdr:row>128</xdr:row>
                    <xdr:rowOff>28575</xdr:rowOff>
                  </to>
                </anchor>
              </controlPr>
            </control>
          </mc:Choice>
        </mc:AlternateContent>
        <mc:AlternateContent xmlns:mc="http://schemas.openxmlformats.org/markup-compatibility/2006">
          <mc:Choice Requires="x14">
            <control shapeId="1249" r:id="rId218" name="Drop Down 225">
              <controlPr defaultSize="0" autoLine="0" autoPict="0">
                <anchor moveWithCells="1">
                  <from>
                    <xdr:col>20</xdr:col>
                    <xdr:colOff>0</xdr:colOff>
                    <xdr:row>127</xdr:row>
                    <xdr:rowOff>0</xdr:rowOff>
                  </from>
                  <to>
                    <xdr:col>23</xdr:col>
                    <xdr:colOff>190500</xdr:colOff>
                    <xdr:row>128</xdr:row>
                    <xdr:rowOff>9525</xdr:rowOff>
                  </to>
                </anchor>
              </controlPr>
            </control>
          </mc:Choice>
        </mc:AlternateContent>
        <mc:AlternateContent xmlns:mc="http://schemas.openxmlformats.org/markup-compatibility/2006">
          <mc:Choice Requires="x14">
            <control shapeId="1250" r:id="rId219" name="Drop Down 226">
              <controlPr defaultSize="0" autoLine="0" autoPict="0">
                <anchor moveWithCells="1">
                  <from>
                    <xdr:col>63</xdr:col>
                    <xdr:colOff>0</xdr:colOff>
                    <xdr:row>127</xdr:row>
                    <xdr:rowOff>0</xdr:rowOff>
                  </from>
                  <to>
                    <xdr:col>65</xdr:col>
                    <xdr:colOff>19050</xdr:colOff>
                    <xdr:row>128</xdr:row>
                    <xdr:rowOff>9525</xdr:rowOff>
                  </to>
                </anchor>
              </controlPr>
            </control>
          </mc:Choice>
        </mc:AlternateContent>
        <mc:AlternateContent xmlns:mc="http://schemas.openxmlformats.org/markup-compatibility/2006">
          <mc:Choice Requires="x14">
            <control shapeId="1251" r:id="rId220" name="Drop Down 227">
              <controlPr defaultSize="0" autoLine="0" autoPict="0">
                <anchor moveWithCells="1">
                  <from>
                    <xdr:col>109</xdr:col>
                    <xdr:colOff>0</xdr:colOff>
                    <xdr:row>127</xdr:row>
                    <xdr:rowOff>0</xdr:rowOff>
                  </from>
                  <to>
                    <xdr:col>111</xdr:col>
                    <xdr:colOff>333375</xdr:colOff>
                    <xdr:row>128</xdr:row>
                    <xdr:rowOff>9525</xdr:rowOff>
                  </to>
                </anchor>
              </controlPr>
            </control>
          </mc:Choice>
        </mc:AlternateContent>
        <mc:AlternateContent xmlns:mc="http://schemas.openxmlformats.org/markup-compatibility/2006">
          <mc:Choice Requires="x14">
            <control shapeId="1252" r:id="rId221" name="Drop Down 228">
              <controlPr defaultSize="0" autoLine="0" autoPict="0">
                <anchor moveWithCells="1">
                  <from>
                    <xdr:col>205</xdr:col>
                    <xdr:colOff>0</xdr:colOff>
                    <xdr:row>127</xdr:row>
                    <xdr:rowOff>0</xdr:rowOff>
                  </from>
                  <to>
                    <xdr:col>207</xdr:col>
                    <xdr:colOff>161925</xdr:colOff>
                    <xdr:row>128</xdr:row>
                    <xdr:rowOff>9525</xdr:rowOff>
                  </to>
                </anchor>
              </controlPr>
            </control>
          </mc:Choice>
        </mc:AlternateContent>
        <mc:AlternateContent xmlns:mc="http://schemas.openxmlformats.org/markup-compatibility/2006">
          <mc:Choice Requires="x14">
            <control shapeId="1253" r:id="rId222" name="Drop Down 229">
              <controlPr defaultSize="0" autoLine="0" autoPict="0">
                <anchor moveWithCells="1">
                  <from>
                    <xdr:col>2</xdr:col>
                    <xdr:colOff>76200</xdr:colOff>
                    <xdr:row>129</xdr:row>
                    <xdr:rowOff>0</xdr:rowOff>
                  </from>
                  <to>
                    <xdr:col>5</xdr:col>
                    <xdr:colOff>257175</xdr:colOff>
                    <xdr:row>130</xdr:row>
                    <xdr:rowOff>9525</xdr:rowOff>
                  </to>
                </anchor>
              </controlPr>
            </control>
          </mc:Choice>
        </mc:AlternateContent>
        <mc:AlternateContent xmlns:mc="http://schemas.openxmlformats.org/markup-compatibility/2006">
          <mc:Choice Requires="x14">
            <control shapeId="1254" r:id="rId223" name="Drop Down 230">
              <controlPr defaultSize="0" autoLine="0" autoPict="0">
                <anchor moveWithCells="1">
                  <from>
                    <xdr:col>6</xdr:col>
                    <xdr:colOff>0</xdr:colOff>
                    <xdr:row>129</xdr:row>
                    <xdr:rowOff>0</xdr:rowOff>
                  </from>
                  <to>
                    <xdr:col>9</xdr:col>
                    <xdr:colOff>190500</xdr:colOff>
                    <xdr:row>130</xdr:row>
                    <xdr:rowOff>9525</xdr:rowOff>
                  </to>
                </anchor>
              </controlPr>
            </control>
          </mc:Choice>
        </mc:AlternateContent>
        <mc:AlternateContent xmlns:mc="http://schemas.openxmlformats.org/markup-compatibility/2006">
          <mc:Choice Requires="x14">
            <control shapeId="1255" r:id="rId224" name="Drop Down 231">
              <controlPr defaultSize="0" autoLine="0" autoPict="0">
                <anchor moveWithCells="1">
                  <from>
                    <xdr:col>12</xdr:col>
                    <xdr:colOff>0</xdr:colOff>
                    <xdr:row>129</xdr:row>
                    <xdr:rowOff>0</xdr:rowOff>
                  </from>
                  <to>
                    <xdr:col>15</xdr:col>
                    <xdr:colOff>190500</xdr:colOff>
                    <xdr:row>130</xdr:row>
                    <xdr:rowOff>9525</xdr:rowOff>
                  </to>
                </anchor>
              </controlPr>
            </control>
          </mc:Choice>
        </mc:AlternateContent>
        <mc:AlternateContent xmlns:mc="http://schemas.openxmlformats.org/markup-compatibility/2006">
          <mc:Choice Requires="x14">
            <control shapeId="1256" r:id="rId225" name="Drop Down 232">
              <controlPr defaultSize="0" autoLine="0" autoPict="0">
                <anchor moveWithCells="1">
                  <from>
                    <xdr:col>16</xdr:col>
                    <xdr:colOff>0</xdr:colOff>
                    <xdr:row>129</xdr:row>
                    <xdr:rowOff>0</xdr:rowOff>
                  </from>
                  <to>
                    <xdr:col>19</xdr:col>
                    <xdr:colOff>190500</xdr:colOff>
                    <xdr:row>130</xdr:row>
                    <xdr:rowOff>9525</xdr:rowOff>
                  </to>
                </anchor>
              </controlPr>
            </control>
          </mc:Choice>
        </mc:AlternateContent>
        <mc:AlternateContent xmlns:mc="http://schemas.openxmlformats.org/markup-compatibility/2006">
          <mc:Choice Requires="x14">
            <control shapeId="1257" r:id="rId226" name="Check Box 233">
              <controlPr defaultSize="0" autoFill="0" autoLine="0" autoPict="0">
                <anchor moveWithCells="1">
                  <from>
                    <xdr:col>10</xdr:col>
                    <xdr:colOff>38100</xdr:colOff>
                    <xdr:row>129</xdr:row>
                    <xdr:rowOff>0</xdr:rowOff>
                  </from>
                  <to>
                    <xdr:col>10</xdr:col>
                    <xdr:colOff>342900</xdr:colOff>
                    <xdr:row>130</xdr:row>
                    <xdr:rowOff>28575</xdr:rowOff>
                  </to>
                </anchor>
              </controlPr>
            </control>
          </mc:Choice>
        </mc:AlternateContent>
        <mc:AlternateContent xmlns:mc="http://schemas.openxmlformats.org/markup-compatibility/2006">
          <mc:Choice Requires="x14">
            <control shapeId="1258" r:id="rId227" name="Drop Down 234">
              <controlPr defaultSize="0" autoLine="0" autoPict="0">
                <anchor moveWithCells="1">
                  <from>
                    <xdr:col>20</xdr:col>
                    <xdr:colOff>0</xdr:colOff>
                    <xdr:row>129</xdr:row>
                    <xdr:rowOff>0</xdr:rowOff>
                  </from>
                  <to>
                    <xdr:col>23</xdr:col>
                    <xdr:colOff>190500</xdr:colOff>
                    <xdr:row>130</xdr:row>
                    <xdr:rowOff>9525</xdr:rowOff>
                  </to>
                </anchor>
              </controlPr>
            </control>
          </mc:Choice>
        </mc:AlternateContent>
        <mc:AlternateContent xmlns:mc="http://schemas.openxmlformats.org/markup-compatibility/2006">
          <mc:Choice Requires="x14">
            <control shapeId="1259" r:id="rId228" name="Drop Down 235">
              <controlPr defaultSize="0" autoLine="0" autoPict="0">
                <anchor moveWithCells="1">
                  <from>
                    <xdr:col>63</xdr:col>
                    <xdr:colOff>0</xdr:colOff>
                    <xdr:row>129</xdr:row>
                    <xdr:rowOff>0</xdr:rowOff>
                  </from>
                  <to>
                    <xdr:col>65</xdr:col>
                    <xdr:colOff>19050</xdr:colOff>
                    <xdr:row>130</xdr:row>
                    <xdr:rowOff>9525</xdr:rowOff>
                  </to>
                </anchor>
              </controlPr>
            </control>
          </mc:Choice>
        </mc:AlternateContent>
        <mc:AlternateContent xmlns:mc="http://schemas.openxmlformats.org/markup-compatibility/2006">
          <mc:Choice Requires="x14">
            <control shapeId="1260" r:id="rId229" name="Drop Down 236">
              <controlPr defaultSize="0" autoLine="0" autoPict="0">
                <anchor moveWithCells="1">
                  <from>
                    <xdr:col>109</xdr:col>
                    <xdr:colOff>0</xdr:colOff>
                    <xdr:row>129</xdr:row>
                    <xdr:rowOff>0</xdr:rowOff>
                  </from>
                  <to>
                    <xdr:col>111</xdr:col>
                    <xdr:colOff>333375</xdr:colOff>
                    <xdr:row>130</xdr:row>
                    <xdr:rowOff>9525</xdr:rowOff>
                  </to>
                </anchor>
              </controlPr>
            </control>
          </mc:Choice>
        </mc:AlternateContent>
        <mc:AlternateContent xmlns:mc="http://schemas.openxmlformats.org/markup-compatibility/2006">
          <mc:Choice Requires="x14">
            <control shapeId="1261" r:id="rId230" name="Drop Down 237">
              <controlPr defaultSize="0" autoLine="0" autoPict="0">
                <anchor moveWithCells="1">
                  <from>
                    <xdr:col>205</xdr:col>
                    <xdr:colOff>0</xdr:colOff>
                    <xdr:row>129</xdr:row>
                    <xdr:rowOff>0</xdr:rowOff>
                  </from>
                  <to>
                    <xdr:col>207</xdr:col>
                    <xdr:colOff>161925</xdr:colOff>
                    <xdr:row>130</xdr:row>
                    <xdr:rowOff>9525</xdr:rowOff>
                  </to>
                </anchor>
              </controlPr>
            </control>
          </mc:Choice>
        </mc:AlternateContent>
        <mc:AlternateContent xmlns:mc="http://schemas.openxmlformats.org/markup-compatibility/2006">
          <mc:Choice Requires="x14">
            <control shapeId="1262" r:id="rId231" name="Drop Down 238">
              <controlPr defaultSize="0" autoLine="0" autoPict="0">
                <anchor moveWithCells="1">
                  <from>
                    <xdr:col>2</xdr:col>
                    <xdr:colOff>76200</xdr:colOff>
                    <xdr:row>137</xdr:row>
                    <xdr:rowOff>0</xdr:rowOff>
                  </from>
                  <to>
                    <xdr:col>5</xdr:col>
                    <xdr:colOff>257175</xdr:colOff>
                    <xdr:row>138</xdr:row>
                    <xdr:rowOff>9525</xdr:rowOff>
                  </to>
                </anchor>
              </controlPr>
            </control>
          </mc:Choice>
        </mc:AlternateContent>
        <mc:AlternateContent xmlns:mc="http://schemas.openxmlformats.org/markup-compatibility/2006">
          <mc:Choice Requires="x14">
            <control shapeId="1263" r:id="rId232" name="Drop Down 239">
              <controlPr defaultSize="0" autoLine="0" autoPict="0">
                <anchor moveWithCells="1">
                  <from>
                    <xdr:col>6</xdr:col>
                    <xdr:colOff>0</xdr:colOff>
                    <xdr:row>137</xdr:row>
                    <xdr:rowOff>0</xdr:rowOff>
                  </from>
                  <to>
                    <xdr:col>9</xdr:col>
                    <xdr:colOff>190500</xdr:colOff>
                    <xdr:row>138</xdr:row>
                    <xdr:rowOff>9525</xdr:rowOff>
                  </to>
                </anchor>
              </controlPr>
            </control>
          </mc:Choice>
        </mc:AlternateContent>
        <mc:AlternateContent xmlns:mc="http://schemas.openxmlformats.org/markup-compatibility/2006">
          <mc:Choice Requires="x14">
            <control shapeId="1264" r:id="rId233" name="Drop Down 240">
              <controlPr defaultSize="0" autoLine="0" autoPict="0">
                <anchor moveWithCells="1">
                  <from>
                    <xdr:col>12</xdr:col>
                    <xdr:colOff>0</xdr:colOff>
                    <xdr:row>137</xdr:row>
                    <xdr:rowOff>0</xdr:rowOff>
                  </from>
                  <to>
                    <xdr:col>15</xdr:col>
                    <xdr:colOff>190500</xdr:colOff>
                    <xdr:row>138</xdr:row>
                    <xdr:rowOff>9525</xdr:rowOff>
                  </to>
                </anchor>
              </controlPr>
            </control>
          </mc:Choice>
        </mc:AlternateContent>
        <mc:AlternateContent xmlns:mc="http://schemas.openxmlformats.org/markup-compatibility/2006">
          <mc:Choice Requires="x14">
            <control shapeId="1265" r:id="rId234" name="Drop Down 241">
              <controlPr defaultSize="0" autoLine="0" autoPict="0">
                <anchor moveWithCells="1">
                  <from>
                    <xdr:col>16</xdr:col>
                    <xdr:colOff>0</xdr:colOff>
                    <xdr:row>137</xdr:row>
                    <xdr:rowOff>0</xdr:rowOff>
                  </from>
                  <to>
                    <xdr:col>19</xdr:col>
                    <xdr:colOff>190500</xdr:colOff>
                    <xdr:row>138</xdr:row>
                    <xdr:rowOff>9525</xdr:rowOff>
                  </to>
                </anchor>
              </controlPr>
            </control>
          </mc:Choice>
        </mc:AlternateContent>
        <mc:AlternateContent xmlns:mc="http://schemas.openxmlformats.org/markup-compatibility/2006">
          <mc:Choice Requires="x14">
            <control shapeId="1266" r:id="rId235" name="Check Box 242">
              <controlPr defaultSize="0" autoFill="0" autoLine="0" autoPict="0">
                <anchor moveWithCells="1">
                  <from>
                    <xdr:col>10</xdr:col>
                    <xdr:colOff>38100</xdr:colOff>
                    <xdr:row>137</xdr:row>
                    <xdr:rowOff>0</xdr:rowOff>
                  </from>
                  <to>
                    <xdr:col>10</xdr:col>
                    <xdr:colOff>342900</xdr:colOff>
                    <xdr:row>138</xdr:row>
                    <xdr:rowOff>28575</xdr:rowOff>
                  </to>
                </anchor>
              </controlPr>
            </control>
          </mc:Choice>
        </mc:AlternateContent>
        <mc:AlternateContent xmlns:mc="http://schemas.openxmlformats.org/markup-compatibility/2006">
          <mc:Choice Requires="x14">
            <control shapeId="1267" r:id="rId236" name="Drop Down 243">
              <controlPr defaultSize="0" autoLine="0" autoPict="0">
                <anchor moveWithCells="1">
                  <from>
                    <xdr:col>20</xdr:col>
                    <xdr:colOff>0</xdr:colOff>
                    <xdr:row>137</xdr:row>
                    <xdr:rowOff>0</xdr:rowOff>
                  </from>
                  <to>
                    <xdr:col>23</xdr:col>
                    <xdr:colOff>190500</xdr:colOff>
                    <xdr:row>138</xdr:row>
                    <xdr:rowOff>9525</xdr:rowOff>
                  </to>
                </anchor>
              </controlPr>
            </control>
          </mc:Choice>
        </mc:AlternateContent>
        <mc:AlternateContent xmlns:mc="http://schemas.openxmlformats.org/markup-compatibility/2006">
          <mc:Choice Requires="x14">
            <control shapeId="1268" r:id="rId237" name="Drop Down 244">
              <controlPr defaultSize="0" autoLine="0" autoPict="0">
                <anchor moveWithCells="1">
                  <from>
                    <xdr:col>63</xdr:col>
                    <xdr:colOff>0</xdr:colOff>
                    <xdr:row>137</xdr:row>
                    <xdr:rowOff>0</xdr:rowOff>
                  </from>
                  <to>
                    <xdr:col>65</xdr:col>
                    <xdr:colOff>19050</xdr:colOff>
                    <xdr:row>138</xdr:row>
                    <xdr:rowOff>9525</xdr:rowOff>
                  </to>
                </anchor>
              </controlPr>
            </control>
          </mc:Choice>
        </mc:AlternateContent>
        <mc:AlternateContent xmlns:mc="http://schemas.openxmlformats.org/markup-compatibility/2006">
          <mc:Choice Requires="x14">
            <control shapeId="1269" r:id="rId238" name="Drop Down 245">
              <controlPr defaultSize="0" autoLine="0" autoPict="0">
                <anchor moveWithCells="1">
                  <from>
                    <xdr:col>109</xdr:col>
                    <xdr:colOff>0</xdr:colOff>
                    <xdr:row>137</xdr:row>
                    <xdr:rowOff>0</xdr:rowOff>
                  </from>
                  <to>
                    <xdr:col>111</xdr:col>
                    <xdr:colOff>333375</xdr:colOff>
                    <xdr:row>138</xdr:row>
                    <xdr:rowOff>9525</xdr:rowOff>
                  </to>
                </anchor>
              </controlPr>
            </control>
          </mc:Choice>
        </mc:AlternateContent>
        <mc:AlternateContent xmlns:mc="http://schemas.openxmlformats.org/markup-compatibility/2006">
          <mc:Choice Requires="x14">
            <control shapeId="1270" r:id="rId239" name="Drop Down 246">
              <controlPr defaultSize="0" autoLine="0" autoPict="0">
                <anchor moveWithCells="1">
                  <from>
                    <xdr:col>205</xdr:col>
                    <xdr:colOff>0</xdr:colOff>
                    <xdr:row>137</xdr:row>
                    <xdr:rowOff>0</xdr:rowOff>
                  </from>
                  <to>
                    <xdr:col>207</xdr:col>
                    <xdr:colOff>161925</xdr:colOff>
                    <xdr:row>138</xdr:row>
                    <xdr:rowOff>9525</xdr:rowOff>
                  </to>
                </anchor>
              </controlPr>
            </control>
          </mc:Choice>
        </mc:AlternateContent>
        <mc:AlternateContent xmlns:mc="http://schemas.openxmlformats.org/markup-compatibility/2006">
          <mc:Choice Requires="x14">
            <control shapeId="1271" r:id="rId240" name="Drop Down 247">
              <controlPr defaultSize="0" autoLine="0" autoPict="0">
                <anchor moveWithCells="1">
                  <from>
                    <xdr:col>2</xdr:col>
                    <xdr:colOff>76200</xdr:colOff>
                    <xdr:row>139</xdr:row>
                    <xdr:rowOff>0</xdr:rowOff>
                  </from>
                  <to>
                    <xdr:col>5</xdr:col>
                    <xdr:colOff>257175</xdr:colOff>
                    <xdr:row>140</xdr:row>
                    <xdr:rowOff>9525</xdr:rowOff>
                  </to>
                </anchor>
              </controlPr>
            </control>
          </mc:Choice>
        </mc:AlternateContent>
        <mc:AlternateContent xmlns:mc="http://schemas.openxmlformats.org/markup-compatibility/2006">
          <mc:Choice Requires="x14">
            <control shapeId="1272" r:id="rId241" name="Drop Down 248">
              <controlPr defaultSize="0" autoLine="0" autoPict="0">
                <anchor moveWithCells="1">
                  <from>
                    <xdr:col>6</xdr:col>
                    <xdr:colOff>0</xdr:colOff>
                    <xdr:row>139</xdr:row>
                    <xdr:rowOff>0</xdr:rowOff>
                  </from>
                  <to>
                    <xdr:col>9</xdr:col>
                    <xdr:colOff>190500</xdr:colOff>
                    <xdr:row>140</xdr:row>
                    <xdr:rowOff>9525</xdr:rowOff>
                  </to>
                </anchor>
              </controlPr>
            </control>
          </mc:Choice>
        </mc:AlternateContent>
        <mc:AlternateContent xmlns:mc="http://schemas.openxmlformats.org/markup-compatibility/2006">
          <mc:Choice Requires="x14">
            <control shapeId="1273" r:id="rId242" name="Drop Down 249">
              <controlPr defaultSize="0" autoLine="0" autoPict="0">
                <anchor moveWithCells="1">
                  <from>
                    <xdr:col>12</xdr:col>
                    <xdr:colOff>0</xdr:colOff>
                    <xdr:row>139</xdr:row>
                    <xdr:rowOff>0</xdr:rowOff>
                  </from>
                  <to>
                    <xdr:col>15</xdr:col>
                    <xdr:colOff>190500</xdr:colOff>
                    <xdr:row>140</xdr:row>
                    <xdr:rowOff>9525</xdr:rowOff>
                  </to>
                </anchor>
              </controlPr>
            </control>
          </mc:Choice>
        </mc:AlternateContent>
        <mc:AlternateContent xmlns:mc="http://schemas.openxmlformats.org/markup-compatibility/2006">
          <mc:Choice Requires="x14">
            <control shapeId="1274" r:id="rId243" name="Drop Down 250">
              <controlPr defaultSize="0" autoLine="0" autoPict="0">
                <anchor moveWithCells="1">
                  <from>
                    <xdr:col>16</xdr:col>
                    <xdr:colOff>0</xdr:colOff>
                    <xdr:row>139</xdr:row>
                    <xdr:rowOff>0</xdr:rowOff>
                  </from>
                  <to>
                    <xdr:col>19</xdr:col>
                    <xdr:colOff>190500</xdr:colOff>
                    <xdr:row>140</xdr:row>
                    <xdr:rowOff>9525</xdr:rowOff>
                  </to>
                </anchor>
              </controlPr>
            </control>
          </mc:Choice>
        </mc:AlternateContent>
        <mc:AlternateContent xmlns:mc="http://schemas.openxmlformats.org/markup-compatibility/2006">
          <mc:Choice Requires="x14">
            <control shapeId="1275" r:id="rId244" name="Check Box 251">
              <controlPr defaultSize="0" autoFill="0" autoLine="0" autoPict="0">
                <anchor moveWithCells="1">
                  <from>
                    <xdr:col>10</xdr:col>
                    <xdr:colOff>38100</xdr:colOff>
                    <xdr:row>139</xdr:row>
                    <xdr:rowOff>0</xdr:rowOff>
                  </from>
                  <to>
                    <xdr:col>10</xdr:col>
                    <xdr:colOff>342900</xdr:colOff>
                    <xdr:row>140</xdr:row>
                    <xdr:rowOff>28575</xdr:rowOff>
                  </to>
                </anchor>
              </controlPr>
            </control>
          </mc:Choice>
        </mc:AlternateContent>
        <mc:AlternateContent xmlns:mc="http://schemas.openxmlformats.org/markup-compatibility/2006">
          <mc:Choice Requires="x14">
            <control shapeId="1276" r:id="rId245" name="Drop Down 252">
              <controlPr defaultSize="0" autoLine="0" autoPict="0">
                <anchor moveWithCells="1">
                  <from>
                    <xdr:col>20</xdr:col>
                    <xdr:colOff>0</xdr:colOff>
                    <xdr:row>139</xdr:row>
                    <xdr:rowOff>0</xdr:rowOff>
                  </from>
                  <to>
                    <xdr:col>23</xdr:col>
                    <xdr:colOff>190500</xdr:colOff>
                    <xdr:row>140</xdr:row>
                    <xdr:rowOff>9525</xdr:rowOff>
                  </to>
                </anchor>
              </controlPr>
            </control>
          </mc:Choice>
        </mc:AlternateContent>
        <mc:AlternateContent xmlns:mc="http://schemas.openxmlformats.org/markup-compatibility/2006">
          <mc:Choice Requires="x14">
            <control shapeId="1277" r:id="rId246" name="Drop Down 253">
              <controlPr defaultSize="0" autoLine="0" autoPict="0">
                <anchor moveWithCells="1">
                  <from>
                    <xdr:col>63</xdr:col>
                    <xdr:colOff>0</xdr:colOff>
                    <xdr:row>139</xdr:row>
                    <xdr:rowOff>0</xdr:rowOff>
                  </from>
                  <to>
                    <xdr:col>65</xdr:col>
                    <xdr:colOff>19050</xdr:colOff>
                    <xdr:row>140</xdr:row>
                    <xdr:rowOff>9525</xdr:rowOff>
                  </to>
                </anchor>
              </controlPr>
            </control>
          </mc:Choice>
        </mc:AlternateContent>
        <mc:AlternateContent xmlns:mc="http://schemas.openxmlformats.org/markup-compatibility/2006">
          <mc:Choice Requires="x14">
            <control shapeId="1278" r:id="rId247" name="Drop Down 254">
              <controlPr defaultSize="0" autoLine="0" autoPict="0">
                <anchor moveWithCells="1">
                  <from>
                    <xdr:col>109</xdr:col>
                    <xdr:colOff>0</xdr:colOff>
                    <xdr:row>139</xdr:row>
                    <xdr:rowOff>0</xdr:rowOff>
                  </from>
                  <to>
                    <xdr:col>111</xdr:col>
                    <xdr:colOff>333375</xdr:colOff>
                    <xdr:row>140</xdr:row>
                    <xdr:rowOff>9525</xdr:rowOff>
                  </to>
                </anchor>
              </controlPr>
            </control>
          </mc:Choice>
        </mc:AlternateContent>
        <mc:AlternateContent xmlns:mc="http://schemas.openxmlformats.org/markup-compatibility/2006">
          <mc:Choice Requires="x14">
            <control shapeId="1279" r:id="rId248" name="Drop Down 255">
              <controlPr defaultSize="0" autoLine="0" autoPict="0">
                <anchor moveWithCells="1">
                  <from>
                    <xdr:col>205</xdr:col>
                    <xdr:colOff>0</xdr:colOff>
                    <xdr:row>139</xdr:row>
                    <xdr:rowOff>0</xdr:rowOff>
                  </from>
                  <to>
                    <xdr:col>207</xdr:col>
                    <xdr:colOff>161925</xdr:colOff>
                    <xdr:row>140</xdr:row>
                    <xdr:rowOff>9525</xdr:rowOff>
                  </to>
                </anchor>
              </controlPr>
            </control>
          </mc:Choice>
        </mc:AlternateContent>
        <mc:AlternateContent xmlns:mc="http://schemas.openxmlformats.org/markup-compatibility/2006">
          <mc:Choice Requires="x14">
            <control shapeId="1280" r:id="rId249" name="Drop Down 256">
              <controlPr defaultSize="0" autoLine="0" autoPict="0">
                <anchor moveWithCells="1">
                  <from>
                    <xdr:col>2</xdr:col>
                    <xdr:colOff>76200</xdr:colOff>
                    <xdr:row>141</xdr:row>
                    <xdr:rowOff>0</xdr:rowOff>
                  </from>
                  <to>
                    <xdr:col>5</xdr:col>
                    <xdr:colOff>257175</xdr:colOff>
                    <xdr:row>142</xdr:row>
                    <xdr:rowOff>9525</xdr:rowOff>
                  </to>
                </anchor>
              </controlPr>
            </control>
          </mc:Choice>
        </mc:AlternateContent>
        <mc:AlternateContent xmlns:mc="http://schemas.openxmlformats.org/markup-compatibility/2006">
          <mc:Choice Requires="x14">
            <control shapeId="1281" r:id="rId250" name="Drop Down 257">
              <controlPr defaultSize="0" autoLine="0" autoPict="0">
                <anchor moveWithCells="1">
                  <from>
                    <xdr:col>6</xdr:col>
                    <xdr:colOff>0</xdr:colOff>
                    <xdr:row>141</xdr:row>
                    <xdr:rowOff>0</xdr:rowOff>
                  </from>
                  <to>
                    <xdr:col>9</xdr:col>
                    <xdr:colOff>190500</xdr:colOff>
                    <xdr:row>142</xdr:row>
                    <xdr:rowOff>9525</xdr:rowOff>
                  </to>
                </anchor>
              </controlPr>
            </control>
          </mc:Choice>
        </mc:AlternateContent>
        <mc:AlternateContent xmlns:mc="http://schemas.openxmlformats.org/markup-compatibility/2006">
          <mc:Choice Requires="x14">
            <control shapeId="1282" r:id="rId251" name="Drop Down 258">
              <controlPr defaultSize="0" autoLine="0" autoPict="0">
                <anchor moveWithCells="1">
                  <from>
                    <xdr:col>12</xdr:col>
                    <xdr:colOff>0</xdr:colOff>
                    <xdr:row>141</xdr:row>
                    <xdr:rowOff>0</xdr:rowOff>
                  </from>
                  <to>
                    <xdr:col>15</xdr:col>
                    <xdr:colOff>190500</xdr:colOff>
                    <xdr:row>142</xdr:row>
                    <xdr:rowOff>9525</xdr:rowOff>
                  </to>
                </anchor>
              </controlPr>
            </control>
          </mc:Choice>
        </mc:AlternateContent>
        <mc:AlternateContent xmlns:mc="http://schemas.openxmlformats.org/markup-compatibility/2006">
          <mc:Choice Requires="x14">
            <control shapeId="1283" r:id="rId252" name="Drop Down 259">
              <controlPr defaultSize="0" autoLine="0" autoPict="0">
                <anchor moveWithCells="1">
                  <from>
                    <xdr:col>16</xdr:col>
                    <xdr:colOff>0</xdr:colOff>
                    <xdr:row>141</xdr:row>
                    <xdr:rowOff>0</xdr:rowOff>
                  </from>
                  <to>
                    <xdr:col>19</xdr:col>
                    <xdr:colOff>190500</xdr:colOff>
                    <xdr:row>142</xdr:row>
                    <xdr:rowOff>9525</xdr:rowOff>
                  </to>
                </anchor>
              </controlPr>
            </control>
          </mc:Choice>
        </mc:AlternateContent>
        <mc:AlternateContent xmlns:mc="http://schemas.openxmlformats.org/markup-compatibility/2006">
          <mc:Choice Requires="x14">
            <control shapeId="1284" r:id="rId253" name="Check Box 260">
              <controlPr defaultSize="0" autoFill="0" autoLine="0" autoPict="0">
                <anchor moveWithCells="1">
                  <from>
                    <xdr:col>10</xdr:col>
                    <xdr:colOff>38100</xdr:colOff>
                    <xdr:row>141</xdr:row>
                    <xdr:rowOff>0</xdr:rowOff>
                  </from>
                  <to>
                    <xdr:col>10</xdr:col>
                    <xdr:colOff>342900</xdr:colOff>
                    <xdr:row>142</xdr:row>
                    <xdr:rowOff>28575</xdr:rowOff>
                  </to>
                </anchor>
              </controlPr>
            </control>
          </mc:Choice>
        </mc:AlternateContent>
        <mc:AlternateContent xmlns:mc="http://schemas.openxmlformats.org/markup-compatibility/2006">
          <mc:Choice Requires="x14">
            <control shapeId="1285" r:id="rId254" name="Drop Down 261">
              <controlPr defaultSize="0" autoLine="0" autoPict="0">
                <anchor moveWithCells="1">
                  <from>
                    <xdr:col>20</xdr:col>
                    <xdr:colOff>0</xdr:colOff>
                    <xdr:row>141</xdr:row>
                    <xdr:rowOff>0</xdr:rowOff>
                  </from>
                  <to>
                    <xdr:col>23</xdr:col>
                    <xdr:colOff>190500</xdr:colOff>
                    <xdr:row>142</xdr:row>
                    <xdr:rowOff>9525</xdr:rowOff>
                  </to>
                </anchor>
              </controlPr>
            </control>
          </mc:Choice>
        </mc:AlternateContent>
        <mc:AlternateContent xmlns:mc="http://schemas.openxmlformats.org/markup-compatibility/2006">
          <mc:Choice Requires="x14">
            <control shapeId="1286" r:id="rId255" name="Drop Down 262">
              <controlPr defaultSize="0" autoLine="0" autoPict="0">
                <anchor moveWithCells="1">
                  <from>
                    <xdr:col>63</xdr:col>
                    <xdr:colOff>0</xdr:colOff>
                    <xdr:row>141</xdr:row>
                    <xdr:rowOff>0</xdr:rowOff>
                  </from>
                  <to>
                    <xdr:col>65</xdr:col>
                    <xdr:colOff>19050</xdr:colOff>
                    <xdr:row>142</xdr:row>
                    <xdr:rowOff>9525</xdr:rowOff>
                  </to>
                </anchor>
              </controlPr>
            </control>
          </mc:Choice>
        </mc:AlternateContent>
        <mc:AlternateContent xmlns:mc="http://schemas.openxmlformats.org/markup-compatibility/2006">
          <mc:Choice Requires="x14">
            <control shapeId="1287" r:id="rId256" name="Drop Down 263">
              <controlPr defaultSize="0" autoLine="0" autoPict="0">
                <anchor moveWithCells="1">
                  <from>
                    <xdr:col>109</xdr:col>
                    <xdr:colOff>0</xdr:colOff>
                    <xdr:row>141</xdr:row>
                    <xdr:rowOff>0</xdr:rowOff>
                  </from>
                  <to>
                    <xdr:col>111</xdr:col>
                    <xdr:colOff>333375</xdr:colOff>
                    <xdr:row>142</xdr:row>
                    <xdr:rowOff>9525</xdr:rowOff>
                  </to>
                </anchor>
              </controlPr>
            </control>
          </mc:Choice>
        </mc:AlternateContent>
        <mc:AlternateContent xmlns:mc="http://schemas.openxmlformats.org/markup-compatibility/2006">
          <mc:Choice Requires="x14">
            <control shapeId="1288" r:id="rId257" name="Drop Down 264">
              <controlPr defaultSize="0" autoLine="0" autoPict="0">
                <anchor moveWithCells="1">
                  <from>
                    <xdr:col>205</xdr:col>
                    <xdr:colOff>0</xdr:colOff>
                    <xdr:row>141</xdr:row>
                    <xdr:rowOff>0</xdr:rowOff>
                  </from>
                  <to>
                    <xdr:col>207</xdr:col>
                    <xdr:colOff>161925</xdr:colOff>
                    <xdr:row>142</xdr:row>
                    <xdr:rowOff>9525</xdr:rowOff>
                  </to>
                </anchor>
              </controlPr>
            </control>
          </mc:Choice>
        </mc:AlternateContent>
        <mc:AlternateContent xmlns:mc="http://schemas.openxmlformats.org/markup-compatibility/2006">
          <mc:Choice Requires="x14">
            <control shapeId="1289" r:id="rId258" name="Drop Down 265">
              <controlPr defaultSize="0" autoLine="0" autoPict="0">
                <anchor moveWithCells="1">
                  <from>
                    <xdr:col>2</xdr:col>
                    <xdr:colOff>76200</xdr:colOff>
                    <xdr:row>143</xdr:row>
                    <xdr:rowOff>0</xdr:rowOff>
                  </from>
                  <to>
                    <xdr:col>5</xdr:col>
                    <xdr:colOff>257175</xdr:colOff>
                    <xdr:row>144</xdr:row>
                    <xdr:rowOff>9525</xdr:rowOff>
                  </to>
                </anchor>
              </controlPr>
            </control>
          </mc:Choice>
        </mc:AlternateContent>
        <mc:AlternateContent xmlns:mc="http://schemas.openxmlformats.org/markup-compatibility/2006">
          <mc:Choice Requires="x14">
            <control shapeId="1290" r:id="rId259" name="Drop Down 266">
              <controlPr defaultSize="0" autoLine="0" autoPict="0">
                <anchor moveWithCells="1">
                  <from>
                    <xdr:col>6</xdr:col>
                    <xdr:colOff>0</xdr:colOff>
                    <xdr:row>143</xdr:row>
                    <xdr:rowOff>0</xdr:rowOff>
                  </from>
                  <to>
                    <xdr:col>9</xdr:col>
                    <xdr:colOff>190500</xdr:colOff>
                    <xdr:row>144</xdr:row>
                    <xdr:rowOff>9525</xdr:rowOff>
                  </to>
                </anchor>
              </controlPr>
            </control>
          </mc:Choice>
        </mc:AlternateContent>
        <mc:AlternateContent xmlns:mc="http://schemas.openxmlformats.org/markup-compatibility/2006">
          <mc:Choice Requires="x14">
            <control shapeId="1291" r:id="rId260" name="Drop Down 267">
              <controlPr defaultSize="0" autoLine="0" autoPict="0">
                <anchor moveWithCells="1">
                  <from>
                    <xdr:col>12</xdr:col>
                    <xdr:colOff>0</xdr:colOff>
                    <xdr:row>143</xdr:row>
                    <xdr:rowOff>0</xdr:rowOff>
                  </from>
                  <to>
                    <xdr:col>15</xdr:col>
                    <xdr:colOff>190500</xdr:colOff>
                    <xdr:row>144</xdr:row>
                    <xdr:rowOff>9525</xdr:rowOff>
                  </to>
                </anchor>
              </controlPr>
            </control>
          </mc:Choice>
        </mc:AlternateContent>
        <mc:AlternateContent xmlns:mc="http://schemas.openxmlformats.org/markup-compatibility/2006">
          <mc:Choice Requires="x14">
            <control shapeId="1292" r:id="rId261" name="Drop Down 268">
              <controlPr defaultSize="0" autoLine="0" autoPict="0">
                <anchor moveWithCells="1">
                  <from>
                    <xdr:col>16</xdr:col>
                    <xdr:colOff>0</xdr:colOff>
                    <xdr:row>143</xdr:row>
                    <xdr:rowOff>0</xdr:rowOff>
                  </from>
                  <to>
                    <xdr:col>19</xdr:col>
                    <xdr:colOff>190500</xdr:colOff>
                    <xdr:row>144</xdr:row>
                    <xdr:rowOff>9525</xdr:rowOff>
                  </to>
                </anchor>
              </controlPr>
            </control>
          </mc:Choice>
        </mc:AlternateContent>
        <mc:AlternateContent xmlns:mc="http://schemas.openxmlformats.org/markup-compatibility/2006">
          <mc:Choice Requires="x14">
            <control shapeId="1293" r:id="rId262" name="Check Box 269">
              <controlPr defaultSize="0" autoFill="0" autoLine="0" autoPict="0">
                <anchor moveWithCells="1">
                  <from>
                    <xdr:col>10</xdr:col>
                    <xdr:colOff>38100</xdr:colOff>
                    <xdr:row>143</xdr:row>
                    <xdr:rowOff>0</xdr:rowOff>
                  </from>
                  <to>
                    <xdr:col>10</xdr:col>
                    <xdr:colOff>342900</xdr:colOff>
                    <xdr:row>144</xdr:row>
                    <xdr:rowOff>28575</xdr:rowOff>
                  </to>
                </anchor>
              </controlPr>
            </control>
          </mc:Choice>
        </mc:AlternateContent>
        <mc:AlternateContent xmlns:mc="http://schemas.openxmlformats.org/markup-compatibility/2006">
          <mc:Choice Requires="x14">
            <control shapeId="1294" r:id="rId263" name="Drop Down 270">
              <controlPr defaultSize="0" autoLine="0" autoPict="0">
                <anchor moveWithCells="1">
                  <from>
                    <xdr:col>20</xdr:col>
                    <xdr:colOff>0</xdr:colOff>
                    <xdr:row>143</xdr:row>
                    <xdr:rowOff>0</xdr:rowOff>
                  </from>
                  <to>
                    <xdr:col>23</xdr:col>
                    <xdr:colOff>190500</xdr:colOff>
                    <xdr:row>144</xdr:row>
                    <xdr:rowOff>9525</xdr:rowOff>
                  </to>
                </anchor>
              </controlPr>
            </control>
          </mc:Choice>
        </mc:AlternateContent>
        <mc:AlternateContent xmlns:mc="http://schemas.openxmlformats.org/markup-compatibility/2006">
          <mc:Choice Requires="x14">
            <control shapeId="1295" r:id="rId264" name="Drop Down 271">
              <controlPr defaultSize="0" autoLine="0" autoPict="0">
                <anchor moveWithCells="1">
                  <from>
                    <xdr:col>63</xdr:col>
                    <xdr:colOff>0</xdr:colOff>
                    <xdr:row>143</xdr:row>
                    <xdr:rowOff>0</xdr:rowOff>
                  </from>
                  <to>
                    <xdr:col>65</xdr:col>
                    <xdr:colOff>19050</xdr:colOff>
                    <xdr:row>144</xdr:row>
                    <xdr:rowOff>9525</xdr:rowOff>
                  </to>
                </anchor>
              </controlPr>
            </control>
          </mc:Choice>
        </mc:AlternateContent>
        <mc:AlternateContent xmlns:mc="http://schemas.openxmlformats.org/markup-compatibility/2006">
          <mc:Choice Requires="x14">
            <control shapeId="1296" r:id="rId265" name="Drop Down 272">
              <controlPr defaultSize="0" autoLine="0" autoPict="0">
                <anchor moveWithCells="1">
                  <from>
                    <xdr:col>109</xdr:col>
                    <xdr:colOff>0</xdr:colOff>
                    <xdr:row>143</xdr:row>
                    <xdr:rowOff>0</xdr:rowOff>
                  </from>
                  <to>
                    <xdr:col>111</xdr:col>
                    <xdr:colOff>333375</xdr:colOff>
                    <xdr:row>144</xdr:row>
                    <xdr:rowOff>9525</xdr:rowOff>
                  </to>
                </anchor>
              </controlPr>
            </control>
          </mc:Choice>
        </mc:AlternateContent>
        <mc:AlternateContent xmlns:mc="http://schemas.openxmlformats.org/markup-compatibility/2006">
          <mc:Choice Requires="x14">
            <control shapeId="1297" r:id="rId266" name="Drop Down 273">
              <controlPr defaultSize="0" autoLine="0" autoPict="0">
                <anchor moveWithCells="1">
                  <from>
                    <xdr:col>205</xdr:col>
                    <xdr:colOff>0</xdr:colOff>
                    <xdr:row>143</xdr:row>
                    <xdr:rowOff>0</xdr:rowOff>
                  </from>
                  <to>
                    <xdr:col>207</xdr:col>
                    <xdr:colOff>161925</xdr:colOff>
                    <xdr:row>144</xdr:row>
                    <xdr:rowOff>9525</xdr:rowOff>
                  </to>
                </anchor>
              </controlPr>
            </control>
          </mc:Choice>
        </mc:AlternateContent>
        <mc:AlternateContent xmlns:mc="http://schemas.openxmlformats.org/markup-compatibility/2006">
          <mc:Choice Requires="x14">
            <control shapeId="1298" r:id="rId267" name="Drop Down 274">
              <controlPr defaultSize="0" autoLine="0" autoPict="0">
                <anchor moveWithCells="1">
                  <from>
                    <xdr:col>2</xdr:col>
                    <xdr:colOff>76200</xdr:colOff>
                    <xdr:row>145</xdr:row>
                    <xdr:rowOff>0</xdr:rowOff>
                  </from>
                  <to>
                    <xdr:col>5</xdr:col>
                    <xdr:colOff>257175</xdr:colOff>
                    <xdr:row>146</xdr:row>
                    <xdr:rowOff>9525</xdr:rowOff>
                  </to>
                </anchor>
              </controlPr>
            </control>
          </mc:Choice>
        </mc:AlternateContent>
        <mc:AlternateContent xmlns:mc="http://schemas.openxmlformats.org/markup-compatibility/2006">
          <mc:Choice Requires="x14">
            <control shapeId="1299" r:id="rId268" name="Drop Down 275">
              <controlPr defaultSize="0" autoLine="0" autoPict="0">
                <anchor moveWithCells="1">
                  <from>
                    <xdr:col>6</xdr:col>
                    <xdr:colOff>0</xdr:colOff>
                    <xdr:row>145</xdr:row>
                    <xdr:rowOff>0</xdr:rowOff>
                  </from>
                  <to>
                    <xdr:col>9</xdr:col>
                    <xdr:colOff>190500</xdr:colOff>
                    <xdr:row>146</xdr:row>
                    <xdr:rowOff>9525</xdr:rowOff>
                  </to>
                </anchor>
              </controlPr>
            </control>
          </mc:Choice>
        </mc:AlternateContent>
        <mc:AlternateContent xmlns:mc="http://schemas.openxmlformats.org/markup-compatibility/2006">
          <mc:Choice Requires="x14">
            <control shapeId="1300" r:id="rId269" name="Drop Down 276">
              <controlPr defaultSize="0" autoLine="0" autoPict="0">
                <anchor moveWithCells="1">
                  <from>
                    <xdr:col>12</xdr:col>
                    <xdr:colOff>0</xdr:colOff>
                    <xdr:row>145</xdr:row>
                    <xdr:rowOff>0</xdr:rowOff>
                  </from>
                  <to>
                    <xdr:col>15</xdr:col>
                    <xdr:colOff>190500</xdr:colOff>
                    <xdr:row>146</xdr:row>
                    <xdr:rowOff>9525</xdr:rowOff>
                  </to>
                </anchor>
              </controlPr>
            </control>
          </mc:Choice>
        </mc:AlternateContent>
        <mc:AlternateContent xmlns:mc="http://schemas.openxmlformats.org/markup-compatibility/2006">
          <mc:Choice Requires="x14">
            <control shapeId="1301" r:id="rId270" name="Drop Down 277">
              <controlPr defaultSize="0" autoLine="0" autoPict="0">
                <anchor moveWithCells="1">
                  <from>
                    <xdr:col>16</xdr:col>
                    <xdr:colOff>0</xdr:colOff>
                    <xdr:row>145</xdr:row>
                    <xdr:rowOff>0</xdr:rowOff>
                  </from>
                  <to>
                    <xdr:col>19</xdr:col>
                    <xdr:colOff>190500</xdr:colOff>
                    <xdr:row>146</xdr:row>
                    <xdr:rowOff>9525</xdr:rowOff>
                  </to>
                </anchor>
              </controlPr>
            </control>
          </mc:Choice>
        </mc:AlternateContent>
        <mc:AlternateContent xmlns:mc="http://schemas.openxmlformats.org/markup-compatibility/2006">
          <mc:Choice Requires="x14">
            <control shapeId="1302" r:id="rId271" name="Check Box 278">
              <controlPr defaultSize="0" autoFill="0" autoLine="0" autoPict="0">
                <anchor moveWithCells="1">
                  <from>
                    <xdr:col>10</xdr:col>
                    <xdr:colOff>38100</xdr:colOff>
                    <xdr:row>145</xdr:row>
                    <xdr:rowOff>0</xdr:rowOff>
                  </from>
                  <to>
                    <xdr:col>10</xdr:col>
                    <xdr:colOff>342900</xdr:colOff>
                    <xdr:row>146</xdr:row>
                    <xdr:rowOff>28575</xdr:rowOff>
                  </to>
                </anchor>
              </controlPr>
            </control>
          </mc:Choice>
        </mc:AlternateContent>
        <mc:AlternateContent xmlns:mc="http://schemas.openxmlformats.org/markup-compatibility/2006">
          <mc:Choice Requires="x14">
            <control shapeId="1303" r:id="rId272" name="Drop Down 279">
              <controlPr defaultSize="0" autoLine="0" autoPict="0">
                <anchor moveWithCells="1">
                  <from>
                    <xdr:col>20</xdr:col>
                    <xdr:colOff>0</xdr:colOff>
                    <xdr:row>145</xdr:row>
                    <xdr:rowOff>0</xdr:rowOff>
                  </from>
                  <to>
                    <xdr:col>23</xdr:col>
                    <xdr:colOff>190500</xdr:colOff>
                    <xdr:row>146</xdr:row>
                    <xdr:rowOff>9525</xdr:rowOff>
                  </to>
                </anchor>
              </controlPr>
            </control>
          </mc:Choice>
        </mc:AlternateContent>
        <mc:AlternateContent xmlns:mc="http://schemas.openxmlformats.org/markup-compatibility/2006">
          <mc:Choice Requires="x14">
            <control shapeId="1304" r:id="rId273" name="Drop Down 280">
              <controlPr defaultSize="0" autoLine="0" autoPict="0">
                <anchor moveWithCells="1">
                  <from>
                    <xdr:col>63</xdr:col>
                    <xdr:colOff>0</xdr:colOff>
                    <xdr:row>145</xdr:row>
                    <xdr:rowOff>0</xdr:rowOff>
                  </from>
                  <to>
                    <xdr:col>65</xdr:col>
                    <xdr:colOff>19050</xdr:colOff>
                    <xdr:row>146</xdr:row>
                    <xdr:rowOff>9525</xdr:rowOff>
                  </to>
                </anchor>
              </controlPr>
            </control>
          </mc:Choice>
        </mc:AlternateContent>
        <mc:AlternateContent xmlns:mc="http://schemas.openxmlformats.org/markup-compatibility/2006">
          <mc:Choice Requires="x14">
            <control shapeId="1305" r:id="rId274" name="Drop Down 281">
              <controlPr defaultSize="0" autoLine="0" autoPict="0">
                <anchor moveWithCells="1">
                  <from>
                    <xdr:col>109</xdr:col>
                    <xdr:colOff>0</xdr:colOff>
                    <xdr:row>145</xdr:row>
                    <xdr:rowOff>0</xdr:rowOff>
                  </from>
                  <to>
                    <xdr:col>111</xdr:col>
                    <xdr:colOff>333375</xdr:colOff>
                    <xdr:row>146</xdr:row>
                    <xdr:rowOff>9525</xdr:rowOff>
                  </to>
                </anchor>
              </controlPr>
            </control>
          </mc:Choice>
        </mc:AlternateContent>
        <mc:AlternateContent xmlns:mc="http://schemas.openxmlformats.org/markup-compatibility/2006">
          <mc:Choice Requires="x14">
            <control shapeId="1306" r:id="rId275" name="Drop Down 282">
              <controlPr defaultSize="0" autoLine="0" autoPict="0">
                <anchor moveWithCells="1">
                  <from>
                    <xdr:col>205</xdr:col>
                    <xdr:colOff>0</xdr:colOff>
                    <xdr:row>145</xdr:row>
                    <xdr:rowOff>0</xdr:rowOff>
                  </from>
                  <to>
                    <xdr:col>207</xdr:col>
                    <xdr:colOff>161925</xdr:colOff>
                    <xdr:row>146</xdr:row>
                    <xdr:rowOff>9525</xdr:rowOff>
                  </to>
                </anchor>
              </controlPr>
            </control>
          </mc:Choice>
        </mc:AlternateContent>
        <mc:AlternateContent xmlns:mc="http://schemas.openxmlformats.org/markup-compatibility/2006">
          <mc:Choice Requires="x14">
            <control shapeId="1307" r:id="rId276" name="Drop Down 283">
              <controlPr defaultSize="0" autoLine="0" autoPict="0">
                <anchor moveWithCells="1">
                  <from>
                    <xdr:col>2</xdr:col>
                    <xdr:colOff>76200</xdr:colOff>
                    <xdr:row>147</xdr:row>
                    <xdr:rowOff>0</xdr:rowOff>
                  </from>
                  <to>
                    <xdr:col>5</xdr:col>
                    <xdr:colOff>257175</xdr:colOff>
                    <xdr:row>148</xdr:row>
                    <xdr:rowOff>9525</xdr:rowOff>
                  </to>
                </anchor>
              </controlPr>
            </control>
          </mc:Choice>
        </mc:AlternateContent>
        <mc:AlternateContent xmlns:mc="http://schemas.openxmlformats.org/markup-compatibility/2006">
          <mc:Choice Requires="x14">
            <control shapeId="1308" r:id="rId277" name="Drop Down 284">
              <controlPr defaultSize="0" autoLine="0" autoPict="0">
                <anchor moveWithCells="1">
                  <from>
                    <xdr:col>6</xdr:col>
                    <xdr:colOff>0</xdr:colOff>
                    <xdr:row>147</xdr:row>
                    <xdr:rowOff>0</xdr:rowOff>
                  </from>
                  <to>
                    <xdr:col>9</xdr:col>
                    <xdr:colOff>190500</xdr:colOff>
                    <xdr:row>148</xdr:row>
                    <xdr:rowOff>9525</xdr:rowOff>
                  </to>
                </anchor>
              </controlPr>
            </control>
          </mc:Choice>
        </mc:AlternateContent>
        <mc:AlternateContent xmlns:mc="http://schemas.openxmlformats.org/markup-compatibility/2006">
          <mc:Choice Requires="x14">
            <control shapeId="1309" r:id="rId278" name="Drop Down 285">
              <controlPr defaultSize="0" autoLine="0" autoPict="0">
                <anchor moveWithCells="1">
                  <from>
                    <xdr:col>12</xdr:col>
                    <xdr:colOff>0</xdr:colOff>
                    <xdr:row>147</xdr:row>
                    <xdr:rowOff>0</xdr:rowOff>
                  </from>
                  <to>
                    <xdr:col>15</xdr:col>
                    <xdr:colOff>190500</xdr:colOff>
                    <xdr:row>148</xdr:row>
                    <xdr:rowOff>9525</xdr:rowOff>
                  </to>
                </anchor>
              </controlPr>
            </control>
          </mc:Choice>
        </mc:AlternateContent>
        <mc:AlternateContent xmlns:mc="http://schemas.openxmlformats.org/markup-compatibility/2006">
          <mc:Choice Requires="x14">
            <control shapeId="1310" r:id="rId279" name="Drop Down 286">
              <controlPr defaultSize="0" autoLine="0" autoPict="0">
                <anchor moveWithCells="1">
                  <from>
                    <xdr:col>16</xdr:col>
                    <xdr:colOff>0</xdr:colOff>
                    <xdr:row>147</xdr:row>
                    <xdr:rowOff>0</xdr:rowOff>
                  </from>
                  <to>
                    <xdr:col>19</xdr:col>
                    <xdr:colOff>190500</xdr:colOff>
                    <xdr:row>148</xdr:row>
                    <xdr:rowOff>9525</xdr:rowOff>
                  </to>
                </anchor>
              </controlPr>
            </control>
          </mc:Choice>
        </mc:AlternateContent>
        <mc:AlternateContent xmlns:mc="http://schemas.openxmlformats.org/markup-compatibility/2006">
          <mc:Choice Requires="x14">
            <control shapeId="1311" r:id="rId280" name="Check Box 287">
              <controlPr defaultSize="0" autoFill="0" autoLine="0" autoPict="0">
                <anchor moveWithCells="1">
                  <from>
                    <xdr:col>10</xdr:col>
                    <xdr:colOff>38100</xdr:colOff>
                    <xdr:row>147</xdr:row>
                    <xdr:rowOff>0</xdr:rowOff>
                  </from>
                  <to>
                    <xdr:col>10</xdr:col>
                    <xdr:colOff>342900</xdr:colOff>
                    <xdr:row>148</xdr:row>
                    <xdr:rowOff>28575</xdr:rowOff>
                  </to>
                </anchor>
              </controlPr>
            </control>
          </mc:Choice>
        </mc:AlternateContent>
        <mc:AlternateContent xmlns:mc="http://schemas.openxmlformats.org/markup-compatibility/2006">
          <mc:Choice Requires="x14">
            <control shapeId="1312" r:id="rId281" name="Drop Down 288">
              <controlPr defaultSize="0" autoLine="0" autoPict="0">
                <anchor moveWithCells="1">
                  <from>
                    <xdr:col>20</xdr:col>
                    <xdr:colOff>0</xdr:colOff>
                    <xdr:row>147</xdr:row>
                    <xdr:rowOff>0</xdr:rowOff>
                  </from>
                  <to>
                    <xdr:col>23</xdr:col>
                    <xdr:colOff>190500</xdr:colOff>
                    <xdr:row>148</xdr:row>
                    <xdr:rowOff>9525</xdr:rowOff>
                  </to>
                </anchor>
              </controlPr>
            </control>
          </mc:Choice>
        </mc:AlternateContent>
        <mc:AlternateContent xmlns:mc="http://schemas.openxmlformats.org/markup-compatibility/2006">
          <mc:Choice Requires="x14">
            <control shapeId="1313" r:id="rId282" name="Drop Down 289">
              <controlPr defaultSize="0" autoLine="0" autoPict="0">
                <anchor moveWithCells="1">
                  <from>
                    <xdr:col>63</xdr:col>
                    <xdr:colOff>0</xdr:colOff>
                    <xdr:row>147</xdr:row>
                    <xdr:rowOff>0</xdr:rowOff>
                  </from>
                  <to>
                    <xdr:col>65</xdr:col>
                    <xdr:colOff>19050</xdr:colOff>
                    <xdr:row>148</xdr:row>
                    <xdr:rowOff>9525</xdr:rowOff>
                  </to>
                </anchor>
              </controlPr>
            </control>
          </mc:Choice>
        </mc:AlternateContent>
        <mc:AlternateContent xmlns:mc="http://schemas.openxmlformats.org/markup-compatibility/2006">
          <mc:Choice Requires="x14">
            <control shapeId="1314" r:id="rId283" name="Drop Down 290">
              <controlPr defaultSize="0" autoLine="0" autoPict="0">
                <anchor moveWithCells="1">
                  <from>
                    <xdr:col>109</xdr:col>
                    <xdr:colOff>0</xdr:colOff>
                    <xdr:row>147</xdr:row>
                    <xdr:rowOff>0</xdr:rowOff>
                  </from>
                  <to>
                    <xdr:col>111</xdr:col>
                    <xdr:colOff>333375</xdr:colOff>
                    <xdr:row>148</xdr:row>
                    <xdr:rowOff>9525</xdr:rowOff>
                  </to>
                </anchor>
              </controlPr>
            </control>
          </mc:Choice>
        </mc:AlternateContent>
        <mc:AlternateContent xmlns:mc="http://schemas.openxmlformats.org/markup-compatibility/2006">
          <mc:Choice Requires="x14">
            <control shapeId="1315" r:id="rId284" name="Drop Down 291">
              <controlPr defaultSize="0" autoLine="0" autoPict="0">
                <anchor moveWithCells="1">
                  <from>
                    <xdr:col>205</xdr:col>
                    <xdr:colOff>0</xdr:colOff>
                    <xdr:row>147</xdr:row>
                    <xdr:rowOff>0</xdr:rowOff>
                  </from>
                  <to>
                    <xdr:col>207</xdr:col>
                    <xdr:colOff>161925</xdr:colOff>
                    <xdr:row>148</xdr:row>
                    <xdr:rowOff>9525</xdr:rowOff>
                  </to>
                </anchor>
              </controlPr>
            </control>
          </mc:Choice>
        </mc:AlternateContent>
        <mc:AlternateContent xmlns:mc="http://schemas.openxmlformats.org/markup-compatibility/2006">
          <mc:Choice Requires="x14">
            <control shapeId="1316" r:id="rId285" name="Drop Down 292">
              <controlPr defaultSize="0" autoLine="0" autoPict="0">
                <anchor moveWithCells="1">
                  <from>
                    <xdr:col>2</xdr:col>
                    <xdr:colOff>76200</xdr:colOff>
                    <xdr:row>149</xdr:row>
                    <xdr:rowOff>0</xdr:rowOff>
                  </from>
                  <to>
                    <xdr:col>5</xdr:col>
                    <xdr:colOff>257175</xdr:colOff>
                    <xdr:row>150</xdr:row>
                    <xdr:rowOff>9525</xdr:rowOff>
                  </to>
                </anchor>
              </controlPr>
            </control>
          </mc:Choice>
        </mc:AlternateContent>
        <mc:AlternateContent xmlns:mc="http://schemas.openxmlformats.org/markup-compatibility/2006">
          <mc:Choice Requires="x14">
            <control shapeId="1317" r:id="rId286" name="Drop Down 293">
              <controlPr defaultSize="0" autoLine="0" autoPict="0">
                <anchor moveWithCells="1">
                  <from>
                    <xdr:col>6</xdr:col>
                    <xdr:colOff>0</xdr:colOff>
                    <xdr:row>149</xdr:row>
                    <xdr:rowOff>0</xdr:rowOff>
                  </from>
                  <to>
                    <xdr:col>9</xdr:col>
                    <xdr:colOff>190500</xdr:colOff>
                    <xdr:row>150</xdr:row>
                    <xdr:rowOff>9525</xdr:rowOff>
                  </to>
                </anchor>
              </controlPr>
            </control>
          </mc:Choice>
        </mc:AlternateContent>
        <mc:AlternateContent xmlns:mc="http://schemas.openxmlformats.org/markup-compatibility/2006">
          <mc:Choice Requires="x14">
            <control shapeId="1318" r:id="rId287" name="Drop Down 294">
              <controlPr defaultSize="0" autoLine="0" autoPict="0">
                <anchor moveWithCells="1">
                  <from>
                    <xdr:col>12</xdr:col>
                    <xdr:colOff>0</xdr:colOff>
                    <xdr:row>149</xdr:row>
                    <xdr:rowOff>0</xdr:rowOff>
                  </from>
                  <to>
                    <xdr:col>15</xdr:col>
                    <xdr:colOff>190500</xdr:colOff>
                    <xdr:row>150</xdr:row>
                    <xdr:rowOff>9525</xdr:rowOff>
                  </to>
                </anchor>
              </controlPr>
            </control>
          </mc:Choice>
        </mc:AlternateContent>
        <mc:AlternateContent xmlns:mc="http://schemas.openxmlformats.org/markup-compatibility/2006">
          <mc:Choice Requires="x14">
            <control shapeId="1319" r:id="rId288" name="Drop Down 295">
              <controlPr defaultSize="0" autoLine="0" autoPict="0">
                <anchor moveWithCells="1">
                  <from>
                    <xdr:col>16</xdr:col>
                    <xdr:colOff>0</xdr:colOff>
                    <xdr:row>149</xdr:row>
                    <xdr:rowOff>0</xdr:rowOff>
                  </from>
                  <to>
                    <xdr:col>19</xdr:col>
                    <xdr:colOff>190500</xdr:colOff>
                    <xdr:row>150</xdr:row>
                    <xdr:rowOff>9525</xdr:rowOff>
                  </to>
                </anchor>
              </controlPr>
            </control>
          </mc:Choice>
        </mc:AlternateContent>
        <mc:AlternateContent xmlns:mc="http://schemas.openxmlformats.org/markup-compatibility/2006">
          <mc:Choice Requires="x14">
            <control shapeId="1320" r:id="rId289" name="Check Box 296">
              <controlPr defaultSize="0" autoFill="0" autoLine="0" autoPict="0">
                <anchor moveWithCells="1">
                  <from>
                    <xdr:col>10</xdr:col>
                    <xdr:colOff>38100</xdr:colOff>
                    <xdr:row>149</xdr:row>
                    <xdr:rowOff>0</xdr:rowOff>
                  </from>
                  <to>
                    <xdr:col>10</xdr:col>
                    <xdr:colOff>342900</xdr:colOff>
                    <xdr:row>150</xdr:row>
                    <xdr:rowOff>28575</xdr:rowOff>
                  </to>
                </anchor>
              </controlPr>
            </control>
          </mc:Choice>
        </mc:AlternateContent>
        <mc:AlternateContent xmlns:mc="http://schemas.openxmlformats.org/markup-compatibility/2006">
          <mc:Choice Requires="x14">
            <control shapeId="1321" r:id="rId290" name="Drop Down 297">
              <controlPr defaultSize="0" autoLine="0" autoPict="0">
                <anchor moveWithCells="1">
                  <from>
                    <xdr:col>20</xdr:col>
                    <xdr:colOff>0</xdr:colOff>
                    <xdr:row>149</xdr:row>
                    <xdr:rowOff>0</xdr:rowOff>
                  </from>
                  <to>
                    <xdr:col>23</xdr:col>
                    <xdr:colOff>190500</xdr:colOff>
                    <xdr:row>150</xdr:row>
                    <xdr:rowOff>9525</xdr:rowOff>
                  </to>
                </anchor>
              </controlPr>
            </control>
          </mc:Choice>
        </mc:AlternateContent>
        <mc:AlternateContent xmlns:mc="http://schemas.openxmlformats.org/markup-compatibility/2006">
          <mc:Choice Requires="x14">
            <control shapeId="1322" r:id="rId291" name="Drop Down 298">
              <controlPr defaultSize="0" autoLine="0" autoPict="0">
                <anchor moveWithCells="1">
                  <from>
                    <xdr:col>63</xdr:col>
                    <xdr:colOff>0</xdr:colOff>
                    <xdr:row>149</xdr:row>
                    <xdr:rowOff>0</xdr:rowOff>
                  </from>
                  <to>
                    <xdr:col>65</xdr:col>
                    <xdr:colOff>19050</xdr:colOff>
                    <xdr:row>150</xdr:row>
                    <xdr:rowOff>9525</xdr:rowOff>
                  </to>
                </anchor>
              </controlPr>
            </control>
          </mc:Choice>
        </mc:AlternateContent>
        <mc:AlternateContent xmlns:mc="http://schemas.openxmlformats.org/markup-compatibility/2006">
          <mc:Choice Requires="x14">
            <control shapeId="1323" r:id="rId292" name="Drop Down 299">
              <controlPr defaultSize="0" autoLine="0" autoPict="0">
                <anchor moveWithCells="1">
                  <from>
                    <xdr:col>109</xdr:col>
                    <xdr:colOff>0</xdr:colOff>
                    <xdr:row>149</xdr:row>
                    <xdr:rowOff>0</xdr:rowOff>
                  </from>
                  <to>
                    <xdr:col>111</xdr:col>
                    <xdr:colOff>333375</xdr:colOff>
                    <xdr:row>150</xdr:row>
                    <xdr:rowOff>9525</xdr:rowOff>
                  </to>
                </anchor>
              </controlPr>
            </control>
          </mc:Choice>
        </mc:AlternateContent>
        <mc:AlternateContent xmlns:mc="http://schemas.openxmlformats.org/markup-compatibility/2006">
          <mc:Choice Requires="x14">
            <control shapeId="1324" r:id="rId293" name="Drop Down 300">
              <controlPr defaultSize="0" autoLine="0" autoPict="0">
                <anchor moveWithCells="1">
                  <from>
                    <xdr:col>205</xdr:col>
                    <xdr:colOff>0</xdr:colOff>
                    <xdr:row>149</xdr:row>
                    <xdr:rowOff>0</xdr:rowOff>
                  </from>
                  <to>
                    <xdr:col>207</xdr:col>
                    <xdr:colOff>161925</xdr:colOff>
                    <xdr:row>150</xdr:row>
                    <xdr:rowOff>9525</xdr:rowOff>
                  </to>
                </anchor>
              </controlPr>
            </control>
          </mc:Choice>
        </mc:AlternateContent>
        <mc:AlternateContent xmlns:mc="http://schemas.openxmlformats.org/markup-compatibility/2006">
          <mc:Choice Requires="x14">
            <control shapeId="1325" r:id="rId294" name="Drop Down 301">
              <controlPr defaultSize="0" autoLine="0" autoPict="0">
                <anchor moveWithCells="1">
                  <from>
                    <xdr:col>2</xdr:col>
                    <xdr:colOff>76200</xdr:colOff>
                    <xdr:row>151</xdr:row>
                    <xdr:rowOff>0</xdr:rowOff>
                  </from>
                  <to>
                    <xdr:col>5</xdr:col>
                    <xdr:colOff>257175</xdr:colOff>
                    <xdr:row>152</xdr:row>
                    <xdr:rowOff>9525</xdr:rowOff>
                  </to>
                </anchor>
              </controlPr>
            </control>
          </mc:Choice>
        </mc:AlternateContent>
        <mc:AlternateContent xmlns:mc="http://schemas.openxmlformats.org/markup-compatibility/2006">
          <mc:Choice Requires="x14">
            <control shapeId="1326" r:id="rId295" name="Drop Down 302">
              <controlPr defaultSize="0" autoLine="0" autoPict="0">
                <anchor moveWithCells="1">
                  <from>
                    <xdr:col>6</xdr:col>
                    <xdr:colOff>0</xdr:colOff>
                    <xdr:row>151</xdr:row>
                    <xdr:rowOff>0</xdr:rowOff>
                  </from>
                  <to>
                    <xdr:col>9</xdr:col>
                    <xdr:colOff>190500</xdr:colOff>
                    <xdr:row>152</xdr:row>
                    <xdr:rowOff>9525</xdr:rowOff>
                  </to>
                </anchor>
              </controlPr>
            </control>
          </mc:Choice>
        </mc:AlternateContent>
        <mc:AlternateContent xmlns:mc="http://schemas.openxmlformats.org/markup-compatibility/2006">
          <mc:Choice Requires="x14">
            <control shapeId="1327" r:id="rId296" name="Drop Down 303">
              <controlPr defaultSize="0" autoLine="0" autoPict="0">
                <anchor moveWithCells="1">
                  <from>
                    <xdr:col>12</xdr:col>
                    <xdr:colOff>0</xdr:colOff>
                    <xdr:row>151</xdr:row>
                    <xdr:rowOff>0</xdr:rowOff>
                  </from>
                  <to>
                    <xdr:col>15</xdr:col>
                    <xdr:colOff>190500</xdr:colOff>
                    <xdr:row>152</xdr:row>
                    <xdr:rowOff>9525</xdr:rowOff>
                  </to>
                </anchor>
              </controlPr>
            </control>
          </mc:Choice>
        </mc:AlternateContent>
        <mc:AlternateContent xmlns:mc="http://schemas.openxmlformats.org/markup-compatibility/2006">
          <mc:Choice Requires="x14">
            <control shapeId="1328" r:id="rId297" name="Drop Down 304">
              <controlPr defaultSize="0" autoLine="0" autoPict="0">
                <anchor moveWithCells="1">
                  <from>
                    <xdr:col>16</xdr:col>
                    <xdr:colOff>0</xdr:colOff>
                    <xdr:row>151</xdr:row>
                    <xdr:rowOff>0</xdr:rowOff>
                  </from>
                  <to>
                    <xdr:col>19</xdr:col>
                    <xdr:colOff>190500</xdr:colOff>
                    <xdr:row>152</xdr:row>
                    <xdr:rowOff>9525</xdr:rowOff>
                  </to>
                </anchor>
              </controlPr>
            </control>
          </mc:Choice>
        </mc:AlternateContent>
        <mc:AlternateContent xmlns:mc="http://schemas.openxmlformats.org/markup-compatibility/2006">
          <mc:Choice Requires="x14">
            <control shapeId="1329" r:id="rId298" name="Check Box 305">
              <controlPr defaultSize="0" autoFill="0" autoLine="0" autoPict="0">
                <anchor moveWithCells="1">
                  <from>
                    <xdr:col>10</xdr:col>
                    <xdr:colOff>38100</xdr:colOff>
                    <xdr:row>151</xdr:row>
                    <xdr:rowOff>0</xdr:rowOff>
                  </from>
                  <to>
                    <xdr:col>10</xdr:col>
                    <xdr:colOff>342900</xdr:colOff>
                    <xdr:row>152</xdr:row>
                    <xdr:rowOff>28575</xdr:rowOff>
                  </to>
                </anchor>
              </controlPr>
            </control>
          </mc:Choice>
        </mc:AlternateContent>
        <mc:AlternateContent xmlns:mc="http://schemas.openxmlformats.org/markup-compatibility/2006">
          <mc:Choice Requires="x14">
            <control shapeId="1330" r:id="rId299" name="Drop Down 306">
              <controlPr defaultSize="0" autoLine="0" autoPict="0">
                <anchor moveWithCells="1">
                  <from>
                    <xdr:col>20</xdr:col>
                    <xdr:colOff>0</xdr:colOff>
                    <xdr:row>151</xdr:row>
                    <xdr:rowOff>0</xdr:rowOff>
                  </from>
                  <to>
                    <xdr:col>23</xdr:col>
                    <xdr:colOff>190500</xdr:colOff>
                    <xdr:row>152</xdr:row>
                    <xdr:rowOff>9525</xdr:rowOff>
                  </to>
                </anchor>
              </controlPr>
            </control>
          </mc:Choice>
        </mc:AlternateContent>
        <mc:AlternateContent xmlns:mc="http://schemas.openxmlformats.org/markup-compatibility/2006">
          <mc:Choice Requires="x14">
            <control shapeId="1331" r:id="rId300" name="Drop Down 307">
              <controlPr defaultSize="0" autoLine="0" autoPict="0">
                <anchor moveWithCells="1">
                  <from>
                    <xdr:col>63</xdr:col>
                    <xdr:colOff>0</xdr:colOff>
                    <xdr:row>151</xdr:row>
                    <xdr:rowOff>0</xdr:rowOff>
                  </from>
                  <to>
                    <xdr:col>65</xdr:col>
                    <xdr:colOff>19050</xdr:colOff>
                    <xdr:row>152</xdr:row>
                    <xdr:rowOff>9525</xdr:rowOff>
                  </to>
                </anchor>
              </controlPr>
            </control>
          </mc:Choice>
        </mc:AlternateContent>
        <mc:AlternateContent xmlns:mc="http://schemas.openxmlformats.org/markup-compatibility/2006">
          <mc:Choice Requires="x14">
            <control shapeId="1332" r:id="rId301" name="Drop Down 308">
              <controlPr defaultSize="0" autoLine="0" autoPict="0">
                <anchor moveWithCells="1">
                  <from>
                    <xdr:col>109</xdr:col>
                    <xdr:colOff>0</xdr:colOff>
                    <xdr:row>151</xdr:row>
                    <xdr:rowOff>0</xdr:rowOff>
                  </from>
                  <to>
                    <xdr:col>111</xdr:col>
                    <xdr:colOff>333375</xdr:colOff>
                    <xdr:row>152</xdr:row>
                    <xdr:rowOff>9525</xdr:rowOff>
                  </to>
                </anchor>
              </controlPr>
            </control>
          </mc:Choice>
        </mc:AlternateContent>
        <mc:AlternateContent xmlns:mc="http://schemas.openxmlformats.org/markup-compatibility/2006">
          <mc:Choice Requires="x14">
            <control shapeId="1333" r:id="rId302" name="Drop Down 309">
              <controlPr defaultSize="0" autoLine="0" autoPict="0">
                <anchor moveWithCells="1">
                  <from>
                    <xdr:col>205</xdr:col>
                    <xdr:colOff>0</xdr:colOff>
                    <xdr:row>151</xdr:row>
                    <xdr:rowOff>0</xdr:rowOff>
                  </from>
                  <to>
                    <xdr:col>207</xdr:col>
                    <xdr:colOff>161925</xdr:colOff>
                    <xdr:row>152</xdr:row>
                    <xdr:rowOff>9525</xdr:rowOff>
                  </to>
                </anchor>
              </controlPr>
            </control>
          </mc:Choice>
        </mc:AlternateContent>
        <mc:AlternateContent xmlns:mc="http://schemas.openxmlformats.org/markup-compatibility/2006">
          <mc:Choice Requires="x14">
            <control shapeId="1335" r:id="rId303" name="Drop Down 311">
              <controlPr defaultSize="0" autoLine="0" autoPict="0">
                <anchor moveWithCells="1">
                  <from>
                    <xdr:col>10</xdr:col>
                    <xdr:colOff>0</xdr:colOff>
                    <xdr:row>94</xdr:row>
                    <xdr:rowOff>0</xdr:rowOff>
                  </from>
                  <to>
                    <xdr:col>13</xdr:col>
                    <xdr:colOff>47625</xdr:colOff>
                    <xdr:row>95</xdr:row>
                    <xdr:rowOff>9525</xdr:rowOff>
                  </to>
                </anchor>
              </controlPr>
            </control>
          </mc:Choice>
        </mc:AlternateContent>
        <mc:AlternateContent xmlns:mc="http://schemas.openxmlformats.org/markup-compatibility/2006">
          <mc:Choice Requires="x14">
            <control shapeId="1341" r:id="rId304" name="Drop Down 317">
              <controlPr defaultSize="0" autoLine="0" autoPict="0">
                <anchor moveWithCells="1">
                  <from>
                    <xdr:col>205</xdr:col>
                    <xdr:colOff>0</xdr:colOff>
                    <xdr:row>117</xdr:row>
                    <xdr:rowOff>0</xdr:rowOff>
                  </from>
                  <to>
                    <xdr:col>207</xdr:col>
                    <xdr:colOff>161925</xdr:colOff>
                    <xdr:row>118</xdr:row>
                    <xdr:rowOff>9525</xdr:rowOff>
                  </to>
                </anchor>
              </controlPr>
            </control>
          </mc:Choice>
        </mc:AlternateContent>
        <mc:AlternateContent xmlns:mc="http://schemas.openxmlformats.org/markup-compatibility/2006">
          <mc:Choice Requires="x14">
            <control shapeId="1342" r:id="rId305" name="Drop Down 318">
              <controlPr defaultSize="0" autoLine="0" autoPict="0">
                <anchor moveWithCells="1">
                  <from>
                    <xdr:col>205</xdr:col>
                    <xdr:colOff>0</xdr:colOff>
                    <xdr:row>119</xdr:row>
                    <xdr:rowOff>0</xdr:rowOff>
                  </from>
                  <to>
                    <xdr:col>207</xdr:col>
                    <xdr:colOff>161925</xdr:colOff>
                    <xdr:row>120</xdr:row>
                    <xdr:rowOff>9525</xdr:rowOff>
                  </to>
                </anchor>
              </controlPr>
            </control>
          </mc:Choice>
        </mc:AlternateContent>
        <mc:AlternateContent xmlns:mc="http://schemas.openxmlformats.org/markup-compatibility/2006">
          <mc:Choice Requires="x14">
            <control shapeId="1343" r:id="rId306" name="Drop Down 319">
              <controlPr defaultSize="0" autoLine="0" autoPict="0">
                <anchor moveWithCells="1">
                  <from>
                    <xdr:col>205</xdr:col>
                    <xdr:colOff>0</xdr:colOff>
                    <xdr:row>121</xdr:row>
                    <xdr:rowOff>0</xdr:rowOff>
                  </from>
                  <to>
                    <xdr:col>207</xdr:col>
                    <xdr:colOff>161925</xdr:colOff>
                    <xdr:row>122</xdr:row>
                    <xdr:rowOff>9525</xdr:rowOff>
                  </to>
                </anchor>
              </controlPr>
            </control>
          </mc:Choice>
        </mc:AlternateContent>
        <mc:AlternateContent xmlns:mc="http://schemas.openxmlformats.org/markup-compatibility/2006">
          <mc:Choice Requires="x14">
            <control shapeId="1344" r:id="rId307" name="Drop Down 320">
              <controlPr defaultSize="0" autoLine="0" autoPict="0">
                <anchor moveWithCells="1">
                  <from>
                    <xdr:col>205</xdr:col>
                    <xdr:colOff>0</xdr:colOff>
                    <xdr:row>123</xdr:row>
                    <xdr:rowOff>0</xdr:rowOff>
                  </from>
                  <to>
                    <xdr:col>207</xdr:col>
                    <xdr:colOff>161925</xdr:colOff>
                    <xdr:row>124</xdr:row>
                    <xdr:rowOff>9525</xdr:rowOff>
                  </to>
                </anchor>
              </controlPr>
            </control>
          </mc:Choice>
        </mc:AlternateContent>
        <mc:AlternateContent xmlns:mc="http://schemas.openxmlformats.org/markup-compatibility/2006">
          <mc:Choice Requires="x14">
            <control shapeId="1345" r:id="rId308" name="Drop Down 321">
              <controlPr defaultSize="0" autoLine="0" autoPict="0">
                <anchor moveWithCells="1">
                  <from>
                    <xdr:col>205</xdr:col>
                    <xdr:colOff>0</xdr:colOff>
                    <xdr:row>125</xdr:row>
                    <xdr:rowOff>0</xdr:rowOff>
                  </from>
                  <to>
                    <xdr:col>207</xdr:col>
                    <xdr:colOff>161925</xdr:colOff>
                    <xdr:row>126</xdr:row>
                    <xdr:rowOff>9525</xdr:rowOff>
                  </to>
                </anchor>
              </controlPr>
            </control>
          </mc:Choice>
        </mc:AlternateContent>
        <mc:AlternateContent xmlns:mc="http://schemas.openxmlformats.org/markup-compatibility/2006">
          <mc:Choice Requires="x14">
            <control shapeId="1346" r:id="rId309" name="Drop Down 322">
              <controlPr defaultSize="0" autoLine="0" autoPict="0">
                <anchor moveWithCells="1">
                  <from>
                    <xdr:col>205</xdr:col>
                    <xdr:colOff>0</xdr:colOff>
                    <xdr:row>127</xdr:row>
                    <xdr:rowOff>0</xdr:rowOff>
                  </from>
                  <to>
                    <xdr:col>207</xdr:col>
                    <xdr:colOff>161925</xdr:colOff>
                    <xdr:row>128</xdr:row>
                    <xdr:rowOff>9525</xdr:rowOff>
                  </to>
                </anchor>
              </controlPr>
            </control>
          </mc:Choice>
        </mc:AlternateContent>
        <mc:AlternateContent xmlns:mc="http://schemas.openxmlformats.org/markup-compatibility/2006">
          <mc:Choice Requires="x14">
            <control shapeId="1347" r:id="rId310" name="Drop Down 323">
              <controlPr defaultSize="0" autoLine="0" autoPict="0">
                <anchor moveWithCells="1">
                  <from>
                    <xdr:col>205</xdr:col>
                    <xdr:colOff>0</xdr:colOff>
                    <xdr:row>129</xdr:row>
                    <xdr:rowOff>0</xdr:rowOff>
                  </from>
                  <to>
                    <xdr:col>207</xdr:col>
                    <xdr:colOff>161925</xdr:colOff>
                    <xdr:row>130</xdr:row>
                    <xdr:rowOff>9525</xdr:rowOff>
                  </to>
                </anchor>
              </controlPr>
            </control>
          </mc:Choice>
        </mc:AlternateContent>
        <mc:AlternateContent xmlns:mc="http://schemas.openxmlformats.org/markup-compatibility/2006">
          <mc:Choice Requires="x14">
            <control shapeId="1348" r:id="rId311" name="Drop Down 324">
              <controlPr defaultSize="0" autoLine="0" autoPict="0">
                <anchor moveWithCells="1">
                  <from>
                    <xdr:col>205</xdr:col>
                    <xdr:colOff>0</xdr:colOff>
                    <xdr:row>137</xdr:row>
                    <xdr:rowOff>0</xdr:rowOff>
                  </from>
                  <to>
                    <xdr:col>207</xdr:col>
                    <xdr:colOff>161925</xdr:colOff>
                    <xdr:row>138</xdr:row>
                    <xdr:rowOff>9525</xdr:rowOff>
                  </to>
                </anchor>
              </controlPr>
            </control>
          </mc:Choice>
        </mc:AlternateContent>
        <mc:AlternateContent xmlns:mc="http://schemas.openxmlformats.org/markup-compatibility/2006">
          <mc:Choice Requires="x14">
            <control shapeId="1349" r:id="rId312" name="Drop Down 325">
              <controlPr defaultSize="0" autoLine="0" autoPict="0">
                <anchor moveWithCells="1">
                  <from>
                    <xdr:col>205</xdr:col>
                    <xdr:colOff>0</xdr:colOff>
                    <xdr:row>139</xdr:row>
                    <xdr:rowOff>0</xdr:rowOff>
                  </from>
                  <to>
                    <xdr:col>207</xdr:col>
                    <xdr:colOff>161925</xdr:colOff>
                    <xdr:row>140</xdr:row>
                    <xdr:rowOff>9525</xdr:rowOff>
                  </to>
                </anchor>
              </controlPr>
            </control>
          </mc:Choice>
        </mc:AlternateContent>
        <mc:AlternateContent xmlns:mc="http://schemas.openxmlformats.org/markup-compatibility/2006">
          <mc:Choice Requires="x14">
            <control shapeId="1350" r:id="rId313" name="Drop Down 326">
              <controlPr defaultSize="0" autoLine="0" autoPict="0">
                <anchor moveWithCells="1">
                  <from>
                    <xdr:col>205</xdr:col>
                    <xdr:colOff>0</xdr:colOff>
                    <xdr:row>141</xdr:row>
                    <xdr:rowOff>0</xdr:rowOff>
                  </from>
                  <to>
                    <xdr:col>207</xdr:col>
                    <xdr:colOff>161925</xdr:colOff>
                    <xdr:row>142</xdr:row>
                    <xdr:rowOff>9525</xdr:rowOff>
                  </to>
                </anchor>
              </controlPr>
            </control>
          </mc:Choice>
        </mc:AlternateContent>
        <mc:AlternateContent xmlns:mc="http://schemas.openxmlformats.org/markup-compatibility/2006">
          <mc:Choice Requires="x14">
            <control shapeId="1351" r:id="rId314" name="Drop Down 327">
              <controlPr defaultSize="0" autoLine="0" autoPict="0">
                <anchor moveWithCells="1">
                  <from>
                    <xdr:col>205</xdr:col>
                    <xdr:colOff>0</xdr:colOff>
                    <xdr:row>143</xdr:row>
                    <xdr:rowOff>0</xdr:rowOff>
                  </from>
                  <to>
                    <xdr:col>207</xdr:col>
                    <xdr:colOff>161925</xdr:colOff>
                    <xdr:row>144</xdr:row>
                    <xdr:rowOff>9525</xdr:rowOff>
                  </to>
                </anchor>
              </controlPr>
            </control>
          </mc:Choice>
        </mc:AlternateContent>
        <mc:AlternateContent xmlns:mc="http://schemas.openxmlformats.org/markup-compatibility/2006">
          <mc:Choice Requires="x14">
            <control shapeId="1352" r:id="rId315" name="Drop Down 328">
              <controlPr defaultSize="0" autoLine="0" autoPict="0">
                <anchor moveWithCells="1">
                  <from>
                    <xdr:col>205</xdr:col>
                    <xdr:colOff>0</xdr:colOff>
                    <xdr:row>145</xdr:row>
                    <xdr:rowOff>0</xdr:rowOff>
                  </from>
                  <to>
                    <xdr:col>207</xdr:col>
                    <xdr:colOff>161925</xdr:colOff>
                    <xdr:row>146</xdr:row>
                    <xdr:rowOff>9525</xdr:rowOff>
                  </to>
                </anchor>
              </controlPr>
            </control>
          </mc:Choice>
        </mc:AlternateContent>
        <mc:AlternateContent xmlns:mc="http://schemas.openxmlformats.org/markup-compatibility/2006">
          <mc:Choice Requires="x14">
            <control shapeId="1353" r:id="rId316" name="Drop Down 329">
              <controlPr defaultSize="0" autoLine="0" autoPict="0">
                <anchor moveWithCells="1">
                  <from>
                    <xdr:col>205</xdr:col>
                    <xdr:colOff>0</xdr:colOff>
                    <xdr:row>147</xdr:row>
                    <xdr:rowOff>0</xdr:rowOff>
                  </from>
                  <to>
                    <xdr:col>207</xdr:col>
                    <xdr:colOff>161925</xdr:colOff>
                    <xdr:row>148</xdr:row>
                    <xdr:rowOff>9525</xdr:rowOff>
                  </to>
                </anchor>
              </controlPr>
            </control>
          </mc:Choice>
        </mc:AlternateContent>
        <mc:AlternateContent xmlns:mc="http://schemas.openxmlformats.org/markup-compatibility/2006">
          <mc:Choice Requires="x14">
            <control shapeId="1354" r:id="rId317" name="Drop Down 330">
              <controlPr defaultSize="0" autoLine="0" autoPict="0">
                <anchor moveWithCells="1">
                  <from>
                    <xdr:col>205</xdr:col>
                    <xdr:colOff>0</xdr:colOff>
                    <xdr:row>149</xdr:row>
                    <xdr:rowOff>0</xdr:rowOff>
                  </from>
                  <to>
                    <xdr:col>207</xdr:col>
                    <xdr:colOff>161925</xdr:colOff>
                    <xdr:row>150</xdr:row>
                    <xdr:rowOff>9525</xdr:rowOff>
                  </to>
                </anchor>
              </controlPr>
            </control>
          </mc:Choice>
        </mc:AlternateContent>
        <mc:AlternateContent xmlns:mc="http://schemas.openxmlformats.org/markup-compatibility/2006">
          <mc:Choice Requires="x14">
            <control shapeId="1355" r:id="rId318" name="Drop Down 331">
              <controlPr defaultSize="0" autoLine="0" autoPict="0">
                <anchor moveWithCells="1">
                  <from>
                    <xdr:col>205</xdr:col>
                    <xdr:colOff>0</xdr:colOff>
                    <xdr:row>151</xdr:row>
                    <xdr:rowOff>0</xdr:rowOff>
                  </from>
                  <to>
                    <xdr:col>207</xdr:col>
                    <xdr:colOff>161925</xdr:colOff>
                    <xdr:row>152</xdr:row>
                    <xdr:rowOff>9525</xdr:rowOff>
                  </to>
                </anchor>
              </controlPr>
            </control>
          </mc:Choice>
        </mc:AlternateContent>
        <mc:AlternateContent xmlns:mc="http://schemas.openxmlformats.org/markup-compatibility/2006">
          <mc:Choice Requires="x14">
            <control shapeId="1363" r:id="rId319" name="Drop Down 339">
              <controlPr defaultSize="0" autoLine="0" autoPict="0">
                <anchor moveWithCells="1">
                  <from>
                    <xdr:col>16</xdr:col>
                    <xdr:colOff>0</xdr:colOff>
                    <xdr:row>16</xdr:row>
                    <xdr:rowOff>0</xdr:rowOff>
                  </from>
                  <to>
                    <xdr:col>19</xdr:col>
                    <xdr:colOff>333375</xdr:colOff>
                    <xdr:row>17</xdr:row>
                    <xdr:rowOff>9525</xdr:rowOff>
                  </to>
                </anchor>
              </controlPr>
            </control>
          </mc:Choice>
        </mc:AlternateContent>
        <mc:AlternateContent xmlns:mc="http://schemas.openxmlformats.org/markup-compatibility/2006">
          <mc:Choice Requires="x14">
            <control shapeId="1368" r:id="rId320" name="Drop Down 344">
              <controlPr defaultSize="0" autoLine="0" autoPict="0">
                <anchor moveWithCells="1">
                  <from>
                    <xdr:col>16</xdr:col>
                    <xdr:colOff>0</xdr:colOff>
                    <xdr:row>98</xdr:row>
                    <xdr:rowOff>0</xdr:rowOff>
                  </from>
                  <to>
                    <xdr:col>19</xdr:col>
                    <xdr:colOff>333375</xdr:colOff>
                    <xdr:row>99</xdr:row>
                    <xdr:rowOff>9525</xdr:rowOff>
                  </to>
                </anchor>
              </controlPr>
            </control>
          </mc:Choice>
        </mc:AlternateContent>
        <mc:AlternateContent xmlns:mc="http://schemas.openxmlformats.org/markup-compatibility/2006">
          <mc:Choice Requires="x14">
            <control shapeId="1530" r:id="rId321" name="Button 506">
              <controlPr defaultSize="0" print="0" autoFill="0" autoPict="0" macro="[0]!Makro9">
                <anchor moveWithCells="1" sizeWithCells="1">
                  <from>
                    <xdr:col>22</xdr:col>
                    <xdr:colOff>342900</xdr:colOff>
                    <xdr:row>29</xdr:row>
                    <xdr:rowOff>0</xdr:rowOff>
                  </from>
                  <to>
                    <xdr:col>23</xdr:col>
                    <xdr:colOff>238125</xdr:colOff>
                    <xdr:row>30</xdr:row>
                    <xdr:rowOff>9525</xdr:rowOff>
                  </to>
                </anchor>
              </controlPr>
            </control>
          </mc:Choice>
        </mc:AlternateContent>
        <mc:AlternateContent xmlns:mc="http://schemas.openxmlformats.org/markup-compatibility/2006">
          <mc:Choice Requires="x14">
            <control shapeId="1531" r:id="rId322" name="Button 507">
              <controlPr defaultSize="0" print="0" autoFill="0" autoPict="0" macro="[0]!Makro12">
                <anchor moveWithCells="1" sizeWithCells="1">
                  <from>
                    <xdr:col>22</xdr:col>
                    <xdr:colOff>333375</xdr:colOff>
                    <xdr:row>51</xdr:row>
                    <xdr:rowOff>0</xdr:rowOff>
                  </from>
                  <to>
                    <xdr:col>23</xdr:col>
                    <xdr:colOff>228600</xdr:colOff>
                    <xdr:row>52</xdr:row>
                    <xdr:rowOff>9525</xdr:rowOff>
                  </to>
                </anchor>
              </controlPr>
            </control>
          </mc:Choice>
        </mc:AlternateContent>
        <mc:AlternateContent xmlns:mc="http://schemas.openxmlformats.org/markup-compatibility/2006">
          <mc:Choice Requires="x14">
            <control shapeId="1532" r:id="rId323" name="Button 508">
              <controlPr defaultSize="0" print="0" autoFill="0" autoPict="0" macro="[0]!Makro1">
                <anchor moveWithCells="1" sizeWithCells="1">
                  <from>
                    <xdr:col>22</xdr:col>
                    <xdr:colOff>342900</xdr:colOff>
                    <xdr:row>111</xdr:row>
                    <xdr:rowOff>0</xdr:rowOff>
                  </from>
                  <to>
                    <xdr:col>23</xdr:col>
                    <xdr:colOff>228600</xdr:colOff>
                    <xdr:row>112</xdr:row>
                    <xdr:rowOff>19050</xdr:rowOff>
                  </to>
                </anchor>
              </controlPr>
            </control>
          </mc:Choice>
        </mc:AlternateContent>
        <mc:AlternateContent xmlns:mc="http://schemas.openxmlformats.org/markup-compatibility/2006">
          <mc:Choice Requires="x14">
            <control shapeId="1533" r:id="rId324" name="Button 509">
              <controlPr defaultSize="0" print="0" autoFill="0" autoPict="0" macro="[0]!Makro6">
                <anchor moveWithCells="1" sizeWithCells="1">
                  <from>
                    <xdr:col>22</xdr:col>
                    <xdr:colOff>333375</xdr:colOff>
                    <xdr:row>133</xdr:row>
                    <xdr:rowOff>0</xdr:rowOff>
                  </from>
                  <to>
                    <xdr:col>23</xdr:col>
                    <xdr:colOff>219075</xdr:colOff>
                    <xdr:row>134</xdr:row>
                    <xdr:rowOff>9525</xdr:rowOff>
                  </to>
                </anchor>
              </controlPr>
            </control>
          </mc:Choice>
        </mc:AlternateContent>
        <mc:AlternateContent xmlns:mc="http://schemas.openxmlformats.org/markup-compatibility/2006">
          <mc:Choice Requires="x14">
            <control shapeId="1534" r:id="rId325" name="Button 510">
              <controlPr defaultSize="0" print="0" autoFill="0" autoPict="0" macro="[0]!Makro2">
                <anchor moveWithCells="1" sizeWithCells="1">
                  <from>
                    <xdr:col>23</xdr:col>
                    <xdr:colOff>304800</xdr:colOff>
                    <xdr:row>111</xdr:row>
                    <xdr:rowOff>0</xdr:rowOff>
                  </from>
                  <to>
                    <xdr:col>25</xdr:col>
                    <xdr:colOff>104775</xdr:colOff>
                    <xdr:row>112</xdr:row>
                    <xdr:rowOff>19050</xdr:rowOff>
                  </to>
                </anchor>
              </controlPr>
            </control>
          </mc:Choice>
        </mc:AlternateContent>
        <mc:AlternateContent xmlns:mc="http://schemas.openxmlformats.org/markup-compatibility/2006">
          <mc:Choice Requires="x14">
            <control shapeId="1535" r:id="rId326" name="Button 511">
              <controlPr defaultSize="0" print="0" autoFill="0" autoPict="0" macro="[0]!Makro3">
                <anchor moveWithCells="1" sizeWithCells="1">
                  <from>
                    <xdr:col>31</xdr:col>
                    <xdr:colOff>590550</xdr:colOff>
                    <xdr:row>111</xdr:row>
                    <xdr:rowOff>0</xdr:rowOff>
                  </from>
                  <to>
                    <xdr:col>31</xdr:col>
                    <xdr:colOff>914400</xdr:colOff>
                    <xdr:row>112</xdr:row>
                    <xdr:rowOff>9525</xdr:rowOff>
                  </to>
                </anchor>
              </controlPr>
            </control>
          </mc:Choice>
        </mc:AlternateContent>
        <mc:AlternateContent xmlns:mc="http://schemas.openxmlformats.org/markup-compatibility/2006">
          <mc:Choice Requires="x14">
            <control shapeId="1536" r:id="rId327" name="Button 512">
              <controlPr defaultSize="0" print="0" autoFill="0" autoPict="0" macro="[0]!Makro7">
                <anchor moveWithCells="1" sizeWithCells="1">
                  <from>
                    <xdr:col>23</xdr:col>
                    <xdr:colOff>295275</xdr:colOff>
                    <xdr:row>133</xdr:row>
                    <xdr:rowOff>0</xdr:rowOff>
                  </from>
                  <to>
                    <xdr:col>25</xdr:col>
                    <xdr:colOff>95250</xdr:colOff>
                    <xdr:row>134</xdr:row>
                    <xdr:rowOff>9525</xdr:rowOff>
                  </to>
                </anchor>
              </controlPr>
            </control>
          </mc:Choice>
        </mc:AlternateContent>
        <mc:AlternateContent xmlns:mc="http://schemas.openxmlformats.org/markup-compatibility/2006">
          <mc:Choice Requires="x14">
            <control shapeId="1537" r:id="rId328" name="Button 513">
              <controlPr defaultSize="0" print="0" autoFill="0" autoPict="0" macro="[0]!Makro8">
                <anchor moveWithCells="1" sizeWithCells="1">
                  <from>
                    <xdr:col>31</xdr:col>
                    <xdr:colOff>561975</xdr:colOff>
                    <xdr:row>133</xdr:row>
                    <xdr:rowOff>0</xdr:rowOff>
                  </from>
                  <to>
                    <xdr:col>31</xdr:col>
                    <xdr:colOff>857250</xdr:colOff>
                    <xdr:row>134</xdr:row>
                    <xdr:rowOff>9525</xdr:rowOff>
                  </to>
                </anchor>
              </controlPr>
            </control>
          </mc:Choice>
        </mc:AlternateContent>
        <mc:AlternateContent xmlns:mc="http://schemas.openxmlformats.org/markup-compatibility/2006">
          <mc:Choice Requires="x14">
            <control shapeId="1538" r:id="rId329" name="Button 514">
              <controlPr defaultSize="0" print="0" autoFill="0" autoPict="0" macro="[0]!Makro13">
                <anchor moveWithCells="1" sizeWithCells="1">
                  <from>
                    <xdr:col>23</xdr:col>
                    <xdr:colOff>304800</xdr:colOff>
                    <xdr:row>51</xdr:row>
                    <xdr:rowOff>0</xdr:rowOff>
                  </from>
                  <to>
                    <xdr:col>25</xdr:col>
                    <xdr:colOff>104775</xdr:colOff>
                    <xdr:row>52</xdr:row>
                    <xdr:rowOff>9525</xdr:rowOff>
                  </to>
                </anchor>
              </controlPr>
            </control>
          </mc:Choice>
        </mc:AlternateContent>
        <mc:AlternateContent xmlns:mc="http://schemas.openxmlformats.org/markup-compatibility/2006">
          <mc:Choice Requires="x14">
            <control shapeId="1539" r:id="rId330" name="Button 515">
              <controlPr defaultSize="0" print="0" autoFill="0" autoPict="0" macro="[0]!Makro10">
                <anchor moveWithCells="1" sizeWithCells="1">
                  <from>
                    <xdr:col>23</xdr:col>
                    <xdr:colOff>314325</xdr:colOff>
                    <xdr:row>29</xdr:row>
                    <xdr:rowOff>0</xdr:rowOff>
                  </from>
                  <to>
                    <xdr:col>25</xdr:col>
                    <xdr:colOff>104775</xdr:colOff>
                    <xdr:row>30</xdr:row>
                    <xdr:rowOff>9525</xdr:rowOff>
                  </to>
                </anchor>
              </controlPr>
            </control>
          </mc:Choice>
        </mc:AlternateContent>
        <mc:AlternateContent xmlns:mc="http://schemas.openxmlformats.org/markup-compatibility/2006">
          <mc:Choice Requires="x14">
            <control shapeId="1540" r:id="rId331" name="Button 516">
              <controlPr defaultSize="0" print="0" autoFill="0" autoPict="0" macro="[0]!Makro14">
                <anchor moveWithCells="1" sizeWithCells="1">
                  <from>
                    <xdr:col>31</xdr:col>
                    <xdr:colOff>590550</xdr:colOff>
                    <xdr:row>51</xdr:row>
                    <xdr:rowOff>9525</xdr:rowOff>
                  </from>
                  <to>
                    <xdr:col>31</xdr:col>
                    <xdr:colOff>895350</xdr:colOff>
                    <xdr:row>52</xdr:row>
                    <xdr:rowOff>19050</xdr:rowOff>
                  </to>
                </anchor>
              </controlPr>
            </control>
          </mc:Choice>
        </mc:AlternateContent>
        <mc:AlternateContent xmlns:mc="http://schemas.openxmlformats.org/markup-compatibility/2006">
          <mc:Choice Requires="x14">
            <control shapeId="1541" r:id="rId332" name="Button 517">
              <controlPr defaultSize="0" print="0" autoFill="0" autoPict="0" macro="[0]!Makro11">
                <anchor moveWithCells="1" sizeWithCells="1">
                  <from>
                    <xdr:col>31</xdr:col>
                    <xdr:colOff>571500</xdr:colOff>
                    <xdr:row>29</xdr:row>
                    <xdr:rowOff>0</xdr:rowOff>
                  </from>
                  <to>
                    <xdr:col>31</xdr:col>
                    <xdr:colOff>866775</xdr:colOff>
                    <xdr:row>30</xdr:row>
                    <xdr:rowOff>9525</xdr:rowOff>
                  </to>
                </anchor>
              </controlPr>
            </control>
          </mc:Choice>
        </mc:AlternateContent>
        <mc:AlternateContent xmlns:mc="http://schemas.openxmlformats.org/markup-compatibility/2006">
          <mc:Choice Requires="x14">
            <control shapeId="1542" r:id="rId333" name="Button 518">
              <controlPr defaultSize="0" print="0" autoFill="0" autoPict="0" macro="[0]!Makro4">
                <anchor moveWithCells="1" sizeWithCells="1">
                  <from>
                    <xdr:col>25</xdr:col>
                    <xdr:colOff>190500</xdr:colOff>
                    <xdr:row>28</xdr:row>
                    <xdr:rowOff>85725</xdr:rowOff>
                  </from>
                  <to>
                    <xdr:col>25</xdr:col>
                    <xdr:colOff>438150</xdr:colOff>
                    <xdr:row>30</xdr:row>
                    <xdr:rowOff>9525</xdr:rowOff>
                  </to>
                </anchor>
              </controlPr>
            </control>
          </mc:Choice>
        </mc:AlternateContent>
        <mc:AlternateContent xmlns:mc="http://schemas.openxmlformats.org/markup-compatibility/2006">
          <mc:Choice Requires="x14">
            <control shapeId="1543" r:id="rId334" name="Button 519">
              <controlPr defaultSize="0" print="0" autoFill="0" autoPict="0" macro="[0]!Makro15">
                <anchor moveWithCells="1" sizeWithCells="1">
                  <from>
                    <xdr:col>25</xdr:col>
                    <xdr:colOff>180975</xdr:colOff>
                    <xdr:row>51</xdr:row>
                    <xdr:rowOff>0</xdr:rowOff>
                  </from>
                  <to>
                    <xdr:col>25</xdr:col>
                    <xdr:colOff>419100</xdr:colOff>
                    <xdr:row>52</xdr:row>
                    <xdr:rowOff>9525</xdr:rowOff>
                  </to>
                </anchor>
              </controlPr>
            </control>
          </mc:Choice>
        </mc:AlternateContent>
        <mc:AlternateContent xmlns:mc="http://schemas.openxmlformats.org/markup-compatibility/2006">
          <mc:Choice Requires="x14">
            <control shapeId="1544" r:id="rId335" name="Button 520">
              <controlPr defaultSize="0" print="0" autoFill="0" autoPict="0" macro="[0]!Makro16">
                <anchor moveWithCells="1" sizeWithCells="1">
                  <from>
                    <xdr:col>25</xdr:col>
                    <xdr:colOff>180975</xdr:colOff>
                    <xdr:row>111</xdr:row>
                    <xdr:rowOff>0</xdr:rowOff>
                  </from>
                  <to>
                    <xdr:col>25</xdr:col>
                    <xdr:colOff>447675</xdr:colOff>
                    <xdr:row>112</xdr:row>
                    <xdr:rowOff>19050</xdr:rowOff>
                  </to>
                </anchor>
              </controlPr>
            </control>
          </mc:Choice>
        </mc:AlternateContent>
        <mc:AlternateContent xmlns:mc="http://schemas.openxmlformats.org/markup-compatibility/2006">
          <mc:Choice Requires="x14">
            <control shapeId="1545" r:id="rId336" name="Button 521">
              <controlPr defaultSize="0" print="0" autoFill="0" autoPict="0" macro="[0]!Makro17">
                <anchor moveWithCells="1" sizeWithCells="1">
                  <from>
                    <xdr:col>25</xdr:col>
                    <xdr:colOff>171450</xdr:colOff>
                    <xdr:row>133</xdr:row>
                    <xdr:rowOff>0</xdr:rowOff>
                  </from>
                  <to>
                    <xdr:col>25</xdr:col>
                    <xdr:colOff>438150</xdr:colOff>
                    <xdr:row>134</xdr:row>
                    <xdr:rowOff>9525</xdr:rowOff>
                  </to>
                </anchor>
              </controlPr>
            </control>
          </mc:Choice>
        </mc:AlternateContent>
        <mc:AlternateContent xmlns:mc="http://schemas.openxmlformats.org/markup-compatibility/2006">
          <mc:Choice Requires="x14">
            <control shapeId="1546" r:id="rId337" name="Button 522">
              <controlPr defaultSize="0" print="0" autoFill="0" autoPict="0" macro="[0]!Makro18">
                <anchor moveWithCells="1" sizeWithCells="1">
                  <from>
                    <xdr:col>26</xdr:col>
                    <xdr:colOff>47625</xdr:colOff>
                    <xdr:row>28</xdr:row>
                    <xdr:rowOff>85725</xdr:rowOff>
                  </from>
                  <to>
                    <xdr:col>28</xdr:col>
                    <xdr:colOff>0</xdr:colOff>
                    <xdr:row>30</xdr:row>
                    <xdr:rowOff>9525</xdr:rowOff>
                  </to>
                </anchor>
              </controlPr>
            </control>
          </mc:Choice>
        </mc:AlternateContent>
        <mc:AlternateContent xmlns:mc="http://schemas.openxmlformats.org/markup-compatibility/2006">
          <mc:Choice Requires="x14">
            <control shapeId="1547" r:id="rId338" name="Button 523">
              <controlPr defaultSize="0" print="0" autoFill="0" autoPict="0" macro="[0]!Makro19">
                <anchor moveWithCells="1" sizeWithCells="1">
                  <from>
                    <xdr:col>26</xdr:col>
                    <xdr:colOff>28575</xdr:colOff>
                    <xdr:row>50</xdr:row>
                    <xdr:rowOff>85725</xdr:rowOff>
                  </from>
                  <to>
                    <xdr:col>27</xdr:col>
                    <xdr:colOff>95250</xdr:colOff>
                    <xdr:row>52</xdr:row>
                    <xdr:rowOff>9525</xdr:rowOff>
                  </to>
                </anchor>
              </controlPr>
            </control>
          </mc:Choice>
        </mc:AlternateContent>
        <mc:AlternateContent xmlns:mc="http://schemas.openxmlformats.org/markup-compatibility/2006">
          <mc:Choice Requires="x14">
            <control shapeId="1548" r:id="rId339" name="Button 524">
              <controlPr defaultSize="0" print="0" autoFill="0" autoPict="0" macro="[0]!Makro20">
                <anchor moveWithCells="1" sizeWithCells="1">
                  <from>
                    <xdr:col>26</xdr:col>
                    <xdr:colOff>57150</xdr:colOff>
                    <xdr:row>111</xdr:row>
                    <xdr:rowOff>0</xdr:rowOff>
                  </from>
                  <to>
                    <xdr:col>28</xdr:col>
                    <xdr:colOff>9525</xdr:colOff>
                    <xdr:row>112</xdr:row>
                    <xdr:rowOff>19050</xdr:rowOff>
                  </to>
                </anchor>
              </controlPr>
            </control>
          </mc:Choice>
        </mc:AlternateContent>
        <mc:AlternateContent xmlns:mc="http://schemas.openxmlformats.org/markup-compatibility/2006">
          <mc:Choice Requires="x14">
            <control shapeId="1549" r:id="rId340" name="Button 525">
              <controlPr defaultSize="0" print="0" autoFill="0" autoPict="0" macro="[0]!Makro21">
                <anchor moveWithCells="1" sizeWithCells="1">
                  <from>
                    <xdr:col>26</xdr:col>
                    <xdr:colOff>47625</xdr:colOff>
                    <xdr:row>132</xdr:row>
                    <xdr:rowOff>85725</xdr:rowOff>
                  </from>
                  <to>
                    <xdr:col>28</xdr:col>
                    <xdr:colOff>0</xdr:colOff>
                    <xdr:row>134</xdr:row>
                    <xdr:rowOff>9525</xdr:rowOff>
                  </to>
                </anchor>
              </controlPr>
            </control>
          </mc:Choice>
        </mc:AlternateContent>
        <mc:AlternateContent xmlns:mc="http://schemas.openxmlformats.org/markup-compatibility/2006">
          <mc:Choice Requires="x14">
            <control shapeId="1550" r:id="rId341" name="Button 526">
              <controlPr defaultSize="0" print="0" autoFill="0" autoPict="0" macro="[0]!Makro22">
                <anchor moveWithCells="1" sizeWithCells="1">
                  <from>
                    <xdr:col>28</xdr:col>
                    <xdr:colOff>66675</xdr:colOff>
                    <xdr:row>28</xdr:row>
                    <xdr:rowOff>85725</xdr:rowOff>
                  </from>
                  <to>
                    <xdr:col>28</xdr:col>
                    <xdr:colOff>314325</xdr:colOff>
                    <xdr:row>30</xdr:row>
                    <xdr:rowOff>9525</xdr:rowOff>
                  </to>
                </anchor>
              </controlPr>
            </control>
          </mc:Choice>
        </mc:AlternateContent>
        <mc:AlternateContent xmlns:mc="http://schemas.openxmlformats.org/markup-compatibility/2006">
          <mc:Choice Requires="x14">
            <control shapeId="1551" r:id="rId342" name="Button 527">
              <controlPr defaultSize="0" print="0" autoFill="0" autoPict="0" macro="[0]!Makro23">
                <anchor moveWithCells="1" sizeWithCells="1">
                  <from>
                    <xdr:col>28</xdr:col>
                    <xdr:colOff>57150</xdr:colOff>
                    <xdr:row>50</xdr:row>
                    <xdr:rowOff>85725</xdr:rowOff>
                  </from>
                  <to>
                    <xdr:col>28</xdr:col>
                    <xdr:colOff>304800</xdr:colOff>
                    <xdr:row>52</xdr:row>
                    <xdr:rowOff>9525</xdr:rowOff>
                  </to>
                </anchor>
              </controlPr>
            </control>
          </mc:Choice>
        </mc:AlternateContent>
        <mc:AlternateContent xmlns:mc="http://schemas.openxmlformats.org/markup-compatibility/2006">
          <mc:Choice Requires="x14">
            <control shapeId="1552" r:id="rId343" name="Button 528">
              <controlPr defaultSize="0" print="0" autoFill="0" autoPict="0" macro="[0]!Makro25">
                <anchor moveWithCells="1" sizeWithCells="1">
                  <from>
                    <xdr:col>28</xdr:col>
                    <xdr:colOff>76200</xdr:colOff>
                    <xdr:row>111</xdr:row>
                    <xdr:rowOff>0</xdr:rowOff>
                  </from>
                  <to>
                    <xdr:col>28</xdr:col>
                    <xdr:colOff>323850</xdr:colOff>
                    <xdr:row>112</xdr:row>
                    <xdr:rowOff>19050</xdr:rowOff>
                  </to>
                </anchor>
              </controlPr>
            </control>
          </mc:Choice>
        </mc:AlternateContent>
        <mc:AlternateContent xmlns:mc="http://schemas.openxmlformats.org/markup-compatibility/2006">
          <mc:Choice Requires="x14">
            <control shapeId="1553" r:id="rId344" name="Button 529">
              <controlPr defaultSize="0" print="0" autoFill="0" autoPict="0" macro="[0]!Makro26">
                <anchor moveWithCells="1" sizeWithCells="1">
                  <from>
                    <xdr:col>28</xdr:col>
                    <xdr:colOff>66675</xdr:colOff>
                    <xdr:row>132</xdr:row>
                    <xdr:rowOff>85725</xdr:rowOff>
                  </from>
                  <to>
                    <xdr:col>28</xdr:col>
                    <xdr:colOff>314325</xdr:colOff>
                    <xdr:row>134</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4"/>
  <dimension ref="A1:BA59"/>
  <sheetViews>
    <sheetView workbookViewId="0">
      <selection activeCell="M39" sqref="M39"/>
    </sheetView>
  </sheetViews>
  <sheetFormatPr defaultRowHeight="15" x14ac:dyDescent="0.25"/>
  <cols>
    <col min="1" max="1" width="2.5703125" style="57" customWidth="1"/>
    <col min="2" max="2" width="5.7109375" style="57" customWidth="1"/>
    <col min="3" max="4" width="4.85546875" style="57" customWidth="1"/>
    <col min="5" max="5" width="5" style="57" customWidth="1"/>
    <col min="6" max="6" width="10" style="57" customWidth="1"/>
    <col min="7" max="7" width="5.7109375" style="57" customWidth="1"/>
    <col min="8" max="8" width="3.140625" style="57" customWidth="1"/>
    <col min="9" max="9" width="6.42578125" style="57" customWidth="1"/>
    <col min="10" max="16" width="5.7109375" style="57" customWidth="1"/>
    <col min="17" max="17" width="4.7109375" style="57" customWidth="1"/>
    <col min="18" max="18" width="5.7109375" style="57" customWidth="1"/>
    <col min="19" max="19" width="4.7109375" style="57" customWidth="1"/>
    <col min="20" max="20" width="5.7109375" style="57" customWidth="1"/>
    <col min="21" max="21" width="4.7109375" style="57" customWidth="1"/>
    <col min="22" max="22" width="5.7109375" style="57" customWidth="1"/>
    <col min="23" max="23" width="4.7109375" style="57" customWidth="1"/>
    <col min="24" max="24" width="5.7109375" style="57" customWidth="1"/>
    <col min="25" max="25" width="4.7109375" style="57" customWidth="1"/>
    <col min="26" max="26" width="5.7109375" style="57" customWidth="1"/>
    <col min="27" max="27" width="4.7109375" style="57" customWidth="1"/>
    <col min="28" max="28" width="5.7109375" style="57" customWidth="1"/>
    <col min="29" max="29" width="4.7109375" style="57" customWidth="1"/>
    <col min="30" max="30" width="5.7109375" style="57" customWidth="1"/>
    <col min="31" max="31" width="3.7109375" style="57" customWidth="1"/>
    <col min="32" max="32" width="4.42578125" style="57" customWidth="1"/>
    <col min="33" max="33" width="4.7109375" style="57" customWidth="1"/>
    <col min="34" max="34" width="5.7109375" style="57" customWidth="1"/>
    <col min="35" max="35" width="0" style="57" hidden="1" customWidth="1"/>
    <col min="36" max="49" width="9.140625" style="57" hidden="1" customWidth="1"/>
    <col min="50" max="52" width="0" style="57" hidden="1" customWidth="1"/>
    <col min="53" max="16384" width="9.140625" style="57"/>
  </cols>
  <sheetData>
    <row r="1" spans="1:53" ht="18.75" x14ac:dyDescent="0.3">
      <c r="B1" s="52" t="s">
        <v>138</v>
      </c>
    </row>
    <row r="2" spans="1:53" ht="8.1" customHeight="1" x14ac:dyDescent="0.25">
      <c r="AJ2" s="57" t="s">
        <v>1470</v>
      </c>
    </row>
    <row r="3" spans="1:53" x14ac:dyDescent="0.25">
      <c r="B3" s="57" t="s">
        <v>1461</v>
      </c>
      <c r="J3" s="267" t="s">
        <v>498</v>
      </c>
      <c r="K3" s="267"/>
      <c r="L3" s="267"/>
      <c r="M3" s="267"/>
      <c r="N3" s="267"/>
      <c r="O3" s="267"/>
      <c r="P3" s="15"/>
      <c r="Q3" s="15"/>
      <c r="R3" s="15"/>
      <c r="S3" s="15"/>
      <c r="AJ3" s="59">
        <v>2</v>
      </c>
    </row>
    <row r="4" spans="1:53" ht="8.1" customHeight="1" x14ac:dyDescent="0.25"/>
    <row r="5" spans="1:53" x14ac:dyDescent="0.25">
      <c r="B5" s="57" t="s">
        <v>1462</v>
      </c>
      <c r="G5" s="58"/>
      <c r="H5" s="57" t="s">
        <v>1469</v>
      </c>
    </row>
    <row r="6" spans="1:53" ht="8.1" customHeight="1" x14ac:dyDescent="0.25"/>
    <row r="7" spans="1:53" x14ac:dyDescent="0.25">
      <c r="B7" s="57" t="s">
        <v>1464</v>
      </c>
      <c r="G7" s="58"/>
      <c r="H7" s="57" t="s">
        <v>1469</v>
      </c>
    </row>
    <row r="8" spans="1:53" ht="8.1" customHeight="1" x14ac:dyDescent="0.25"/>
    <row r="9" spans="1:53" x14ac:dyDescent="0.25">
      <c r="B9" s="57" t="s">
        <v>1465</v>
      </c>
      <c r="G9" s="58"/>
      <c r="H9" s="57" t="s">
        <v>1469</v>
      </c>
    </row>
    <row r="10" spans="1:53" ht="8.1" customHeight="1" x14ac:dyDescent="0.25"/>
    <row r="11" spans="1:53" x14ac:dyDescent="0.25">
      <c r="B11" s="26" t="s">
        <v>1463</v>
      </c>
      <c r="G11" s="26">
        <f>G5-G7+G9</f>
        <v>0</v>
      </c>
      <c r="H11" s="26" t="s">
        <v>1469</v>
      </c>
    </row>
    <row r="12" spans="1:53" ht="15.75" thickBot="1" x14ac:dyDescent="0.3">
      <c r="B12" s="107"/>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row>
    <row r="14" spans="1:53" ht="18.75" x14ac:dyDescent="0.3">
      <c r="B14" s="60" t="s">
        <v>1718</v>
      </c>
      <c r="V14" s="67"/>
      <c r="AI14" s="59"/>
      <c r="AJ14" s="68"/>
      <c r="AK14" s="59"/>
      <c r="AL14" s="59"/>
      <c r="AM14" s="59"/>
      <c r="AN14" s="59"/>
      <c r="AO14" s="59"/>
      <c r="AP14" s="59"/>
      <c r="AQ14" s="59"/>
      <c r="AR14" s="59"/>
      <c r="AS14" s="59"/>
      <c r="AT14" s="59"/>
      <c r="AU14" s="59"/>
      <c r="AV14" s="59"/>
      <c r="AW14" s="59"/>
      <c r="AX14" s="59"/>
      <c r="AY14" s="59"/>
      <c r="AZ14" s="59"/>
      <c r="BA14" s="59"/>
    </row>
    <row r="15" spans="1:53" x14ac:dyDescent="0.25">
      <c r="V15" s="67" t="s">
        <v>1174</v>
      </c>
      <c r="AI15" s="59"/>
      <c r="AJ15" s="59"/>
      <c r="AK15" s="59"/>
      <c r="AL15" s="59"/>
      <c r="AM15" s="59"/>
      <c r="AN15" s="69" t="s">
        <v>1175</v>
      </c>
      <c r="AO15" s="59"/>
      <c r="AP15" s="59"/>
      <c r="AQ15" s="59"/>
      <c r="AR15" s="59"/>
      <c r="AS15" s="59"/>
      <c r="AT15" s="59"/>
      <c r="AU15" s="59"/>
      <c r="AV15" s="59"/>
      <c r="AW15" s="59"/>
      <c r="AX15" s="59"/>
      <c r="AY15" s="59"/>
      <c r="AZ15" s="59"/>
      <c r="BA15" s="59"/>
    </row>
    <row r="16" spans="1:53" ht="8.1" customHeight="1" x14ac:dyDescent="0.25">
      <c r="A16" s="67"/>
      <c r="AI16" s="59"/>
      <c r="AJ16" s="59"/>
      <c r="AK16" s="59"/>
      <c r="AL16" s="59"/>
      <c r="AM16" s="59"/>
      <c r="AN16" s="59"/>
      <c r="AO16" s="59"/>
      <c r="AP16" s="59"/>
      <c r="AQ16" s="59"/>
      <c r="AR16" s="59"/>
      <c r="AS16" s="59"/>
      <c r="AT16" s="59"/>
      <c r="AU16" s="59"/>
      <c r="AV16" s="59"/>
      <c r="AW16" s="59"/>
      <c r="AX16" s="59"/>
      <c r="AY16" s="59"/>
      <c r="AZ16" s="59"/>
      <c r="BA16" s="59"/>
    </row>
    <row r="17" spans="2:53" x14ac:dyDescent="0.25">
      <c r="B17" s="67" t="s">
        <v>1176</v>
      </c>
      <c r="C17" s="67"/>
      <c r="D17" s="67"/>
      <c r="E17" s="67"/>
      <c r="N17" s="67" t="s">
        <v>1177</v>
      </c>
      <c r="O17" s="67"/>
      <c r="P17" s="67"/>
      <c r="Q17" s="67"/>
      <c r="R17" s="67" t="s">
        <v>1178</v>
      </c>
      <c r="S17" s="67"/>
      <c r="T17" s="67"/>
      <c r="U17" s="67"/>
      <c r="V17" s="67" t="s">
        <v>67</v>
      </c>
      <c r="W17" s="67"/>
      <c r="X17" s="67" t="s">
        <v>51</v>
      </c>
      <c r="Y17" s="67"/>
      <c r="Z17" s="67" t="s">
        <v>53</v>
      </c>
      <c r="AA17" s="67"/>
      <c r="AB17" s="67" t="s">
        <v>65</v>
      </c>
      <c r="AC17" s="67"/>
      <c r="AD17" s="67" t="s">
        <v>60</v>
      </c>
      <c r="AE17" s="67"/>
      <c r="AF17" s="67" t="s">
        <v>68</v>
      </c>
      <c r="AI17" s="59"/>
      <c r="AJ17" s="68" t="s">
        <v>1179</v>
      </c>
      <c r="AK17" s="68" t="s">
        <v>1180</v>
      </c>
      <c r="AL17" s="68" t="s">
        <v>1181</v>
      </c>
      <c r="AM17" s="68" t="s">
        <v>1182</v>
      </c>
      <c r="AN17" s="68" t="s">
        <v>67</v>
      </c>
      <c r="AO17" s="68" t="s">
        <v>51</v>
      </c>
      <c r="AP17" s="68" t="s">
        <v>53</v>
      </c>
      <c r="AQ17" s="68" t="s">
        <v>65</v>
      </c>
      <c r="AR17" s="68" t="s">
        <v>60</v>
      </c>
      <c r="AS17" s="68" t="s">
        <v>68</v>
      </c>
      <c r="AT17" s="59"/>
      <c r="AU17" s="59"/>
      <c r="AV17" s="59"/>
      <c r="AW17" s="59"/>
      <c r="AX17" s="59"/>
      <c r="AY17" s="59"/>
      <c r="AZ17" s="59"/>
      <c r="BA17" s="59"/>
    </row>
    <row r="18" spans="2:53" ht="8.1" customHeight="1" x14ac:dyDescent="0.25">
      <c r="AI18" s="59"/>
      <c r="AJ18" s="59"/>
      <c r="AK18" s="59"/>
      <c r="AL18" s="59"/>
      <c r="AM18" s="59"/>
      <c r="AN18" s="59"/>
      <c r="AO18" s="59"/>
      <c r="AP18" s="59"/>
      <c r="AQ18" s="59"/>
      <c r="AR18" s="59"/>
      <c r="AS18" s="59"/>
      <c r="AT18" s="59"/>
      <c r="AU18" s="59"/>
      <c r="AV18" s="59"/>
      <c r="AW18" s="59"/>
      <c r="AX18" s="59"/>
      <c r="AY18" s="59"/>
      <c r="AZ18" s="59"/>
      <c r="BA18" s="59"/>
    </row>
    <row r="19" spans="2:53" x14ac:dyDescent="0.25">
      <c r="B19" s="70" t="s">
        <v>1183</v>
      </c>
      <c r="C19" s="70"/>
      <c r="D19" s="70"/>
      <c r="E19" s="70"/>
      <c r="F19" s="61"/>
      <c r="G19" s="70" t="s">
        <v>1184</v>
      </c>
      <c r="H19" s="70"/>
      <c r="N19" s="57">
        <v>1500</v>
      </c>
      <c r="O19" s="70" t="s">
        <v>37</v>
      </c>
      <c r="P19" s="58"/>
      <c r="Q19" s="70" t="s">
        <v>37</v>
      </c>
      <c r="R19" s="57">
        <v>81</v>
      </c>
      <c r="S19" s="70" t="s">
        <v>205</v>
      </c>
      <c r="T19" s="58"/>
      <c r="U19" s="70" t="s">
        <v>205</v>
      </c>
      <c r="V19" s="58">
        <v>50</v>
      </c>
      <c r="W19" s="70" t="s">
        <v>205</v>
      </c>
      <c r="X19" s="58"/>
      <c r="Y19" s="70" t="s">
        <v>205</v>
      </c>
      <c r="Z19" s="58"/>
      <c r="AA19" s="70" t="s">
        <v>205</v>
      </c>
      <c r="AB19" s="58"/>
      <c r="AC19" s="70" t="s">
        <v>205</v>
      </c>
      <c r="AD19" s="58"/>
      <c r="AE19" s="70" t="s">
        <v>205</v>
      </c>
      <c r="AF19" s="62">
        <f>100-V19-X19-Z19-AB19-AD19</f>
        <v>50</v>
      </c>
      <c r="AG19" s="70" t="s">
        <v>205</v>
      </c>
      <c r="AI19" s="59"/>
      <c r="AJ19" s="59">
        <f>F19*IF(P19&lt;&gt;"",P19,N19)</f>
        <v>0</v>
      </c>
      <c r="AK19" s="59">
        <f>AJ19*IF(T19&lt;&gt;"",T19,R19)*0.01</f>
        <v>0</v>
      </c>
      <c r="AL19" s="59">
        <f>V19*0.01*102+X19*0.01*87+Z19*0.01*110+AB19*0.01*113+AD19*0.01*122+AF19*0.01*115</f>
        <v>108.5</v>
      </c>
      <c r="AM19" s="59">
        <f>AK19/AL19</f>
        <v>0</v>
      </c>
      <c r="AN19" s="59">
        <f>$AM19*V19*0.01</f>
        <v>0</v>
      </c>
      <c r="AO19" s="59">
        <f>$AM19*X19*0.01</f>
        <v>0</v>
      </c>
      <c r="AP19" s="59">
        <f>$AM19*Z19*0.01</f>
        <v>0</v>
      </c>
      <c r="AQ19" s="59">
        <f>$AM19*AB19*0.01</f>
        <v>0</v>
      </c>
      <c r="AR19" s="59">
        <f>$AM19*AD19*0.01</f>
        <v>0</v>
      </c>
      <c r="AS19" s="59">
        <f>$AM19*AF19*0.01</f>
        <v>0</v>
      </c>
      <c r="AT19" s="59"/>
      <c r="AU19" s="59"/>
      <c r="AV19" s="59"/>
      <c r="AW19" s="59"/>
      <c r="AX19" s="59"/>
      <c r="AY19" s="59"/>
      <c r="AZ19" s="59"/>
      <c r="BA19" s="59"/>
    </row>
    <row r="20" spans="2:53" ht="8.1" customHeight="1" x14ac:dyDescent="0.25">
      <c r="B20" s="70"/>
      <c r="C20" s="70"/>
      <c r="D20" s="70"/>
      <c r="E20" s="70"/>
      <c r="AF20" s="62"/>
      <c r="AI20" s="59"/>
      <c r="AJ20" s="59"/>
      <c r="AK20" s="59"/>
      <c r="AL20" s="59"/>
      <c r="AM20" s="59"/>
      <c r="AN20" s="59"/>
      <c r="AO20" s="59"/>
      <c r="AP20" s="59"/>
      <c r="AQ20" s="59"/>
      <c r="AR20" s="59"/>
      <c r="AS20" s="59"/>
      <c r="AT20" s="59"/>
      <c r="AU20" s="59"/>
      <c r="AV20" s="59"/>
      <c r="AW20" s="59"/>
      <c r="AX20" s="59"/>
      <c r="AY20" s="59"/>
      <c r="AZ20" s="59"/>
      <c r="BA20" s="59"/>
    </row>
    <row r="21" spans="2:53" x14ac:dyDescent="0.25">
      <c r="B21" s="70" t="s">
        <v>1185</v>
      </c>
      <c r="C21" s="70"/>
      <c r="D21" s="70"/>
      <c r="E21" s="70"/>
      <c r="F21" s="61"/>
      <c r="G21" s="70" t="s">
        <v>1186</v>
      </c>
      <c r="H21" s="70"/>
      <c r="I21" s="71" t="s">
        <v>1187</v>
      </c>
      <c r="J21" s="58">
        <v>7.4</v>
      </c>
      <c r="K21" s="70" t="s">
        <v>1188</v>
      </c>
      <c r="L21" s="58">
        <v>32</v>
      </c>
      <c r="M21" s="70" t="s">
        <v>192</v>
      </c>
      <c r="N21" s="57">
        <v>1.98</v>
      </c>
      <c r="O21" s="70" t="s">
        <v>1189</v>
      </c>
      <c r="P21" s="58"/>
      <c r="Q21" s="70" t="s">
        <v>1189</v>
      </c>
      <c r="R21" s="57">
        <v>68</v>
      </c>
      <c r="S21" s="70" t="s">
        <v>205</v>
      </c>
      <c r="T21" s="58"/>
      <c r="U21" s="70" t="s">
        <v>205</v>
      </c>
      <c r="V21" s="58">
        <v>22</v>
      </c>
      <c r="W21" s="70" t="s">
        <v>205</v>
      </c>
      <c r="X21" s="58"/>
      <c r="Y21" s="70" t="s">
        <v>205</v>
      </c>
      <c r="Z21" s="58"/>
      <c r="AA21" s="70" t="s">
        <v>205</v>
      </c>
      <c r="AB21" s="58"/>
      <c r="AC21" s="70" t="s">
        <v>205</v>
      </c>
      <c r="AD21" s="58"/>
      <c r="AE21" s="70" t="s">
        <v>205</v>
      </c>
      <c r="AF21" s="62">
        <f>100-V21-X21-Z21-AB21-AD21</f>
        <v>78</v>
      </c>
      <c r="AG21" s="70" t="s">
        <v>205</v>
      </c>
      <c r="AI21" s="59"/>
      <c r="AJ21" s="59">
        <f>F21*(L21-J21)*IF(P21&lt;&gt;"",P21,N21)</f>
        <v>0</v>
      </c>
      <c r="AK21" s="59">
        <f>AJ21*IF(T21&lt;&gt;"",T21,R21)*0.01</f>
        <v>0</v>
      </c>
      <c r="AL21" s="59">
        <f>V21*0.01*102+X21*0.01*87+Z21*0.01*110+AB21*0.01*113+AD21*0.01*122+AF21*0.01*115</f>
        <v>112.14</v>
      </c>
      <c r="AM21" s="59">
        <f>AK21/AL21</f>
        <v>0</v>
      </c>
      <c r="AN21" s="59">
        <f>$AM21*V21*0.01</f>
        <v>0</v>
      </c>
      <c r="AO21" s="59">
        <f>$AM21*X21*0.01</f>
        <v>0</v>
      </c>
      <c r="AP21" s="59">
        <f>$AM21*Z21*0.01</f>
        <v>0</v>
      </c>
      <c r="AQ21" s="59">
        <f>$AM21*AB21*0.01</f>
        <v>0</v>
      </c>
      <c r="AR21" s="59">
        <f>$AM21*AD21*0.01</f>
        <v>0</v>
      </c>
      <c r="AS21" s="59">
        <f>$AM21*AF21*0.01</f>
        <v>0</v>
      </c>
      <c r="AT21" s="59"/>
      <c r="AU21" s="59"/>
      <c r="AV21" s="59"/>
      <c r="AW21" s="59"/>
      <c r="AX21" s="59"/>
      <c r="AY21" s="59"/>
      <c r="AZ21" s="59"/>
      <c r="BA21" s="59"/>
    </row>
    <row r="22" spans="2:53" ht="8.1" customHeight="1" x14ac:dyDescent="0.25">
      <c r="AF22" s="62"/>
      <c r="AI22" s="59"/>
      <c r="AJ22" s="59"/>
      <c r="AK22" s="59"/>
      <c r="AL22" s="59"/>
      <c r="AM22" s="59"/>
      <c r="AN22" s="59"/>
      <c r="AO22" s="59"/>
      <c r="AP22" s="59"/>
      <c r="AQ22" s="59"/>
      <c r="AR22" s="59"/>
      <c r="AS22" s="59"/>
      <c r="AT22" s="59"/>
      <c r="AU22" s="59"/>
      <c r="AV22" s="59"/>
      <c r="AW22" s="59"/>
      <c r="AX22" s="59"/>
      <c r="AY22" s="59"/>
      <c r="AZ22" s="59"/>
      <c r="BA22" s="59"/>
    </row>
    <row r="23" spans="2:53" x14ac:dyDescent="0.25">
      <c r="B23" s="70" t="s">
        <v>1190</v>
      </c>
      <c r="C23" s="70"/>
      <c r="D23" s="70"/>
      <c r="E23" s="70"/>
      <c r="F23" s="61"/>
      <c r="G23" s="70" t="s">
        <v>1186</v>
      </c>
      <c r="H23" s="70"/>
      <c r="I23" s="71" t="s">
        <v>1187</v>
      </c>
      <c r="J23" s="58">
        <v>32</v>
      </c>
      <c r="K23" s="70" t="s">
        <v>1188</v>
      </c>
      <c r="L23" s="58">
        <v>107</v>
      </c>
      <c r="M23" s="70" t="s">
        <v>192</v>
      </c>
      <c r="N23" s="57">
        <v>2.85</v>
      </c>
      <c r="O23" s="70" t="s">
        <v>1189</v>
      </c>
      <c r="P23" s="58"/>
      <c r="Q23" s="70" t="s">
        <v>1189</v>
      </c>
      <c r="R23" s="57">
        <v>78</v>
      </c>
      <c r="S23" s="70" t="s">
        <v>205</v>
      </c>
      <c r="T23" s="58"/>
      <c r="U23" s="70" t="s">
        <v>205</v>
      </c>
      <c r="V23" s="58">
        <v>25</v>
      </c>
      <c r="W23" s="70" t="s">
        <v>205</v>
      </c>
      <c r="X23" s="58"/>
      <c r="Y23" s="70" t="s">
        <v>205</v>
      </c>
      <c r="Z23" s="58"/>
      <c r="AA23" s="70" t="s">
        <v>205</v>
      </c>
      <c r="AB23" s="58"/>
      <c r="AC23" s="70" t="s">
        <v>205</v>
      </c>
      <c r="AD23" s="58"/>
      <c r="AE23" s="70" t="s">
        <v>205</v>
      </c>
      <c r="AF23" s="62">
        <f>100-V23-X23-Z23-AB23-AD23</f>
        <v>75</v>
      </c>
      <c r="AG23" s="70" t="s">
        <v>205</v>
      </c>
      <c r="AI23" s="59"/>
      <c r="AJ23" s="63">
        <f>F23*(L23-J23)*IF(P23&lt;&gt;"",P23,N23)</f>
        <v>0</v>
      </c>
      <c r="AK23" s="63">
        <f>AJ23*IF(T23&lt;&gt;"",T23,R23)*0.01</f>
        <v>0</v>
      </c>
      <c r="AL23" s="59">
        <f>V23*0.01*102+X23*0.01*87+Z23*0.01*110+AB23*0.01*113+AD23*0.01*122+AF23*0.01*115</f>
        <v>111.75</v>
      </c>
      <c r="AM23" s="59">
        <f>AK23/AL23</f>
        <v>0</v>
      </c>
      <c r="AN23" s="59">
        <f>$AM23*V23*0.01</f>
        <v>0</v>
      </c>
      <c r="AO23" s="59">
        <f>$AM23*X23*0.01</f>
        <v>0</v>
      </c>
      <c r="AP23" s="59">
        <f>$AM23*Z23*0.01</f>
        <v>0</v>
      </c>
      <c r="AQ23" s="59">
        <f>$AM23*AB23*0.01</f>
        <v>0</v>
      </c>
      <c r="AR23" s="59">
        <f>$AM23*AD23*0.01</f>
        <v>0</v>
      </c>
      <c r="AS23" s="59">
        <f>$AM23*AF23*0.01</f>
        <v>0</v>
      </c>
      <c r="AT23" s="59"/>
      <c r="AU23" s="59"/>
      <c r="AV23" s="59"/>
      <c r="AW23" s="59"/>
      <c r="AX23" s="59"/>
      <c r="AY23" s="59"/>
      <c r="AZ23" s="59"/>
      <c r="BA23" s="59"/>
    </row>
    <row r="24" spans="2:53" ht="15" customHeight="1" x14ac:dyDescent="0.25">
      <c r="AI24" s="59"/>
      <c r="AJ24" s="59"/>
      <c r="AK24" s="59"/>
      <c r="AL24" s="59"/>
      <c r="AM24" s="59"/>
      <c r="AN24" s="59"/>
      <c r="AO24" s="59"/>
      <c r="AP24" s="59"/>
      <c r="AQ24" s="59"/>
      <c r="AR24" s="59"/>
      <c r="AS24" s="59"/>
      <c r="AT24" s="59"/>
      <c r="AU24" s="59"/>
      <c r="AV24" s="59"/>
      <c r="AW24" s="59"/>
      <c r="AX24" s="59"/>
      <c r="AY24" s="59"/>
      <c r="AZ24" s="59"/>
      <c r="BA24" s="59"/>
    </row>
    <row r="25" spans="2:53" ht="15" customHeight="1" x14ac:dyDescent="0.25">
      <c r="D25" s="35" t="s">
        <v>1721</v>
      </c>
      <c r="H25" s="66" t="s">
        <v>1720</v>
      </c>
      <c r="AI25" s="59"/>
      <c r="AJ25" s="59"/>
      <c r="AK25" s="59"/>
      <c r="AL25" s="59"/>
      <c r="AM25" s="59"/>
      <c r="AN25" s="59"/>
      <c r="AO25" s="59"/>
      <c r="AP25" s="59"/>
      <c r="AQ25" s="59"/>
      <c r="AR25" s="59"/>
      <c r="AS25" s="59"/>
      <c r="AT25" s="59"/>
      <c r="AU25" s="59"/>
      <c r="AV25" s="59"/>
      <c r="AW25" s="59"/>
      <c r="AX25" s="59"/>
      <c r="AY25" s="59"/>
      <c r="AZ25" s="59"/>
      <c r="BA25" s="59"/>
    </row>
    <row r="26" spans="2:53" ht="8.1" customHeight="1" x14ac:dyDescent="0.25">
      <c r="AI26" s="59"/>
      <c r="AJ26" s="59"/>
      <c r="AK26" s="59"/>
      <c r="AL26" s="59"/>
      <c r="AM26" s="68" t="s">
        <v>5</v>
      </c>
      <c r="AN26" s="59">
        <f t="shared" ref="AN26:AS26" si="0">AN19+AN21+AN23</f>
        <v>0</v>
      </c>
      <c r="AO26" s="59">
        <f t="shared" si="0"/>
        <v>0</v>
      </c>
      <c r="AP26" s="59">
        <f t="shared" si="0"/>
        <v>0</v>
      </c>
      <c r="AQ26" s="59">
        <f t="shared" si="0"/>
        <v>0</v>
      </c>
      <c r="AR26" s="59">
        <f t="shared" si="0"/>
        <v>0</v>
      </c>
      <c r="AS26" s="59">
        <f t="shared" si="0"/>
        <v>0</v>
      </c>
      <c r="AT26" s="59"/>
      <c r="AU26" s="59"/>
      <c r="AV26" s="59"/>
      <c r="AW26" s="59"/>
      <c r="AX26" s="59"/>
      <c r="AY26" s="59"/>
      <c r="AZ26" s="59"/>
      <c r="BA26" s="59"/>
    </row>
    <row r="27" spans="2:53" x14ac:dyDescent="0.25">
      <c r="B27" s="57" t="s">
        <v>67</v>
      </c>
      <c r="D27" s="278">
        <f>AN26*102</f>
        <v>0</v>
      </c>
      <c r="E27" s="278"/>
      <c r="F27" s="57" t="s">
        <v>1427</v>
      </c>
      <c r="G27" s="278">
        <f>AN26</f>
        <v>0</v>
      </c>
      <c r="H27" s="281"/>
      <c r="I27" s="57" t="s">
        <v>46</v>
      </c>
      <c r="AI27" s="59"/>
      <c r="AJ27" s="59"/>
      <c r="AK27" s="59"/>
      <c r="AL27" s="59"/>
      <c r="AM27" s="68"/>
      <c r="AN27" s="59"/>
      <c r="AO27" s="59"/>
      <c r="AP27" s="59"/>
      <c r="AQ27" s="59"/>
      <c r="AR27" s="59"/>
      <c r="AS27" s="59"/>
      <c r="AT27" s="59"/>
      <c r="AU27" s="59"/>
      <c r="AV27" s="59"/>
      <c r="AW27" s="59"/>
      <c r="AX27" s="59"/>
      <c r="AY27" s="59"/>
      <c r="AZ27" s="59"/>
      <c r="BA27" s="59"/>
    </row>
    <row r="28" spans="2:53" ht="8.1" customHeight="1" x14ac:dyDescent="0.25">
      <c r="AI28" s="59"/>
      <c r="AJ28" s="59"/>
      <c r="AK28" s="59"/>
      <c r="AL28" s="59"/>
      <c r="AM28" s="68"/>
      <c r="AN28" s="59"/>
      <c r="AO28" s="59"/>
      <c r="AP28" s="59"/>
      <c r="AQ28" s="59"/>
      <c r="AR28" s="59"/>
      <c r="AS28" s="59"/>
      <c r="AT28" s="59"/>
      <c r="AU28" s="59"/>
      <c r="AV28" s="59"/>
      <c r="AW28" s="59"/>
      <c r="AX28" s="59"/>
      <c r="AY28" s="59"/>
      <c r="AZ28" s="59"/>
      <c r="BA28" s="59"/>
    </row>
    <row r="29" spans="2:53" x14ac:dyDescent="0.25">
      <c r="B29" s="57" t="s">
        <v>68</v>
      </c>
      <c r="D29" s="278">
        <f>AS26*115</f>
        <v>0</v>
      </c>
      <c r="E29" s="278"/>
      <c r="F29" s="57" t="s">
        <v>1427</v>
      </c>
      <c r="G29" s="278">
        <f>AS26</f>
        <v>0</v>
      </c>
      <c r="H29" s="281"/>
      <c r="I29" s="57" t="s">
        <v>46</v>
      </c>
      <c r="AI29" s="59"/>
      <c r="AJ29" s="59"/>
      <c r="AK29" s="59"/>
      <c r="AL29" s="59"/>
      <c r="AM29" s="68"/>
      <c r="AN29" s="59"/>
      <c r="AO29" s="59"/>
      <c r="AP29" s="59"/>
      <c r="AQ29" s="59"/>
      <c r="AR29" s="59"/>
      <c r="AS29" s="59"/>
      <c r="AT29" s="59"/>
      <c r="AU29" s="59"/>
      <c r="AV29" s="59"/>
      <c r="AW29" s="59"/>
      <c r="AX29" s="59"/>
      <c r="AY29" s="59"/>
      <c r="AZ29" s="59"/>
      <c r="BA29" s="59"/>
    </row>
    <row r="30" spans="2:53" ht="8.1" customHeight="1" x14ac:dyDescent="0.25">
      <c r="AI30" s="59"/>
      <c r="AJ30" s="59"/>
      <c r="AK30" s="59"/>
      <c r="AL30" s="59"/>
      <c r="AM30" s="68"/>
      <c r="AN30" s="59"/>
      <c r="AO30" s="59"/>
      <c r="AP30" s="59"/>
      <c r="AQ30" s="59"/>
      <c r="AR30" s="59"/>
      <c r="AS30" s="59"/>
      <c r="AT30" s="59"/>
      <c r="AU30" s="59"/>
      <c r="AV30" s="59"/>
      <c r="AW30" s="59"/>
      <c r="AX30" s="59"/>
      <c r="AY30" s="59"/>
      <c r="AZ30" s="59"/>
      <c r="BA30" s="59"/>
    </row>
    <row r="31" spans="2:53" x14ac:dyDescent="0.25">
      <c r="B31" s="57" t="s">
        <v>65</v>
      </c>
      <c r="D31" s="278">
        <f>AQ26*113</f>
        <v>0</v>
      </c>
      <c r="E31" s="278"/>
      <c r="F31" s="57" t="s">
        <v>1427</v>
      </c>
      <c r="G31" s="278">
        <f>AQ26</f>
        <v>0</v>
      </c>
      <c r="H31" s="281"/>
      <c r="I31" s="57" t="s">
        <v>46</v>
      </c>
      <c r="AI31" s="59"/>
      <c r="AJ31" s="59"/>
      <c r="AK31" s="59"/>
      <c r="AL31" s="59"/>
      <c r="AM31" s="68"/>
      <c r="AN31" s="59"/>
      <c r="AO31" s="59"/>
      <c r="AP31" s="59"/>
      <c r="AQ31" s="59"/>
      <c r="AR31" s="59"/>
      <c r="AS31" s="59"/>
      <c r="AT31" s="59"/>
      <c r="AU31" s="59"/>
      <c r="AV31" s="59"/>
      <c r="AW31" s="59"/>
      <c r="AX31" s="59"/>
      <c r="AY31" s="59"/>
      <c r="AZ31" s="59"/>
      <c r="BA31" s="59"/>
    </row>
    <row r="32" spans="2:53" ht="8.1" customHeight="1" x14ac:dyDescent="0.25">
      <c r="AI32" s="59"/>
      <c r="AJ32" s="59"/>
      <c r="AK32" s="59"/>
      <c r="AL32" s="59"/>
      <c r="AM32" s="68"/>
      <c r="AN32" s="59"/>
      <c r="AO32" s="59"/>
      <c r="AP32" s="59"/>
      <c r="AQ32" s="59"/>
      <c r="AR32" s="59"/>
      <c r="AS32" s="59"/>
      <c r="AT32" s="59"/>
      <c r="AU32" s="59"/>
      <c r="AV32" s="59"/>
      <c r="AW32" s="59"/>
      <c r="AX32" s="59"/>
      <c r="AY32" s="59"/>
      <c r="AZ32" s="59"/>
      <c r="BA32" s="59"/>
    </row>
    <row r="33" spans="2:53" x14ac:dyDescent="0.25">
      <c r="B33" s="57" t="s">
        <v>60</v>
      </c>
      <c r="D33" s="278">
        <f>AR26*122</f>
        <v>0</v>
      </c>
      <c r="E33" s="278"/>
      <c r="F33" s="57" t="s">
        <v>1427</v>
      </c>
      <c r="G33" s="278">
        <f>AR26</f>
        <v>0</v>
      </c>
      <c r="H33" s="281"/>
      <c r="I33" s="57" t="s">
        <v>46</v>
      </c>
      <c r="AI33" s="59"/>
      <c r="AJ33" s="59"/>
      <c r="AK33" s="59"/>
      <c r="AL33" s="59"/>
      <c r="AM33" s="68"/>
      <c r="AN33" s="59"/>
      <c r="AO33" s="59"/>
      <c r="AP33" s="59"/>
      <c r="AQ33" s="59"/>
      <c r="AR33" s="59"/>
      <c r="AS33" s="59"/>
      <c r="AT33" s="59"/>
      <c r="AU33" s="59"/>
      <c r="AV33" s="59"/>
      <c r="AW33" s="59"/>
      <c r="AX33" s="59"/>
      <c r="AY33" s="59"/>
      <c r="AZ33" s="59"/>
      <c r="BA33" s="59"/>
    </row>
    <row r="34" spans="2:53" ht="8.1" customHeight="1" x14ac:dyDescent="0.25">
      <c r="AI34" s="59"/>
      <c r="AJ34" s="59"/>
      <c r="AK34" s="59"/>
      <c r="AL34" s="59"/>
      <c r="AM34" s="68"/>
      <c r="AN34" s="59"/>
      <c r="AO34" s="59"/>
      <c r="AP34" s="59"/>
      <c r="AQ34" s="59"/>
      <c r="AR34" s="59"/>
      <c r="AS34" s="59"/>
      <c r="AT34" s="59"/>
      <c r="AU34" s="59"/>
      <c r="AV34" s="59"/>
      <c r="AW34" s="59"/>
      <c r="AX34" s="59"/>
      <c r="AY34" s="59"/>
      <c r="AZ34" s="59"/>
      <c r="BA34" s="59"/>
    </row>
    <row r="35" spans="2:53" x14ac:dyDescent="0.25">
      <c r="B35" s="57" t="s">
        <v>51</v>
      </c>
      <c r="D35" s="278">
        <f>AO26*87</f>
        <v>0</v>
      </c>
      <c r="E35" s="278"/>
      <c r="F35" s="57" t="s">
        <v>1427</v>
      </c>
      <c r="G35" s="278">
        <f>AO26</f>
        <v>0</v>
      </c>
      <c r="H35" s="281"/>
      <c r="I35" s="57" t="s">
        <v>46</v>
      </c>
      <c r="AI35" s="59"/>
      <c r="AJ35" s="59"/>
      <c r="AK35" s="59"/>
      <c r="AL35" s="59"/>
      <c r="AM35" s="68"/>
      <c r="AN35" s="59"/>
      <c r="AO35" s="59"/>
      <c r="AP35" s="59"/>
      <c r="AQ35" s="59"/>
      <c r="AR35" s="59"/>
      <c r="AS35" s="59"/>
      <c r="AT35" s="59"/>
      <c r="AU35" s="59"/>
      <c r="AV35" s="59"/>
      <c r="AW35" s="59"/>
      <c r="AX35" s="59"/>
      <c r="AY35" s="59"/>
      <c r="AZ35" s="59"/>
      <c r="BA35" s="59"/>
    </row>
    <row r="36" spans="2:53" ht="8.1" customHeight="1" x14ac:dyDescent="0.25">
      <c r="AI36" s="59"/>
      <c r="AJ36" s="59"/>
      <c r="AK36" s="59"/>
      <c r="AL36" s="59"/>
      <c r="AM36" s="68"/>
      <c r="AN36" s="59"/>
      <c r="AO36" s="59"/>
      <c r="AP36" s="59"/>
      <c r="AQ36" s="59"/>
      <c r="AR36" s="59"/>
      <c r="AS36" s="59"/>
      <c r="AT36" s="59"/>
      <c r="AU36" s="59"/>
      <c r="AV36" s="59"/>
      <c r="AW36" s="59"/>
      <c r="AX36" s="59"/>
      <c r="AY36" s="59"/>
      <c r="AZ36" s="59"/>
      <c r="BA36" s="59"/>
    </row>
    <row r="37" spans="2:53" x14ac:dyDescent="0.25">
      <c r="B37" s="57" t="s">
        <v>53</v>
      </c>
      <c r="D37" s="278">
        <f>AP26*110</f>
        <v>0</v>
      </c>
      <c r="E37" s="278"/>
      <c r="F37" s="57" t="s">
        <v>1427</v>
      </c>
      <c r="G37" s="278">
        <f>AP26</f>
        <v>0</v>
      </c>
      <c r="H37" s="281"/>
      <c r="I37" s="57" t="s">
        <v>46</v>
      </c>
      <c r="AI37" s="59"/>
      <c r="AJ37" s="59"/>
      <c r="AK37" s="59"/>
      <c r="AL37" s="59"/>
      <c r="AM37" s="68"/>
      <c r="AN37" s="59"/>
      <c r="AO37" s="59"/>
      <c r="AP37" s="59"/>
      <c r="AQ37" s="59"/>
      <c r="AR37" s="59"/>
      <c r="AS37" s="59"/>
      <c r="AT37" s="59"/>
      <c r="AU37" s="59"/>
      <c r="AV37" s="59"/>
      <c r="AW37" s="59"/>
      <c r="AX37" s="59"/>
      <c r="AY37" s="59"/>
      <c r="AZ37" s="59"/>
      <c r="BA37" s="59"/>
    </row>
    <row r="38" spans="2:53" ht="8.1" customHeight="1" x14ac:dyDescent="0.25">
      <c r="D38" s="64"/>
      <c r="E38" s="64"/>
      <c r="AI38" s="59"/>
      <c r="AJ38" s="59"/>
      <c r="AK38" s="59"/>
      <c r="AL38" s="59"/>
      <c r="AM38" s="68"/>
      <c r="AN38" s="59"/>
      <c r="AO38" s="59"/>
      <c r="AP38" s="59"/>
      <c r="AQ38" s="59"/>
      <c r="AR38" s="59"/>
      <c r="AS38" s="59"/>
      <c r="AT38" s="59"/>
      <c r="AU38" s="59"/>
      <c r="AV38" s="59"/>
      <c r="AW38" s="59"/>
      <c r="AX38" s="59"/>
      <c r="AY38" s="59"/>
      <c r="AZ38" s="59"/>
      <c r="BA38" s="59"/>
    </row>
    <row r="39" spans="2:53" x14ac:dyDescent="0.25">
      <c r="B39" s="26" t="s">
        <v>1211</v>
      </c>
      <c r="C39" s="26"/>
      <c r="D39" s="277">
        <f>D27+D29+D31+D33+D35+D37</f>
        <v>0</v>
      </c>
      <c r="E39" s="277"/>
      <c r="F39" s="26" t="s">
        <v>1427</v>
      </c>
      <c r="G39" s="277">
        <f>G27+G29+G31+G33+G35+G37</f>
        <v>0</v>
      </c>
      <c r="H39" s="277"/>
      <c r="I39" s="26" t="s">
        <v>46</v>
      </c>
      <c r="AI39" s="59"/>
      <c r="AJ39" s="59"/>
      <c r="AK39" s="59"/>
      <c r="AL39" s="59"/>
      <c r="AM39" s="68"/>
      <c r="AN39" s="59"/>
      <c r="AO39" s="59"/>
      <c r="AP39" s="59"/>
      <c r="AQ39" s="59"/>
      <c r="AR39" s="59"/>
      <c r="AS39" s="59"/>
      <c r="AT39" s="59"/>
      <c r="AU39" s="59"/>
      <c r="AV39" s="59"/>
      <c r="AW39" s="59"/>
      <c r="AX39" s="59"/>
      <c r="AY39" s="59"/>
      <c r="AZ39" s="59"/>
      <c r="BA39" s="59"/>
    </row>
    <row r="40" spans="2:53" ht="15.75" thickBot="1" x14ac:dyDescent="0.3">
      <c r="B40" s="107"/>
      <c r="C40" s="107"/>
      <c r="D40" s="107"/>
      <c r="E40" s="107"/>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row>
    <row r="42" spans="2:53" ht="18.75" x14ac:dyDescent="0.3">
      <c r="B42" s="52" t="s">
        <v>1719</v>
      </c>
    </row>
    <row r="43" spans="2:53" ht="8.1" customHeight="1" x14ac:dyDescent="0.25"/>
    <row r="44" spans="2:53" x14ac:dyDescent="0.25">
      <c r="F44" s="73" t="s">
        <v>1201</v>
      </c>
      <c r="G44" s="26"/>
      <c r="H44" s="26"/>
      <c r="I44" s="74" t="s">
        <v>1213</v>
      </c>
      <c r="J44" s="26"/>
      <c r="K44" s="26"/>
      <c r="L44" s="26"/>
      <c r="M44" s="26"/>
      <c r="N44" s="26"/>
      <c r="O44" s="26" t="s">
        <v>1212</v>
      </c>
      <c r="P44" s="26"/>
      <c r="Q44" s="26"/>
      <c r="S44" s="26" t="s">
        <v>1205</v>
      </c>
      <c r="T44" s="26"/>
    </row>
    <row r="45" spans="2:53" ht="8.1" customHeight="1" x14ac:dyDescent="0.25">
      <c r="AJ45" s="57" t="s">
        <v>1201</v>
      </c>
      <c r="AK45" s="57" t="s">
        <v>1191</v>
      </c>
      <c r="AL45" s="57" t="s">
        <v>1205</v>
      </c>
      <c r="AN45" s="57" t="s">
        <v>1209</v>
      </c>
    </row>
    <row r="46" spans="2:53" x14ac:dyDescent="0.25">
      <c r="B46" s="57" t="s">
        <v>1176</v>
      </c>
      <c r="H46" s="284"/>
      <c r="I46" s="285"/>
      <c r="J46" s="15" t="s">
        <v>1215</v>
      </c>
      <c r="P46" s="76" t="s">
        <v>1204</v>
      </c>
      <c r="AJ46" s="59">
        <v>1</v>
      </c>
      <c r="AK46" s="59">
        <v>6</v>
      </c>
      <c r="AL46" s="59">
        <v>1</v>
      </c>
      <c r="AN46" s="59">
        <f>IF(AJ46=1,3,9)+IF(AL46=1,0,3)</f>
        <v>3</v>
      </c>
    </row>
    <row r="47" spans="2:53" x14ac:dyDescent="0.25">
      <c r="I47" s="72"/>
      <c r="J47" s="15"/>
      <c r="AS47" s="15" t="s">
        <v>2004</v>
      </c>
    </row>
    <row r="48" spans="2:53" x14ac:dyDescent="0.25">
      <c r="F48" s="73" t="s">
        <v>1722</v>
      </c>
      <c r="I48" s="72"/>
      <c r="J48" s="15"/>
      <c r="AS48" s="40" t="s">
        <v>1723</v>
      </c>
    </row>
    <row r="49" spans="2:49" ht="8.1" customHeight="1" x14ac:dyDescent="0.25">
      <c r="AL49" s="57" t="s">
        <v>1210</v>
      </c>
      <c r="AM49" s="57" t="s">
        <v>1211</v>
      </c>
      <c r="AN49" s="57" t="s">
        <v>1214</v>
      </c>
      <c r="AO49" s="57" t="s">
        <v>30</v>
      </c>
      <c r="AP49" s="57" t="s">
        <v>1532</v>
      </c>
    </row>
    <row r="50" spans="2:49" x14ac:dyDescent="0.25">
      <c r="B50" s="57" t="s">
        <v>1208</v>
      </c>
      <c r="F50" s="65">
        <f t="shared" ref="F50:F52" si="1">AM50</f>
        <v>0</v>
      </c>
      <c r="G50" s="57" t="s">
        <v>37</v>
      </c>
      <c r="H50" s="284"/>
      <c r="I50" s="271"/>
      <c r="J50" s="57" t="s">
        <v>37</v>
      </c>
      <c r="AJ50" s="57" t="s">
        <v>1208</v>
      </c>
      <c r="AL50" s="57">
        <f>VLOOKUP($AK$46,Foderbehov,$AN$46+1)</f>
        <v>2256.62</v>
      </c>
      <c r="AM50" s="57">
        <f>$H$46*AL50</f>
        <v>0</v>
      </c>
      <c r="AN50" s="57">
        <f>IF(H50&lt;&gt;"",H50,AM50)</f>
        <v>0</v>
      </c>
      <c r="AO50" s="57">
        <f>IF(AV50&lt;&gt;"",AV50,AS50)</f>
        <v>1.02</v>
      </c>
      <c r="AP50" s="57">
        <f>AN50*AO50</f>
        <v>0</v>
      </c>
      <c r="AS50" s="57">
        <f>Klgraespris</f>
        <v>1.02</v>
      </c>
      <c r="AT50" s="57" t="s">
        <v>1531</v>
      </c>
      <c r="AV50" s="58"/>
      <c r="AW50" s="57" t="s">
        <v>1531</v>
      </c>
    </row>
    <row r="51" spans="2:49" ht="8.1" customHeight="1" x14ac:dyDescent="0.25"/>
    <row r="52" spans="2:49" x14ac:dyDescent="0.25">
      <c r="B52" s="57" t="s">
        <v>1194</v>
      </c>
      <c r="F52" s="65">
        <f t="shared" si="1"/>
        <v>0</v>
      </c>
      <c r="G52" s="57" t="s">
        <v>37</v>
      </c>
      <c r="H52" s="284"/>
      <c r="I52" s="271"/>
      <c r="J52" s="57" t="s">
        <v>37</v>
      </c>
      <c r="AJ52" s="57" t="s">
        <v>1194</v>
      </c>
      <c r="AL52" s="57">
        <f>VLOOKUP($AK$46,Foderbehov,$AN$46+2)</f>
        <v>3259.78</v>
      </c>
      <c r="AM52" s="57">
        <f>$H$46*AL52</f>
        <v>0</v>
      </c>
      <c r="AN52" s="57">
        <f>IF(H52&lt;&gt;"",H52,AM52)</f>
        <v>0</v>
      </c>
      <c r="AO52" s="57">
        <f>IF(AV52&lt;&gt;"",AV52,AS52)</f>
        <v>0.85</v>
      </c>
      <c r="AP52" s="57">
        <f>AN52*AO52</f>
        <v>0</v>
      </c>
      <c r="AS52" s="57">
        <f>Majspris</f>
        <v>0.85</v>
      </c>
      <c r="AT52" s="57" t="s">
        <v>1531</v>
      </c>
      <c r="AV52" s="58"/>
      <c r="AW52" s="57" t="s">
        <v>1531</v>
      </c>
    </row>
    <row r="53" spans="2:49" ht="8.1" customHeight="1" x14ac:dyDescent="0.25"/>
    <row r="54" spans="2:49" x14ac:dyDescent="0.25">
      <c r="B54" s="57" t="s">
        <v>1246</v>
      </c>
      <c r="H54" s="284"/>
      <c r="I54" s="271"/>
      <c r="J54" s="57" t="s">
        <v>37</v>
      </c>
      <c r="AJ54" s="57" t="s">
        <v>1246</v>
      </c>
      <c r="AN54" s="57">
        <f>IF(H54&lt;&gt;"",H54,AM54)</f>
        <v>0</v>
      </c>
      <c r="AO54" s="57">
        <f>IF(AV54&lt;&gt;"",AV54,AS54)</f>
        <v>0.97</v>
      </c>
      <c r="AP54" s="57">
        <f>AN54*AO54</f>
        <v>0</v>
      </c>
      <c r="AS54" s="57">
        <f>Kornhelsaedpris</f>
        <v>0.97</v>
      </c>
      <c r="AT54" s="57" t="s">
        <v>1531</v>
      </c>
      <c r="AV54" s="58"/>
      <c r="AW54" s="57" t="s">
        <v>1531</v>
      </c>
    </row>
    <row r="55" spans="2:49" ht="8.1" customHeight="1" x14ac:dyDescent="0.25">
      <c r="AQ55" s="57" t="s">
        <v>1533</v>
      </c>
    </row>
    <row r="56" spans="2:49" x14ac:dyDescent="0.25">
      <c r="B56" s="26" t="s">
        <v>1436</v>
      </c>
      <c r="F56" s="75">
        <f>IF(H50&lt;&gt;"",H50,F50)+IF(H52&lt;&gt;"",H52,F52)+IF(H54&lt;&gt;"",H54,F54)</f>
        <v>0</v>
      </c>
      <c r="G56" s="26" t="s">
        <v>37</v>
      </c>
      <c r="H56" s="277"/>
      <c r="I56" s="275"/>
      <c r="J56" s="26"/>
      <c r="K56" s="26"/>
      <c r="AM56" s="57" t="s">
        <v>1211</v>
      </c>
      <c r="AN56" s="57">
        <f>AN50+AN52+AN54</f>
        <v>0</v>
      </c>
      <c r="AP56" s="57">
        <f>AP50+AP52</f>
        <v>0</v>
      </c>
      <c r="AQ56" s="57" t="e">
        <f>ROUND(AP56/AN56,2)</f>
        <v>#DIV/0!</v>
      </c>
      <c r="AS56" s="26" t="str">
        <f>IF(ISERROR(GnsFEpris),"",GnsFEpris)</f>
        <v/>
      </c>
      <c r="AT56" s="26" t="s">
        <v>1534</v>
      </c>
      <c r="AU56" s="26"/>
    </row>
    <row r="58" spans="2:49" x14ac:dyDescent="0.25">
      <c r="B58" s="57" t="s">
        <v>1192</v>
      </c>
      <c r="F58" s="65">
        <f>AM58</f>
        <v>0</v>
      </c>
      <c r="G58" s="57" t="s">
        <v>37</v>
      </c>
      <c r="H58" s="282"/>
      <c r="I58" s="283"/>
      <c r="J58" s="57" t="s">
        <v>37</v>
      </c>
      <c r="K58" s="278">
        <f>BygValsetBehovFEIalt/95</f>
        <v>0</v>
      </c>
      <c r="L58" s="278"/>
      <c r="M58" s="57" t="s">
        <v>46</v>
      </c>
      <c r="N58" s="62"/>
      <c r="O58" s="62"/>
      <c r="P58" s="62"/>
      <c r="AJ58" s="57" t="s">
        <v>1192</v>
      </c>
      <c r="AL58" s="57">
        <f>VLOOKUP($AK$46,Foderbehov,$AN$46)</f>
        <v>705.71</v>
      </c>
      <c r="AM58" s="57">
        <f>$H$46*AL58</f>
        <v>0</v>
      </c>
      <c r="AN58" s="26">
        <f>IF(H58&lt;&gt;"",H58,AM58)</f>
        <v>0</v>
      </c>
    </row>
    <row r="59" spans="2:49" ht="15.75" thickBot="1" x14ac:dyDescent="0.3">
      <c r="B59" s="107"/>
      <c r="C59" s="107"/>
      <c r="D59" s="107"/>
      <c r="E59" s="107"/>
      <c r="F59" s="107"/>
      <c r="G59" s="107"/>
      <c r="H59" s="107"/>
      <c r="I59" s="107"/>
      <c r="J59" s="107"/>
      <c r="K59" s="107"/>
      <c r="L59" s="107"/>
      <c r="M59" s="107"/>
      <c r="N59" s="107"/>
      <c r="O59" s="107"/>
      <c r="P59" s="107"/>
      <c r="Q59" s="107"/>
      <c r="R59" s="107"/>
      <c r="S59" s="107"/>
      <c r="T59" s="107"/>
      <c r="U59" s="107"/>
      <c r="V59" s="107"/>
      <c r="W59" s="107"/>
      <c r="X59" s="107"/>
      <c r="Y59" s="107"/>
      <c r="Z59" s="107"/>
      <c r="AA59" s="107"/>
      <c r="AB59" s="107"/>
      <c r="AC59" s="107"/>
      <c r="AD59" s="107"/>
      <c r="AE59" s="107"/>
      <c r="AF59" s="107"/>
      <c r="AG59" s="107"/>
    </row>
  </sheetData>
  <sheetProtection sheet="1" objects="1" scenarios="1"/>
  <mergeCells count="22">
    <mergeCell ref="H58:I58"/>
    <mergeCell ref="K58:L58"/>
    <mergeCell ref="H46:I46"/>
    <mergeCell ref="H50:I50"/>
    <mergeCell ref="H52:I52"/>
    <mergeCell ref="H54:I54"/>
    <mergeCell ref="H56:I56"/>
    <mergeCell ref="J3:O3"/>
    <mergeCell ref="D39:E39"/>
    <mergeCell ref="G39:H39"/>
    <mergeCell ref="G27:H27"/>
    <mergeCell ref="G29:H29"/>
    <mergeCell ref="G31:H31"/>
    <mergeCell ref="G33:H33"/>
    <mergeCell ref="G35:H35"/>
    <mergeCell ref="G37:H37"/>
    <mergeCell ref="D27:E27"/>
    <mergeCell ref="D29:E29"/>
    <mergeCell ref="D31:E31"/>
    <mergeCell ref="D33:E33"/>
    <mergeCell ref="D35:E35"/>
    <mergeCell ref="D37:E37"/>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1" r:id="rId4" name="Drop Down 5">
              <controlPr defaultSize="0" autoLine="0" autoPict="0">
                <anchor moveWithCells="1">
                  <from>
                    <xdr:col>5</xdr:col>
                    <xdr:colOff>66675</xdr:colOff>
                    <xdr:row>45</xdr:row>
                    <xdr:rowOff>0</xdr:rowOff>
                  </from>
                  <to>
                    <xdr:col>6</xdr:col>
                    <xdr:colOff>9525</xdr:colOff>
                    <xdr:row>46</xdr:row>
                    <xdr:rowOff>9525</xdr:rowOff>
                  </to>
                </anchor>
              </controlPr>
            </control>
          </mc:Choice>
        </mc:AlternateContent>
        <mc:AlternateContent xmlns:mc="http://schemas.openxmlformats.org/markup-compatibility/2006">
          <mc:Choice Requires="x14">
            <control shapeId="4102" r:id="rId5" name="Drop Down 6">
              <controlPr defaultSize="0" autoLine="0" autoPict="0">
                <anchor moveWithCells="1">
                  <from>
                    <xdr:col>13</xdr:col>
                    <xdr:colOff>371475</xdr:colOff>
                    <xdr:row>45</xdr:row>
                    <xdr:rowOff>0</xdr:rowOff>
                  </from>
                  <to>
                    <xdr:col>15</xdr:col>
                    <xdr:colOff>209550</xdr:colOff>
                    <xdr:row>46</xdr:row>
                    <xdr:rowOff>9525</xdr:rowOff>
                  </to>
                </anchor>
              </controlPr>
            </control>
          </mc:Choice>
        </mc:AlternateContent>
        <mc:AlternateContent xmlns:mc="http://schemas.openxmlformats.org/markup-compatibility/2006">
          <mc:Choice Requires="x14">
            <control shapeId="4103" r:id="rId6" name="Drop Down 7">
              <controlPr defaultSize="0" autoLine="0" autoPict="0">
                <anchor moveWithCells="1">
                  <from>
                    <xdr:col>18</xdr:col>
                    <xdr:colOff>9525</xdr:colOff>
                    <xdr:row>45</xdr:row>
                    <xdr:rowOff>9525</xdr:rowOff>
                  </from>
                  <to>
                    <xdr:col>22</xdr:col>
                    <xdr:colOff>47625</xdr:colOff>
                    <xdr:row>46</xdr:row>
                    <xdr:rowOff>19050</xdr:rowOff>
                  </to>
                </anchor>
              </controlPr>
            </control>
          </mc:Choice>
        </mc:AlternateContent>
        <mc:AlternateContent xmlns:mc="http://schemas.openxmlformats.org/markup-compatibility/2006">
          <mc:Choice Requires="x14">
            <control shapeId="4104" r:id="rId7" name="Drop Down 8">
              <controlPr defaultSize="0" autoLine="0" autoPict="0">
                <anchor moveWithCells="1">
                  <from>
                    <xdr:col>6</xdr:col>
                    <xdr:colOff>9525</xdr:colOff>
                    <xdr:row>2</xdr:row>
                    <xdr:rowOff>0</xdr:rowOff>
                  </from>
                  <to>
                    <xdr:col>7</xdr:col>
                    <xdr:colOff>190500</xdr:colOff>
                    <xdr:row>3</xdr:row>
                    <xdr:rowOff>9525</xdr:rowOff>
                  </to>
                </anchor>
              </controlPr>
            </control>
          </mc:Choice>
        </mc:AlternateContent>
        <mc:AlternateContent xmlns:mc="http://schemas.openxmlformats.org/markup-compatibility/2006">
          <mc:Choice Requires="x14">
            <control shapeId="4105" r:id="rId8" name="Drop Down 9">
              <controlPr defaultSize="0" autoLine="0" autoPict="0">
                <anchor moveWithCells="1">
                  <from>
                    <xdr:col>15</xdr:col>
                    <xdr:colOff>19050</xdr:colOff>
                    <xdr:row>2</xdr:row>
                    <xdr:rowOff>0</xdr:rowOff>
                  </from>
                  <to>
                    <xdr:col>16</xdr:col>
                    <xdr:colOff>219075</xdr:colOff>
                    <xdr:row>3</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6"/>
  <dimension ref="B2:AA325"/>
  <sheetViews>
    <sheetView showGridLines="0" topLeftCell="A266" zoomScaleNormal="100" workbookViewId="0">
      <selection activeCell="Y317" sqref="Y317"/>
    </sheetView>
  </sheetViews>
  <sheetFormatPr defaultRowHeight="12.75" x14ac:dyDescent="0.2"/>
  <cols>
    <col min="1" max="1" width="2.7109375" style="79" customWidth="1"/>
    <col min="2" max="2" width="5.85546875" style="79" customWidth="1"/>
    <col min="3" max="11" width="4.7109375" style="79" customWidth="1"/>
    <col min="12" max="12" width="5.42578125" style="79" customWidth="1"/>
    <col min="13" max="122" width="4.7109375" style="79" customWidth="1"/>
    <col min="123" max="16384" width="9.140625" style="79"/>
  </cols>
  <sheetData>
    <row r="2" spans="2:22" ht="12.75" customHeight="1" x14ac:dyDescent="0.25">
      <c r="B2" s="126"/>
      <c r="C2" s="90"/>
      <c r="D2" s="90"/>
      <c r="E2" s="90"/>
      <c r="F2" s="90"/>
      <c r="G2" s="90"/>
      <c r="H2" s="90"/>
      <c r="I2" s="90"/>
      <c r="J2" s="90"/>
      <c r="K2" s="90"/>
      <c r="L2" s="90"/>
      <c r="M2" s="90"/>
      <c r="N2" s="90"/>
      <c r="O2" s="90"/>
      <c r="P2" s="90"/>
      <c r="Q2" s="90"/>
      <c r="R2" s="90"/>
      <c r="S2" s="127"/>
      <c r="T2" s="78"/>
      <c r="U2" s="78"/>
      <c r="V2" s="78"/>
    </row>
    <row r="3" spans="2:22" x14ac:dyDescent="0.2">
      <c r="B3" s="77"/>
      <c r="C3" s="77"/>
      <c r="D3" s="77"/>
      <c r="E3" s="77"/>
      <c r="F3" s="77"/>
      <c r="G3" s="77"/>
      <c r="H3" s="77"/>
      <c r="I3" s="77"/>
      <c r="J3" s="77"/>
      <c r="K3" s="77"/>
      <c r="L3" s="77"/>
      <c r="M3" s="77"/>
      <c r="N3" s="77"/>
      <c r="O3" s="77"/>
      <c r="P3" s="77"/>
      <c r="Q3" s="77"/>
      <c r="R3" s="77"/>
      <c r="S3" s="77"/>
      <c r="V3" s="78"/>
    </row>
    <row r="4" spans="2:22" x14ac:dyDescent="0.2">
      <c r="B4" s="77" t="str">
        <f>IF(Mark!$E$5="","",Mark!$E$5)</f>
        <v/>
      </c>
      <c r="C4" s="77"/>
      <c r="D4" s="77"/>
      <c r="E4" s="77"/>
      <c r="F4" s="77"/>
      <c r="G4" s="77"/>
      <c r="H4" s="77"/>
      <c r="I4" s="77"/>
      <c r="J4" s="77"/>
      <c r="K4" s="77"/>
      <c r="L4" s="77"/>
      <c r="M4" s="77"/>
      <c r="N4" s="77"/>
      <c r="O4" s="77"/>
      <c r="P4" s="77"/>
      <c r="Q4" s="77"/>
      <c r="R4" s="77"/>
      <c r="S4" s="77"/>
    </row>
    <row r="5" spans="2:22" x14ac:dyDescent="0.2">
      <c r="B5" s="77" t="str">
        <f>IF(Mark!$M$5="","",Mark!$M$5)</f>
        <v/>
      </c>
      <c r="C5" s="77"/>
      <c r="D5" s="77"/>
      <c r="E5" s="77"/>
      <c r="F5" s="77"/>
      <c r="G5" s="77"/>
      <c r="H5" s="77"/>
      <c r="I5" s="77"/>
      <c r="J5" s="77"/>
      <c r="K5" s="77"/>
      <c r="L5" s="77"/>
      <c r="M5" s="77"/>
      <c r="N5" s="77"/>
      <c r="O5" s="77"/>
      <c r="P5" s="77"/>
      <c r="Q5" s="77"/>
      <c r="R5" s="77"/>
      <c r="S5" s="77"/>
    </row>
    <row r="6" spans="2:22" x14ac:dyDescent="0.2">
      <c r="B6" s="99">
        <f>IF(Postnr="","",Postnr)</f>
        <v>8382</v>
      </c>
      <c r="C6" s="77" t="str">
        <f>Mark!$T$5</f>
        <v>Hinnerup</v>
      </c>
      <c r="D6" s="77"/>
      <c r="E6" s="99" t="str">
        <f>IF(Postnr="","Postnr skal udfyldes i Mark","")</f>
        <v/>
      </c>
      <c r="F6" s="77"/>
      <c r="G6" s="77"/>
      <c r="H6" s="77"/>
      <c r="I6" s="77"/>
      <c r="J6" s="77"/>
      <c r="K6" s="77"/>
      <c r="L6" s="77"/>
      <c r="M6" s="77"/>
      <c r="N6" s="77"/>
      <c r="O6" s="77"/>
      <c r="P6" s="77"/>
      <c r="Q6" s="77"/>
      <c r="R6" s="77"/>
      <c r="S6" s="77"/>
    </row>
    <row r="7" spans="2:22" x14ac:dyDescent="0.2">
      <c r="B7" s="99"/>
      <c r="C7" s="77"/>
      <c r="D7" s="77"/>
      <c r="E7" s="77"/>
      <c r="F7" s="77"/>
      <c r="G7" s="77"/>
      <c r="H7" s="77"/>
      <c r="I7" s="77"/>
      <c r="J7" s="77"/>
      <c r="K7" s="77"/>
      <c r="L7" s="77"/>
      <c r="M7" s="77"/>
      <c r="N7" s="77"/>
      <c r="O7" s="77"/>
      <c r="P7" s="77"/>
      <c r="Q7" s="77"/>
      <c r="R7" s="77"/>
      <c r="S7" s="77"/>
    </row>
    <row r="8" spans="2:22" ht="15.75" x14ac:dyDescent="0.25">
      <c r="B8" s="112" t="s">
        <v>1815</v>
      </c>
      <c r="C8" s="82"/>
      <c r="D8" s="82"/>
      <c r="E8" s="82"/>
      <c r="F8" s="82"/>
      <c r="G8" s="82"/>
      <c r="H8" s="82"/>
      <c r="I8" s="82"/>
      <c r="J8" s="82"/>
      <c r="K8" s="82"/>
      <c r="L8" s="82"/>
      <c r="M8" s="82"/>
      <c r="N8" s="82"/>
      <c r="O8" s="82"/>
      <c r="P8" s="82"/>
      <c r="Q8" s="82"/>
      <c r="R8" s="82"/>
      <c r="S8" s="82"/>
    </row>
    <row r="9" spans="2:22" ht="8.1" customHeight="1" x14ac:dyDescent="0.25">
      <c r="B9" s="114"/>
      <c r="C9" s="90"/>
      <c r="D9" s="90"/>
      <c r="E9" s="90"/>
      <c r="F9" s="90"/>
      <c r="G9" s="90"/>
      <c r="H9" s="90"/>
      <c r="I9" s="90"/>
      <c r="J9" s="90"/>
      <c r="K9" s="90"/>
      <c r="L9" s="90"/>
      <c r="M9" s="90"/>
      <c r="N9" s="90"/>
      <c r="O9" s="90"/>
      <c r="P9" s="90"/>
      <c r="Q9" s="90"/>
      <c r="R9" s="90"/>
      <c r="S9" s="90"/>
    </row>
    <row r="10" spans="2:22" x14ac:dyDescent="0.2">
      <c r="B10" s="77"/>
      <c r="C10" s="77"/>
      <c r="D10" s="77"/>
      <c r="E10" s="77"/>
      <c r="F10" s="77"/>
      <c r="G10" s="77"/>
      <c r="H10" s="77"/>
      <c r="I10" s="100" t="s">
        <v>1816</v>
      </c>
      <c r="J10" s="83"/>
      <c r="K10" s="83"/>
      <c r="L10" s="83"/>
      <c r="M10" s="100" t="s">
        <v>1819</v>
      </c>
      <c r="N10" s="83"/>
      <c r="O10" s="83"/>
      <c r="P10" s="83"/>
      <c r="Q10" s="101" t="s">
        <v>1356</v>
      </c>
      <c r="R10" s="83"/>
      <c r="S10" s="77"/>
    </row>
    <row r="11" spans="2:22" ht="3" customHeight="1" x14ac:dyDescent="0.2">
      <c r="B11" s="77"/>
      <c r="C11" s="77"/>
      <c r="D11" s="77"/>
      <c r="E11" s="77"/>
      <c r="F11" s="77"/>
      <c r="G11" s="77"/>
      <c r="H11" s="77"/>
      <c r="I11" s="77"/>
      <c r="J11" s="77"/>
      <c r="K11" s="77"/>
      <c r="L11" s="77"/>
      <c r="M11" s="77"/>
      <c r="N11" s="77"/>
      <c r="O11" s="77"/>
      <c r="P11" s="77"/>
      <c r="Q11" s="77"/>
      <c r="R11" s="77"/>
      <c r="S11" s="77"/>
    </row>
    <row r="12" spans="2:22" x14ac:dyDescent="0.2">
      <c r="B12" s="84" t="s">
        <v>1364</v>
      </c>
      <c r="C12" s="77"/>
      <c r="D12" s="77"/>
      <c r="E12" s="77"/>
      <c r="F12" s="77"/>
      <c r="G12" s="77"/>
      <c r="H12" s="77"/>
      <c r="I12" s="286">
        <f>BruttoudbAfgr12</f>
        <v>12800</v>
      </c>
      <c r="J12" s="286"/>
      <c r="K12" s="77" t="str">
        <f>IF(I12&lt;&gt;"","kr.","")</f>
        <v>kr.</v>
      </c>
      <c r="L12" s="77"/>
      <c r="M12" s="286">
        <f>BruttoudbAfgr34</f>
        <v>0</v>
      </c>
      <c r="N12" s="286"/>
      <c r="O12" s="77" t="str">
        <f>IF(M12&lt;&gt;"","kr.","")</f>
        <v>kr.</v>
      </c>
      <c r="P12" s="77"/>
      <c r="Q12" s="289"/>
      <c r="R12" s="289"/>
      <c r="S12" s="77"/>
    </row>
    <row r="13" spans="2:22" x14ac:dyDescent="0.2">
      <c r="B13" s="84" t="s">
        <v>23</v>
      </c>
      <c r="C13" s="77"/>
      <c r="D13" s="77"/>
      <c r="E13" s="77"/>
      <c r="F13" s="77"/>
      <c r="G13" s="77"/>
      <c r="H13" s="77"/>
      <c r="I13" s="286">
        <f>BruttoudbHalm12</f>
        <v>1500</v>
      </c>
      <c r="J13" s="286"/>
      <c r="K13" s="77" t="str">
        <f>IF(I13&lt;&gt;"","kr.","")</f>
        <v>kr.</v>
      </c>
      <c r="L13" s="77"/>
      <c r="M13" s="286">
        <f>BruttoudbHalm34</f>
        <v>0</v>
      </c>
      <c r="N13" s="286"/>
      <c r="O13" s="77" t="str">
        <f>IF(M13&lt;&gt;"","kr.","")</f>
        <v>kr.</v>
      </c>
      <c r="P13" s="77"/>
      <c r="Q13" s="289"/>
      <c r="R13" s="289"/>
      <c r="S13" s="77"/>
    </row>
    <row r="14" spans="2:22" x14ac:dyDescent="0.2">
      <c r="B14" s="84" t="s">
        <v>1365</v>
      </c>
      <c r="C14" s="77"/>
      <c r="D14" s="77"/>
      <c r="E14" s="77"/>
      <c r="F14" s="77"/>
      <c r="G14" s="77"/>
      <c r="H14" s="77"/>
      <c r="I14" s="286">
        <f>BruttoudbEfterslaet12</f>
        <v>0</v>
      </c>
      <c r="J14" s="286"/>
      <c r="K14" s="77" t="str">
        <f>IF(I14&lt;&gt;"","kr.","")</f>
        <v>kr.</v>
      </c>
      <c r="L14" s="77"/>
      <c r="M14" s="286">
        <f>BruttoudbEfterslaet34</f>
        <v>0</v>
      </c>
      <c r="N14" s="286"/>
      <c r="O14" s="77" t="str">
        <f>IF(M14&lt;&gt;"","kr.","")</f>
        <v>kr.</v>
      </c>
      <c r="P14" s="77"/>
      <c r="Q14" s="289"/>
      <c r="R14" s="289"/>
      <c r="S14" s="77"/>
    </row>
    <row r="15" spans="2:22" x14ac:dyDescent="0.2">
      <c r="B15" s="84" t="s">
        <v>1337</v>
      </c>
      <c r="C15" s="77"/>
      <c r="D15" s="77"/>
      <c r="E15" s="77"/>
      <c r="F15" s="77"/>
      <c r="G15" s="77"/>
      <c r="H15" s="77"/>
      <c r="I15" s="286">
        <f>TilskudIalt12</f>
        <v>0</v>
      </c>
      <c r="J15" s="286"/>
      <c r="K15" s="77" t="str">
        <f>IF(I15&lt;&gt;"","kr.","")</f>
        <v>kr.</v>
      </c>
      <c r="L15" s="77"/>
      <c r="M15" s="286">
        <f>TilskudIalt34</f>
        <v>0</v>
      </c>
      <c r="N15" s="286"/>
      <c r="O15" s="77" t="str">
        <f>IF(M15&lt;&gt;"","kr.","")</f>
        <v>kr.</v>
      </c>
      <c r="P15" s="77"/>
      <c r="Q15" s="289"/>
      <c r="R15" s="289"/>
      <c r="S15" s="77"/>
    </row>
    <row r="16" spans="2:22" x14ac:dyDescent="0.2">
      <c r="B16" s="83" t="s">
        <v>1366</v>
      </c>
      <c r="C16" s="77"/>
      <c r="D16" s="77"/>
      <c r="E16" s="77"/>
      <c r="F16" s="77"/>
      <c r="G16" s="77"/>
      <c r="H16" s="77"/>
      <c r="I16" s="290">
        <f>SUM(I12:I15)</f>
        <v>14300</v>
      </c>
      <c r="J16" s="290"/>
      <c r="K16" s="83" t="str">
        <f>IF(I16&lt;&gt;"","kr.","")</f>
        <v>kr.</v>
      </c>
      <c r="L16" s="83"/>
      <c r="M16" s="290">
        <f>SUM(M12:M15)</f>
        <v>0</v>
      </c>
      <c r="N16" s="290"/>
      <c r="O16" s="83" t="str">
        <f>IF(M16&lt;&gt;"","kr.","")</f>
        <v>kr.</v>
      </c>
      <c r="P16" s="83"/>
      <c r="Q16" s="290">
        <f>M16-I16</f>
        <v>-14300</v>
      </c>
      <c r="R16" s="293"/>
      <c r="S16" s="83" t="str">
        <f>IF(Q16&lt;&gt;"","kr.","")</f>
        <v>kr.</v>
      </c>
    </row>
    <row r="17" spans="2:19" ht="8.1" customHeight="1" x14ac:dyDescent="0.2">
      <c r="B17" s="77"/>
      <c r="C17" s="77"/>
      <c r="D17" s="77"/>
      <c r="E17" s="77"/>
      <c r="F17" s="77"/>
      <c r="G17" s="77"/>
      <c r="H17" s="77"/>
      <c r="I17" s="77"/>
      <c r="J17" s="77"/>
      <c r="K17" s="77"/>
      <c r="L17" s="77"/>
      <c r="M17" s="77"/>
      <c r="N17" s="77"/>
      <c r="O17" s="77"/>
      <c r="P17" s="77"/>
      <c r="Q17" s="77"/>
      <c r="R17" s="77"/>
      <c r="S17" s="77"/>
    </row>
    <row r="18" spans="2:19" x14ac:dyDescent="0.2">
      <c r="B18" s="84" t="s">
        <v>2</v>
      </c>
      <c r="C18" s="77"/>
      <c r="D18" s="77"/>
      <c r="E18" s="77"/>
      <c r="F18" s="77"/>
      <c r="G18" s="77"/>
      <c r="H18" s="77"/>
      <c r="I18" s="286">
        <f>-(Udsaed12+UdsaedEfgr12)</f>
        <v>-500</v>
      </c>
      <c r="J18" s="286"/>
      <c r="K18" s="77" t="str">
        <f>IF(I18&lt;&gt;"","kr.","")</f>
        <v>kr.</v>
      </c>
      <c r="L18" s="77"/>
      <c r="M18" s="286">
        <f>-(Udsaed34+UdsaedEfgr34)</f>
        <v>0</v>
      </c>
      <c r="N18" s="286"/>
      <c r="O18" s="77" t="str">
        <f>IF(M18&lt;&gt;"","kr.","")</f>
        <v>kr.</v>
      </c>
      <c r="P18" s="77"/>
      <c r="Q18" s="77"/>
      <c r="R18" s="77"/>
      <c r="S18" s="77"/>
    </row>
    <row r="19" spans="2:19" x14ac:dyDescent="0.2">
      <c r="B19" s="84" t="s">
        <v>523</v>
      </c>
      <c r="C19" s="77"/>
      <c r="D19" s="77"/>
      <c r="E19" s="77"/>
      <c r="F19" s="77"/>
      <c r="G19" s="77"/>
      <c r="H19" s="77"/>
      <c r="I19" s="286">
        <f>-(Godning12+GodningEfgr12)</f>
        <v>-2749.75</v>
      </c>
      <c r="J19" s="286"/>
      <c r="K19" s="77" t="str">
        <f>IF(I19&lt;&gt;"","kr.","")</f>
        <v>kr.</v>
      </c>
      <c r="L19" s="77"/>
      <c r="M19" s="286">
        <f>-(Godning34+GodningEfgr34)</f>
        <v>0</v>
      </c>
      <c r="N19" s="286"/>
      <c r="O19" s="77" t="str">
        <f>IF(M19&lt;&gt;"","kr.","")</f>
        <v>kr.</v>
      </c>
      <c r="P19" s="77"/>
      <c r="Q19" s="77"/>
      <c r="R19" s="77"/>
      <c r="S19" s="77"/>
    </row>
    <row r="20" spans="2:19" x14ac:dyDescent="0.2">
      <c r="B20" s="84" t="s">
        <v>3</v>
      </c>
      <c r="C20" s="77"/>
      <c r="D20" s="77"/>
      <c r="E20" s="77"/>
      <c r="F20" s="77"/>
      <c r="G20" s="77"/>
      <c r="H20" s="77"/>
      <c r="I20" s="286">
        <f>-(Plantevaern12+PlantevaernEfgr12)</f>
        <v>-755</v>
      </c>
      <c r="J20" s="286"/>
      <c r="K20" s="77" t="str">
        <f>IF(I20&lt;&gt;"","kr.","")</f>
        <v>kr.</v>
      </c>
      <c r="L20" s="77"/>
      <c r="M20" s="286">
        <f>-(Plantevaern34+PlantevaernEfgr34)</f>
        <v>0</v>
      </c>
      <c r="N20" s="286"/>
      <c r="O20" s="77" t="str">
        <f>IF(M20&lt;&gt;"","kr.","")</f>
        <v>kr.</v>
      </c>
      <c r="P20" s="77"/>
      <c r="Q20" s="77"/>
      <c r="R20" s="77"/>
      <c r="S20" s="77"/>
    </row>
    <row r="21" spans="2:19" x14ac:dyDescent="0.2">
      <c r="B21" s="84" t="s">
        <v>1368</v>
      </c>
      <c r="C21" s="77"/>
      <c r="D21" s="77"/>
      <c r="E21" s="77"/>
      <c r="F21" s="77"/>
      <c r="G21" s="77"/>
      <c r="H21" s="77"/>
      <c r="I21" s="286">
        <f>-(Diverse12+DiverseEfgr12)</f>
        <v>-80</v>
      </c>
      <c r="J21" s="286"/>
      <c r="K21" s="77" t="str">
        <f>IF(I21&lt;&gt;"","kr.","")</f>
        <v>kr.</v>
      </c>
      <c r="L21" s="77"/>
      <c r="M21" s="286">
        <f>-(Diverse34+DiverseEfgr34)</f>
        <v>0</v>
      </c>
      <c r="N21" s="286"/>
      <c r="O21" s="77" t="str">
        <f>IF(M21&lt;&gt;"","kr.","")</f>
        <v>kr.</v>
      </c>
      <c r="P21" s="77"/>
      <c r="Q21" s="77"/>
      <c r="R21" s="77"/>
      <c r="S21" s="77"/>
    </row>
    <row r="22" spans="2:19" x14ac:dyDescent="0.2">
      <c r="B22" s="85" t="s">
        <v>1369</v>
      </c>
      <c r="C22" s="77"/>
      <c r="D22" s="77"/>
      <c r="E22" s="77"/>
      <c r="F22" s="77"/>
      <c r="G22" s="77"/>
      <c r="H22" s="77"/>
      <c r="I22" s="290">
        <f>SUM(I18:I21)</f>
        <v>-4084.75</v>
      </c>
      <c r="J22" s="290"/>
      <c r="K22" s="83" t="str">
        <f>IF(I22&lt;&gt;"","kr.","")</f>
        <v>kr.</v>
      </c>
      <c r="L22" s="83"/>
      <c r="M22" s="290">
        <f>SUM(M18:M21)</f>
        <v>0</v>
      </c>
      <c r="N22" s="290"/>
      <c r="O22" s="83" t="str">
        <f>IF(M22&lt;&gt;"","kr.","")</f>
        <v>kr.</v>
      </c>
      <c r="P22" s="83"/>
      <c r="Q22" s="290">
        <f>M22-I22</f>
        <v>4084.75</v>
      </c>
      <c r="R22" s="293"/>
      <c r="S22" s="83" t="str">
        <f>IF(Q22&lt;&gt;"","kr.","")</f>
        <v>kr.</v>
      </c>
    </row>
    <row r="23" spans="2:19" ht="8.1" customHeight="1" x14ac:dyDescent="0.2">
      <c r="B23" s="85"/>
      <c r="C23" s="77"/>
      <c r="D23" s="77"/>
      <c r="E23" s="77"/>
      <c r="F23" s="77"/>
      <c r="G23" s="77"/>
      <c r="H23" s="77"/>
      <c r="I23" s="86"/>
      <c r="J23" s="86"/>
      <c r="K23" s="77"/>
      <c r="L23" s="77"/>
      <c r="M23" s="77"/>
      <c r="N23" s="77"/>
      <c r="O23" s="77"/>
      <c r="P23" s="77"/>
      <c r="Q23" s="77"/>
      <c r="R23" s="77"/>
      <c r="S23" s="77"/>
    </row>
    <row r="24" spans="2:19" x14ac:dyDescent="0.2">
      <c r="B24" s="85" t="s">
        <v>1393</v>
      </c>
      <c r="C24" s="77"/>
      <c r="D24" s="77"/>
      <c r="E24" s="77"/>
      <c r="F24" s="77"/>
      <c r="G24" s="77"/>
      <c r="H24" s="77"/>
      <c r="I24" s="290">
        <f>I16+I22</f>
        <v>10215.25</v>
      </c>
      <c r="J24" s="293"/>
      <c r="K24" s="83" t="str">
        <f>IF(I24&lt;&gt;"","kr.","")</f>
        <v>kr.</v>
      </c>
      <c r="L24" s="83"/>
      <c r="M24" s="290">
        <f>M16+M22</f>
        <v>0</v>
      </c>
      <c r="N24" s="293"/>
      <c r="O24" s="83" t="str">
        <f>IF(M24&lt;&gt;"","kr.","")</f>
        <v>kr.</v>
      </c>
      <c r="P24" s="83"/>
      <c r="Q24" s="290">
        <f>M24-I24</f>
        <v>-10215.25</v>
      </c>
      <c r="R24" s="293"/>
      <c r="S24" s="83" t="str">
        <f>IF(Q24&lt;&gt;"","kr.","")</f>
        <v>kr.</v>
      </c>
    </row>
    <row r="25" spans="2:19" ht="8.1" customHeight="1" x14ac:dyDescent="0.2">
      <c r="B25" s="85"/>
      <c r="C25" s="77"/>
      <c r="D25" s="77"/>
      <c r="E25" s="77"/>
      <c r="F25" s="77"/>
      <c r="G25" s="77"/>
      <c r="H25" s="77"/>
      <c r="I25" s="86"/>
      <c r="J25" s="87"/>
      <c r="K25" s="77"/>
      <c r="L25" s="77"/>
      <c r="M25" s="86"/>
      <c r="N25" s="87"/>
      <c r="O25" s="77"/>
      <c r="P25" s="77"/>
      <c r="Q25" s="77"/>
      <c r="R25" s="77"/>
      <c r="S25" s="77"/>
    </row>
    <row r="26" spans="2:19" ht="15" x14ac:dyDescent="0.25">
      <c r="B26" s="84" t="s">
        <v>15</v>
      </c>
      <c r="C26" s="77"/>
      <c r="D26" s="77"/>
      <c r="E26" s="77"/>
      <c r="F26" s="77"/>
      <c r="G26" s="77"/>
      <c r="H26" s="77"/>
      <c r="I26" s="286">
        <f>-Torring12</f>
        <v>-680.40000000000009</v>
      </c>
      <c r="J26" s="294"/>
      <c r="K26" s="77" t="str">
        <f>IF(I26&lt;&gt;"","kr.","")</f>
        <v>kr.</v>
      </c>
      <c r="L26" s="77"/>
      <c r="M26" s="286">
        <f>-Torring34</f>
        <v>0</v>
      </c>
      <c r="N26" s="294"/>
      <c r="O26" s="77" t="str">
        <f>IF(M26&lt;&gt;"","kr.","")</f>
        <v>kr.</v>
      </c>
      <c r="P26" s="77"/>
      <c r="Q26" s="77"/>
      <c r="R26" s="77"/>
      <c r="S26" s="77"/>
    </row>
    <row r="27" spans="2:19" x14ac:dyDescent="0.2">
      <c r="B27" s="84" t="s">
        <v>1399</v>
      </c>
      <c r="C27" s="77"/>
      <c r="D27" s="77"/>
      <c r="E27" s="77"/>
      <c r="F27" s="77"/>
      <c r="G27" s="77"/>
      <c r="H27" s="77"/>
      <c r="I27" s="286">
        <f>I64*VLOOKUP(ArbejdslonRaekke,Arbejdslon,3)*0.01</f>
        <v>-2561.4642857142858</v>
      </c>
      <c r="J27" s="286"/>
      <c r="K27" s="77" t="str">
        <f>IF(I27&lt;&gt;"","kr.","")</f>
        <v>kr.</v>
      </c>
      <c r="L27" s="77"/>
      <c r="M27" s="286">
        <f>SUM(M55:M63)*VLOOKUP(ArbejdslonRaekke,Arbejdslon,3)*0.01</f>
        <v>0</v>
      </c>
      <c r="N27" s="286"/>
      <c r="O27" s="77" t="str">
        <f>IF(M27&lt;&gt;"","kr.","")</f>
        <v>kr.</v>
      </c>
      <c r="P27" s="77"/>
      <c r="Q27" s="77"/>
      <c r="R27" s="77"/>
      <c r="S27" s="77"/>
    </row>
    <row r="28" spans="2:19" ht="8.1" customHeight="1" x14ac:dyDescent="0.2">
      <c r="B28" s="85"/>
      <c r="C28" s="77"/>
      <c r="D28" s="77"/>
      <c r="E28" s="77"/>
      <c r="F28" s="77"/>
      <c r="G28" s="77"/>
      <c r="H28" s="77"/>
      <c r="I28" s="86"/>
      <c r="J28" s="87"/>
      <c r="K28" s="77"/>
      <c r="L28" s="77"/>
      <c r="M28" s="86"/>
      <c r="N28" s="87"/>
      <c r="O28" s="77"/>
      <c r="P28" s="77"/>
      <c r="Q28" s="77"/>
      <c r="R28" s="77"/>
      <c r="S28" s="77"/>
    </row>
    <row r="29" spans="2:19" x14ac:dyDescent="0.2">
      <c r="B29" s="85" t="s">
        <v>1401</v>
      </c>
      <c r="C29" s="77"/>
      <c r="D29" s="77"/>
      <c r="E29" s="77"/>
      <c r="F29" s="77"/>
      <c r="G29" s="77"/>
      <c r="H29" s="77"/>
      <c r="I29" s="290">
        <f>I24+I26+I27</f>
        <v>6973.3857142857141</v>
      </c>
      <c r="J29" s="293"/>
      <c r="K29" s="83" t="str">
        <f>IF(I29&lt;&gt;"","kr.","")</f>
        <v>kr.</v>
      </c>
      <c r="L29" s="83"/>
      <c r="M29" s="290">
        <f>M24+M26+M27</f>
        <v>0</v>
      </c>
      <c r="N29" s="293"/>
      <c r="O29" s="83" t="str">
        <f>IF(M29&lt;&gt;"","kr.","")</f>
        <v>kr.</v>
      </c>
      <c r="P29" s="83"/>
      <c r="Q29" s="290">
        <f>M29-I29</f>
        <v>-6973.3857142857141</v>
      </c>
      <c r="R29" s="293"/>
      <c r="S29" s="83" t="str">
        <f>IF(Q29&lt;&gt;"","kr.","")</f>
        <v>kr.</v>
      </c>
    </row>
    <row r="30" spans="2:19" ht="8.1" customHeight="1" x14ac:dyDescent="0.2">
      <c r="B30" s="85"/>
      <c r="C30" s="77"/>
      <c r="D30" s="77"/>
      <c r="E30" s="77"/>
      <c r="F30" s="77"/>
      <c r="G30" s="77"/>
      <c r="H30" s="77"/>
      <c r="I30" s="86"/>
      <c r="J30" s="87"/>
      <c r="K30" s="77"/>
      <c r="L30" s="77"/>
      <c r="M30" s="86"/>
      <c r="N30" s="87"/>
      <c r="O30" s="77"/>
      <c r="P30" s="77"/>
      <c r="Q30" s="77"/>
      <c r="R30" s="77"/>
      <c r="S30" s="77"/>
    </row>
    <row r="31" spans="2:19" x14ac:dyDescent="0.2">
      <c r="B31" s="84" t="s">
        <v>1400</v>
      </c>
      <c r="C31" s="77"/>
      <c r="D31" s="77"/>
      <c r="E31" s="77"/>
      <c r="F31" s="77"/>
      <c r="G31" s="77"/>
      <c r="H31" s="77"/>
      <c r="I31" s="286">
        <f>I64*VLOOKUP(ArbejdslonRaekke,Arbejdslon,4)*0.01</f>
        <v>-1379.25</v>
      </c>
      <c r="J31" s="286"/>
      <c r="K31" s="77" t="str">
        <f>IF(I31&lt;&gt;"","kr.","")</f>
        <v>kr.</v>
      </c>
      <c r="L31" s="77"/>
      <c r="M31" s="286">
        <f>M64*VLOOKUP(ArbejdslonRaekke,Arbejdslon,4)*0.01</f>
        <v>0</v>
      </c>
      <c r="N31" s="286"/>
      <c r="O31" s="77" t="str">
        <f>IF(M31&lt;&gt;"","kr.","")</f>
        <v>kr.</v>
      </c>
      <c r="P31" s="77"/>
      <c r="Q31" s="77"/>
      <c r="R31" s="77"/>
      <c r="S31" s="77"/>
    </row>
    <row r="32" spans="2:19" ht="8.1" customHeight="1" x14ac:dyDescent="0.2">
      <c r="B32" s="87"/>
      <c r="C32" s="77"/>
      <c r="D32" s="77"/>
      <c r="E32" s="77"/>
      <c r="F32" s="77"/>
      <c r="G32" s="77"/>
      <c r="H32" s="77"/>
      <c r="I32" s="88"/>
      <c r="J32" s="88"/>
      <c r="K32" s="77"/>
      <c r="L32" s="77"/>
      <c r="M32" s="86"/>
      <c r="N32" s="87"/>
      <c r="O32" s="77"/>
      <c r="P32" s="77"/>
      <c r="Q32" s="77"/>
      <c r="R32" s="77"/>
      <c r="S32" s="77"/>
    </row>
    <row r="33" spans="2:19" x14ac:dyDescent="0.2">
      <c r="B33" s="85" t="s">
        <v>1402</v>
      </c>
      <c r="C33" s="77"/>
      <c r="D33" s="77"/>
      <c r="E33" s="77"/>
      <c r="F33" s="77"/>
      <c r="G33" s="77"/>
      <c r="H33" s="77"/>
      <c r="I33" s="290">
        <f>I29+I31</f>
        <v>5594.1357142857141</v>
      </c>
      <c r="J33" s="293"/>
      <c r="K33" s="83" t="str">
        <f>IF(I33&lt;&gt;"","kr.","")</f>
        <v>kr.</v>
      </c>
      <c r="L33" s="83"/>
      <c r="M33" s="290">
        <f>M29+M31</f>
        <v>0</v>
      </c>
      <c r="N33" s="293"/>
      <c r="O33" s="83" t="str">
        <f>IF(M33&lt;&gt;"","kr.","")</f>
        <v>kr.</v>
      </c>
      <c r="P33" s="83"/>
      <c r="Q33" s="290">
        <f>M33-I33</f>
        <v>-5594.1357142857141</v>
      </c>
      <c r="R33" s="293"/>
      <c r="S33" s="83" t="str">
        <f>IF(Q33&lt;&gt;"","kr.","")</f>
        <v>kr.</v>
      </c>
    </row>
    <row r="34" spans="2:19" x14ac:dyDescent="0.2">
      <c r="B34" s="103"/>
      <c r="C34" s="77"/>
      <c r="D34" s="77"/>
      <c r="E34" s="77"/>
      <c r="F34" s="77"/>
      <c r="G34" s="77"/>
      <c r="H34" s="77"/>
      <c r="I34" s="102"/>
      <c r="J34" s="103"/>
      <c r="K34" s="83"/>
      <c r="L34" s="83"/>
      <c r="M34" s="102"/>
      <c r="N34" s="103"/>
      <c r="O34" s="83"/>
      <c r="P34" s="83"/>
      <c r="Q34" s="102"/>
      <c r="R34" s="103"/>
      <c r="S34" s="83"/>
    </row>
    <row r="35" spans="2:19" x14ac:dyDescent="0.2">
      <c r="B35" s="77" t="s">
        <v>1851</v>
      </c>
      <c r="C35" s="77"/>
      <c r="D35" s="77"/>
      <c r="E35" s="77"/>
      <c r="F35" s="77"/>
      <c r="G35" s="77"/>
      <c r="H35" s="77"/>
      <c r="I35" s="286">
        <f>Handelsomk12</f>
        <v>0</v>
      </c>
      <c r="J35" s="286"/>
      <c r="K35" s="77" t="str">
        <f>IF(I35&lt;&gt;"","kr.","")</f>
        <v>kr.</v>
      </c>
      <c r="L35" s="77"/>
      <c r="M35" s="286">
        <f>Handelsomk34</f>
        <v>0</v>
      </c>
      <c r="N35" s="286"/>
      <c r="O35" s="77" t="str">
        <f>IF(M35&lt;&gt;"","kr.","")</f>
        <v>kr.</v>
      </c>
      <c r="P35" s="77"/>
      <c r="Q35" s="286">
        <f>HandelsomkForsk</f>
        <v>0</v>
      </c>
      <c r="R35" s="286"/>
      <c r="S35" s="77" t="str">
        <f>IF(Q35&lt;&gt;"","kr.","")</f>
        <v>kr.</v>
      </c>
    </row>
    <row r="36" spans="2:19" x14ac:dyDescent="0.2">
      <c r="B36" s="77" t="s">
        <v>1445</v>
      </c>
      <c r="C36" s="77"/>
      <c r="D36" s="77"/>
      <c r="E36" s="77"/>
      <c r="F36" s="77"/>
      <c r="G36" s="77"/>
      <c r="H36" s="77"/>
      <c r="I36" s="286">
        <f>ProteinTab12</f>
        <v>0</v>
      </c>
      <c r="J36" s="286"/>
      <c r="K36" s="77" t="str">
        <f>IF(I36&lt;&gt;"","kr.","")</f>
        <v>kr.</v>
      </c>
      <c r="L36" s="77"/>
      <c r="M36" s="286">
        <f>ProteinTab34</f>
        <v>0</v>
      </c>
      <c r="N36" s="286"/>
      <c r="O36" s="77" t="str">
        <f>IF(M36&lt;&gt;"","kr.","")</f>
        <v>kr.</v>
      </c>
      <c r="P36" s="77"/>
      <c r="Q36" s="286">
        <f>ProteinTabForsk</f>
        <v>0</v>
      </c>
      <c r="R36" s="286"/>
      <c r="S36" s="77" t="str">
        <f>IF(Q36&lt;&gt;"","kr.","")</f>
        <v>kr.</v>
      </c>
    </row>
    <row r="37" spans="2:19" ht="8.1" customHeight="1" x14ac:dyDescent="0.2">
      <c r="B37" s="77"/>
      <c r="C37" s="77"/>
      <c r="D37" s="77"/>
      <c r="E37" s="77"/>
      <c r="F37" s="77"/>
      <c r="G37" s="77"/>
      <c r="H37" s="77"/>
      <c r="I37" s="182"/>
      <c r="J37" s="182"/>
      <c r="K37" s="77"/>
      <c r="L37" s="77"/>
      <c r="M37" s="182"/>
      <c r="N37" s="182"/>
      <c r="O37" s="77"/>
      <c r="P37" s="77"/>
      <c r="Q37" s="182"/>
      <c r="R37" s="182"/>
      <c r="S37" s="77"/>
    </row>
    <row r="38" spans="2:19" ht="15" x14ac:dyDescent="0.25">
      <c r="B38" s="83" t="s">
        <v>2218</v>
      </c>
      <c r="C38" s="77"/>
      <c r="D38" s="77"/>
      <c r="E38" s="77"/>
      <c r="F38" s="77"/>
      <c r="G38" s="77"/>
      <c r="H38" s="77"/>
      <c r="I38" s="290">
        <f>I33+I35+I36</f>
        <v>5594.1357142857141</v>
      </c>
      <c r="J38" s="275"/>
      <c r="K38" s="83" t="str">
        <f>IF(I38&lt;&gt;"","kr.","")</f>
        <v>kr.</v>
      </c>
      <c r="L38" s="77"/>
      <c r="M38" s="290">
        <f>M33+M35+M36</f>
        <v>0</v>
      </c>
      <c r="N38" s="275"/>
      <c r="O38" s="83" t="str">
        <f>IF(M38&lt;&gt;"","kr.","")</f>
        <v>kr.</v>
      </c>
      <c r="P38" s="77"/>
      <c r="Q38" s="290">
        <f>M38-I38</f>
        <v>-5594.1357142857141</v>
      </c>
      <c r="R38" s="293"/>
      <c r="S38" s="83" t="str">
        <f>IF(Q38&lt;&gt;"","kr.","")</f>
        <v>kr.</v>
      </c>
    </row>
    <row r="39" spans="2:19" x14ac:dyDescent="0.2">
      <c r="B39" s="103"/>
      <c r="C39" s="77"/>
      <c r="D39" s="77"/>
      <c r="E39" s="77"/>
      <c r="F39" s="77"/>
      <c r="G39" s="77"/>
      <c r="H39" s="77"/>
      <c r="I39" s="102"/>
      <c r="J39" s="103"/>
      <c r="K39" s="83"/>
      <c r="L39" s="83"/>
      <c r="M39" s="102"/>
      <c r="N39" s="103"/>
      <c r="O39" s="83"/>
      <c r="P39" s="83"/>
      <c r="Q39" s="102"/>
      <c r="R39" s="103"/>
      <c r="S39" s="83"/>
    </row>
    <row r="40" spans="2:19" ht="15.75" x14ac:dyDescent="0.25">
      <c r="B40" s="116" t="s">
        <v>2219</v>
      </c>
      <c r="C40" s="82"/>
      <c r="D40" s="82"/>
      <c r="E40" s="82"/>
      <c r="F40" s="82"/>
      <c r="G40" s="82"/>
      <c r="H40" s="82"/>
      <c r="I40" s="117"/>
      <c r="J40" s="118"/>
      <c r="K40" s="119"/>
      <c r="L40" s="119"/>
      <c r="M40" s="117"/>
      <c r="N40" s="118"/>
      <c r="O40" s="119"/>
      <c r="P40" s="119"/>
      <c r="Q40" s="117"/>
      <c r="R40" s="118"/>
      <c r="S40" s="119"/>
    </row>
    <row r="41" spans="2:19" ht="8.1" customHeight="1" x14ac:dyDescent="0.2">
      <c r="B41" s="103"/>
      <c r="C41" s="77"/>
      <c r="D41" s="77"/>
      <c r="E41" s="77"/>
      <c r="F41" s="77"/>
      <c r="G41" s="77"/>
      <c r="H41" s="77"/>
      <c r="I41" s="102"/>
      <c r="J41" s="103"/>
      <c r="K41" s="83"/>
      <c r="L41" s="83"/>
      <c r="M41" s="102"/>
      <c r="N41" s="103"/>
      <c r="O41" s="83"/>
      <c r="P41" s="83"/>
      <c r="Q41" s="102"/>
      <c r="R41" s="103"/>
      <c r="S41" s="83"/>
    </row>
    <row r="42" spans="2:19" x14ac:dyDescent="0.2">
      <c r="B42" s="103"/>
      <c r="C42" s="77"/>
      <c r="D42" s="77"/>
      <c r="E42" s="77"/>
      <c r="F42" s="77"/>
      <c r="G42" s="77"/>
      <c r="H42" s="77"/>
      <c r="I42" s="100" t="s">
        <v>1816</v>
      </c>
      <c r="J42" s="83"/>
      <c r="K42" s="83"/>
      <c r="L42" s="83"/>
      <c r="M42" s="100" t="s">
        <v>1819</v>
      </c>
      <c r="N42" s="83"/>
      <c r="O42" s="83"/>
      <c r="P42" s="83"/>
      <c r="Q42" s="101" t="s">
        <v>1356</v>
      </c>
      <c r="R42" s="83"/>
      <c r="S42" s="83"/>
    </row>
    <row r="43" spans="2:19" ht="3" customHeight="1" x14ac:dyDescent="0.2">
      <c r="B43" s="103"/>
      <c r="C43" s="77"/>
      <c r="D43" s="77"/>
      <c r="E43" s="77"/>
      <c r="F43" s="77"/>
      <c r="G43" s="77"/>
      <c r="H43" s="77"/>
      <c r="I43" s="102"/>
      <c r="J43" s="103"/>
      <c r="K43" s="83"/>
      <c r="L43" s="83"/>
      <c r="M43" s="102"/>
      <c r="N43" s="103"/>
      <c r="O43" s="83"/>
      <c r="P43" s="83"/>
      <c r="Q43" s="102"/>
      <c r="R43" s="103"/>
      <c r="S43" s="83"/>
    </row>
    <row r="44" spans="2:19" ht="12.75" customHeight="1" x14ac:dyDescent="0.25">
      <c r="B44" s="84" t="s">
        <v>2</v>
      </c>
      <c r="C44" s="77"/>
      <c r="D44" s="77"/>
      <c r="E44" s="77"/>
      <c r="F44" s="77"/>
      <c r="G44" s="77"/>
      <c r="H44" s="77"/>
      <c r="I44" s="286">
        <f>-UdsaedMiljoEfgr12</f>
        <v>0</v>
      </c>
      <c r="J44" s="296"/>
      <c r="K44" s="77" t="str">
        <f>IF(I44&lt;&gt;"","kr.","")</f>
        <v>kr.</v>
      </c>
      <c r="L44" s="83"/>
      <c r="M44" s="286">
        <f>-UdsaedMiljoEfgr34</f>
        <v>0</v>
      </c>
      <c r="N44" s="296"/>
      <c r="O44" s="77" t="str">
        <f>IF(M44&lt;&gt;"","kr.","")</f>
        <v>kr.</v>
      </c>
      <c r="P44" s="83"/>
      <c r="Q44" s="102"/>
      <c r="R44" s="103"/>
      <c r="S44" s="83"/>
    </row>
    <row r="45" spans="2:19" ht="12.75" customHeight="1" x14ac:dyDescent="0.25">
      <c r="B45" s="84" t="s">
        <v>3</v>
      </c>
      <c r="C45" s="77"/>
      <c r="D45" s="77"/>
      <c r="E45" s="77"/>
      <c r="F45" s="77"/>
      <c r="G45" s="77"/>
      <c r="H45" s="77"/>
      <c r="I45" s="286">
        <f>-PlantevMiljoEfgr12</f>
        <v>0</v>
      </c>
      <c r="J45" s="296"/>
      <c r="K45" s="77" t="str">
        <f>IF(I45&lt;&gt;"","kr.","")</f>
        <v>kr.</v>
      </c>
      <c r="L45" s="83"/>
      <c r="M45" s="286">
        <f>-PlantevMiljoEfgr34</f>
        <v>0</v>
      </c>
      <c r="N45" s="296"/>
      <c r="O45" s="77" t="str">
        <f>IF(M45&lt;&gt;"","kr.","")</f>
        <v>kr.</v>
      </c>
      <c r="P45" s="83"/>
      <c r="Q45" s="102"/>
      <c r="R45" s="103"/>
      <c r="S45" s="83"/>
    </row>
    <row r="46" spans="2:19" ht="12.75" customHeight="1" x14ac:dyDescent="0.25">
      <c r="B46" s="84" t="s">
        <v>20</v>
      </c>
      <c r="C46" s="77"/>
      <c r="D46" s="77"/>
      <c r="E46" s="77"/>
      <c r="F46" s="77"/>
      <c r="G46" s="77"/>
      <c r="H46" s="77"/>
      <c r="I46" s="286">
        <f>-SaaningMiljoEfgr12</f>
        <v>0</v>
      </c>
      <c r="J46" s="296"/>
      <c r="K46" s="77" t="str">
        <f>IF(I46&lt;&gt;"","kr.","")</f>
        <v>kr.</v>
      </c>
      <c r="L46" s="83"/>
      <c r="M46" s="286">
        <f>-SaaningMiljoEfgr34</f>
        <v>0</v>
      </c>
      <c r="N46" s="296"/>
      <c r="O46" s="77" t="str">
        <f>IF(M46&lt;&gt;"","kr.","")</f>
        <v>kr.</v>
      </c>
      <c r="P46" s="83"/>
      <c r="Q46" s="102"/>
      <c r="R46" s="103"/>
      <c r="S46" s="83"/>
    </row>
    <row r="47" spans="2:19" ht="12.75" customHeight="1" x14ac:dyDescent="0.25">
      <c r="B47" s="84" t="s">
        <v>1801</v>
      </c>
      <c r="C47" s="77"/>
      <c r="D47" s="77"/>
      <c r="E47" s="77"/>
      <c r="F47" s="77"/>
      <c r="G47" s="77"/>
      <c r="H47" s="77"/>
      <c r="I47" s="286">
        <f>-NedmuldMiljoEfgr12</f>
        <v>0</v>
      </c>
      <c r="J47" s="296"/>
      <c r="K47" s="77" t="str">
        <f>IF(I47&lt;&gt;"","kr.","")</f>
        <v>kr.</v>
      </c>
      <c r="L47" s="83"/>
      <c r="M47" s="286">
        <f>-NedmuldMiljoEfgr34</f>
        <v>0</v>
      </c>
      <c r="N47" s="296"/>
      <c r="O47" s="77" t="str">
        <f>IF(M47&lt;&gt;"","kr.","")</f>
        <v>kr.</v>
      </c>
      <c r="P47" s="83"/>
      <c r="Q47" s="102"/>
      <c r="R47" s="103"/>
      <c r="S47" s="83"/>
    </row>
    <row r="48" spans="2:19" ht="12.75" customHeight="1" x14ac:dyDescent="0.25">
      <c r="B48" s="103" t="s">
        <v>1812</v>
      </c>
      <c r="C48" s="77"/>
      <c r="D48" s="77"/>
      <c r="E48" s="77"/>
      <c r="F48" s="77"/>
      <c r="G48" s="77"/>
      <c r="H48" s="77"/>
      <c r="I48" s="290">
        <f>I44+I45+I46+I47</f>
        <v>0</v>
      </c>
      <c r="J48" s="262"/>
      <c r="K48" s="83" t="str">
        <f>IF(I48&lt;&gt;"","kr.","")</f>
        <v>kr.</v>
      </c>
      <c r="L48" s="83"/>
      <c r="M48" s="290">
        <f>M44+M45+M46+M47</f>
        <v>0</v>
      </c>
      <c r="N48" s="262"/>
      <c r="O48" s="83" t="str">
        <f>IF(M48&lt;&gt;"","kr.","")</f>
        <v>kr.</v>
      </c>
      <c r="P48" s="83"/>
      <c r="Q48" s="290">
        <f>(M48-I48)</f>
        <v>0</v>
      </c>
      <c r="R48" s="262"/>
      <c r="S48" s="83" t="str">
        <f>IF(Q48&lt;&gt;"","kr.","")</f>
        <v>kr.</v>
      </c>
    </row>
    <row r="49" spans="2:19" ht="12.75" customHeight="1" x14ac:dyDescent="0.2">
      <c r="B49" s="85"/>
      <c r="C49" s="77"/>
      <c r="D49" s="77"/>
      <c r="E49" s="77"/>
      <c r="F49" s="77"/>
      <c r="G49" s="77"/>
      <c r="H49" s="77"/>
      <c r="I49" s="86"/>
      <c r="J49" s="85"/>
      <c r="K49" s="83"/>
      <c r="L49" s="83"/>
      <c r="M49" s="86"/>
      <c r="N49" s="85"/>
      <c r="O49" s="83"/>
      <c r="P49" s="83"/>
      <c r="Q49" s="86"/>
      <c r="R49" s="85"/>
      <c r="S49" s="83"/>
    </row>
    <row r="50" spans="2:19" ht="6" customHeight="1" x14ac:dyDescent="0.2">
      <c r="B50" s="87"/>
      <c r="C50" s="77"/>
      <c r="D50" s="77"/>
      <c r="E50" s="77"/>
      <c r="F50" s="77"/>
      <c r="G50" s="77"/>
      <c r="H50" s="77"/>
      <c r="I50" s="88"/>
      <c r="J50" s="88"/>
      <c r="K50" s="77"/>
      <c r="L50" s="77"/>
      <c r="M50" s="86"/>
      <c r="N50" s="87"/>
      <c r="O50" s="77"/>
      <c r="P50" s="77"/>
      <c r="Q50" s="77"/>
      <c r="R50" s="77"/>
      <c r="S50" s="77"/>
    </row>
    <row r="51" spans="2:19" ht="15.75" x14ac:dyDescent="0.25">
      <c r="B51" s="113" t="s">
        <v>2220</v>
      </c>
      <c r="C51" s="82"/>
      <c r="D51" s="82"/>
      <c r="E51" s="82"/>
      <c r="F51" s="82"/>
      <c r="G51" s="82"/>
      <c r="H51" s="82"/>
      <c r="I51" s="82"/>
      <c r="J51" s="82"/>
      <c r="K51" s="82"/>
      <c r="L51" s="82"/>
      <c r="M51" s="82"/>
      <c r="N51" s="82"/>
      <c r="O51" s="82"/>
      <c r="P51" s="82"/>
      <c r="Q51" s="82"/>
      <c r="R51" s="82"/>
      <c r="S51" s="82"/>
    </row>
    <row r="52" spans="2:19" ht="8.1" customHeight="1" x14ac:dyDescent="0.25">
      <c r="B52" s="115"/>
      <c r="C52" s="90"/>
      <c r="D52" s="90"/>
      <c r="E52" s="90"/>
      <c r="F52" s="90"/>
      <c r="G52" s="90"/>
      <c r="H52" s="90"/>
      <c r="I52" s="90"/>
      <c r="J52" s="90"/>
      <c r="K52" s="90"/>
      <c r="L52" s="90"/>
      <c r="M52" s="90"/>
      <c r="N52" s="90"/>
      <c r="O52" s="90"/>
      <c r="P52" s="90"/>
      <c r="Q52" s="90"/>
      <c r="R52" s="90"/>
      <c r="S52" s="90"/>
    </row>
    <row r="53" spans="2:19" x14ac:dyDescent="0.2">
      <c r="B53" s="77"/>
      <c r="C53" s="77"/>
      <c r="D53" s="77"/>
      <c r="E53" s="77"/>
      <c r="F53" s="77"/>
      <c r="G53" s="77"/>
      <c r="H53" s="77"/>
      <c r="I53" s="100" t="s">
        <v>1816</v>
      </c>
      <c r="J53" s="83"/>
      <c r="K53" s="83"/>
      <c r="L53" s="83"/>
      <c r="M53" s="100" t="s">
        <v>1819</v>
      </c>
      <c r="N53" s="83"/>
      <c r="O53" s="83"/>
      <c r="P53" s="83"/>
      <c r="Q53" s="101" t="s">
        <v>1356</v>
      </c>
      <c r="R53" s="83"/>
      <c r="S53" s="77"/>
    </row>
    <row r="54" spans="2:19" ht="3" customHeight="1" x14ac:dyDescent="0.2">
      <c r="B54" s="77"/>
      <c r="C54" s="77"/>
      <c r="D54" s="77"/>
      <c r="E54" s="77"/>
      <c r="F54" s="77"/>
      <c r="G54" s="77"/>
      <c r="H54" s="77"/>
      <c r="I54" s="100"/>
      <c r="J54" s="83"/>
      <c r="K54" s="83"/>
      <c r="L54" s="83"/>
      <c r="M54" s="100"/>
      <c r="N54" s="83"/>
      <c r="O54" s="83"/>
      <c r="P54" s="83"/>
      <c r="Q54" s="101"/>
      <c r="R54" s="83"/>
      <c r="S54" s="77"/>
    </row>
    <row r="55" spans="2:19" x14ac:dyDescent="0.2">
      <c r="B55" s="84" t="s">
        <v>1392</v>
      </c>
      <c r="C55" s="77"/>
      <c r="D55" s="77"/>
      <c r="E55" s="77"/>
      <c r="F55" s="77"/>
      <c r="G55" s="77"/>
      <c r="H55" s="77"/>
      <c r="I55" s="286">
        <f>-PlojHarv12</f>
        <v>-800</v>
      </c>
      <c r="J55" s="286"/>
      <c r="K55" s="77" t="str">
        <f t="shared" ref="K55:K64" si="0">IF(I55&lt;&gt;"","kr.","")</f>
        <v>kr.</v>
      </c>
      <c r="L55" s="77"/>
      <c r="M55" s="286">
        <f>-PlojHarv34</f>
        <v>0</v>
      </c>
      <c r="N55" s="286"/>
      <c r="O55" s="77" t="str">
        <f t="shared" ref="O55:O64" si="1">IF(M55&lt;&gt;"","kr.","")</f>
        <v>kr.</v>
      </c>
      <c r="P55" s="77"/>
      <c r="Q55" s="77"/>
      <c r="R55" s="77"/>
      <c r="S55" s="77"/>
    </row>
    <row r="56" spans="2:19" ht="12.75" customHeight="1" x14ac:dyDescent="0.2">
      <c r="B56" s="84" t="s">
        <v>363</v>
      </c>
      <c r="C56" s="77"/>
      <c r="D56" s="77"/>
      <c r="E56" s="77"/>
      <c r="F56" s="77"/>
      <c r="G56" s="77"/>
      <c r="H56" s="77"/>
      <c r="I56" s="286">
        <f>-(Saaning12+SaaningEfgr12)</f>
        <v>-350</v>
      </c>
      <c r="J56" s="286"/>
      <c r="K56" s="77" t="str">
        <f t="shared" si="0"/>
        <v>kr.</v>
      </c>
      <c r="L56" s="77"/>
      <c r="M56" s="286">
        <f>-(Saaning34+SaaningEfgr34)</f>
        <v>0</v>
      </c>
      <c r="N56" s="286"/>
      <c r="O56" s="77" t="str">
        <f t="shared" si="1"/>
        <v>kr.</v>
      </c>
      <c r="P56" s="77"/>
      <c r="Q56" s="77"/>
      <c r="R56" s="77"/>
      <c r="S56" s="77"/>
    </row>
    <row r="57" spans="2:19" x14ac:dyDescent="0.2">
      <c r="B57" s="84" t="s">
        <v>364</v>
      </c>
      <c r="C57" s="77"/>
      <c r="D57" s="77"/>
      <c r="E57" s="77"/>
      <c r="F57" s="77"/>
      <c r="G57" s="77"/>
      <c r="H57" s="77"/>
      <c r="I57" s="286">
        <f>-(Godnspred12+GodnspredEfgr12)</f>
        <v>-280</v>
      </c>
      <c r="J57" s="286"/>
      <c r="K57" s="77" t="str">
        <f t="shared" si="0"/>
        <v>kr.</v>
      </c>
      <c r="L57" s="77"/>
      <c r="M57" s="286">
        <f>-(Godnspred34+GodnspredEfgr34)</f>
        <v>0</v>
      </c>
      <c r="N57" s="286"/>
      <c r="O57" s="77" t="str">
        <f t="shared" si="1"/>
        <v>kr.</v>
      </c>
      <c r="P57" s="77"/>
      <c r="Q57" s="77"/>
      <c r="R57" s="77"/>
      <c r="S57" s="77"/>
    </row>
    <row r="58" spans="2:19" x14ac:dyDescent="0.2">
      <c r="B58" s="84" t="s">
        <v>365</v>
      </c>
      <c r="C58" s="77"/>
      <c r="D58" s="77"/>
      <c r="E58" s="77"/>
      <c r="F58" s="77"/>
      <c r="G58" s="77"/>
      <c r="H58" s="77"/>
      <c r="I58" s="286">
        <f>-(Marksprojt12+MarksprojtEfgr12)</f>
        <v>-450</v>
      </c>
      <c r="J58" s="286"/>
      <c r="K58" s="77" t="str">
        <f t="shared" si="0"/>
        <v>kr.</v>
      </c>
      <c r="L58" s="77"/>
      <c r="M58" s="286">
        <f>-(Marksprojt34+MarksprojtEfgr34)</f>
        <v>0</v>
      </c>
      <c r="N58" s="286"/>
      <c r="O58" s="77" t="str">
        <f t="shared" si="1"/>
        <v>kr.</v>
      </c>
      <c r="P58" s="77"/>
      <c r="Q58" s="77"/>
      <c r="R58" s="77"/>
      <c r="S58" s="77"/>
    </row>
    <row r="59" spans="2:19" x14ac:dyDescent="0.2">
      <c r="B59" s="84" t="s">
        <v>104</v>
      </c>
      <c r="C59" s="77"/>
      <c r="D59" s="77"/>
      <c r="E59" s="77"/>
      <c r="F59" s="77"/>
      <c r="G59" s="77"/>
      <c r="H59" s="77"/>
      <c r="I59" s="286">
        <f>-(Markvand12+MarkvandEfgr12)</f>
        <v>0</v>
      </c>
      <c r="J59" s="286"/>
      <c r="K59" s="77" t="str">
        <f t="shared" si="0"/>
        <v>kr.</v>
      </c>
      <c r="L59" s="77"/>
      <c r="M59" s="286">
        <f>-(Markvand34+MarkvandEfgr34)</f>
        <v>0</v>
      </c>
      <c r="N59" s="286"/>
      <c r="O59" s="77" t="str">
        <f t="shared" si="1"/>
        <v>kr.</v>
      </c>
      <c r="P59" s="77"/>
      <c r="Q59" s="77"/>
      <c r="R59" s="77"/>
      <c r="S59" s="77"/>
    </row>
    <row r="60" spans="2:19" x14ac:dyDescent="0.2">
      <c r="B60" s="84" t="s">
        <v>1834</v>
      </c>
      <c r="C60" s="77"/>
      <c r="D60" s="77"/>
      <c r="E60" s="77"/>
      <c r="F60" s="77"/>
      <c r="G60" s="77"/>
      <c r="H60" s="77"/>
      <c r="I60" s="286">
        <f>-(Host12)</f>
        <v>-1335.7142857142856</v>
      </c>
      <c r="J60" s="286"/>
      <c r="K60" s="77" t="str">
        <f t="shared" si="0"/>
        <v>kr.</v>
      </c>
      <c r="L60" s="77"/>
      <c r="M60" s="286">
        <f>-(Host34)</f>
        <v>0</v>
      </c>
      <c r="N60" s="286"/>
      <c r="O60" s="77" t="str">
        <f t="shared" si="1"/>
        <v>kr.</v>
      </c>
      <c r="P60" s="77"/>
      <c r="Q60" s="77"/>
      <c r="R60" s="77"/>
      <c r="S60" s="77"/>
    </row>
    <row r="61" spans="2:19" x14ac:dyDescent="0.2">
      <c r="B61" s="84" t="s">
        <v>1836</v>
      </c>
      <c r="C61" s="77"/>
      <c r="D61" s="77"/>
      <c r="E61" s="77"/>
      <c r="F61" s="77"/>
      <c r="G61" s="77"/>
      <c r="H61" s="77"/>
      <c r="I61" s="286">
        <f>-(Hjemkorsel12)</f>
        <v>-725</v>
      </c>
      <c r="J61" s="286"/>
      <c r="K61" s="77" t="str">
        <f t="shared" ref="K61:K62" si="2">IF(I61&lt;&gt;"","kr.","")</f>
        <v>kr.</v>
      </c>
      <c r="L61" s="77"/>
      <c r="M61" s="286">
        <f>-(Hjemkorsel34)</f>
        <v>0</v>
      </c>
      <c r="N61" s="286"/>
      <c r="O61" s="77" t="str">
        <f t="shared" ref="O61:O62" si="3">IF(M61&lt;&gt;"","kr.","")</f>
        <v>kr.</v>
      </c>
      <c r="P61" s="77"/>
      <c r="Q61" s="77"/>
      <c r="R61" s="77"/>
      <c r="S61" s="77"/>
    </row>
    <row r="62" spans="2:19" x14ac:dyDescent="0.2">
      <c r="B62" s="84" t="s">
        <v>1835</v>
      </c>
      <c r="C62" s="77"/>
      <c r="D62" s="77"/>
      <c r="E62" s="77"/>
      <c r="F62" s="77"/>
      <c r="G62" s="77"/>
      <c r="H62" s="77"/>
      <c r="I62" s="286">
        <f>-(HostEfgr12)</f>
        <v>0</v>
      </c>
      <c r="J62" s="286"/>
      <c r="K62" s="77" t="str">
        <f t="shared" si="2"/>
        <v>kr.</v>
      </c>
      <c r="L62" s="77"/>
      <c r="M62" s="286">
        <f>-(HostEfgr34)</f>
        <v>0</v>
      </c>
      <c r="N62" s="286"/>
      <c r="O62" s="77" t="str">
        <f t="shared" si="3"/>
        <v>kr.</v>
      </c>
      <c r="P62" s="77"/>
      <c r="Q62" s="77"/>
      <c r="R62" s="77"/>
      <c r="S62" s="77"/>
    </row>
    <row r="63" spans="2:19" x14ac:dyDescent="0.2">
      <c r="B63" s="84" t="s">
        <v>389</v>
      </c>
      <c r="C63" s="77"/>
      <c r="D63" s="77"/>
      <c r="E63" s="77"/>
      <c r="F63" s="77"/>
      <c r="G63" s="77"/>
      <c r="H63" s="77"/>
      <c r="I63" s="286">
        <f>-(Nedmuldning12)</f>
        <v>0</v>
      </c>
      <c r="J63" s="286"/>
      <c r="K63" s="77" t="str">
        <f t="shared" si="0"/>
        <v>kr.</v>
      </c>
      <c r="L63" s="77"/>
      <c r="M63" s="286">
        <f>-(Nedmuldning34)</f>
        <v>0</v>
      </c>
      <c r="N63" s="286"/>
      <c r="O63" s="77" t="str">
        <f t="shared" si="1"/>
        <v>kr.</v>
      </c>
      <c r="P63" s="77"/>
      <c r="Q63" s="77"/>
      <c r="R63" s="77"/>
      <c r="S63" s="77"/>
    </row>
    <row r="64" spans="2:19" x14ac:dyDescent="0.2">
      <c r="B64" s="85" t="s">
        <v>348</v>
      </c>
      <c r="C64" s="77"/>
      <c r="D64" s="77"/>
      <c r="E64" s="77"/>
      <c r="F64" s="77"/>
      <c r="G64" s="77"/>
      <c r="H64" s="77"/>
      <c r="I64" s="290">
        <f>SUM(I55:J63)</f>
        <v>-3940.7142857142853</v>
      </c>
      <c r="J64" s="293"/>
      <c r="K64" s="83" t="str">
        <f t="shared" si="0"/>
        <v>kr.</v>
      </c>
      <c r="L64" s="77"/>
      <c r="M64" s="290">
        <f>SUM(M55:N63)</f>
        <v>0</v>
      </c>
      <c r="N64" s="293"/>
      <c r="O64" s="83" t="str">
        <f t="shared" si="1"/>
        <v>kr.</v>
      </c>
      <c r="P64" s="77"/>
      <c r="Q64" s="290">
        <f>(M64-I64)</f>
        <v>3940.7142857142853</v>
      </c>
      <c r="R64" s="290"/>
      <c r="S64" s="83" t="str">
        <f>IF(Q64&lt;&gt;"","kr.","")</f>
        <v>kr.</v>
      </c>
    </row>
    <row r="65" spans="2:19" ht="4.5" customHeight="1" x14ac:dyDescent="0.2">
      <c r="B65" s="77"/>
      <c r="C65" s="77"/>
      <c r="D65" s="77"/>
      <c r="E65" s="77"/>
      <c r="F65" s="77"/>
      <c r="G65" s="77"/>
      <c r="H65" s="77"/>
      <c r="I65" s="77"/>
      <c r="J65" s="77"/>
      <c r="K65" s="77"/>
      <c r="L65" s="77"/>
      <c r="M65" s="77"/>
      <c r="N65" s="77"/>
      <c r="O65" s="77"/>
      <c r="P65" s="77"/>
      <c r="Q65" s="77"/>
      <c r="R65" s="77"/>
      <c r="S65" s="77"/>
    </row>
    <row r="66" spans="2:19" x14ac:dyDescent="0.2">
      <c r="B66" s="89"/>
      <c r="C66" s="90"/>
      <c r="D66" s="90"/>
      <c r="E66" s="90"/>
      <c r="F66" s="90"/>
      <c r="G66" s="90"/>
      <c r="H66" s="90"/>
      <c r="I66" s="91"/>
      <c r="J66" s="91"/>
      <c r="K66" s="90"/>
      <c r="L66" s="90"/>
      <c r="M66" s="90"/>
      <c r="N66" s="90"/>
      <c r="O66" s="90"/>
      <c r="P66" s="90"/>
      <c r="Q66" s="90"/>
      <c r="R66" s="90"/>
      <c r="S66" s="90"/>
    </row>
    <row r="67" spans="2:19" x14ac:dyDescent="0.2">
      <c r="B67" s="139"/>
      <c r="C67" s="90"/>
      <c r="D67" s="90"/>
      <c r="E67" s="90"/>
      <c r="F67" s="90"/>
      <c r="G67" s="90"/>
      <c r="H67" s="90"/>
      <c r="I67" s="90"/>
      <c r="J67" s="90"/>
      <c r="K67" s="90"/>
      <c r="L67" s="90"/>
      <c r="M67" s="90"/>
      <c r="N67" s="90"/>
      <c r="O67" s="90"/>
      <c r="P67" s="90"/>
      <c r="Q67" s="90"/>
      <c r="R67" s="90"/>
      <c r="S67" s="127"/>
    </row>
    <row r="68" spans="2:19" ht="15.75" x14ac:dyDescent="0.25">
      <c r="B68" s="113" t="s">
        <v>1882</v>
      </c>
      <c r="C68" s="82"/>
      <c r="D68" s="82"/>
      <c r="E68" s="82"/>
      <c r="F68" s="82"/>
      <c r="G68" s="82"/>
      <c r="H68" s="82"/>
      <c r="I68" s="82"/>
      <c r="J68" s="82"/>
      <c r="K68" s="82"/>
      <c r="L68" s="82"/>
      <c r="M68" s="82"/>
      <c r="N68" s="82"/>
      <c r="O68" s="82"/>
      <c r="P68" s="82"/>
      <c r="Q68" s="82"/>
      <c r="R68" s="82"/>
      <c r="S68" s="82"/>
    </row>
    <row r="69" spans="2:19" ht="8.1" customHeight="1" x14ac:dyDescent="0.25">
      <c r="B69" s="138"/>
      <c r="C69" s="77"/>
      <c r="D69" s="77"/>
      <c r="E69" s="77"/>
      <c r="F69" s="77"/>
      <c r="G69" s="77"/>
      <c r="H69" s="77"/>
      <c r="I69" s="77"/>
      <c r="J69" s="77"/>
      <c r="K69" s="77"/>
      <c r="L69" s="77"/>
      <c r="M69" s="77"/>
      <c r="N69" s="77"/>
      <c r="O69" s="77"/>
      <c r="P69" s="77"/>
      <c r="Q69" s="77"/>
      <c r="R69" s="77"/>
      <c r="S69" s="77"/>
    </row>
    <row r="70" spans="2:19" x14ac:dyDescent="0.2">
      <c r="B70" s="150" t="s">
        <v>1879</v>
      </c>
      <c r="C70" s="151"/>
      <c r="D70" s="77"/>
      <c r="E70" s="77"/>
      <c r="F70" s="77"/>
      <c r="G70" s="77"/>
      <c r="H70" s="77"/>
      <c r="I70" s="77"/>
      <c r="J70" s="77"/>
      <c r="K70" s="77"/>
      <c r="L70" s="77"/>
      <c r="M70" s="77"/>
      <c r="N70" s="77"/>
      <c r="O70" s="77"/>
      <c r="P70" s="77"/>
      <c r="Q70" s="77"/>
      <c r="R70" s="77"/>
      <c r="S70" s="77"/>
    </row>
    <row r="71" spans="2:19" ht="6" customHeight="1" x14ac:dyDescent="0.2">
      <c r="B71" s="77"/>
      <c r="C71" s="77"/>
      <c r="D71" s="77"/>
      <c r="E71" s="77"/>
      <c r="F71" s="77"/>
      <c r="G71" s="77"/>
      <c r="H71" s="77"/>
      <c r="I71" s="77"/>
      <c r="J71" s="77"/>
      <c r="K71" s="77"/>
      <c r="L71" s="77"/>
      <c r="M71" s="77"/>
      <c r="N71" s="77"/>
      <c r="O71" s="77"/>
      <c r="P71" s="77"/>
      <c r="Q71" s="77"/>
      <c r="R71" s="77"/>
      <c r="S71" s="77"/>
    </row>
    <row r="72" spans="2:19" ht="15" x14ac:dyDescent="0.25">
      <c r="B72" s="83" t="s">
        <v>1880</v>
      </c>
      <c r="C72" s="77"/>
      <c r="D72" s="77"/>
      <c r="E72" s="300">
        <f>DyrkAreal1</f>
        <v>1</v>
      </c>
      <c r="F72" s="301"/>
      <c r="G72" s="83" t="str">
        <f>IF(E72="","","ha")</f>
        <v>ha</v>
      </c>
      <c r="H72" s="83" t="str">
        <f>VLOOKUP(Jordtype1,Jordtype,2)</f>
        <v>JB 6</v>
      </c>
      <c r="I72" s="83" t="str">
        <f>IF(Markvand1=2,VLOOKUP(Markvand1,Markvanding,2),"")</f>
        <v/>
      </c>
      <c r="J72" s="77"/>
      <c r="K72" s="77"/>
      <c r="L72" s="77"/>
      <c r="M72" s="77"/>
      <c r="N72" s="77"/>
      <c r="O72" s="77"/>
      <c r="P72" s="77"/>
      <c r="Q72" s="77"/>
      <c r="R72" s="77"/>
      <c r="S72" s="77"/>
    </row>
    <row r="73" spans="2:19" ht="5.0999999999999996" customHeight="1" x14ac:dyDescent="0.2">
      <c r="B73" s="77"/>
      <c r="C73" s="77"/>
      <c r="D73" s="77"/>
      <c r="E73" s="77"/>
      <c r="F73" s="77"/>
      <c r="G73" s="77"/>
      <c r="H73" s="77"/>
      <c r="I73" s="77"/>
      <c r="J73" s="77"/>
      <c r="K73" s="77"/>
      <c r="L73" s="77"/>
      <c r="M73" s="77"/>
      <c r="N73" s="77"/>
      <c r="O73" s="77"/>
      <c r="P73" s="77"/>
      <c r="Q73" s="77"/>
      <c r="R73" s="77"/>
      <c r="S73" s="77"/>
    </row>
    <row r="74" spans="2:19" ht="24.95" customHeight="1" x14ac:dyDescent="0.25">
      <c r="B74" s="122" t="s">
        <v>76</v>
      </c>
      <c r="C74" s="77"/>
      <c r="D74" s="77"/>
      <c r="E74" s="83" t="s">
        <v>28</v>
      </c>
      <c r="F74" s="77"/>
      <c r="G74" s="77"/>
      <c r="H74" s="77"/>
      <c r="I74" s="299" t="s">
        <v>1852</v>
      </c>
      <c r="J74" s="262"/>
      <c r="K74" s="262"/>
      <c r="L74" s="100" t="s">
        <v>84</v>
      </c>
      <c r="M74" s="77"/>
      <c r="N74" s="297" t="s">
        <v>1854</v>
      </c>
      <c r="O74" s="298"/>
      <c r="P74" s="298"/>
      <c r="Q74" s="297" t="s">
        <v>1853</v>
      </c>
      <c r="R74" s="298"/>
      <c r="S74" s="298"/>
    </row>
    <row r="75" spans="2:19" x14ac:dyDescent="0.2">
      <c r="B75" s="136" t="str">
        <f>IF(VLOOKUP(Regn!$B34,Afgr,2)=0,"",VLOOKUP(Regn!$B34,Afgr,2))</f>
        <v>Vinterbyg</v>
      </c>
      <c r="C75" s="77"/>
      <c r="D75" s="77"/>
      <c r="E75" s="77" t="str">
        <f>IF(VLOOKUP(Regn!$E34,Afgr,2)=0,"",VLOOKUP(Regn!$E34,Afgr,2))</f>
        <v>Vinterraps</v>
      </c>
      <c r="F75" s="77"/>
      <c r="G75" s="77"/>
      <c r="H75" s="77"/>
      <c r="I75" s="77" t="str">
        <f>IF(VLOOKUP(Regn!$G34,Afgr,2)=0,"",VLOOKUP(Regn!$G34,Efgr,2))</f>
        <v/>
      </c>
      <c r="J75" s="77"/>
      <c r="K75" s="77"/>
      <c r="L75" s="135">
        <f>IF(Regn!$M34=0,"",Regn!$M34)</f>
        <v>1</v>
      </c>
      <c r="M75" s="77" t="str">
        <f t="shared" ref="M75:M82" si="4">IF(L75="","","ha")</f>
        <v>ha</v>
      </c>
      <c r="N75" s="286">
        <f>IF(Regn!E34=1,"",Regn!BI34)</f>
        <v>40</v>
      </c>
      <c r="O75" s="295"/>
      <c r="P75" s="77" t="str">
        <f>IF(Regn!BK34=0,"",Regn!BK34)</f>
        <v>hkg</v>
      </c>
      <c r="Q75" s="286">
        <f>IF(Regn!E34=1,"",Regn!NS34)</f>
        <v>10215.25</v>
      </c>
      <c r="R75" s="295"/>
      <c r="S75" s="77" t="str">
        <f t="shared" ref="S75:S83" si="5">IF(Q75&lt;&gt;"","kr.","")</f>
        <v>kr.</v>
      </c>
    </row>
    <row r="76" spans="2:19" x14ac:dyDescent="0.2">
      <c r="B76" s="136" t="str">
        <f>IF(VLOOKUP(Regn!$B36,Afgr,2)=0,"",VLOOKUP(Regn!$B36,Afgr,2))</f>
        <v>Vinterraps</v>
      </c>
      <c r="C76" s="77"/>
      <c r="D76" s="77"/>
      <c r="E76" s="77" t="str">
        <f>IF(VLOOKUP(Regn!$E36,Afgr,2)=0,"",VLOOKUP(Regn!$E36,Afgr,2))</f>
        <v>Vinterhvede</v>
      </c>
      <c r="F76" s="77"/>
      <c r="G76" s="77"/>
      <c r="H76" s="77"/>
      <c r="I76" s="77" t="str">
        <f>IF(VLOOKUP(Regn!$G36,Afgr,2)=0,"",VLOOKUP(Regn!$G36,Efgr,2))</f>
        <v/>
      </c>
      <c r="J76" s="77"/>
      <c r="K76" s="77"/>
      <c r="L76" s="135" t="str">
        <f>IF(Regn!$M36=0,"",Regn!$M36)</f>
        <v/>
      </c>
      <c r="M76" s="77" t="str">
        <f t="shared" si="4"/>
        <v/>
      </c>
      <c r="N76" s="286">
        <f>IF(Regn!E36=1,"",Regn!BI36)</f>
        <v>89</v>
      </c>
      <c r="O76" s="295"/>
      <c r="P76" s="77" t="str">
        <f>IF(Regn!BK36=0,"",Regn!BK36)</f>
        <v>hkg</v>
      </c>
      <c r="Q76" s="286">
        <f>IF(Regn!E36=1,"",Regn!NS36)</f>
        <v>11783.310150000001</v>
      </c>
      <c r="R76" s="295"/>
      <c r="S76" s="77" t="str">
        <f t="shared" si="5"/>
        <v>kr.</v>
      </c>
    </row>
    <row r="77" spans="2:19" x14ac:dyDescent="0.2">
      <c r="B77" s="136" t="str">
        <f>IF(VLOOKUP(Regn!$B38,Afgr,2)=0,"",VLOOKUP(Regn!$B38,Afgr,2))</f>
        <v/>
      </c>
      <c r="C77" s="77"/>
      <c r="D77" s="77"/>
      <c r="E77" s="77" t="str">
        <f>IF(VLOOKUP(Regn!$E38,Afgr,2)=0,"",VLOOKUP(Regn!$E38,Afgr,2))</f>
        <v/>
      </c>
      <c r="F77" s="77"/>
      <c r="G77" s="77"/>
      <c r="H77" s="77"/>
      <c r="I77" s="77" t="str">
        <f>IF(VLOOKUP(Regn!$G38,Afgr,2)=0,"",VLOOKUP(Regn!$G38,Efgr,2))</f>
        <v/>
      </c>
      <c r="J77" s="77"/>
      <c r="K77" s="77"/>
      <c r="L77" s="135" t="str">
        <f>IF(Regn!$M38=0,"",Regn!$M38)</f>
        <v/>
      </c>
      <c r="M77" s="77" t="str">
        <f t="shared" si="4"/>
        <v/>
      </c>
      <c r="N77" s="286" t="str">
        <f>IF(Regn!E38=1,"",Regn!BI38)</f>
        <v/>
      </c>
      <c r="O77" s="295"/>
      <c r="P77" s="77" t="str">
        <f>IF(Regn!BK38=0,"",Regn!BK38)</f>
        <v/>
      </c>
      <c r="Q77" s="286" t="str">
        <f>IF(Regn!E38=1,"",Regn!NS38)</f>
        <v/>
      </c>
      <c r="R77" s="295"/>
      <c r="S77" s="77" t="str">
        <f t="shared" si="5"/>
        <v/>
      </c>
    </row>
    <row r="78" spans="2:19" x14ac:dyDescent="0.2">
      <c r="B78" s="136" t="str">
        <f>IF(VLOOKUP(Regn!$B40,Afgr,2)=0,"",VLOOKUP(Regn!$B40,Afgr,2))</f>
        <v/>
      </c>
      <c r="C78" s="77"/>
      <c r="D78" s="77"/>
      <c r="E78" s="77" t="str">
        <f>IF(VLOOKUP(Regn!$E40,Afgr,2)=0,"",VLOOKUP(Regn!$E40,Afgr,2))</f>
        <v/>
      </c>
      <c r="F78" s="77"/>
      <c r="G78" s="77"/>
      <c r="H78" s="77"/>
      <c r="I78" s="77" t="str">
        <f>IF(VLOOKUP(Regn!$G40,Afgr,2)=0,"",VLOOKUP(Regn!$G40,Efgr,2))</f>
        <v/>
      </c>
      <c r="J78" s="77"/>
      <c r="K78" s="77"/>
      <c r="L78" s="135" t="str">
        <f>IF(Regn!$M40=0,"",Regn!$M40)</f>
        <v/>
      </c>
      <c r="M78" s="77" t="str">
        <f t="shared" si="4"/>
        <v/>
      </c>
      <c r="N78" s="286" t="str">
        <f>IF(Regn!E40=1,"",Regn!BI40)</f>
        <v/>
      </c>
      <c r="O78" s="295"/>
      <c r="P78" s="77" t="str">
        <f>IF(Regn!BK40=0,"",Regn!BK40)</f>
        <v/>
      </c>
      <c r="Q78" s="286" t="str">
        <f>IF(Regn!E40=1,"",Regn!NS40)</f>
        <v/>
      </c>
      <c r="R78" s="295"/>
      <c r="S78" s="77" t="str">
        <f t="shared" si="5"/>
        <v/>
      </c>
    </row>
    <row r="79" spans="2:19" x14ac:dyDescent="0.2">
      <c r="B79" s="136" t="str">
        <f>IF(VLOOKUP(Regn!$B42,Afgr,2)=0,"",VLOOKUP(Regn!$B42,Afgr,2))</f>
        <v/>
      </c>
      <c r="C79" s="77"/>
      <c r="D79" s="77"/>
      <c r="E79" s="77" t="str">
        <f>IF(VLOOKUP(Regn!$E42,Afgr,2)=0,"",VLOOKUP(Regn!$E42,Afgr,2))</f>
        <v/>
      </c>
      <c r="F79" s="77"/>
      <c r="G79" s="77"/>
      <c r="H79" s="77"/>
      <c r="I79" s="77" t="str">
        <f>IF(VLOOKUP(Regn!$G42,Afgr,2)=0,"",VLOOKUP(Regn!$G42,Efgr,2))</f>
        <v/>
      </c>
      <c r="J79" s="77"/>
      <c r="K79" s="77"/>
      <c r="L79" s="135" t="str">
        <f>IF(Regn!$M42=0,"",Regn!$M42)</f>
        <v/>
      </c>
      <c r="M79" s="77" t="str">
        <f t="shared" si="4"/>
        <v/>
      </c>
      <c r="N79" s="286" t="str">
        <f>IF(Regn!E42=1,"",Regn!BI42)</f>
        <v/>
      </c>
      <c r="O79" s="295"/>
      <c r="P79" s="77" t="str">
        <f>IF(Regn!BK42=0,"",Regn!BK42)</f>
        <v/>
      </c>
      <c r="Q79" s="286" t="str">
        <f>IF(Regn!E42=1,"",Regn!NS42)</f>
        <v/>
      </c>
      <c r="R79" s="295"/>
      <c r="S79" s="77" t="str">
        <f t="shared" si="5"/>
        <v/>
      </c>
    </row>
    <row r="80" spans="2:19" x14ac:dyDescent="0.2">
      <c r="B80" s="136" t="str">
        <f>IF(VLOOKUP(Regn!$B44,Afgr,2)=0,"",VLOOKUP(Regn!$B44,Afgr,2))</f>
        <v/>
      </c>
      <c r="C80" s="77"/>
      <c r="D80" s="77"/>
      <c r="E80" s="77" t="str">
        <f>IF(VLOOKUP(Regn!$E44,Afgr,2)=0,"",VLOOKUP(Regn!$E44,Afgr,2))</f>
        <v/>
      </c>
      <c r="F80" s="77"/>
      <c r="G80" s="77"/>
      <c r="H80" s="77"/>
      <c r="I80" s="77" t="str">
        <f>IF(VLOOKUP(Regn!$G44,Afgr,2)=0,"",VLOOKUP(Regn!$G44,Efgr,2))</f>
        <v/>
      </c>
      <c r="J80" s="77"/>
      <c r="K80" s="77"/>
      <c r="L80" s="135" t="str">
        <f>IF(Regn!$M44=0,"",Regn!$M44)</f>
        <v/>
      </c>
      <c r="M80" s="77" t="str">
        <f t="shared" si="4"/>
        <v/>
      </c>
      <c r="N80" s="286" t="str">
        <f>IF(Regn!E44=1,"",Regn!BI44)</f>
        <v/>
      </c>
      <c r="O80" s="295"/>
      <c r="P80" s="77" t="str">
        <f>IF(Regn!BK44=0,"",Regn!BK44)</f>
        <v/>
      </c>
      <c r="Q80" s="286" t="str">
        <f>IF(Regn!E44=1,"",Regn!NS44)</f>
        <v/>
      </c>
      <c r="R80" s="295"/>
      <c r="S80" s="77" t="str">
        <f t="shared" si="5"/>
        <v/>
      </c>
    </row>
    <row r="81" spans="2:19" x14ac:dyDescent="0.2">
      <c r="B81" s="136" t="str">
        <f>IF(VLOOKUP(Regn!$B46,Afgr,2)=0,"",VLOOKUP(Regn!$B46,Afgr,2))</f>
        <v/>
      </c>
      <c r="C81" s="77"/>
      <c r="D81" s="77"/>
      <c r="E81" s="77" t="str">
        <f>IF(VLOOKUP(Regn!$E46,Afgr,2)=0,"",VLOOKUP(Regn!$E46,Afgr,2))</f>
        <v/>
      </c>
      <c r="F81" s="77"/>
      <c r="G81" s="77"/>
      <c r="H81" s="77"/>
      <c r="I81" s="77" t="str">
        <f>IF(VLOOKUP(Regn!$G46,Afgr,2)=0,"",VLOOKUP(Regn!$G46,Efgr,2))</f>
        <v/>
      </c>
      <c r="J81" s="77"/>
      <c r="K81" s="77"/>
      <c r="L81" s="135" t="str">
        <f>IF(Regn!$M46=0,"",Regn!$M46)</f>
        <v/>
      </c>
      <c r="M81" s="77" t="str">
        <f t="shared" si="4"/>
        <v/>
      </c>
      <c r="N81" s="286" t="str">
        <f>IF(Regn!E46=1,"",Regn!BI46)</f>
        <v/>
      </c>
      <c r="O81" s="295"/>
      <c r="P81" s="77" t="str">
        <f>IF(Regn!BK46=0,"",Regn!BK46)</f>
        <v/>
      </c>
      <c r="Q81" s="286" t="str">
        <f>IF(Regn!E46=1,"",Regn!NS46)</f>
        <v/>
      </c>
      <c r="R81" s="295"/>
      <c r="S81" s="77" t="str">
        <f t="shared" si="5"/>
        <v/>
      </c>
    </row>
    <row r="82" spans="2:19" x14ac:dyDescent="0.2">
      <c r="B82" s="136" t="str">
        <f>IF(VLOOKUP(Regn!$B48,Afgr,2)=0,"",VLOOKUP(Regn!$B48,Afgr,2))</f>
        <v/>
      </c>
      <c r="C82" s="77"/>
      <c r="D82" s="77"/>
      <c r="E82" s="77" t="str">
        <f>IF(VLOOKUP(Regn!$E48,Afgr,2)=0,"",VLOOKUP(Regn!$E48,Afgr,2))</f>
        <v/>
      </c>
      <c r="F82" s="77"/>
      <c r="G82" s="77"/>
      <c r="H82" s="77"/>
      <c r="I82" s="77" t="str">
        <f>IF(VLOOKUP(Regn!$G48,Afgr,2)=0,"",VLOOKUP(Regn!$G48,Efgr,2))</f>
        <v/>
      </c>
      <c r="J82" s="77"/>
      <c r="K82" s="77"/>
      <c r="L82" s="135" t="str">
        <f>IF(Regn!$M48=0,"",Regn!$M48)</f>
        <v/>
      </c>
      <c r="M82" s="77" t="str">
        <f t="shared" si="4"/>
        <v/>
      </c>
      <c r="N82" s="286" t="str">
        <f>IF(Regn!E48=1,"",Regn!BI48)</f>
        <v/>
      </c>
      <c r="O82" s="295"/>
      <c r="P82" s="77" t="str">
        <f>IF(Regn!BK48=0,"",Regn!BK48)</f>
        <v/>
      </c>
      <c r="Q82" s="286" t="str">
        <f>IF(Regn!E48=1,"",Regn!NS48)</f>
        <v/>
      </c>
      <c r="R82" s="295"/>
      <c r="S82" s="77" t="str">
        <f t="shared" si="5"/>
        <v/>
      </c>
    </row>
    <row r="83" spans="2:19" ht="15" x14ac:dyDescent="0.25">
      <c r="B83" s="136"/>
      <c r="C83" s="77"/>
      <c r="D83" s="77"/>
      <c r="E83" s="77"/>
      <c r="F83" s="77"/>
      <c r="G83" s="77"/>
      <c r="H83" s="77"/>
      <c r="I83" s="77"/>
      <c r="J83" s="122"/>
      <c r="K83" s="300"/>
      <c r="L83" s="301"/>
      <c r="M83" s="83"/>
      <c r="N83" s="121"/>
      <c r="O83" s="137" t="s">
        <v>1870</v>
      </c>
      <c r="P83" s="77"/>
      <c r="Q83" s="290">
        <f>DBgns1</f>
        <v>10215.25</v>
      </c>
      <c r="R83" s="275"/>
      <c r="S83" s="83" t="str">
        <f t="shared" si="5"/>
        <v>kr.</v>
      </c>
    </row>
    <row r="84" spans="2:19" x14ac:dyDescent="0.2">
      <c r="B84" s="77"/>
      <c r="C84" s="77"/>
      <c r="D84" s="77"/>
      <c r="E84" s="77"/>
      <c r="F84" s="77"/>
      <c r="G84" s="77"/>
      <c r="H84" s="77"/>
      <c r="I84" s="77"/>
      <c r="J84" s="77"/>
      <c r="K84" s="77"/>
      <c r="L84" s="77"/>
      <c r="M84" s="77"/>
      <c r="N84" s="77"/>
      <c r="O84" s="77"/>
      <c r="P84" s="77"/>
      <c r="Q84" s="77"/>
      <c r="R84" s="77"/>
      <c r="S84" s="77"/>
    </row>
    <row r="85" spans="2:19" ht="15" x14ac:dyDescent="0.25">
      <c r="B85" s="83" t="str">
        <f>IF(DyrkAreal2=0,"","Sædskifte 2:")</f>
        <v/>
      </c>
      <c r="C85" s="77"/>
      <c r="D85" s="77"/>
      <c r="E85" s="300" t="str">
        <f>IF(DyrkAreal2=0,"",DyrkAreal2)</f>
        <v/>
      </c>
      <c r="F85" s="301"/>
      <c r="G85" s="83" t="str">
        <f>IF(E85="","","ha")</f>
        <v/>
      </c>
      <c r="H85" s="83" t="str">
        <f>IF(DyrkAreal2=0,"",VLOOKUP(Jordtype2,Jordtype,2))</f>
        <v/>
      </c>
      <c r="I85" s="83" t="str">
        <f>IF(DyrkAreal2=0,"",IF(Markvand2=2,VLOOKUP(Markvand2,Markvanding,2),""))</f>
        <v/>
      </c>
      <c r="J85" s="77"/>
      <c r="K85" s="77"/>
      <c r="L85" s="77"/>
      <c r="M85" s="77"/>
      <c r="N85" s="77"/>
      <c r="O85" s="77"/>
      <c r="P85" s="77"/>
      <c r="Q85" s="77"/>
      <c r="R85" s="77"/>
      <c r="S85" s="77"/>
    </row>
    <row r="86" spans="2:19" ht="5.0999999999999996" customHeight="1" x14ac:dyDescent="0.2">
      <c r="B86" s="77"/>
      <c r="C86" s="77"/>
      <c r="D86" s="77"/>
      <c r="E86" s="77"/>
      <c r="F86" s="77"/>
      <c r="G86" s="77"/>
      <c r="H86" s="77"/>
      <c r="I86" s="77"/>
      <c r="J86" s="77"/>
      <c r="K86" s="77"/>
      <c r="L86" s="77"/>
      <c r="M86" s="77"/>
      <c r="N86" s="77"/>
      <c r="O86" s="77"/>
      <c r="P86" s="77"/>
      <c r="Q86" s="77"/>
      <c r="R86" s="77"/>
      <c r="S86" s="77"/>
    </row>
    <row r="87" spans="2:19" ht="24.95" customHeight="1" x14ac:dyDescent="0.25">
      <c r="B87" s="122" t="str">
        <f>IF(DyrkAreal2=0,"","Forfrugt")</f>
        <v/>
      </c>
      <c r="C87" s="77"/>
      <c r="D87" s="77"/>
      <c r="E87" s="83" t="str">
        <f>IF(DyrkAreal2=0,"","Afgrøde")</f>
        <v/>
      </c>
      <c r="F87" s="77"/>
      <c r="G87" s="77"/>
      <c r="H87" s="77"/>
      <c r="I87" s="299" t="str">
        <f>IF(DyrkAreal2=0,"","Efterafgrøde E
Mellemafgr. M")</f>
        <v/>
      </c>
      <c r="J87" s="262"/>
      <c r="K87" s="262"/>
      <c r="L87" s="100" t="str">
        <f>IF(DyrkAreal2=0,"","Areal")</f>
        <v/>
      </c>
      <c r="M87" s="77"/>
      <c r="N87" s="297" t="str">
        <f>IF(DyrkAreal2=0,"","Udbytte pr. ha")</f>
        <v/>
      </c>
      <c r="O87" s="298"/>
      <c r="P87" s="298"/>
      <c r="Q87" s="297" t="str">
        <f>IF(DyrkAreal2=0,"","Dæknings-
bidrag")</f>
        <v/>
      </c>
      <c r="R87" s="298"/>
      <c r="S87" s="298"/>
    </row>
    <row r="88" spans="2:19" x14ac:dyDescent="0.2">
      <c r="B88" s="136" t="str">
        <f>IF(VLOOKUP(Regn!$B56,Afgr,2)=0,"",VLOOKUP(Regn!$B56,Afgr,2))</f>
        <v/>
      </c>
      <c r="C88" s="77"/>
      <c r="D88" s="77"/>
      <c r="E88" s="77" t="str">
        <f>IF(VLOOKUP(Regn!$E56,Afgr,2)=0,"",VLOOKUP(Regn!$E56,Afgr,2))</f>
        <v/>
      </c>
      <c r="F88" s="77"/>
      <c r="G88" s="77"/>
      <c r="H88" s="77"/>
      <c r="I88" s="77" t="str">
        <f>IF(VLOOKUP(Regn!$G56,Afgr,2)=0,"",VLOOKUP(Regn!$G56,Efgr,2))</f>
        <v/>
      </c>
      <c r="J88" s="77"/>
      <c r="K88" s="77"/>
      <c r="L88" s="135" t="str">
        <f>IF(Regn!$M56=0,"",Regn!$M56)</f>
        <v/>
      </c>
      <c r="M88" s="77" t="str">
        <f t="shared" ref="M88:M94" si="6">IF(L88="","","ha")</f>
        <v/>
      </c>
      <c r="N88" s="286" t="str">
        <f>IF(Regn!E56=1,"",Regn!BI56)</f>
        <v/>
      </c>
      <c r="O88" s="295"/>
      <c r="P88" s="77" t="str">
        <f>IF(Regn!BK56=0,"",Regn!BK56)</f>
        <v/>
      </c>
      <c r="Q88" s="286" t="str">
        <f>IF(Regn!E56=1,"",Regn!NS56)</f>
        <v/>
      </c>
      <c r="R88" s="295"/>
      <c r="S88" s="77" t="str">
        <f t="shared" ref="S88" si="7">IF(Q88&lt;&gt;"","kr.","")</f>
        <v/>
      </c>
    </row>
    <row r="89" spans="2:19" x14ac:dyDescent="0.2">
      <c r="B89" s="136" t="str">
        <f>IF(VLOOKUP(Regn!$B58,Afgr,2)=0,"",VLOOKUP(Regn!$B58,Afgr,2))</f>
        <v/>
      </c>
      <c r="C89" s="77"/>
      <c r="D89" s="77"/>
      <c r="E89" s="77" t="str">
        <f>IF(VLOOKUP(Regn!$E58,Afgr,2)=0,"",VLOOKUP(Regn!$E58,Afgr,2))</f>
        <v/>
      </c>
      <c r="F89" s="77"/>
      <c r="G89" s="77"/>
      <c r="H89" s="77"/>
      <c r="I89" s="77" t="str">
        <f>IF(VLOOKUP(Regn!$G58,Afgr,2)=0,"",VLOOKUP(Regn!$G58,Efgr,2))</f>
        <v/>
      </c>
      <c r="J89" s="77"/>
      <c r="K89" s="77"/>
      <c r="L89" s="135" t="str">
        <f>IF(Regn!$M58=0,"",Regn!$M58)</f>
        <v/>
      </c>
      <c r="M89" s="77" t="str">
        <f t="shared" si="6"/>
        <v/>
      </c>
      <c r="N89" s="286" t="str">
        <f>IF(Regn!E58=1,"",Regn!BI58)</f>
        <v/>
      </c>
      <c r="O89" s="295"/>
      <c r="P89" s="77" t="str">
        <f>IF(Regn!BK58=0,"",Regn!BK58)</f>
        <v/>
      </c>
      <c r="Q89" s="286" t="str">
        <f>IF(Regn!E58=1,"",Regn!NS58)</f>
        <v/>
      </c>
      <c r="R89" s="295"/>
      <c r="S89" s="77" t="str">
        <f t="shared" ref="S89" si="8">IF(Q89&lt;&gt;"","kr.","")</f>
        <v/>
      </c>
    </row>
    <row r="90" spans="2:19" x14ac:dyDescent="0.2">
      <c r="B90" s="136" t="str">
        <f>IF(VLOOKUP(Regn!$B60,Afgr,2)=0,"",VLOOKUP(Regn!$B60,Afgr,2))</f>
        <v/>
      </c>
      <c r="C90" s="77"/>
      <c r="D90" s="77"/>
      <c r="E90" s="77" t="str">
        <f>IF(VLOOKUP(Regn!$E60,Afgr,2)=0,"",VLOOKUP(Regn!$E60,Afgr,2))</f>
        <v/>
      </c>
      <c r="F90" s="77"/>
      <c r="G90" s="77"/>
      <c r="H90" s="77"/>
      <c r="I90" s="77" t="str">
        <f>IF(VLOOKUP(Regn!$G60,Afgr,2)=0,"",VLOOKUP(Regn!$G60,Efgr,2))</f>
        <v/>
      </c>
      <c r="J90" s="77"/>
      <c r="K90" s="77"/>
      <c r="L90" s="135" t="str">
        <f>IF(Regn!$M60=0,"",Regn!$M60)</f>
        <v/>
      </c>
      <c r="M90" s="77" t="str">
        <f t="shared" si="6"/>
        <v/>
      </c>
      <c r="N90" s="286" t="str">
        <f>IF(Regn!E60=1,"",Regn!BI60)</f>
        <v/>
      </c>
      <c r="O90" s="295"/>
      <c r="P90" s="77" t="str">
        <f>IF(Regn!BK60=0,"",Regn!BK60)</f>
        <v/>
      </c>
      <c r="Q90" s="286" t="str">
        <f>IF(Regn!E60=1,"",Regn!NS60)</f>
        <v/>
      </c>
      <c r="R90" s="295"/>
      <c r="S90" s="77" t="str">
        <f t="shared" ref="S90" si="9">IF(Q90&lt;&gt;"","kr.","")</f>
        <v/>
      </c>
    </row>
    <row r="91" spans="2:19" x14ac:dyDescent="0.2">
      <c r="B91" s="136" t="str">
        <f>IF(VLOOKUP(Regn!$B62,Afgr,2)=0,"",VLOOKUP(Regn!$B62,Afgr,2))</f>
        <v/>
      </c>
      <c r="C91" s="77"/>
      <c r="D91" s="77"/>
      <c r="E91" s="77" t="str">
        <f>IF(VLOOKUP(Regn!$E62,Afgr,2)=0,"",VLOOKUP(Regn!$E62,Afgr,2))</f>
        <v/>
      </c>
      <c r="F91" s="77"/>
      <c r="G91" s="77"/>
      <c r="H91" s="77"/>
      <c r="I91" s="77" t="str">
        <f>IF(VLOOKUP(Regn!$G62,Afgr,2)=0,"",VLOOKUP(Regn!$G62,Efgr,2))</f>
        <v/>
      </c>
      <c r="J91" s="77"/>
      <c r="K91" s="77"/>
      <c r="L91" s="135" t="str">
        <f>IF(Regn!$M62=0,"",Regn!$M62)</f>
        <v/>
      </c>
      <c r="M91" s="77" t="str">
        <f t="shared" si="6"/>
        <v/>
      </c>
      <c r="N91" s="286" t="str">
        <f>IF(Regn!E62=1,"",Regn!BI62)</f>
        <v/>
      </c>
      <c r="O91" s="295"/>
      <c r="P91" s="77" t="str">
        <f>IF(Regn!BK62=0,"",Regn!BK62)</f>
        <v/>
      </c>
      <c r="Q91" s="286" t="str">
        <f>IF(Regn!E62=1,"",Regn!NS62)</f>
        <v/>
      </c>
      <c r="R91" s="295"/>
      <c r="S91" s="77" t="str">
        <f t="shared" ref="S91" si="10">IF(Q91&lt;&gt;"","kr.","")</f>
        <v/>
      </c>
    </row>
    <row r="92" spans="2:19" x14ac:dyDescent="0.2">
      <c r="B92" s="136" t="str">
        <f>IF(VLOOKUP(Regn!$B64,Afgr,2)=0,"",VLOOKUP(Regn!$B64,Afgr,2))</f>
        <v/>
      </c>
      <c r="C92" s="77"/>
      <c r="D92" s="77"/>
      <c r="E92" s="77" t="str">
        <f>IF(VLOOKUP(Regn!$E64,Afgr,2)=0,"",VLOOKUP(Regn!$E64,Afgr,2))</f>
        <v/>
      </c>
      <c r="F92" s="77"/>
      <c r="G92" s="77"/>
      <c r="H92" s="77"/>
      <c r="I92" s="77" t="str">
        <f>IF(VLOOKUP(Regn!$G64,Afgr,2)=0,"",VLOOKUP(Regn!$G64,Efgr,2))</f>
        <v/>
      </c>
      <c r="J92" s="77"/>
      <c r="K92" s="77"/>
      <c r="L92" s="135" t="str">
        <f>IF(Regn!$M64=0,"",Regn!$M64)</f>
        <v/>
      </c>
      <c r="M92" s="77" t="str">
        <f t="shared" si="6"/>
        <v/>
      </c>
      <c r="N92" s="286" t="str">
        <f>IF(Regn!E64=1,"",Regn!BI64)</f>
        <v/>
      </c>
      <c r="O92" s="295"/>
      <c r="P92" s="77" t="str">
        <f>IF(Regn!BK64=0,"",Regn!BK64)</f>
        <v/>
      </c>
      <c r="Q92" s="286" t="str">
        <f>IF(Regn!E64=1,"",Regn!NS64)</f>
        <v/>
      </c>
      <c r="R92" s="295"/>
      <c r="S92" s="77" t="str">
        <f t="shared" ref="S92" si="11">IF(Q92&lt;&gt;"","kr.","")</f>
        <v/>
      </c>
    </row>
    <row r="93" spans="2:19" x14ac:dyDescent="0.2">
      <c r="B93" s="136" t="str">
        <f>IF(VLOOKUP(Regn!$B66,Afgr,2)=0,"",VLOOKUP(Regn!$B66,Afgr,2))</f>
        <v/>
      </c>
      <c r="C93" s="77"/>
      <c r="D93" s="77"/>
      <c r="E93" s="77" t="str">
        <f>IF(VLOOKUP(Regn!$E66,Afgr,2)=0,"",VLOOKUP(Regn!$E66,Afgr,2))</f>
        <v/>
      </c>
      <c r="F93" s="77"/>
      <c r="G93" s="77"/>
      <c r="H93" s="77"/>
      <c r="I93" s="77" t="str">
        <f>IF(VLOOKUP(Regn!$G66,Afgr,2)=0,"",VLOOKUP(Regn!$G66,Efgr,2))</f>
        <v/>
      </c>
      <c r="J93" s="77"/>
      <c r="K93" s="77"/>
      <c r="L93" s="135" t="str">
        <f>IF(Regn!$M66=0,"",Regn!$M66)</f>
        <v/>
      </c>
      <c r="M93" s="77" t="str">
        <f t="shared" si="6"/>
        <v/>
      </c>
      <c r="N93" s="286" t="str">
        <f>IF(Regn!E66=1,"",Regn!BI66)</f>
        <v/>
      </c>
      <c r="O93" s="295"/>
      <c r="P93" s="77" t="str">
        <f>IF(Regn!BK66=0,"",Regn!BK66)</f>
        <v/>
      </c>
      <c r="Q93" s="286" t="str">
        <f>IF(Regn!E66=1,"",Regn!NS66)</f>
        <v/>
      </c>
      <c r="R93" s="295"/>
      <c r="S93" s="77" t="str">
        <f t="shared" ref="S93" si="12">IF(Q93&lt;&gt;"","kr.","")</f>
        <v/>
      </c>
    </row>
    <row r="94" spans="2:19" x14ac:dyDescent="0.2">
      <c r="B94" s="136" t="str">
        <f>IF(VLOOKUP(Regn!$B68,Afgr,2)=0,"",VLOOKUP(Regn!$B68,Afgr,2))</f>
        <v/>
      </c>
      <c r="C94" s="77"/>
      <c r="D94" s="77"/>
      <c r="E94" s="77" t="str">
        <f>IF(VLOOKUP(Regn!$E68,Afgr,2)=0,"",VLOOKUP(Regn!$E68,Afgr,2))</f>
        <v/>
      </c>
      <c r="F94" s="77"/>
      <c r="G94" s="77"/>
      <c r="H94" s="77"/>
      <c r="I94" s="77" t="str">
        <f>IF(VLOOKUP(Regn!$G68,Afgr,2)=0,"",VLOOKUP(Regn!$G68,Efgr,2))</f>
        <v/>
      </c>
      <c r="J94" s="77"/>
      <c r="K94" s="77"/>
      <c r="L94" s="135" t="str">
        <f>IF(Regn!$M68=0,"",Regn!$M68)</f>
        <v/>
      </c>
      <c r="M94" s="77" t="str">
        <f t="shared" si="6"/>
        <v/>
      </c>
      <c r="N94" s="286" t="str">
        <f>IF(Regn!E68=1,"",Regn!BI68)</f>
        <v/>
      </c>
      <c r="O94" s="295"/>
      <c r="P94" s="77" t="str">
        <f>IF(Regn!BK68=0,"",Regn!BK68)</f>
        <v/>
      </c>
      <c r="Q94" s="286" t="str">
        <f>IF(Regn!E68=1,"",Regn!NS68)</f>
        <v/>
      </c>
      <c r="R94" s="295"/>
      <c r="S94" s="77" t="str">
        <f t="shared" ref="S94" si="13">IF(Q94&lt;&gt;"","kr.","")</f>
        <v/>
      </c>
    </row>
    <row r="95" spans="2:19" x14ac:dyDescent="0.2">
      <c r="B95" s="136" t="str">
        <f>IF(VLOOKUP(Regn!$B70,Afgr,2)=0,"",VLOOKUP(Regn!$B70,Afgr,2))</f>
        <v/>
      </c>
      <c r="C95" s="77"/>
      <c r="D95" s="77"/>
      <c r="E95" s="77" t="str">
        <f>IF(VLOOKUP(Regn!$E70,Afgr,2)=0,"",VLOOKUP(Regn!$E70,Afgr,2))</f>
        <v/>
      </c>
      <c r="F95" s="77"/>
      <c r="G95" s="77"/>
      <c r="H95" s="77"/>
      <c r="I95" s="77" t="str">
        <f>IF(VLOOKUP(Regn!$G70,Afgr,2)=0,"",VLOOKUP(Regn!$G70,Efgr,2))</f>
        <v/>
      </c>
      <c r="J95" s="77"/>
      <c r="K95" s="77"/>
      <c r="L95" s="135" t="str">
        <f>IF(Regn!$M70=0,"",Regn!$M70)</f>
        <v/>
      </c>
      <c r="M95" s="77" t="str">
        <f t="shared" ref="M95" si="14">IF(L95="","","ha")</f>
        <v/>
      </c>
      <c r="N95" s="286" t="str">
        <f>IF(Regn!E70=1,"",Regn!BI70)</f>
        <v/>
      </c>
      <c r="O95" s="295"/>
      <c r="P95" s="77" t="str">
        <f>IF(Regn!BK70=0,"",Regn!BK70)</f>
        <v/>
      </c>
      <c r="Q95" s="286" t="str">
        <f>IF(Regn!E70=1,"",Regn!NS70)</f>
        <v/>
      </c>
      <c r="R95" s="295"/>
      <c r="S95" s="77" t="str">
        <f t="shared" ref="S95" si="15">IF(Q95&lt;&gt;"","kr.","")</f>
        <v/>
      </c>
    </row>
    <row r="96" spans="2:19" ht="15" x14ac:dyDescent="0.25">
      <c r="B96" s="77"/>
      <c r="C96" s="77"/>
      <c r="D96" s="77"/>
      <c r="E96" s="77"/>
      <c r="F96" s="77"/>
      <c r="G96" s="77"/>
      <c r="H96" s="77"/>
      <c r="I96" s="77"/>
      <c r="J96" s="122"/>
      <c r="K96" s="300"/>
      <c r="L96" s="301"/>
      <c r="M96" s="83"/>
      <c r="N96" s="121"/>
      <c r="O96" s="137" t="str">
        <f>IF(DyrkAreal2=0,"","Gns. DB")</f>
        <v/>
      </c>
      <c r="P96" s="77"/>
      <c r="Q96" s="290" t="str">
        <f>IF(DyrkAreal2=0,"",DBgns2)</f>
        <v/>
      </c>
      <c r="R96" s="275"/>
      <c r="S96" s="83" t="str">
        <f t="shared" ref="S96" si="16">IF(Q96&lt;&gt;"","kr.","")</f>
        <v/>
      </c>
    </row>
    <row r="97" spans="2:19" x14ac:dyDescent="0.2">
      <c r="B97" s="150" t="s">
        <v>1881</v>
      </c>
      <c r="C97" s="151"/>
      <c r="D97" s="77"/>
      <c r="E97" s="77"/>
      <c r="F97" s="77"/>
      <c r="G97" s="77"/>
      <c r="H97" s="77"/>
      <c r="I97" s="77"/>
      <c r="J97" s="77"/>
      <c r="K97" s="77"/>
      <c r="L97" s="77"/>
      <c r="M97" s="77"/>
      <c r="N97" s="77"/>
      <c r="O97" s="77"/>
      <c r="P97" s="77"/>
      <c r="Q97" s="77"/>
      <c r="R97" s="77"/>
      <c r="S97" s="77"/>
    </row>
    <row r="98" spans="2:19" ht="6" customHeight="1" x14ac:dyDescent="0.2">
      <c r="B98" s="77"/>
      <c r="C98" s="77"/>
      <c r="D98" s="77"/>
      <c r="E98" s="77"/>
      <c r="F98" s="77"/>
      <c r="G98" s="77"/>
      <c r="H98" s="77"/>
      <c r="I98" s="77"/>
      <c r="J98" s="77"/>
      <c r="K98" s="77"/>
      <c r="L98" s="77"/>
      <c r="M98" s="77"/>
      <c r="N98" s="77"/>
      <c r="O98" s="77"/>
      <c r="P98" s="77"/>
      <c r="Q98" s="77"/>
      <c r="R98" s="77"/>
      <c r="S98" s="77"/>
    </row>
    <row r="99" spans="2:19" ht="15" x14ac:dyDescent="0.25">
      <c r="B99" s="83" t="s">
        <v>1880</v>
      </c>
      <c r="C99" s="77"/>
      <c r="D99" s="77"/>
      <c r="E99" s="300">
        <f>DyrkAreal3</f>
        <v>0</v>
      </c>
      <c r="F99" s="301"/>
      <c r="G99" s="83" t="str">
        <f>IF(E99="","","ha")</f>
        <v>ha</v>
      </c>
      <c r="H99" s="83" t="str">
        <f>VLOOKUP(Jordtype3,Jordtype,2)</f>
        <v>JB 6</v>
      </c>
      <c r="I99" s="83" t="str">
        <f>IF(Markvand3=2,VLOOKUP(Markvand3,Markvanding,2),"")</f>
        <v/>
      </c>
      <c r="J99" s="77"/>
      <c r="K99" s="77"/>
      <c r="L99" s="77"/>
      <c r="M99" s="77"/>
      <c r="N99" s="77"/>
      <c r="O99" s="77"/>
      <c r="P99" s="77"/>
      <c r="Q99" s="77"/>
      <c r="R99" s="77"/>
      <c r="S99" s="77"/>
    </row>
    <row r="100" spans="2:19" ht="6" customHeight="1" x14ac:dyDescent="0.2">
      <c r="B100" s="77"/>
      <c r="C100" s="77"/>
      <c r="D100" s="77"/>
      <c r="E100" s="77"/>
      <c r="F100" s="77"/>
      <c r="G100" s="77"/>
      <c r="H100" s="77"/>
      <c r="I100" s="77"/>
      <c r="J100" s="77"/>
      <c r="K100" s="77"/>
      <c r="L100" s="77"/>
      <c r="M100" s="77"/>
      <c r="N100" s="77"/>
      <c r="O100" s="77"/>
      <c r="P100" s="77"/>
      <c r="Q100" s="77"/>
      <c r="R100" s="77"/>
      <c r="S100" s="77"/>
    </row>
    <row r="101" spans="2:19" ht="24.95" customHeight="1" x14ac:dyDescent="0.25">
      <c r="B101" s="122" t="s">
        <v>76</v>
      </c>
      <c r="C101" s="77"/>
      <c r="D101" s="77"/>
      <c r="E101" s="83" t="s">
        <v>28</v>
      </c>
      <c r="F101" s="77"/>
      <c r="G101" s="77"/>
      <c r="H101" s="77"/>
      <c r="I101" s="299" t="s">
        <v>1852</v>
      </c>
      <c r="J101" s="262"/>
      <c r="K101" s="262"/>
      <c r="L101" s="100" t="s">
        <v>84</v>
      </c>
      <c r="M101" s="77"/>
      <c r="N101" s="297" t="s">
        <v>1854</v>
      </c>
      <c r="O101" s="298"/>
      <c r="P101" s="298"/>
      <c r="Q101" s="297" t="s">
        <v>1853</v>
      </c>
      <c r="R101" s="298"/>
      <c r="S101" s="298"/>
    </row>
    <row r="102" spans="2:19" x14ac:dyDescent="0.2">
      <c r="B102" s="136" t="str">
        <f>IF(VLOOKUP(Regn!$B116,Afgr,2)=0,"",VLOOKUP(Regn!$B116,Afgr,2))</f>
        <v/>
      </c>
      <c r="C102" s="77"/>
      <c r="D102" s="77"/>
      <c r="E102" s="77" t="str">
        <f>IF(VLOOKUP(Regn!$E116,Afgr,2)=0,"",VLOOKUP(Regn!$E116,Afgr,2))</f>
        <v/>
      </c>
      <c r="F102" s="77"/>
      <c r="G102" s="77"/>
      <c r="H102" s="77"/>
      <c r="I102" s="77" t="str">
        <f>IF(VLOOKUP(Regn!$G116,Afgr,2)=0,"",VLOOKUP(Regn!$G116,Efgr,2))</f>
        <v/>
      </c>
      <c r="J102" s="77"/>
      <c r="K102" s="77"/>
      <c r="L102" s="135" t="str">
        <f>IF(Regn!$M116=0,"",Regn!$M116)</f>
        <v/>
      </c>
      <c r="M102" s="77" t="str">
        <f t="shared" ref="M102:M109" si="17">IF(L102="","","ha")</f>
        <v/>
      </c>
      <c r="N102" s="286" t="str">
        <f>IF(Regn!E116=1,"",Regn!BI116)</f>
        <v/>
      </c>
      <c r="O102" s="295"/>
      <c r="P102" s="77" t="str">
        <f>IF(Regn!BK116=0,"",Regn!BK116)</f>
        <v/>
      </c>
      <c r="Q102" s="286" t="str">
        <f>IF(Regn!E116=1,"",Regn!NS116)</f>
        <v/>
      </c>
      <c r="R102" s="295"/>
      <c r="S102" s="77" t="str">
        <f t="shared" ref="S102" si="18">IF(Q102&lt;&gt;"","kr.","")</f>
        <v/>
      </c>
    </row>
    <row r="103" spans="2:19" x14ac:dyDescent="0.2">
      <c r="B103" s="136" t="str">
        <f>IF(VLOOKUP(Regn!$B118,Afgr,2)=0,"",VLOOKUP(Regn!$B118,Afgr,2))</f>
        <v/>
      </c>
      <c r="C103" s="77"/>
      <c r="D103" s="77"/>
      <c r="E103" s="77" t="str">
        <f>IF(VLOOKUP(Regn!$E118,Afgr,2)=0,"",VLOOKUP(Regn!$E118,Afgr,2))</f>
        <v/>
      </c>
      <c r="F103" s="77"/>
      <c r="G103" s="77"/>
      <c r="H103" s="77"/>
      <c r="I103" s="77" t="str">
        <f>IF(VLOOKUP(Regn!$G118,Afgr,2)=0,"",VLOOKUP(Regn!$G118,Efgr,2))</f>
        <v/>
      </c>
      <c r="J103" s="77"/>
      <c r="K103" s="77"/>
      <c r="L103" s="135" t="str">
        <f>IF(Regn!$M118=0,"",Regn!$M118)</f>
        <v/>
      </c>
      <c r="M103" s="77" t="str">
        <f t="shared" si="17"/>
        <v/>
      </c>
      <c r="N103" s="286" t="str">
        <f>IF(Regn!E118=1,"",Regn!BI118)</f>
        <v/>
      </c>
      <c r="O103" s="295"/>
      <c r="P103" s="77" t="str">
        <f>IF(Regn!BK118=0,"",Regn!BK118)</f>
        <v/>
      </c>
      <c r="Q103" s="286" t="str">
        <f>IF(Regn!E118=1,"",Regn!NS118)</f>
        <v/>
      </c>
      <c r="R103" s="295"/>
      <c r="S103" s="77" t="str">
        <f t="shared" ref="S103" si="19">IF(Q103&lt;&gt;"","kr.","")</f>
        <v/>
      </c>
    </row>
    <row r="104" spans="2:19" x14ac:dyDescent="0.2">
      <c r="B104" s="136" t="str">
        <f>IF(VLOOKUP(Regn!$B120,Afgr,2)=0,"",VLOOKUP(Regn!$B120,Afgr,2))</f>
        <v/>
      </c>
      <c r="C104" s="77"/>
      <c r="D104" s="77"/>
      <c r="E104" s="77" t="str">
        <f>IF(VLOOKUP(Regn!$E120,Afgr,2)=0,"",VLOOKUP(Regn!$E120,Afgr,2))</f>
        <v/>
      </c>
      <c r="F104" s="77"/>
      <c r="G104" s="77"/>
      <c r="H104" s="77"/>
      <c r="I104" s="77" t="str">
        <f>IF(VLOOKUP(Regn!$G120,Afgr,2)=0,"",VLOOKUP(Regn!$G120,Efgr,2))</f>
        <v/>
      </c>
      <c r="J104" s="77"/>
      <c r="K104" s="77"/>
      <c r="L104" s="135" t="str">
        <f>IF(Regn!$M120=0,"",Regn!$M120)</f>
        <v/>
      </c>
      <c r="M104" s="77" t="str">
        <f t="shared" si="17"/>
        <v/>
      </c>
      <c r="N104" s="286" t="str">
        <f>IF(Regn!E120=1,"",Regn!BI120)</f>
        <v/>
      </c>
      <c r="O104" s="295"/>
      <c r="P104" s="77" t="str">
        <f>IF(Regn!BK120=0,"",Regn!BK120)</f>
        <v/>
      </c>
      <c r="Q104" s="286" t="str">
        <f>IF(Regn!E120=1,"",Regn!NS120)</f>
        <v/>
      </c>
      <c r="R104" s="295"/>
      <c r="S104" s="77" t="str">
        <f t="shared" ref="S104" si="20">IF(Q104&lt;&gt;"","kr.","")</f>
        <v/>
      </c>
    </row>
    <row r="105" spans="2:19" x14ac:dyDescent="0.2">
      <c r="B105" s="136" t="str">
        <f>IF(VLOOKUP(Regn!$B122,Afgr,2)=0,"",VLOOKUP(Regn!$B122,Afgr,2))</f>
        <v/>
      </c>
      <c r="C105" s="77"/>
      <c r="D105" s="77"/>
      <c r="E105" s="77" t="str">
        <f>IF(VLOOKUP(Regn!$E122,Afgr,2)=0,"",VLOOKUP(Regn!$E122,Afgr,2))</f>
        <v/>
      </c>
      <c r="F105" s="77"/>
      <c r="G105" s="77"/>
      <c r="H105" s="77"/>
      <c r="I105" s="77" t="str">
        <f>IF(VLOOKUP(Regn!$G122,Afgr,2)=0,"",VLOOKUP(Regn!$G122,Efgr,2))</f>
        <v/>
      </c>
      <c r="J105" s="77"/>
      <c r="K105" s="77"/>
      <c r="L105" s="135" t="str">
        <f>IF(Regn!$M122=0,"",Regn!$M122)</f>
        <v/>
      </c>
      <c r="M105" s="77" t="str">
        <f t="shared" si="17"/>
        <v/>
      </c>
      <c r="N105" s="286" t="str">
        <f>IF(Regn!E122=1,"",Regn!BI122)</f>
        <v/>
      </c>
      <c r="O105" s="295"/>
      <c r="P105" s="77" t="str">
        <f>IF(Regn!BK122=0,"",Regn!BK122)</f>
        <v/>
      </c>
      <c r="Q105" s="286" t="str">
        <f>IF(Regn!E122=1,"",Regn!NS122)</f>
        <v/>
      </c>
      <c r="R105" s="295"/>
      <c r="S105" s="77" t="str">
        <f t="shared" ref="S105" si="21">IF(Q105&lt;&gt;"","kr.","")</f>
        <v/>
      </c>
    </row>
    <row r="106" spans="2:19" x14ac:dyDescent="0.2">
      <c r="B106" s="136" t="str">
        <f>IF(VLOOKUP(Regn!$B124,Afgr,2)=0,"",VLOOKUP(Regn!$B124,Afgr,2))</f>
        <v/>
      </c>
      <c r="C106" s="77"/>
      <c r="D106" s="77"/>
      <c r="E106" s="77" t="str">
        <f>IF(VLOOKUP(Regn!$E124,Afgr,2)=0,"",VLOOKUP(Regn!$E124,Afgr,2))</f>
        <v/>
      </c>
      <c r="F106" s="77"/>
      <c r="G106" s="77"/>
      <c r="H106" s="77"/>
      <c r="I106" s="77" t="str">
        <f>IF(VLOOKUP(Regn!$G124,Afgr,2)=0,"",VLOOKUP(Regn!$G124,Efgr,2))</f>
        <v/>
      </c>
      <c r="J106" s="77"/>
      <c r="K106" s="77"/>
      <c r="L106" s="135" t="str">
        <f>IF(Regn!$M124=0,"",Regn!$M124)</f>
        <v/>
      </c>
      <c r="M106" s="77" t="str">
        <f t="shared" si="17"/>
        <v/>
      </c>
      <c r="N106" s="286" t="str">
        <f>IF(Regn!E124=1,"",Regn!BI124)</f>
        <v/>
      </c>
      <c r="O106" s="295"/>
      <c r="P106" s="77" t="str">
        <f>IF(Regn!BK124=0,"",Regn!BK124)</f>
        <v/>
      </c>
      <c r="Q106" s="286" t="str">
        <f>IF(Regn!E124=1,"",Regn!NS124)</f>
        <v/>
      </c>
      <c r="R106" s="295"/>
      <c r="S106" s="77" t="str">
        <f t="shared" ref="S106" si="22">IF(Q106&lt;&gt;"","kr.","")</f>
        <v/>
      </c>
    </row>
    <row r="107" spans="2:19" x14ac:dyDescent="0.2">
      <c r="B107" s="136" t="str">
        <f>IF(VLOOKUP(Regn!$B126,Afgr,2)=0,"",VLOOKUP(Regn!$B126,Afgr,2))</f>
        <v/>
      </c>
      <c r="C107" s="77"/>
      <c r="D107" s="77"/>
      <c r="E107" s="77" t="str">
        <f>IF(VLOOKUP(Regn!$E126,Afgr,2)=0,"",VLOOKUP(Regn!$E126,Afgr,2))</f>
        <v/>
      </c>
      <c r="F107" s="77"/>
      <c r="G107" s="77"/>
      <c r="H107" s="77"/>
      <c r="I107" s="77" t="str">
        <f>IF(VLOOKUP(Regn!$G126,Afgr,2)=0,"",VLOOKUP(Regn!$G126,Efgr,2))</f>
        <v/>
      </c>
      <c r="J107" s="77"/>
      <c r="K107" s="77"/>
      <c r="L107" s="135" t="str">
        <f>IF(Regn!$M126=0,"",Regn!$M126)</f>
        <v/>
      </c>
      <c r="M107" s="77" t="str">
        <f t="shared" si="17"/>
        <v/>
      </c>
      <c r="N107" s="286" t="str">
        <f>IF(Regn!E126=1,"",Regn!BI126)</f>
        <v/>
      </c>
      <c r="O107" s="295"/>
      <c r="P107" s="77" t="str">
        <f>IF(Regn!BK126=0,"",Regn!BK126)</f>
        <v/>
      </c>
      <c r="Q107" s="286" t="str">
        <f>IF(Regn!E126=1,"",Regn!NS126)</f>
        <v/>
      </c>
      <c r="R107" s="295"/>
      <c r="S107" s="77" t="str">
        <f t="shared" ref="S107" si="23">IF(Q107&lt;&gt;"","kr.","")</f>
        <v/>
      </c>
    </row>
    <row r="108" spans="2:19" x14ac:dyDescent="0.2">
      <c r="B108" s="136" t="str">
        <f>IF(VLOOKUP(Regn!$B128,Afgr,2)=0,"",VLOOKUP(Regn!$B128,Afgr,2))</f>
        <v/>
      </c>
      <c r="C108" s="77"/>
      <c r="D108" s="77"/>
      <c r="E108" s="77" t="str">
        <f>IF(VLOOKUP(Regn!$E128,Afgr,2)=0,"",VLOOKUP(Regn!$E128,Afgr,2))</f>
        <v/>
      </c>
      <c r="F108" s="77"/>
      <c r="G108" s="77"/>
      <c r="H108" s="77"/>
      <c r="I108" s="77" t="str">
        <f>IF(VLOOKUP(Regn!$G128,Afgr,2)=0,"",VLOOKUP(Regn!$G128,Efgr,2))</f>
        <v/>
      </c>
      <c r="J108" s="77"/>
      <c r="K108" s="77"/>
      <c r="L108" s="135" t="str">
        <f>IF(Regn!$M128=0,"",Regn!$M128)</f>
        <v/>
      </c>
      <c r="M108" s="77" t="str">
        <f t="shared" si="17"/>
        <v/>
      </c>
      <c r="N108" s="286" t="str">
        <f>IF(Regn!E128=1,"",Regn!BI128)</f>
        <v/>
      </c>
      <c r="O108" s="295"/>
      <c r="P108" s="77" t="str">
        <f>IF(Regn!BK128=0,"",Regn!BK128)</f>
        <v/>
      </c>
      <c r="Q108" s="286" t="str">
        <f>IF(Regn!E128=1,"",Regn!NS128)</f>
        <v/>
      </c>
      <c r="R108" s="295"/>
      <c r="S108" s="77" t="str">
        <f t="shared" ref="S108" si="24">IF(Q108&lt;&gt;"","kr.","")</f>
        <v/>
      </c>
    </row>
    <row r="109" spans="2:19" x14ac:dyDescent="0.2">
      <c r="B109" s="136" t="str">
        <f>IF(VLOOKUP(Regn!$B130,Afgr,2)=0,"",VLOOKUP(Regn!$B130,Afgr,2))</f>
        <v/>
      </c>
      <c r="C109" s="77"/>
      <c r="D109" s="77"/>
      <c r="E109" s="77" t="str">
        <f>IF(VLOOKUP(Regn!$E130,Afgr,2)=0,"",VLOOKUP(Regn!$E130,Afgr,2))</f>
        <v/>
      </c>
      <c r="F109" s="77"/>
      <c r="G109" s="77"/>
      <c r="H109" s="77"/>
      <c r="I109" s="77" t="str">
        <f>IF(VLOOKUP(Regn!$G130,Afgr,2)=0,"",VLOOKUP(Regn!$G130,Efgr,2))</f>
        <v/>
      </c>
      <c r="J109" s="77"/>
      <c r="K109" s="77"/>
      <c r="L109" s="135" t="str">
        <f>IF(Regn!$M130=0,"",Regn!$M130)</f>
        <v/>
      </c>
      <c r="M109" s="77" t="str">
        <f t="shared" si="17"/>
        <v/>
      </c>
      <c r="N109" s="286" t="str">
        <f>IF(Regn!E130=1,"",Regn!BI130)</f>
        <v/>
      </c>
      <c r="O109" s="295"/>
      <c r="P109" s="77" t="str">
        <f>IF(Regn!BK130=0,"",Regn!BK130)</f>
        <v/>
      </c>
      <c r="Q109" s="286" t="str">
        <f>IF(Regn!E130=1,"",Regn!NS130)</f>
        <v/>
      </c>
      <c r="R109" s="295"/>
      <c r="S109" s="77" t="str">
        <f t="shared" ref="S109:S110" si="25">IF(Q109&lt;&gt;"","kr.","")</f>
        <v/>
      </c>
    </row>
    <row r="110" spans="2:19" ht="15" x14ac:dyDescent="0.25">
      <c r="B110" s="77"/>
      <c r="C110" s="77"/>
      <c r="D110" s="77"/>
      <c r="E110" s="77"/>
      <c r="F110" s="77"/>
      <c r="G110" s="77"/>
      <c r="H110" s="77"/>
      <c r="I110" s="77"/>
      <c r="J110" s="122"/>
      <c r="K110" s="300"/>
      <c r="L110" s="301"/>
      <c r="M110" s="83"/>
      <c r="N110" s="121"/>
      <c r="O110" s="137" t="str">
        <f>IF(DyrkAreal3=0,"","Gns. DB")</f>
        <v/>
      </c>
      <c r="P110" s="77"/>
      <c r="Q110" s="290" t="str">
        <f>IF(DyrkAreal3=0,"",DBgns3)</f>
        <v/>
      </c>
      <c r="R110" s="275"/>
      <c r="S110" s="83" t="str">
        <f t="shared" si="25"/>
        <v/>
      </c>
    </row>
    <row r="111" spans="2:19" ht="15" x14ac:dyDescent="0.25">
      <c r="B111" s="83" t="str">
        <f>IF(DyrkAreal4=0,"","Sædskifte 2:")</f>
        <v/>
      </c>
      <c r="C111" s="77"/>
      <c r="D111" s="77"/>
      <c r="E111" s="300" t="str">
        <f>IF(DyrkAreal4=0,"",DyrkAreal4)</f>
        <v/>
      </c>
      <c r="F111" s="301"/>
      <c r="G111" s="83" t="str">
        <f>IF(E111="","","ha")</f>
        <v/>
      </c>
      <c r="H111" s="83" t="str">
        <f>IF(DyrkAreal4=0,"",VLOOKUP(Jordtype4,Jordtype,2))</f>
        <v/>
      </c>
      <c r="I111" s="83" t="str">
        <f>IF(DyrkAreal4=0,"",IF(Markvand4=2,VLOOKUP(Markvand4,Markvanding,2),""))</f>
        <v/>
      </c>
      <c r="J111" s="77"/>
      <c r="K111" s="77"/>
      <c r="L111" s="77"/>
      <c r="M111" s="77"/>
      <c r="N111" s="77"/>
      <c r="O111" s="77"/>
      <c r="P111" s="77"/>
      <c r="Q111" s="77"/>
      <c r="R111" s="77"/>
      <c r="S111" s="77"/>
    </row>
    <row r="112" spans="2:19" ht="6" customHeight="1" x14ac:dyDescent="0.2">
      <c r="B112" s="77"/>
      <c r="C112" s="77"/>
      <c r="D112" s="77"/>
      <c r="E112" s="77"/>
      <c r="F112" s="77"/>
      <c r="G112" s="77"/>
      <c r="H112" s="77"/>
      <c r="I112" s="77"/>
      <c r="J112" s="77"/>
      <c r="K112" s="77"/>
      <c r="L112" s="77"/>
      <c r="M112" s="77"/>
      <c r="N112" s="77"/>
      <c r="O112" s="77"/>
      <c r="P112" s="77"/>
      <c r="Q112" s="77"/>
      <c r="R112" s="77"/>
      <c r="S112" s="77"/>
    </row>
    <row r="113" spans="2:19" ht="24.95" customHeight="1" x14ac:dyDescent="0.25">
      <c r="B113" s="122" t="str">
        <f>IF(DyrkAreal4=0,"","Forfrugt")</f>
        <v/>
      </c>
      <c r="C113" s="77"/>
      <c r="D113" s="77"/>
      <c r="E113" s="83" t="str">
        <f>IF(DyrkAreal4=0,"","Afgrøde")</f>
        <v/>
      </c>
      <c r="F113" s="77"/>
      <c r="G113" s="77"/>
      <c r="H113" s="77"/>
      <c r="I113" s="299" t="str">
        <f>IF(DyrkAreal4=0,"","Efterafgrøde E
Mellemafgr. M")</f>
        <v/>
      </c>
      <c r="J113" s="262"/>
      <c r="K113" s="262"/>
      <c r="L113" s="100" t="str">
        <f>IF(DyrkAreal4=0,"","Areal")</f>
        <v/>
      </c>
      <c r="M113" s="77"/>
      <c r="N113" s="297" t="str">
        <f>IF(DyrkAreal4=0,"","Udbytte pr. ha")</f>
        <v/>
      </c>
      <c r="O113" s="298"/>
      <c r="P113" s="298"/>
      <c r="Q113" s="297" t="str">
        <f>IF(DyrkAreal4=0,"","Dæknings-
bidrag")</f>
        <v/>
      </c>
      <c r="R113" s="298"/>
      <c r="S113" s="298"/>
    </row>
    <row r="114" spans="2:19" x14ac:dyDescent="0.2">
      <c r="B114" s="136" t="str">
        <f>IF(VLOOKUP(Regn!$B138,Afgr,2)=0,"",VLOOKUP(Regn!$B138,Afgr,2))</f>
        <v/>
      </c>
      <c r="C114" s="77"/>
      <c r="D114" s="77"/>
      <c r="E114" s="77" t="str">
        <f>IF(VLOOKUP(Regn!$E138,Afgr,2)=0,"",VLOOKUP(Regn!$E138,Afgr,2))</f>
        <v/>
      </c>
      <c r="F114" s="77"/>
      <c r="G114" s="77"/>
      <c r="H114" s="77"/>
      <c r="I114" s="77" t="str">
        <f>IF(VLOOKUP(Regn!$G138,Afgr,2)=0,"",VLOOKUP(Regn!$G138,Efgr,2))</f>
        <v/>
      </c>
      <c r="J114" s="77"/>
      <c r="K114" s="77"/>
      <c r="L114" s="135" t="str">
        <f>IF(Regn!$M138=0,"",Regn!$M138)</f>
        <v/>
      </c>
      <c r="M114" s="77" t="str">
        <f t="shared" ref="M114:M121" si="26">IF(L114="","","ha")</f>
        <v/>
      </c>
      <c r="N114" s="286" t="str">
        <f>IF(Regn!E138=1,"",Regn!BI138)</f>
        <v/>
      </c>
      <c r="O114" s="295"/>
      <c r="P114" s="77" t="str">
        <f>IF(Regn!BK138=0,"",Regn!BK138)</f>
        <v/>
      </c>
      <c r="Q114" s="286" t="str">
        <f>IF(Regn!E138=1,"",Regn!NS138)</f>
        <v/>
      </c>
      <c r="R114" s="295"/>
      <c r="S114" s="77" t="str">
        <f t="shared" ref="S114" si="27">IF(Q114&lt;&gt;"","kr.","")</f>
        <v/>
      </c>
    </row>
    <row r="115" spans="2:19" x14ac:dyDescent="0.2">
      <c r="B115" s="136" t="str">
        <f>IF(VLOOKUP(Regn!$B140,Afgr,2)=0,"",VLOOKUP(Regn!$B140,Afgr,2))</f>
        <v/>
      </c>
      <c r="C115" s="77"/>
      <c r="D115" s="77"/>
      <c r="E115" s="77" t="str">
        <f>IF(VLOOKUP(Regn!$E140,Afgr,2)=0,"",VLOOKUP(Regn!$E140,Afgr,2))</f>
        <v/>
      </c>
      <c r="F115" s="77"/>
      <c r="G115" s="77"/>
      <c r="H115" s="77"/>
      <c r="I115" s="77" t="str">
        <f>IF(VLOOKUP(Regn!$G140,Afgr,2)=0,"",VLOOKUP(Regn!$G140,Efgr,2))</f>
        <v/>
      </c>
      <c r="J115" s="77"/>
      <c r="K115" s="77"/>
      <c r="L115" s="135" t="str">
        <f>IF(Regn!$M140=0,"",Regn!$M140)</f>
        <v/>
      </c>
      <c r="M115" s="77" t="str">
        <f t="shared" si="26"/>
        <v/>
      </c>
      <c r="N115" s="286" t="str">
        <f>IF(Regn!E140=1,"",Regn!BI140)</f>
        <v/>
      </c>
      <c r="O115" s="295"/>
      <c r="P115" s="77" t="str">
        <f>IF(Regn!BK140=0,"",Regn!BK140)</f>
        <v/>
      </c>
      <c r="Q115" s="286" t="str">
        <f>IF(Regn!E140=1,"",Regn!NS140)</f>
        <v/>
      </c>
      <c r="R115" s="295"/>
      <c r="S115" s="77" t="str">
        <f t="shared" ref="S115" si="28">IF(Q115&lt;&gt;"","kr.","")</f>
        <v/>
      </c>
    </row>
    <row r="116" spans="2:19" x14ac:dyDescent="0.2">
      <c r="B116" s="136" t="str">
        <f>IF(VLOOKUP(Regn!$B142,Afgr,2)=0,"",VLOOKUP(Regn!$B142,Afgr,2))</f>
        <v/>
      </c>
      <c r="C116" s="77"/>
      <c r="D116" s="77"/>
      <c r="E116" s="77" t="str">
        <f>IF(VLOOKUP(Regn!$E142,Afgr,2)=0,"",VLOOKUP(Regn!$E142,Afgr,2))</f>
        <v/>
      </c>
      <c r="F116" s="77"/>
      <c r="G116" s="77"/>
      <c r="H116" s="77"/>
      <c r="I116" s="77" t="str">
        <f>IF(VLOOKUP(Regn!$G142,Afgr,2)=0,"",VLOOKUP(Regn!$G142,Efgr,2))</f>
        <v/>
      </c>
      <c r="J116" s="77"/>
      <c r="K116" s="77"/>
      <c r="L116" s="135" t="str">
        <f>IF(Regn!$M142=0,"",Regn!$M142)</f>
        <v/>
      </c>
      <c r="M116" s="77" t="str">
        <f t="shared" si="26"/>
        <v/>
      </c>
      <c r="N116" s="286" t="str">
        <f>IF(Regn!E142=1,"",Regn!BI142)</f>
        <v/>
      </c>
      <c r="O116" s="295"/>
      <c r="P116" s="77" t="str">
        <f>IF(Regn!BK142=0,"",Regn!BK142)</f>
        <v/>
      </c>
      <c r="Q116" s="286" t="str">
        <f>IF(Regn!E142=1,"",Regn!NS142)</f>
        <v/>
      </c>
      <c r="R116" s="295"/>
      <c r="S116" s="77" t="str">
        <f t="shared" ref="S116" si="29">IF(Q116&lt;&gt;"","kr.","")</f>
        <v/>
      </c>
    </row>
    <row r="117" spans="2:19" x14ac:dyDescent="0.2">
      <c r="B117" s="136" t="str">
        <f>IF(VLOOKUP(Regn!$B144,Afgr,2)=0,"",VLOOKUP(Regn!$B144,Afgr,2))</f>
        <v/>
      </c>
      <c r="C117" s="77"/>
      <c r="D117" s="77"/>
      <c r="E117" s="77" t="str">
        <f>IF(VLOOKUP(Regn!$E144,Afgr,2)=0,"",VLOOKUP(Regn!$E144,Afgr,2))</f>
        <v/>
      </c>
      <c r="F117" s="77"/>
      <c r="G117" s="77"/>
      <c r="H117" s="77"/>
      <c r="I117" s="77" t="str">
        <f>IF(VLOOKUP(Regn!$G144,Afgr,2)=0,"",VLOOKUP(Regn!$G144,Efgr,2))</f>
        <v/>
      </c>
      <c r="J117" s="77"/>
      <c r="K117" s="77"/>
      <c r="L117" s="135" t="str">
        <f>IF(Regn!$M144=0,"",Regn!$M144)</f>
        <v/>
      </c>
      <c r="M117" s="77" t="str">
        <f t="shared" si="26"/>
        <v/>
      </c>
      <c r="N117" s="286" t="str">
        <f>IF(Regn!E144=1,"",Regn!BI144)</f>
        <v/>
      </c>
      <c r="O117" s="295"/>
      <c r="P117" s="77" t="str">
        <f>IF(Regn!BK144=0,"",Regn!BK144)</f>
        <v/>
      </c>
      <c r="Q117" s="286" t="str">
        <f>IF(Regn!E144=1,"",Regn!NS144)</f>
        <v/>
      </c>
      <c r="R117" s="295"/>
      <c r="S117" s="77" t="str">
        <f t="shared" ref="S117" si="30">IF(Q117&lt;&gt;"","kr.","")</f>
        <v/>
      </c>
    </row>
    <row r="118" spans="2:19" x14ac:dyDescent="0.2">
      <c r="B118" s="136" t="str">
        <f>IF(VLOOKUP(Regn!$B146,Afgr,2)=0,"",VLOOKUP(Regn!$B146,Afgr,2))</f>
        <v/>
      </c>
      <c r="C118" s="77"/>
      <c r="D118" s="77"/>
      <c r="E118" s="77" t="str">
        <f>IF(VLOOKUP(Regn!$E146,Afgr,2)=0,"",VLOOKUP(Regn!$E146,Afgr,2))</f>
        <v/>
      </c>
      <c r="F118" s="77"/>
      <c r="G118" s="77"/>
      <c r="H118" s="77"/>
      <c r="I118" s="77" t="str">
        <f>IF(VLOOKUP(Regn!$G146,Afgr,2)=0,"",VLOOKUP(Regn!$G146,Efgr,2))</f>
        <v/>
      </c>
      <c r="J118" s="77"/>
      <c r="K118" s="77"/>
      <c r="L118" s="135" t="str">
        <f>IF(Regn!$M146=0,"",Regn!$M146)</f>
        <v/>
      </c>
      <c r="M118" s="77" t="str">
        <f t="shared" si="26"/>
        <v/>
      </c>
      <c r="N118" s="286" t="str">
        <f>IF(Regn!E146=1,"",Regn!BI146)</f>
        <v/>
      </c>
      <c r="O118" s="295"/>
      <c r="P118" s="77" t="str">
        <f>IF(Regn!BK146=0,"",Regn!BK146)</f>
        <v/>
      </c>
      <c r="Q118" s="286" t="str">
        <f>IF(Regn!E146=1,"",Regn!NS146)</f>
        <v/>
      </c>
      <c r="R118" s="295"/>
      <c r="S118" s="77" t="str">
        <f t="shared" ref="S118" si="31">IF(Q118&lt;&gt;"","kr.","")</f>
        <v/>
      </c>
    </row>
    <row r="119" spans="2:19" x14ac:dyDescent="0.2">
      <c r="B119" s="136" t="str">
        <f>IF(VLOOKUP(Regn!$B148,Afgr,2)=0,"",VLOOKUP(Regn!$B148,Afgr,2))</f>
        <v/>
      </c>
      <c r="C119" s="77"/>
      <c r="D119" s="77"/>
      <c r="E119" s="77" t="str">
        <f>IF(VLOOKUP(Regn!$E148,Afgr,2)=0,"",VLOOKUP(Regn!$E148,Afgr,2))</f>
        <v/>
      </c>
      <c r="F119" s="77"/>
      <c r="G119" s="77"/>
      <c r="H119" s="77"/>
      <c r="I119" s="77" t="str">
        <f>IF(VLOOKUP(Regn!$G148,Afgr,2)=0,"",VLOOKUP(Regn!$G148,Efgr,2))</f>
        <v/>
      </c>
      <c r="J119" s="77"/>
      <c r="K119" s="77"/>
      <c r="L119" s="135" t="str">
        <f>IF(Regn!$M148=0,"",Regn!$M148)</f>
        <v/>
      </c>
      <c r="M119" s="77" t="str">
        <f t="shared" si="26"/>
        <v/>
      </c>
      <c r="N119" s="286" t="str">
        <f>IF(Regn!E148=1,"",Regn!BI148)</f>
        <v/>
      </c>
      <c r="O119" s="295"/>
      <c r="P119" s="77" t="str">
        <f>IF(Regn!BK148=0,"",Regn!BK148)</f>
        <v/>
      </c>
      <c r="Q119" s="286" t="str">
        <f>IF(Regn!E148=1,"",Regn!NS148)</f>
        <v/>
      </c>
      <c r="R119" s="295"/>
      <c r="S119" s="77" t="str">
        <f t="shared" ref="S119" si="32">IF(Q119&lt;&gt;"","kr.","")</f>
        <v/>
      </c>
    </row>
    <row r="120" spans="2:19" x14ac:dyDescent="0.2">
      <c r="B120" s="136" t="str">
        <f>IF(VLOOKUP(Regn!$B150,Afgr,2)=0,"",VLOOKUP(Regn!$B150,Afgr,2))</f>
        <v/>
      </c>
      <c r="C120" s="77"/>
      <c r="D120" s="77"/>
      <c r="E120" s="77" t="str">
        <f>IF(VLOOKUP(Regn!$E150,Afgr,2)=0,"",VLOOKUP(Regn!$E150,Afgr,2))</f>
        <v/>
      </c>
      <c r="F120" s="77"/>
      <c r="G120" s="77"/>
      <c r="H120" s="77"/>
      <c r="I120" s="77" t="str">
        <f>IF(VLOOKUP(Regn!$G150,Afgr,2)=0,"",VLOOKUP(Regn!$G150,Efgr,2))</f>
        <v/>
      </c>
      <c r="J120" s="77"/>
      <c r="K120" s="77"/>
      <c r="L120" s="135" t="str">
        <f>IF(Regn!$M150=0,"",Regn!$M150)</f>
        <v/>
      </c>
      <c r="M120" s="77" t="str">
        <f t="shared" si="26"/>
        <v/>
      </c>
      <c r="N120" s="286" t="str">
        <f>IF(Regn!E150=1,"",Regn!BI150)</f>
        <v/>
      </c>
      <c r="O120" s="295"/>
      <c r="P120" s="77" t="str">
        <f>IF(Regn!BK150=0,"",Regn!BK150)</f>
        <v/>
      </c>
      <c r="Q120" s="286" t="str">
        <f>IF(Regn!E150=1,"",Regn!NS150)</f>
        <v/>
      </c>
      <c r="R120" s="295"/>
      <c r="S120" s="77" t="str">
        <f t="shared" ref="S120" si="33">IF(Q120&lt;&gt;"","kr.","")</f>
        <v/>
      </c>
    </row>
    <row r="121" spans="2:19" x14ac:dyDescent="0.2">
      <c r="B121" s="136" t="str">
        <f>IF(VLOOKUP(Regn!$B152,Afgr,2)=0,"",VLOOKUP(Regn!$B152,Afgr,2))</f>
        <v/>
      </c>
      <c r="C121" s="77"/>
      <c r="D121" s="77"/>
      <c r="E121" s="77" t="str">
        <f>IF(VLOOKUP(Regn!$E152,Afgr,2)=0,"",VLOOKUP(Regn!$E152,Afgr,2))</f>
        <v/>
      </c>
      <c r="F121" s="77"/>
      <c r="G121" s="77"/>
      <c r="H121" s="77"/>
      <c r="I121" s="77" t="str">
        <f>IF(VLOOKUP(Regn!$G152,Afgr,2)=0,"",VLOOKUP(Regn!$G152,Efgr,2))</f>
        <v/>
      </c>
      <c r="J121" s="77"/>
      <c r="K121" s="77"/>
      <c r="L121" s="135" t="str">
        <f>IF(Regn!$M152=0,"",Regn!$M152)</f>
        <v/>
      </c>
      <c r="M121" s="77" t="str">
        <f t="shared" si="26"/>
        <v/>
      </c>
      <c r="N121" s="286" t="str">
        <f>IF(Regn!E152=1,"",Regn!BI152)</f>
        <v/>
      </c>
      <c r="O121" s="295"/>
      <c r="P121" s="77" t="str">
        <f>IF(Regn!BK152=0,"",Regn!BK152)</f>
        <v/>
      </c>
      <c r="Q121" s="286" t="str">
        <f>IF(Regn!E152=1,"",Regn!NS152)</f>
        <v/>
      </c>
      <c r="R121" s="295"/>
      <c r="S121" s="77" t="str">
        <f t="shared" ref="S121" si="34">IF(Q121&lt;&gt;"","kr.","")</f>
        <v/>
      </c>
    </row>
    <row r="122" spans="2:19" ht="15" x14ac:dyDescent="0.25">
      <c r="B122" s="77"/>
      <c r="C122" s="77"/>
      <c r="D122" s="77"/>
      <c r="E122" s="77"/>
      <c r="F122" s="77"/>
      <c r="G122" s="77"/>
      <c r="H122" s="77"/>
      <c r="I122" s="77"/>
      <c r="J122" s="122"/>
      <c r="K122" s="300"/>
      <c r="L122" s="301"/>
      <c r="M122" s="83"/>
      <c r="N122" s="121"/>
      <c r="O122" s="137" t="str">
        <f>IF(DyrkAreal4=0,"","Gns. DB")</f>
        <v/>
      </c>
      <c r="P122" s="77"/>
      <c r="Q122" s="290" t="str">
        <f>IF(DyrkAreal4=0,"",DBgns4)</f>
        <v/>
      </c>
      <c r="R122" s="275"/>
      <c r="S122" s="83" t="str">
        <f t="shared" ref="S122" si="35">IF(Q122&lt;&gt;"","kr.","")</f>
        <v/>
      </c>
    </row>
    <row r="123" spans="2:19" x14ac:dyDescent="0.2">
      <c r="B123" s="77"/>
      <c r="C123" s="77"/>
      <c r="D123" s="77"/>
      <c r="E123" s="77"/>
      <c r="F123" s="77"/>
      <c r="G123" s="77"/>
      <c r="H123" s="77"/>
      <c r="I123" s="77"/>
      <c r="J123" s="77"/>
      <c r="K123" s="77"/>
      <c r="L123" s="77"/>
      <c r="M123" s="77"/>
      <c r="N123" s="77"/>
      <c r="O123" s="77"/>
      <c r="P123" s="77"/>
      <c r="Q123" s="77"/>
      <c r="R123" s="77"/>
      <c r="S123" s="77"/>
    </row>
    <row r="124" spans="2:19" ht="12.75" customHeight="1" x14ac:dyDescent="0.25">
      <c r="B124" s="126"/>
      <c r="C124" s="90"/>
      <c r="D124" s="90"/>
      <c r="E124" s="90"/>
      <c r="F124" s="90"/>
      <c r="G124" s="90"/>
      <c r="H124" s="90"/>
      <c r="I124" s="90"/>
      <c r="J124" s="90"/>
      <c r="K124" s="90"/>
      <c r="L124" s="90"/>
      <c r="M124" s="90"/>
      <c r="N124" s="90"/>
      <c r="O124" s="90"/>
      <c r="P124" s="90"/>
      <c r="Q124" s="90"/>
      <c r="R124" s="90"/>
      <c r="S124" s="127"/>
    </row>
    <row r="125" spans="2:19" x14ac:dyDescent="0.2">
      <c r="B125" s="77"/>
      <c r="C125" s="77"/>
      <c r="D125" s="77"/>
      <c r="E125" s="77"/>
      <c r="F125" s="77"/>
      <c r="G125" s="77"/>
      <c r="H125" s="77"/>
      <c r="I125" s="77"/>
      <c r="J125" s="77"/>
      <c r="K125" s="77"/>
      <c r="L125" s="77"/>
      <c r="M125" s="77"/>
      <c r="N125" s="77"/>
      <c r="O125" s="77"/>
      <c r="P125" s="77"/>
      <c r="Q125" s="77"/>
      <c r="R125" s="77"/>
      <c r="S125" s="77"/>
    </row>
    <row r="126" spans="2:19" x14ac:dyDescent="0.2">
      <c r="B126" s="77" t="str">
        <f>IF(Mark!$E$5="","",Mark!$E$5)</f>
        <v/>
      </c>
      <c r="C126" s="77"/>
      <c r="D126" s="77"/>
      <c r="E126" s="77"/>
      <c r="F126" s="77"/>
      <c r="G126" s="77"/>
      <c r="H126" s="77"/>
      <c r="I126" s="77"/>
      <c r="J126" s="77"/>
      <c r="K126" s="77"/>
      <c r="L126" s="77"/>
      <c r="M126" s="77"/>
      <c r="N126" s="77"/>
      <c r="O126" s="77"/>
      <c r="P126" s="77"/>
      <c r="Q126" s="77"/>
      <c r="R126" s="77"/>
      <c r="S126" s="77"/>
    </row>
    <row r="127" spans="2:19" x14ac:dyDescent="0.2">
      <c r="B127" s="77" t="str">
        <f>IF(Mark!$M$5="","",Mark!$M$5)</f>
        <v/>
      </c>
      <c r="C127" s="77"/>
      <c r="D127" s="77"/>
      <c r="E127" s="77"/>
      <c r="F127" s="77"/>
      <c r="G127" s="77"/>
      <c r="H127" s="77"/>
      <c r="I127" s="77"/>
      <c r="J127" s="77"/>
      <c r="K127" s="77"/>
      <c r="L127" s="77"/>
      <c r="M127" s="77"/>
      <c r="N127" s="77"/>
      <c r="O127" s="77"/>
      <c r="P127" s="77"/>
      <c r="Q127" s="77"/>
      <c r="R127" s="77"/>
      <c r="S127" s="77"/>
    </row>
    <row r="128" spans="2:19" x14ac:dyDescent="0.2">
      <c r="B128" s="99">
        <f>IF(Postnr="","",Postnr)</f>
        <v>8382</v>
      </c>
      <c r="C128" s="77" t="str">
        <f>Mark!$T$5</f>
        <v>Hinnerup</v>
      </c>
      <c r="D128" s="77"/>
      <c r="E128" s="99" t="str">
        <f>IF(Postnr="","Postnr skal udfyldes i Mark","")</f>
        <v/>
      </c>
      <c r="F128" s="77"/>
      <c r="G128" s="77"/>
      <c r="H128" s="77"/>
      <c r="I128" s="77"/>
      <c r="J128" s="77"/>
      <c r="K128" s="77"/>
      <c r="L128" s="77"/>
      <c r="M128" s="77"/>
      <c r="N128" s="77"/>
      <c r="O128" s="77"/>
      <c r="P128" s="77"/>
      <c r="Q128" s="77"/>
      <c r="R128" s="77"/>
      <c r="S128" s="77"/>
    </row>
    <row r="129" spans="2:19" x14ac:dyDescent="0.2">
      <c r="B129" s="77"/>
      <c r="C129" s="77"/>
      <c r="D129" s="77"/>
      <c r="E129" s="77"/>
      <c r="F129" s="77"/>
      <c r="G129" s="77"/>
      <c r="H129" s="77"/>
      <c r="I129" s="77"/>
      <c r="J129" s="77"/>
      <c r="K129" s="77"/>
      <c r="L129" s="77"/>
      <c r="M129" s="77"/>
      <c r="N129" s="77"/>
      <c r="O129" s="77"/>
      <c r="P129" s="77"/>
      <c r="Q129" s="77"/>
      <c r="R129" s="77"/>
      <c r="S129" s="77"/>
    </row>
    <row r="130" spans="2:19" ht="15.75" x14ac:dyDescent="0.25">
      <c r="B130" s="113" t="s">
        <v>1848</v>
      </c>
      <c r="C130" s="82"/>
      <c r="D130" s="82"/>
      <c r="E130" s="82"/>
      <c r="F130" s="82"/>
      <c r="G130" s="82"/>
      <c r="H130" s="82"/>
      <c r="I130" s="82"/>
      <c r="J130" s="82"/>
      <c r="K130" s="82"/>
      <c r="L130" s="82"/>
      <c r="M130" s="82"/>
      <c r="N130" s="82"/>
      <c r="O130" s="82"/>
      <c r="P130" s="82"/>
      <c r="Q130" s="82"/>
      <c r="R130" s="82"/>
      <c r="S130" s="82"/>
    </row>
    <row r="131" spans="2:19" ht="9.9499999999999993" customHeight="1" x14ac:dyDescent="0.2">
      <c r="B131" s="77"/>
      <c r="C131" s="77"/>
      <c r="D131" s="77"/>
      <c r="E131" s="77"/>
      <c r="F131" s="77"/>
      <c r="G131" s="77"/>
      <c r="H131" s="77"/>
      <c r="I131" s="77"/>
      <c r="J131" s="77"/>
      <c r="K131" s="77"/>
      <c r="L131" s="77"/>
      <c r="M131" s="77"/>
      <c r="N131" s="77"/>
      <c r="O131" s="77"/>
      <c r="P131" s="77"/>
      <c r="Q131" s="77"/>
      <c r="R131" s="77"/>
      <c r="S131" s="77"/>
    </row>
    <row r="132" spans="2:19" x14ac:dyDescent="0.2">
      <c r="B132" s="83"/>
      <c r="C132" s="77"/>
      <c r="D132" s="77"/>
      <c r="E132" s="77"/>
      <c r="F132" s="77"/>
      <c r="G132" s="77"/>
      <c r="H132" s="77"/>
      <c r="I132" s="77"/>
      <c r="J132" s="77"/>
      <c r="K132" s="77"/>
      <c r="L132" s="83" t="s">
        <v>1816</v>
      </c>
      <c r="M132" s="83"/>
      <c r="N132" s="83"/>
      <c r="O132" s="83"/>
      <c r="P132" s="83"/>
      <c r="Q132" s="77"/>
      <c r="R132" s="96" t="s">
        <v>1819</v>
      </c>
      <c r="S132" s="77"/>
    </row>
    <row r="133" spans="2:19" ht="3" customHeight="1" x14ac:dyDescent="0.2">
      <c r="B133" s="77"/>
      <c r="C133" s="77"/>
      <c r="D133" s="77"/>
      <c r="E133" s="77"/>
      <c r="F133" s="77"/>
      <c r="G133" s="77"/>
      <c r="H133" s="77"/>
      <c r="I133" s="77"/>
      <c r="J133" s="77"/>
      <c r="K133" s="77"/>
      <c r="L133" s="77"/>
      <c r="M133" s="77"/>
      <c r="N133" s="77"/>
      <c r="O133" s="77"/>
      <c r="P133" s="77"/>
      <c r="Q133" s="77"/>
      <c r="R133" s="77"/>
      <c r="S133" s="77"/>
    </row>
    <row r="134" spans="2:19" ht="15" x14ac:dyDescent="0.25">
      <c r="B134" s="77" t="s">
        <v>1284</v>
      </c>
      <c r="C134" s="77"/>
      <c r="D134" s="77"/>
      <c r="E134" s="77"/>
      <c r="F134" s="77"/>
      <c r="G134" s="77"/>
      <c r="H134" s="77"/>
      <c r="I134" s="77"/>
      <c r="J134" s="77"/>
      <c r="K134" s="287">
        <f>DyrkAreal12</f>
        <v>1</v>
      </c>
      <c r="L134" s="262"/>
      <c r="M134" s="77" t="s">
        <v>85</v>
      </c>
      <c r="N134" s="77"/>
      <c r="O134" s="77"/>
      <c r="P134" s="287">
        <f>DyrkAreal34</f>
        <v>0</v>
      </c>
      <c r="Q134" s="262"/>
      <c r="R134" s="77" t="s">
        <v>85</v>
      </c>
      <c r="S134" s="77"/>
    </row>
    <row r="135" spans="2:19" ht="3" customHeight="1" x14ac:dyDescent="0.2">
      <c r="B135" s="77"/>
      <c r="C135" s="77"/>
      <c r="D135" s="77"/>
      <c r="E135" s="77"/>
      <c r="F135" s="77"/>
      <c r="G135" s="77"/>
      <c r="H135" s="77"/>
      <c r="I135" s="77"/>
      <c r="J135" s="77"/>
      <c r="K135" s="77"/>
      <c r="L135" s="77"/>
      <c r="M135" s="77"/>
      <c r="N135" s="77"/>
      <c r="O135" s="77"/>
      <c r="P135" s="77"/>
      <c r="Q135" s="77"/>
      <c r="R135" s="77"/>
      <c r="S135" s="77"/>
    </row>
    <row r="136" spans="2:19" x14ac:dyDescent="0.2">
      <c r="B136" s="77" t="s">
        <v>1735</v>
      </c>
      <c r="C136" s="77"/>
      <c r="D136" s="77"/>
      <c r="E136" s="77"/>
      <c r="F136" s="77"/>
      <c r="G136" s="77"/>
      <c r="H136" s="77"/>
      <c r="I136" s="77"/>
      <c r="J136" s="77">
        <f>Mark!H90</f>
        <v>0</v>
      </c>
      <c r="K136" s="77" t="s">
        <v>205</v>
      </c>
      <c r="L136" s="97">
        <f>Randzoneareal12</f>
        <v>0</v>
      </c>
      <c r="M136" s="77" t="s">
        <v>85</v>
      </c>
      <c r="N136" s="77"/>
      <c r="O136" s="77">
        <f>Mark!H162</f>
        <v>0</v>
      </c>
      <c r="P136" s="77" t="s">
        <v>205</v>
      </c>
      <c r="Q136" s="97">
        <f>Randzoneareal34</f>
        <v>0</v>
      </c>
      <c r="R136" s="77" t="s">
        <v>85</v>
      </c>
      <c r="S136" s="77"/>
    </row>
    <row r="137" spans="2:19" ht="3" customHeight="1" x14ac:dyDescent="0.2">
      <c r="B137" s="77"/>
      <c r="C137" s="77"/>
      <c r="D137" s="77"/>
      <c r="E137" s="77"/>
      <c r="F137" s="77"/>
      <c r="G137" s="77"/>
      <c r="H137" s="77"/>
      <c r="I137" s="77"/>
      <c r="J137" s="77"/>
      <c r="K137" s="77"/>
      <c r="L137" s="97"/>
      <c r="M137" s="77"/>
      <c r="N137" s="77"/>
      <c r="O137" s="77"/>
      <c r="P137" s="77"/>
      <c r="Q137" s="97"/>
      <c r="R137" s="77"/>
      <c r="S137" s="77"/>
    </row>
    <row r="138" spans="2:19" ht="12.75" customHeight="1" x14ac:dyDescent="0.25">
      <c r="B138" s="77" t="s">
        <v>1736</v>
      </c>
      <c r="C138" s="77"/>
      <c r="D138" s="77"/>
      <c r="E138" s="77"/>
      <c r="F138" s="77"/>
      <c r="G138" s="77"/>
      <c r="H138" s="77"/>
      <c r="I138" s="77"/>
      <c r="J138" s="77"/>
      <c r="K138" s="287">
        <f>Vadomradeareal12</f>
        <v>0</v>
      </c>
      <c r="L138" s="262"/>
      <c r="M138" s="77" t="s">
        <v>85</v>
      </c>
      <c r="N138" s="77"/>
      <c r="O138" s="77"/>
      <c r="P138" s="287">
        <f>Vadomradeareal34</f>
        <v>0</v>
      </c>
      <c r="Q138" s="262"/>
      <c r="R138" s="77" t="s">
        <v>85</v>
      </c>
      <c r="S138" s="77"/>
    </row>
    <row r="139" spans="2:19" ht="3" customHeight="1" x14ac:dyDescent="0.2">
      <c r="B139" s="77"/>
      <c r="C139" s="77"/>
      <c r="D139" s="77"/>
      <c r="E139" s="77"/>
      <c r="F139" s="77"/>
      <c r="G139" s="77"/>
      <c r="H139" s="77"/>
      <c r="I139" s="77"/>
      <c r="J139" s="77"/>
      <c r="K139" s="77"/>
      <c r="L139" s="77"/>
      <c r="M139" s="77"/>
      <c r="N139" s="77"/>
      <c r="O139" s="77"/>
      <c r="P139" s="77"/>
      <c r="Q139" s="77"/>
      <c r="R139" s="77"/>
      <c r="S139" s="77"/>
    </row>
    <row r="140" spans="2:19" ht="15" x14ac:dyDescent="0.25">
      <c r="B140" s="77" t="s">
        <v>473</v>
      </c>
      <c r="C140" s="77"/>
      <c r="D140" s="77"/>
      <c r="E140" s="77"/>
      <c r="F140" s="77"/>
      <c r="G140" s="77"/>
      <c r="H140" s="77"/>
      <c r="I140" s="77"/>
      <c r="J140" s="77"/>
      <c r="K140" s="287">
        <f>Harmoniareal12</f>
        <v>1</v>
      </c>
      <c r="L140" s="262"/>
      <c r="M140" s="77" t="s">
        <v>85</v>
      </c>
      <c r="N140" s="77"/>
      <c r="O140" s="77"/>
      <c r="P140" s="287">
        <f>Harmoniareal34</f>
        <v>0</v>
      </c>
      <c r="Q140" s="262"/>
      <c r="R140" s="77" t="s">
        <v>85</v>
      </c>
      <c r="S140" s="77"/>
    </row>
    <row r="141" spans="2:19" ht="3" customHeight="1" x14ac:dyDescent="0.2">
      <c r="B141" s="77"/>
      <c r="C141" s="77"/>
      <c r="D141" s="77"/>
      <c r="E141" s="77"/>
      <c r="F141" s="77"/>
      <c r="G141" s="77"/>
      <c r="H141" s="77"/>
      <c r="I141" s="77"/>
      <c r="J141" s="77"/>
      <c r="K141" s="77"/>
      <c r="L141" s="77"/>
      <c r="M141" s="77"/>
      <c r="N141" s="77"/>
      <c r="O141" s="77"/>
      <c r="P141" s="77"/>
      <c r="Q141" s="77"/>
      <c r="R141" s="77"/>
      <c r="S141" s="77"/>
    </row>
    <row r="142" spans="2:19" x14ac:dyDescent="0.2">
      <c r="B142" s="77" t="s">
        <v>1460</v>
      </c>
      <c r="C142" s="77"/>
      <c r="D142" s="77"/>
      <c r="E142" s="77"/>
      <c r="F142" s="77"/>
      <c r="G142" s="77"/>
      <c r="H142" s="77"/>
      <c r="I142" s="77"/>
      <c r="J142" s="77"/>
      <c r="K142" s="77"/>
      <c r="L142" s="97">
        <f>DEprHa12</f>
        <v>0</v>
      </c>
      <c r="M142" s="77" t="s">
        <v>139</v>
      </c>
      <c r="N142" s="77"/>
      <c r="O142" s="77"/>
      <c r="P142" s="77"/>
      <c r="Q142" s="97">
        <f>DEprHa34</f>
        <v>0</v>
      </c>
      <c r="R142" s="77" t="s">
        <v>139</v>
      </c>
      <c r="S142" s="77"/>
    </row>
    <row r="143" spans="2:19" ht="3" customHeight="1" x14ac:dyDescent="0.2">
      <c r="B143" s="77"/>
      <c r="C143" s="77"/>
      <c r="D143" s="77"/>
      <c r="E143" s="77"/>
      <c r="F143" s="77"/>
      <c r="G143" s="77"/>
      <c r="H143" s="77"/>
      <c r="I143" s="77"/>
      <c r="J143" s="77"/>
      <c r="K143" s="77"/>
      <c r="L143" s="77"/>
      <c r="M143" s="77"/>
      <c r="N143" s="77"/>
      <c r="O143" s="77"/>
      <c r="P143" s="77"/>
      <c r="Q143" s="77"/>
      <c r="R143" s="77"/>
      <c r="S143" s="77"/>
    </row>
    <row r="144" spans="2:19" ht="12.75" customHeight="1" x14ac:dyDescent="0.25">
      <c r="B144" s="77" t="s">
        <v>1734</v>
      </c>
      <c r="C144" s="77"/>
      <c r="D144" s="77"/>
      <c r="E144" s="77"/>
      <c r="F144" s="77"/>
      <c r="G144" s="77"/>
      <c r="H144" s="77"/>
      <c r="I144" s="77"/>
      <c r="J144" s="77"/>
      <c r="K144" s="287">
        <f>DEAfsatEkstra12</f>
        <v>0</v>
      </c>
      <c r="L144" s="262"/>
      <c r="M144" s="77" t="s">
        <v>1469</v>
      </c>
      <c r="N144" s="77"/>
      <c r="O144" s="77"/>
      <c r="P144" s="287">
        <f>DEAfsatEkstra34</f>
        <v>0</v>
      </c>
      <c r="Q144" s="262"/>
      <c r="R144" s="77" t="s">
        <v>1469</v>
      </c>
      <c r="S144" s="77"/>
    </row>
    <row r="145" spans="2:19" ht="3" customHeight="1" x14ac:dyDescent="0.2">
      <c r="B145" s="77"/>
      <c r="C145" s="77"/>
      <c r="D145" s="77"/>
      <c r="E145" s="77"/>
      <c r="F145" s="77"/>
      <c r="G145" s="77"/>
      <c r="H145" s="77"/>
      <c r="I145" s="77"/>
      <c r="J145" s="77"/>
      <c r="K145" s="77"/>
      <c r="L145" s="77"/>
      <c r="M145" s="77"/>
      <c r="N145" s="77"/>
      <c r="O145" s="77"/>
      <c r="P145" s="77"/>
      <c r="Q145" s="77"/>
      <c r="R145" s="77"/>
      <c r="S145" s="77"/>
    </row>
    <row r="146" spans="2:19" x14ac:dyDescent="0.2">
      <c r="B146" s="77"/>
      <c r="C146" s="77"/>
      <c r="D146" s="77"/>
      <c r="E146" s="77"/>
      <c r="F146" s="77"/>
      <c r="G146" s="77"/>
      <c r="H146" s="77"/>
      <c r="I146" s="77"/>
      <c r="J146" s="77"/>
      <c r="K146" s="77"/>
      <c r="L146" s="77"/>
      <c r="M146" s="77"/>
      <c r="N146" s="77"/>
      <c r="O146" s="77"/>
      <c r="P146" s="77"/>
      <c r="Q146" s="77"/>
      <c r="R146" s="77"/>
      <c r="S146" s="77"/>
    </row>
    <row r="147" spans="2:19" ht="15.75" x14ac:dyDescent="0.25">
      <c r="B147" s="113" t="s">
        <v>1731</v>
      </c>
      <c r="C147" s="82"/>
      <c r="D147" s="82"/>
      <c r="E147" s="82"/>
      <c r="F147" s="82"/>
      <c r="G147" s="82"/>
      <c r="H147" s="82"/>
      <c r="I147" s="82"/>
      <c r="J147" s="82"/>
      <c r="K147" s="82"/>
      <c r="L147" s="82"/>
      <c r="M147" s="82"/>
      <c r="N147" s="82"/>
      <c r="O147" s="82"/>
      <c r="P147" s="82"/>
      <c r="Q147" s="82"/>
      <c r="R147" s="82"/>
      <c r="S147" s="82"/>
    </row>
    <row r="148" spans="2:19" ht="9.9499999999999993" customHeight="1" x14ac:dyDescent="0.2">
      <c r="B148" s="77"/>
      <c r="C148" s="77"/>
      <c r="D148" s="77"/>
      <c r="E148" s="77"/>
      <c r="F148" s="77"/>
      <c r="G148" s="77"/>
      <c r="H148" s="77"/>
      <c r="I148" s="77"/>
      <c r="J148" s="77"/>
      <c r="K148" s="77"/>
      <c r="L148" s="77"/>
      <c r="M148" s="77"/>
      <c r="N148" s="77"/>
      <c r="O148" s="77"/>
      <c r="P148" s="77"/>
      <c r="Q148" s="77"/>
      <c r="R148" s="77"/>
      <c r="S148" s="77"/>
    </row>
    <row r="149" spans="2:19" x14ac:dyDescent="0.2">
      <c r="B149" s="83"/>
      <c r="C149" s="77"/>
      <c r="D149" s="77"/>
      <c r="E149" s="77"/>
      <c r="F149" s="77"/>
      <c r="G149" s="77"/>
      <c r="H149" s="77"/>
      <c r="I149" s="77"/>
      <c r="J149" s="77"/>
      <c r="K149" s="77"/>
      <c r="L149" s="83" t="s">
        <v>1816</v>
      </c>
      <c r="M149" s="83"/>
      <c r="N149" s="83"/>
      <c r="O149" s="83"/>
      <c r="P149" s="83"/>
      <c r="Q149" s="77"/>
      <c r="R149" s="96" t="s">
        <v>1819</v>
      </c>
      <c r="S149" s="77"/>
    </row>
    <row r="150" spans="2:19" ht="3" customHeight="1" x14ac:dyDescent="0.2">
      <c r="B150" s="77"/>
      <c r="C150" s="77"/>
      <c r="D150" s="77"/>
      <c r="E150" s="77"/>
      <c r="F150" s="77"/>
      <c r="G150" s="77"/>
      <c r="H150" s="77"/>
      <c r="I150" s="77"/>
      <c r="J150" s="77"/>
      <c r="K150" s="77"/>
      <c r="L150" s="77"/>
      <c r="M150" s="77"/>
      <c r="N150" s="77"/>
      <c r="O150" s="77"/>
      <c r="P150" s="77"/>
      <c r="Q150" s="77"/>
      <c r="R150" s="77"/>
      <c r="S150" s="77"/>
    </row>
    <row r="151" spans="2:19" x14ac:dyDescent="0.2">
      <c r="B151" s="77" t="s">
        <v>1407</v>
      </c>
      <c r="C151" s="77"/>
      <c r="D151" s="77"/>
      <c r="E151" s="77"/>
      <c r="F151" s="77"/>
      <c r="G151" s="77"/>
      <c r="H151" s="77"/>
      <c r="I151" s="77"/>
      <c r="J151" s="77"/>
      <c r="K151" s="286">
        <f>NnormIalt12+NnormEfgrIalt12</f>
        <v>194</v>
      </c>
      <c r="L151" s="286"/>
      <c r="M151" s="77" t="s">
        <v>82</v>
      </c>
      <c r="N151" s="77"/>
      <c r="O151" s="77"/>
      <c r="P151" s="286">
        <f>NnormIalt34+NnormEfgrIalt34</f>
        <v>0</v>
      </c>
      <c r="Q151" s="286"/>
      <c r="R151" s="77" t="s">
        <v>82</v>
      </c>
      <c r="S151" s="77"/>
    </row>
    <row r="152" spans="2:19" ht="3" customHeight="1" x14ac:dyDescent="0.2">
      <c r="B152" s="77"/>
      <c r="C152" s="77"/>
      <c r="D152" s="77"/>
      <c r="E152" s="77"/>
      <c r="F152" s="77"/>
      <c r="G152" s="77"/>
      <c r="H152" s="77"/>
      <c r="I152" s="77"/>
      <c r="J152" s="77"/>
      <c r="K152" s="88"/>
      <c r="L152" s="88"/>
      <c r="M152" s="77"/>
      <c r="N152" s="77"/>
      <c r="O152" s="77"/>
      <c r="P152" s="88"/>
      <c r="Q152" s="88"/>
      <c r="R152" s="77"/>
      <c r="S152" s="77"/>
    </row>
    <row r="153" spans="2:19" x14ac:dyDescent="0.2">
      <c r="B153" s="77" t="s">
        <v>1410</v>
      </c>
      <c r="C153" s="77"/>
      <c r="D153" s="77"/>
      <c r="E153" s="77"/>
      <c r="F153" s="77"/>
      <c r="G153" s="77"/>
      <c r="H153" s="77"/>
      <c r="I153" s="77">
        <f>EfgrErstatKvoteReduk12</f>
        <v>0</v>
      </c>
      <c r="J153" s="77" t="s">
        <v>85</v>
      </c>
      <c r="K153" s="289">
        <f>Kvotereduk12</f>
        <v>0</v>
      </c>
      <c r="L153" s="302"/>
      <c r="M153" s="77" t="s">
        <v>82</v>
      </c>
      <c r="N153" s="77">
        <f>EfgrErstatKvoteReduk34</f>
        <v>0</v>
      </c>
      <c r="O153" s="77" t="s">
        <v>85</v>
      </c>
      <c r="P153" s="289">
        <f>KvoteReduk34</f>
        <v>0</v>
      </c>
      <c r="Q153" s="302"/>
      <c r="R153" s="77" t="s">
        <v>82</v>
      </c>
      <c r="S153" s="77"/>
    </row>
    <row r="154" spans="2:19" ht="3" customHeight="1" x14ac:dyDescent="0.2">
      <c r="B154" s="77"/>
      <c r="C154" s="77"/>
      <c r="D154" s="77"/>
      <c r="E154" s="77"/>
      <c r="F154" s="77"/>
      <c r="G154" s="77"/>
      <c r="H154" s="77"/>
      <c r="I154" s="77"/>
      <c r="J154" s="77"/>
      <c r="K154" s="77"/>
      <c r="L154" s="77"/>
      <c r="M154" s="77"/>
      <c r="N154" s="77"/>
      <c r="O154" s="77"/>
      <c r="P154" s="77"/>
      <c r="Q154" s="77"/>
      <c r="R154" s="77"/>
      <c r="S154" s="77"/>
    </row>
    <row r="155" spans="2:19" x14ac:dyDescent="0.2">
      <c r="B155" s="77" t="s">
        <v>1411</v>
      </c>
      <c r="C155" s="77"/>
      <c r="D155" s="77"/>
      <c r="E155" s="77"/>
      <c r="F155" s="77"/>
      <c r="G155" s="77"/>
      <c r="H155" s="77"/>
      <c r="I155" s="77">
        <f>EfgrEkstraKvoteTillaeg12</f>
        <v>0</v>
      </c>
      <c r="J155" s="77" t="s">
        <v>85</v>
      </c>
      <c r="K155" s="289">
        <f>KvoteTillaeg12</f>
        <v>0</v>
      </c>
      <c r="L155" s="302"/>
      <c r="M155" s="77" t="s">
        <v>82</v>
      </c>
      <c r="N155" s="77">
        <f>EfgrEkstraKvoteTillaeg34</f>
        <v>0</v>
      </c>
      <c r="O155" s="77" t="s">
        <v>85</v>
      </c>
      <c r="P155" s="289">
        <f>KvoteTillaeg34</f>
        <v>0</v>
      </c>
      <c r="Q155" s="302"/>
      <c r="R155" s="77" t="s">
        <v>82</v>
      </c>
      <c r="S155" s="77"/>
    </row>
    <row r="156" spans="2:19" ht="3" customHeight="1" x14ac:dyDescent="0.2">
      <c r="B156" s="77"/>
      <c r="C156" s="77"/>
      <c r="D156" s="77"/>
      <c r="E156" s="77"/>
      <c r="F156" s="77"/>
      <c r="G156" s="77"/>
      <c r="H156" s="77"/>
      <c r="I156" s="77"/>
      <c r="J156" s="77"/>
      <c r="K156" s="77"/>
      <c r="L156" s="77"/>
      <c r="M156" s="77"/>
      <c r="N156" s="77"/>
      <c r="O156" s="77"/>
      <c r="P156" s="77"/>
      <c r="Q156" s="77"/>
      <c r="R156" s="77"/>
      <c r="S156" s="77"/>
    </row>
    <row r="157" spans="2:19" x14ac:dyDescent="0.2">
      <c r="B157" s="77" t="s">
        <v>1408</v>
      </c>
      <c r="C157" s="77"/>
      <c r="D157" s="77"/>
      <c r="E157" s="77"/>
      <c r="F157" s="77"/>
      <c r="G157" s="77"/>
      <c r="H157" s="77"/>
      <c r="I157" s="77"/>
      <c r="J157" s="77"/>
      <c r="K157" s="286">
        <f>K151+K153+K155</f>
        <v>194</v>
      </c>
      <c r="L157" s="286"/>
      <c r="M157" s="77" t="s">
        <v>82</v>
      </c>
      <c r="N157" s="77"/>
      <c r="O157" s="77"/>
      <c r="P157" s="286">
        <f>P151+P153+P155</f>
        <v>0</v>
      </c>
      <c r="Q157" s="286"/>
      <c r="R157" s="77" t="s">
        <v>82</v>
      </c>
      <c r="S157" s="77"/>
    </row>
    <row r="158" spans="2:19" ht="3" customHeight="1" x14ac:dyDescent="0.2">
      <c r="B158" s="77"/>
      <c r="C158" s="77"/>
      <c r="D158" s="77"/>
      <c r="E158" s="77"/>
      <c r="F158" s="77"/>
      <c r="G158" s="77"/>
      <c r="H158" s="77"/>
      <c r="I158" s="77"/>
      <c r="J158" s="77"/>
      <c r="K158" s="88"/>
      <c r="L158" s="88"/>
      <c r="M158" s="77"/>
      <c r="N158" s="77"/>
      <c r="O158" s="77"/>
      <c r="P158" s="88"/>
      <c r="Q158" s="88"/>
      <c r="R158" s="77"/>
      <c r="S158" s="77"/>
    </row>
    <row r="159" spans="2:19" x14ac:dyDescent="0.2">
      <c r="B159" s="77" t="s">
        <v>1923</v>
      </c>
      <c r="C159" s="77"/>
      <c r="D159" s="77"/>
      <c r="E159" s="77"/>
      <c r="F159" s="77"/>
      <c r="G159" s="77"/>
      <c r="H159" s="77"/>
      <c r="I159" s="77"/>
      <c r="J159" s="77"/>
      <c r="K159" s="286">
        <f>NnormTilpasIalt12+NnormTilpasIaltEfgr12</f>
        <v>194</v>
      </c>
      <c r="L159" s="289"/>
      <c r="M159" s="77" t="s">
        <v>82</v>
      </c>
      <c r="N159" s="77"/>
      <c r="O159" s="77"/>
      <c r="P159" s="286">
        <f>NnormTilpasIalt34+NnormTilpasIaltEfgr34</f>
        <v>0</v>
      </c>
      <c r="Q159" s="289"/>
      <c r="R159" s="77" t="s">
        <v>82</v>
      </c>
      <c r="S159" s="77"/>
    </row>
    <row r="160" spans="2:19" ht="3" customHeight="1" x14ac:dyDescent="0.2">
      <c r="B160" s="77"/>
      <c r="C160" s="77"/>
      <c r="D160" s="77"/>
      <c r="E160" s="77"/>
      <c r="F160" s="77"/>
      <c r="G160" s="77"/>
      <c r="H160" s="77"/>
      <c r="I160" s="77"/>
      <c r="J160" s="77"/>
      <c r="K160" s="131"/>
      <c r="L160" s="132"/>
      <c r="M160" s="77"/>
      <c r="N160" s="77"/>
      <c r="O160" s="77"/>
      <c r="P160" s="131"/>
      <c r="Q160" s="132"/>
      <c r="R160" s="77"/>
      <c r="S160" s="77"/>
    </row>
    <row r="161" spans="2:19" ht="15" x14ac:dyDescent="0.25">
      <c r="B161" s="77" t="s">
        <v>1921</v>
      </c>
      <c r="C161" s="77"/>
      <c r="D161" s="77"/>
      <c r="E161" s="77"/>
      <c r="F161" s="77"/>
      <c r="G161" s="77"/>
      <c r="H161" s="77"/>
      <c r="I161" s="77"/>
      <c r="J161" s="77"/>
      <c r="K161" s="286">
        <f>K159-(K163*UdnKrav*0.01)</f>
        <v>194</v>
      </c>
      <c r="L161" s="288"/>
      <c r="M161" s="77" t="s">
        <v>82</v>
      </c>
      <c r="N161" s="77"/>
      <c r="O161" s="77"/>
      <c r="P161" s="286">
        <f>P159-(P163*UdnKrav*0.01)</f>
        <v>0</v>
      </c>
      <c r="Q161" s="288"/>
      <c r="R161" s="77" t="s">
        <v>82</v>
      </c>
      <c r="S161" s="77"/>
    </row>
    <row r="162" spans="2:19" ht="3" customHeight="1" x14ac:dyDescent="0.2">
      <c r="B162" s="77"/>
      <c r="C162" s="77"/>
      <c r="D162" s="77"/>
      <c r="E162" s="77"/>
      <c r="F162" s="77"/>
      <c r="G162" s="77"/>
      <c r="H162" s="77"/>
      <c r="I162" s="77"/>
      <c r="J162" s="77"/>
      <c r="K162" s="88"/>
      <c r="L162" s="87"/>
      <c r="M162" s="77"/>
      <c r="N162" s="77"/>
      <c r="O162" s="77"/>
      <c r="P162" s="88"/>
      <c r="Q162" s="87"/>
      <c r="R162" s="77"/>
      <c r="S162" s="77"/>
    </row>
    <row r="163" spans="2:19" ht="15" x14ac:dyDescent="0.25">
      <c r="B163" s="77" t="s">
        <v>1922</v>
      </c>
      <c r="C163" s="77"/>
      <c r="D163" s="77"/>
      <c r="E163" s="77"/>
      <c r="F163" s="77"/>
      <c r="G163" s="77"/>
      <c r="H163" s="77"/>
      <c r="I163" s="77"/>
      <c r="J163" s="77"/>
      <c r="K163" s="286">
        <f>HdgAnvendtIalt12+HdgEfgrAnvendtIalt12</f>
        <v>0</v>
      </c>
      <c r="L163" s="288"/>
      <c r="M163" s="77" t="s">
        <v>82</v>
      </c>
      <c r="N163" s="77"/>
      <c r="O163" s="77"/>
      <c r="P163" s="286">
        <f>HdgAnvendtIalt34+HdgEfgrAnvendtIalt34</f>
        <v>0</v>
      </c>
      <c r="Q163" s="288"/>
      <c r="R163" s="77" t="s">
        <v>82</v>
      </c>
      <c r="S163" s="77"/>
    </row>
    <row r="164" spans="2:19" x14ac:dyDescent="0.2">
      <c r="B164" s="77"/>
      <c r="C164" s="77"/>
      <c r="D164" s="77"/>
      <c r="E164" s="77"/>
      <c r="F164" s="77"/>
      <c r="G164" s="77"/>
      <c r="H164" s="77"/>
      <c r="I164" s="77"/>
      <c r="J164" s="77"/>
      <c r="K164" s="88"/>
      <c r="L164" s="87"/>
      <c r="M164" s="77"/>
      <c r="N164" s="77"/>
      <c r="O164" s="77"/>
      <c r="P164" s="88"/>
      <c r="Q164" s="87"/>
      <c r="R164" s="77"/>
      <c r="S164" s="77"/>
    </row>
    <row r="165" spans="2:19" ht="15.75" x14ac:dyDescent="0.25">
      <c r="B165" s="113" t="s">
        <v>1737</v>
      </c>
      <c r="C165" s="82"/>
      <c r="D165" s="82"/>
      <c r="E165" s="82"/>
      <c r="F165" s="82"/>
      <c r="G165" s="82"/>
      <c r="H165" s="82"/>
      <c r="I165" s="82"/>
      <c r="J165" s="82"/>
      <c r="K165" s="128"/>
      <c r="L165" s="129"/>
      <c r="M165" s="82"/>
      <c r="N165" s="82"/>
      <c r="O165" s="82"/>
      <c r="P165" s="128"/>
      <c r="Q165" s="129"/>
      <c r="R165" s="82"/>
      <c r="S165" s="82"/>
    </row>
    <row r="166" spans="2:19" ht="9.9499999999999993" customHeight="1" x14ac:dyDescent="0.2">
      <c r="B166" s="77"/>
      <c r="C166" s="77"/>
      <c r="D166" s="77"/>
      <c r="E166" s="77"/>
      <c r="F166" s="77"/>
      <c r="G166" s="77"/>
      <c r="H166" s="77"/>
      <c r="I166" s="77"/>
      <c r="J166" s="77"/>
      <c r="K166" s="88"/>
      <c r="L166" s="87"/>
      <c r="M166" s="77"/>
      <c r="N166" s="77"/>
      <c r="O166" s="77"/>
      <c r="P166" s="88"/>
      <c r="Q166" s="87"/>
      <c r="R166" s="77"/>
      <c r="S166" s="77"/>
    </row>
    <row r="167" spans="2:19" x14ac:dyDescent="0.2">
      <c r="B167" s="83"/>
      <c r="C167" s="77"/>
      <c r="D167" s="77"/>
      <c r="E167" s="77"/>
      <c r="F167" s="77"/>
      <c r="G167" s="77"/>
      <c r="H167" s="77"/>
      <c r="I167" s="77"/>
      <c r="J167" s="77"/>
      <c r="K167" s="77"/>
      <c r="L167" s="83" t="s">
        <v>1816</v>
      </c>
      <c r="M167" s="83"/>
      <c r="N167" s="83"/>
      <c r="O167" s="83"/>
      <c r="P167" s="83"/>
      <c r="Q167" s="77"/>
      <c r="R167" s="96" t="s">
        <v>1819</v>
      </c>
      <c r="S167" s="77"/>
    </row>
    <row r="168" spans="2:19" ht="3" customHeight="1" x14ac:dyDescent="0.2">
      <c r="B168" s="83"/>
      <c r="C168" s="77"/>
      <c r="D168" s="77"/>
      <c r="E168" s="77"/>
      <c r="F168" s="77"/>
      <c r="G168" s="77"/>
      <c r="H168" s="77"/>
      <c r="I168" s="77"/>
      <c r="J168" s="77"/>
      <c r="K168" s="77"/>
      <c r="L168" s="77"/>
      <c r="M168" s="77"/>
      <c r="N168" s="77"/>
      <c r="O168" s="77"/>
      <c r="P168" s="77"/>
      <c r="Q168" s="77"/>
      <c r="R168" s="77"/>
      <c r="S168" s="77"/>
    </row>
    <row r="169" spans="2:19" ht="15" x14ac:dyDescent="0.25">
      <c r="B169" s="77" t="s">
        <v>1144</v>
      </c>
      <c r="C169" s="77"/>
      <c r="D169" s="77"/>
      <c r="E169" s="77"/>
      <c r="F169" s="77"/>
      <c r="G169" s="77"/>
      <c r="H169" s="77"/>
      <c r="I169" s="77"/>
      <c r="J169" s="77"/>
      <c r="K169" s="287">
        <f>EfgrGrundareal12</f>
        <v>1</v>
      </c>
      <c r="L169" s="262"/>
      <c r="M169" s="77" t="s">
        <v>85</v>
      </c>
      <c r="N169" s="77"/>
      <c r="O169" s="77"/>
      <c r="P169" s="287">
        <f>EfgrGrundareal34</f>
        <v>0</v>
      </c>
      <c r="Q169" s="262"/>
      <c r="R169" s="77" t="s">
        <v>85</v>
      </c>
      <c r="S169" s="77"/>
    </row>
    <row r="170" spans="2:19" ht="3" customHeight="1" x14ac:dyDescent="0.2">
      <c r="B170" s="77"/>
      <c r="C170" s="77"/>
      <c r="D170" s="77"/>
      <c r="E170" s="77"/>
      <c r="F170" s="77"/>
      <c r="G170" s="77"/>
      <c r="H170" s="77"/>
      <c r="I170" s="77"/>
      <c r="J170" s="77"/>
      <c r="K170" s="77"/>
      <c r="L170" s="77"/>
      <c r="M170" s="77"/>
      <c r="N170" s="77"/>
      <c r="O170" s="77"/>
      <c r="P170" s="77"/>
      <c r="Q170" s="77"/>
      <c r="R170" s="77"/>
      <c r="S170" s="77"/>
    </row>
    <row r="171" spans="2:19" ht="15" x14ac:dyDescent="0.25">
      <c r="B171" s="77" t="s">
        <v>1285</v>
      </c>
      <c r="C171" s="77"/>
      <c r="D171" s="77"/>
      <c r="E171" s="77"/>
      <c r="F171" s="77"/>
      <c r="G171" s="77"/>
      <c r="H171" s="77"/>
      <c r="I171" s="77">
        <f>IF(Regler12=1,EfgrKrav2010IaltPct12,EfgrKravIaltPct12)</f>
        <v>0</v>
      </c>
      <c r="J171" s="77" t="s">
        <v>205</v>
      </c>
      <c r="K171" s="287">
        <f>IF(Regler12=1,EfgrKrav2010Ialtha12,EfgrKravIaltHa12)</f>
        <v>0</v>
      </c>
      <c r="L171" s="262"/>
      <c r="M171" s="77" t="s">
        <v>85</v>
      </c>
      <c r="N171" s="77">
        <f>IF(Regler34=1,EfgrKrav2010IaltPct34,EfgrKravIaltPct34)</f>
        <v>0</v>
      </c>
      <c r="O171" s="77" t="s">
        <v>205</v>
      </c>
      <c r="P171" s="287">
        <f>IF(Regler34=1,EfgrKrav2010Ialtha34,EfgrKravIaltHa34)</f>
        <v>0</v>
      </c>
      <c r="Q171" s="262"/>
      <c r="R171" s="77" t="s">
        <v>85</v>
      </c>
      <c r="S171" s="77"/>
    </row>
    <row r="172" spans="2:19" ht="3" customHeight="1" x14ac:dyDescent="0.2">
      <c r="B172" s="83"/>
      <c r="C172" s="77"/>
      <c r="D172" s="77"/>
      <c r="E172" s="77"/>
      <c r="F172" s="77"/>
      <c r="G172" s="77"/>
      <c r="H172" s="77"/>
      <c r="I172" s="77"/>
      <c r="J172" s="77"/>
      <c r="K172" s="77"/>
      <c r="L172" s="77"/>
      <c r="M172" s="77"/>
      <c r="N172" s="77"/>
      <c r="O172" s="77"/>
      <c r="P172" s="77"/>
      <c r="Q172" s="77"/>
      <c r="R172" s="77"/>
      <c r="S172" s="77"/>
    </row>
    <row r="173" spans="2:19" x14ac:dyDescent="0.2">
      <c r="B173" s="77" t="s">
        <v>1737</v>
      </c>
      <c r="C173" s="77"/>
      <c r="D173" s="77"/>
      <c r="E173" s="77"/>
      <c r="F173" s="77"/>
      <c r="G173" s="77"/>
      <c r="H173" s="77"/>
      <c r="I173" s="77"/>
      <c r="J173" s="77"/>
      <c r="K173" s="77"/>
      <c r="L173" s="97">
        <f>EfgrAreal12</f>
        <v>0</v>
      </c>
      <c r="M173" s="77" t="s">
        <v>85</v>
      </c>
      <c r="N173" s="77"/>
      <c r="O173" s="77"/>
      <c r="P173" s="77"/>
      <c r="Q173" s="97">
        <f>EfgrAreal34</f>
        <v>0</v>
      </c>
      <c r="R173" s="77" t="s">
        <v>85</v>
      </c>
      <c r="S173" s="77"/>
    </row>
    <row r="174" spans="2:19" ht="3" customHeight="1" x14ac:dyDescent="0.2">
      <c r="B174" s="77"/>
      <c r="C174" s="77"/>
      <c r="D174" s="77"/>
      <c r="E174" s="77"/>
      <c r="F174" s="77"/>
      <c r="G174" s="77"/>
      <c r="H174" s="77"/>
      <c r="I174" s="77"/>
      <c r="J174" s="77"/>
      <c r="K174" s="77"/>
      <c r="L174" s="97"/>
      <c r="M174" s="77"/>
      <c r="N174" s="77"/>
      <c r="O174" s="77"/>
      <c r="P174" s="77"/>
      <c r="Q174" s="97"/>
      <c r="R174" s="77"/>
      <c r="S174" s="77"/>
    </row>
    <row r="175" spans="2:19" x14ac:dyDescent="0.2">
      <c r="B175" s="77" t="s">
        <v>1405</v>
      </c>
      <c r="C175" s="77"/>
      <c r="D175" s="77"/>
      <c r="E175" s="77"/>
      <c r="F175" s="77"/>
      <c r="G175" s="77"/>
      <c r="H175" s="77"/>
      <c r="I175" s="77"/>
      <c r="J175" s="77"/>
      <c r="K175" s="77"/>
      <c r="L175" s="97">
        <f>EfgrArealFrivillig12</f>
        <v>0</v>
      </c>
      <c r="M175" s="77" t="s">
        <v>85</v>
      </c>
      <c r="N175" s="77"/>
      <c r="O175" s="77"/>
      <c r="P175" s="77"/>
      <c r="Q175" s="97">
        <f>EfgrArealFrivillig34</f>
        <v>0</v>
      </c>
      <c r="R175" s="77" t="s">
        <v>85</v>
      </c>
      <c r="S175" s="77"/>
    </row>
    <row r="176" spans="2:19" ht="3" customHeight="1" x14ac:dyDescent="0.2">
      <c r="B176" s="77"/>
      <c r="C176" s="77"/>
      <c r="D176" s="77"/>
      <c r="E176" s="77"/>
      <c r="F176" s="77"/>
      <c r="G176" s="77"/>
      <c r="H176" s="77"/>
      <c r="I176" s="77"/>
      <c r="J176" s="77"/>
      <c r="K176" s="77"/>
      <c r="L176" s="97"/>
      <c r="M176" s="77"/>
      <c r="N176" s="77"/>
      <c r="O176" s="77"/>
      <c r="P176" s="77"/>
      <c r="Q176" s="97"/>
      <c r="R176" s="77"/>
      <c r="S176" s="77"/>
    </row>
    <row r="177" spans="2:19" ht="15" x14ac:dyDescent="0.25">
      <c r="B177" s="77" t="s">
        <v>1295</v>
      </c>
      <c r="C177" s="77"/>
      <c r="D177" s="77"/>
      <c r="E177" s="77"/>
      <c r="F177" s="77"/>
      <c r="G177" s="77"/>
      <c r="H177" s="77"/>
      <c r="I177" s="287">
        <f>MellemafgrAreal12</f>
        <v>0</v>
      </c>
      <c r="J177" s="262"/>
      <c r="K177" s="77" t="s">
        <v>85</v>
      </c>
      <c r="L177" s="97">
        <f>I177*Efgrkonst</f>
        <v>0</v>
      </c>
      <c r="M177" s="77" t="s">
        <v>85</v>
      </c>
      <c r="N177" s="287">
        <f>MellemafgrAreal34</f>
        <v>0</v>
      </c>
      <c r="O177" s="262"/>
      <c r="P177" s="77" t="s">
        <v>85</v>
      </c>
      <c r="Q177" s="97">
        <f>N177*Efgrkonst</f>
        <v>0</v>
      </c>
      <c r="R177" s="77" t="s">
        <v>85</v>
      </c>
      <c r="S177" s="77"/>
    </row>
    <row r="178" spans="2:19" ht="3" customHeight="1" x14ac:dyDescent="0.2">
      <c r="B178" s="77"/>
      <c r="C178" s="77"/>
      <c r="D178" s="77"/>
      <c r="E178" s="77"/>
      <c r="F178" s="77"/>
      <c r="G178" s="77"/>
      <c r="H178" s="77"/>
      <c r="I178" s="77"/>
      <c r="J178" s="97"/>
      <c r="K178" s="77"/>
      <c r="L178" s="97"/>
      <c r="M178" s="77"/>
      <c r="N178" s="77"/>
      <c r="O178" s="97"/>
      <c r="P178" s="77"/>
      <c r="Q178" s="97"/>
      <c r="R178" s="77"/>
      <c r="S178" s="77"/>
    </row>
    <row r="179" spans="2:19" ht="15" x14ac:dyDescent="0.25">
      <c r="B179" s="77" t="s">
        <v>1296</v>
      </c>
      <c r="C179" s="77"/>
      <c r="D179" s="77"/>
      <c r="E179" s="77"/>
      <c r="F179" s="77"/>
      <c r="G179" s="77"/>
      <c r="H179" s="77"/>
      <c r="I179" s="287">
        <f>EnergiafgrAreal12</f>
        <v>0</v>
      </c>
      <c r="J179" s="262"/>
      <c r="K179" s="77" t="s">
        <v>85</v>
      </c>
      <c r="L179" s="97">
        <f>I179*Mlafgrkonst</f>
        <v>0</v>
      </c>
      <c r="M179" s="77" t="s">
        <v>85</v>
      </c>
      <c r="N179" s="287">
        <f>EnergiafgrAreal34</f>
        <v>0</v>
      </c>
      <c r="O179" s="291"/>
      <c r="P179" s="77" t="s">
        <v>85</v>
      </c>
      <c r="Q179" s="97">
        <f>N179*Mlafgrkonst</f>
        <v>0</v>
      </c>
      <c r="R179" s="77" t="s">
        <v>85</v>
      </c>
      <c r="S179" s="77"/>
    </row>
    <row r="180" spans="2:19" ht="3" customHeight="1" x14ac:dyDescent="0.2">
      <c r="B180" s="77"/>
      <c r="C180" s="77"/>
      <c r="D180" s="77"/>
      <c r="E180" s="77"/>
      <c r="F180" s="77"/>
      <c r="G180" s="77"/>
      <c r="H180" s="77"/>
      <c r="I180" s="77"/>
      <c r="J180" s="97"/>
      <c r="K180" s="77"/>
      <c r="L180" s="97"/>
      <c r="M180" s="77"/>
      <c r="N180" s="77"/>
      <c r="O180" s="97"/>
      <c r="P180" s="77"/>
      <c r="Q180" s="97"/>
      <c r="R180" s="77"/>
      <c r="S180" s="77"/>
    </row>
    <row r="181" spans="2:19" ht="15" x14ac:dyDescent="0.25">
      <c r="B181" s="77" t="s">
        <v>1297</v>
      </c>
      <c r="C181" s="77"/>
      <c r="D181" s="77"/>
      <c r="E181" s="77"/>
      <c r="F181" s="77"/>
      <c r="G181" s="77"/>
      <c r="H181" s="77"/>
      <c r="I181" s="287">
        <f>EfgrOverfort12</f>
        <v>0</v>
      </c>
      <c r="J181" s="262"/>
      <c r="K181" s="77" t="s">
        <v>85</v>
      </c>
      <c r="L181" s="97">
        <f>EfgrOverfort12</f>
        <v>0</v>
      </c>
      <c r="M181" s="77" t="s">
        <v>85</v>
      </c>
      <c r="N181" s="287">
        <f>EfgrOverfort34</f>
        <v>0</v>
      </c>
      <c r="O181" s="262"/>
      <c r="P181" s="77" t="s">
        <v>85</v>
      </c>
      <c r="Q181" s="97">
        <f>EfgrOverfort34</f>
        <v>0</v>
      </c>
      <c r="R181" s="77" t="s">
        <v>85</v>
      </c>
      <c r="S181" s="77"/>
    </row>
    <row r="182" spans="2:19" ht="3" customHeight="1" x14ac:dyDescent="0.2">
      <c r="B182" s="77"/>
      <c r="C182" s="77"/>
      <c r="D182" s="77"/>
      <c r="E182" s="77"/>
      <c r="F182" s="77"/>
      <c r="G182" s="77"/>
      <c r="H182" s="77"/>
      <c r="I182" s="77"/>
      <c r="J182" s="77"/>
      <c r="K182" s="77"/>
      <c r="L182" s="97"/>
      <c r="M182" s="77"/>
      <c r="N182" s="77"/>
      <c r="O182" s="77"/>
      <c r="P182" s="77"/>
      <c r="Q182" s="97"/>
      <c r="R182" s="77"/>
      <c r="S182" s="77"/>
    </row>
    <row r="183" spans="2:19" ht="15" x14ac:dyDescent="0.25">
      <c r="B183" s="77" t="s">
        <v>1409</v>
      </c>
      <c r="C183" s="77"/>
      <c r="D183" s="77"/>
      <c r="E183" s="77"/>
      <c r="F183" s="77"/>
      <c r="G183" s="77"/>
      <c r="H183" s="77"/>
      <c r="I183" s="286">
        <f>Mark!M88</f>
        <v>0</v>
      </c>
      <c r="J183" s="262"/>
      <c r="K183" s="77" t="s">
        <v>82</v>
      </c>
      <c r="L183" s="97">
        <f>Mark!Q88</f>
        <v>0</v>
      </c>
      <c r="M183" s="77" t="s">
        <v>85</v>
      </c>
      <c r="N183" s="286">
        <f>Mark!M170</f>
        <v>0</v>
      </c>
      <c r="O183" s="288"/>
      <c r="P183" s="77" t="s">
        <v>82</v>
      </c>
      <c r="Q183" s="97">
        <f>Mark!Q170</f>
        <v>0</v>
      </c>
      <c r="R183" s="77" t="s">
        <v>85</v>
      </c>
      <c r="S183" s="77"/>
    </row>
    <row r="184" spans="2:19" ht="3" customHeight="1" x14ac:dyDescent="0.2">
      <c r="B184" s="77"/>
      <c r="C184" s="77"/>
      <c r="D184" s="77"/>
      <c r="E184" s="77"/>
      <c r="F184" s="77"/>
      <c r="G184" s="77"/>
      <c r="H184" s="77"/>
      <c r="I184" s="77"/>
      <c r="J184" s="77"/>
      <c r="K184" s="77"/>
      <c r="L184" s="97"/>
      <c r="M184" s="77"/>
      <c r="N184" s="77"/>
      <c r="O184" s="77"/>
      <c r="P184" s="77"/>
      <c r="Q184" s="97"/>
      <c r="R184" s="77"/>
      <c r="S184" s="77"/>
    </row>
    <row r="185" spans="2:19" x14ac:dyDescent="0.2">
      <c r="B185" s="83" t="s">
        <v>1742</v>
      </c>
      <c r="C185" s="83"/>
      <c r="D185" s="83"/>
      <c r="E185" s="83"/>
      <c r="F185" s="83"/>
      <c r="G185" s="83"/>
      <c r="H185" s="83"/>
      <c r="I185" s="83"/>
      <c r="J185" s="83"/>
      <c r="K185" s="83"/>
      <c r="L185" s="98">
        <f>L173+L177+L179+L181+L183</f>
        <v>0</v>
      </c>
      <c r="M185" s="83" t="s">
        <v>85</v>
      </c>
      <c r="N185" s="83"/>
      <c r="O185" s="83"/>
      <c r="P185" s="83"/>
      <c r="Q185" s="98">
        <f>Q173+Q177+Q179+Q181+Q183</f>
        <v>0</v>
      </c>
      <c r="R185" s="83" t="s">
        <v>85</v>
      </c>
      <c r="S185" s="77"/>
    </row>
    <row r="186" spans="2:19" ht="3" customHeight="1" x14ac:dyDescent="0.2">
      <c r="B186" s="92"/>
      <c r="C186" s="83"/>
      <c r="D186" s="83"/>
      <c r="E186" s="83"/>
      <c r="F186" s="83"/>
      <c r="G186" s="83"/>
      <c r="H186" s="83"/>
      <c r="I186" s="83"/>
      <c r="J186" s="83"/>
      <c r="K186" s="83"/>
      <c r="L186" s="98"/>
      <c r="M186" s="83"/>
      <c r="N186" s="83"/>
      <c r="O186" s="83"/>
      <c r="P186" s="83"/>
      <c r="Q186" s="98"/>
      <c r="R186" s="83"/>
      <c r="S186" s="77"/>
    </row>
    <row r="187" spans="2:19" ht="15" x14ac:dyDescent="0.25">
      <c r="B187" s="77" t="s">
        <v>1732</v>
      </c>
      <c r="C187" s="77"/>
      <c r="D187" s="77"/>
      <c r="E187" s="77"/>
      <c r="F187" s="77"/>
      <c r="G187" s="77"/>
      <c r="H187" s="77"/>
      <c r="I187" s="77"/>
      <c r="J187" s="77"/>
      <c r="K187" s="287">
        <f>L185-K171</f>
        <v>0</v>
      </c>
      <c r="L187" s="262"/>
      <c r="M187" s="77" t="s">
        <v>85</v>
      </c>
      <c r="N187" s="77"/>
      <c r="O187" s="77"/>
      <c r="P187" s="287">
        <f>Q185-P171</f>
        <v>0</v>
      </c>
      <c r="Q187" s="262"/>
      <c r="R187" s="77" t="s">
        <v>85</v>
      </c>
      <c r="S187" s="77"/>
    </row>
    <row r="188" spans="2:19" x14ac:dyDescent="0.2">
      <c r="B188" s="77"/>
      <c r="C188" s="77"/>
      <c r="D188" s="77"/>
      <c r="E188" s="77"/>
      <c r="F188" s="77"/>
      <c r="G188" s="77"/>
      <c r="H188" s="77"/>
      <c r="I188" s="77"/>
      <c r="J188" s="77"/>
      <c r="K188" s="77"/>
      <c r="L188" s="77"/>
      <c r="M188" s="77"/>
      <c r="N188" s="77"/>
      <c r="O188" s="77"/>
      <c r="P188" s="77"/>
      <c r="Q188" s="77"/>
      <c r="R188" s="77"/>
      <c r="S188" s="77"/>
    </row>
    <row r="189" spans="2:19" ht="15.75" x14ac:dyDescent="0.25">
      <c r="B189" s="113" t="s">
        <v>1713</v>
      </c>
      <c r="C189" s="82"/>
      <c r="D189" s="82"/>
      <c r="E189" s="82"/>
      <c r="F189" s="82"/>
      <c r="G189" s="82"/>
      <c r="H189" s="82"/>
      <c r="I189" s="82"/>
      <c r="J189" s="82"/>
      <c r="K189" s="82"/>
      <c r="L189" s="82"/>
      <c r="M189" s="82"/>
      <c r="N189" s="82"/>
      <c r="O189" s="82"/>
      <c r="P189" s="82"/>
      <c r="Q189" s="82"/>
      <c r="R189" s="82"/>
      <c r="S189" s="82"/>
    </row>
    <row r="190" spans="2:19" ht="9.9499999999999993" customHeight="1" x14ac:dyDescent="0.2">
      <c r="B190" s="77"/>
      <c r="C190" s="77"/>
      <c r="D190" s="77"/>
      <c r="E190" s="77"/>
      <c r="F190" s="77"/>
      <c r="G190" s="77"/>
      <c r="H190" s="77"/>
      <c r="I190" s="77"/>
      <c r="J190" s="77"/>
      <c r="K190" s="289"/>
      <c r="L190" s="289"/>
      <c r="M190" s="77"/>
      <c r="N190" s="77"/>
      <c r="O190" s="77"/>
      <c r="P190" s="77"/>
      <c r="Q190" s="77"/>
      <c r="R190" s="77"/>
      <c r="S190" s="77"/>
    </row>
    <row r="191" spans="2:19" ht="3" customHeight="1" x14ac:dyDescent="0.2">
      <c r="B191" s="83"/>
      <c r="C191" s="77"/>
      <c r="D191" s="77"/>
      <c r="E191" s="77"/>
      <c r="F191" s="77"/>
      <c r="G191" s="77"/>
      <c r="H191" s="77"/>
      <c r="I191" s="77"/>
      <c r="J191" s="77"/>
      <c r="K191" s="87"/>
      <c r="L191" s="87"/>
      <c r="M191" s="77"/>
      <c r="N191" s="77"/>
      <c r="O191" s="77"/>
      <c r="P191" s="77"/>
      <c r="Q191" s="77"/>
      <c r="R191" s="77"/>
      <c r="S191" s="77"/>
    </row>
    <row r="192" spans="2:19" x14ac:dyDescent="0.2">
      <c r="B192" s="83"/>
      <c r="C192" s="77"/>
      <c r="D192" s="77"/>
      <c r="E192" s="77"/>
      <c r="F192" s="77"/>
      <c r="G192" s="77"/>
      <c r="H192" s="77"/>
      <c r="I192" s="100" t="s">
        <v>1816</v>
      </c>
      <c r="J192" s="77"/>
      <c r="K192" s="83"/>
      <c r="L192" s="83"/>
      <c r="M192" s="100" t="s">
        <v>1819</v>
      </c>
      <c r="N192" s="77"/>
      <c r="O192" s="83"/>
      <c r="P192" s="83"/>
      <c r="Q192" s="83"/>
      <c r="R192" s="83" t="s">
        <v>1356</v>
      </c>
      <c r="S192" s="77"/>
    </row>
    <row r="193" spans="2:19" ht="3" customHeight="1" x14ac:dyDescent="0.2">
      <c r="B193" s="77"/>
      <c r="C193" s="77"/>
      <c r="D193" s="77"/>
      <c r="E193" s="77"/>
      <c r="F193" s="77"/>
      <c r="G193" s="77"/>
      <c r="H193" s="77"/>
      <c r="I193" s="77"/>
      <c r="J193" s="77"/>
      <c r="K193" s="77"/>
      <c r="L193" s="77"/>
      <c r="M193" s="77"/>
      <c r="N193" s="77"/>
      <c r="O193" s="77"/>
      <c r="P193" s="77"/>
      <c r="Q193" s="77"/>
      <c r="R193" s="77"/>
      <c r="S193" s="77"/>
    </row>
    <row r="194" spans="2:19" x14ac:dyDescent="0.2">
      <c r="B194" s="77" t="s">
        <v>1714</v>
      </c>
      <c r="C194" s="77"/>
      <c r="D194" s="77"/>
      <c r="E194" s="77"/>
      <c r="F194" s="77"/>
      <c r="G194" s="77"/>
      <c r="H194" s="77"/>
      <c r="I194" s="286">
        <f>Jordlejeomk12</f>
        <v>0</v>
      </c>
      <c r="J194" s="286"/>
      <c r="K194" s="77" t="str">
        <f>IF(I194&lt;&gt;"","kr.","")</f>
        <v>kr.</v>
      </c>
      <c r="L194" s="87"/>
      <c r="M194" s="286">
        <f>Jordlejeomk34</f>
        <v>0</v>
      </c>
      <c r="N194" s="286"/>
      <c r="O194" s="77" t="str">
        <f>IF(M194&lt;&gt;"","kr.","")</f>
        <v>kr.</v>
      </c>
      <c r="P194" s="77"/>
      <c r="Q194" s="286">
        <f>-(I194-M194)</f>
        <v>0</v>
      </c>
      <c r="R194" s="286"/>
      <c r="S194" s="77" t="str">
        <f>IF(Q194&lt;&gt;"","kr.","")</f>
        <v>kr.</v>
      </c>
    </row>
    <row r="195" spans="2:19" ht="3" customHeight="1" x14ac:dyDescent="0.2">
      <c r="B195" s="77"/>
      <c r="C195" s="77"/>
      <c r="D195" s="77"/>
      <c r="E195" s="77"/>
      <c r="F195" s="77"/>
      <c r="G195" s="77"/>
      <c r="H195" s="77"/>
      <c r="I195" s="77"/>
      <c r="J195" s="77"/>
      <c r="K195" s="77"/>
      <c r="L195" s="77"/>
      <c r="M195" s="77"/>
      <c r="N195" s="77"/>
      <c r="O195" s="77"/>
      <c r="P195" s="77"/>
      <c r="Q195" s="77"/>
      <c r="R195" s="77"/>
      <c r="S195" s="77"/>
    </row>
    <row r="196" spans="2:19" x14ac:dyDescent="0.2">
      <c r="B196" s="77" t="s">
        <v>1715</v>
      </c>
      <c r="C196" s="77"/>
      <c r="D196" s="77"/>
      <c r="E196" s="77"/>
      <c r="F196" s="77"/>
      <c r="G196" s="77"/>
      <c r="H196" s="77"/>
      <c r="I196" s="286">
        <f>GylleTranspEkstra12</f>
        <v>0</v>
      </c>
      <c r="J196" s="286"/>
      <c r="K196" s="77" t="str">
        <f>IF(I196&lt;&gt;"","kr.","")</f>
        <v>kr.</v>
      </c>
      <c r="L196" s="87"/>
      <c r="M196" s="286">
        <f>GylleTranspEkstra34</f>
        <v>0</v>
      </c>
      <c r="N196" s="286"/>
      <c r="O196" s="77" t="str">
        <f>IF(M196&lt;&gt;"","kr.","")</f>
        <v>kr.</v>
      </c>
      <c r="P196" s="77"/>
      <c r="Q196" s="286">
        <f>-(I196-M196)</f>
        <v>0</v>
      </c>
      <c r="R196" s="286"/>
      <c r="S196" s="77" t="str">
        <f>IF(Q196&lt;&gt;"","kr.","")</f>
        <v>kr.</v>
      </c>
    </row>
    <row r="197" spans="2:19" ht="3" customHeight="1" x14ac:dyDescent="0.2">
      <c r="B197" s="77"/>
      <c r="C197" s="77"/>
      <c r="D197" s="77"/>
      <c r="E197" s="77"/>
      <c r="F197" s="77"/>
      <c r="G197" s="77"/>
      <c r="H197" s="77"/>
      <c r="I197" s="77"/>
      <c r="J197" s="77"/>
      <c r="K197" s="77"/>
      <c r="L197" s="77"/>
      <c r="M197" s="77"/>
      <c r="N197" s="77"/>
      <c r="O197" s="77"/>
      <c r="P197" s="77"/>
      <c r="Q197" s="77"/>
      <c r="R197" s="77"/>
      <c r="S197" s="77"/>
    </row>
    <row r="198" spans="2:19" x14ac:dyDescent="0.2">
      <c r="B198" s="83" t="s">
        <v>1716</v>
      </c>
      <c r="C198" s="83"/>
      <c r="D198" s="83"/>
      <c r="E198" s="83"/>
      <c r="F198" s="83"/>
      <c r="G198" s="83"/>
      <c r="H198" s="83"/>
      <c r="I198" s="290">
        <f>I194+I196</f>
        <v>0</v>
      </c>
      <c r="J198" s="290"/>
      <c r="K198" s="83" t="str">
        <f>IF(I198&lt;&gt;"","kr.","")</f>
        <v>kr.</v>
      </c>
      <c r="L198" s="83"/>
      <c r="M198" s="290">
        <f>M194+M196</f>
        <v>0</v>
      </c>
      <c r="N198" s="290"/>
      <c r="O198" s="83" t="str">
        <f>IF(M198&lt;&gt;"","kr.","")</f>
        <v>kr.</v>
      </c>
      <c r="P198" s="83"/>
      <c r="Q198" s="290">
        <f>-(I198-M198)</f>
        <v>0</v>
      </c>
      <c r="R198" s="290"/>
      <c r="S198" s="83" t="str">
        <f>IF(Q198&lt;&gt;"","kr.","")</f>
        <v>kr.</v>
      </c>
    </row>
    <row r="199" spans="2:19" x14ac:dyDescent="0.2">
      <c r="B199" s="77"/>
      <c r="C199" s="77"/>
      <c r="D199" s="77"/>
      <c r="E199" s="77"/>
      <c r="F199" s="77"/>
      <c r="G199" s="77"/>
      <c r="H199" s="77"/>
      <c r="I199" s="77"/>
      <c r="J199" s="77"/>
      <c r="K199" s="77"/>
      <c r="L199" s="77"/>
      <c r="M199" s="77"/>
      <c r="N199" s="77"/>
      <c r="O199" s="77"/>
      <c r="P199" s="77"/>
      <c r="Q199" s="77"/>
      <c r="R199" s="77"/>
      <c r="S199" s="77"/>
    </row>
    <row r="200" spans="2:19" x14ac:dyDescent="0.2">
      <c r="B200" s="77"/>
      <c r="C200" s="77"/>
      <c r="D200" s="77"/>
      <c r="E200" s="77"/>
      <c r="F200" s="77"/>
      <c r="G200" s="77"/>
      <c r="H200" s="77"/>
      <c r="I200" s="77"/>
      <c r="J200" s="77"/>
      <c r="K200" s="77"/>
      <c r="L200" s="77"/>
      <c r="M200" s="77"/>
      <c r="N200" s="77"/>
      <c r="O200" s="77"/>
      <c r="P200" s="77"/>
      <c r="Q200" s="77"/>
      <c r="R200" s="77"/>
      <c r="S200" s="77"/>
    </row>
    <row r="201" spans="2:19" ht="12.75" customHeight="1" x14ac:dyDescent="0.25">
      <c r="B201" s="126"/>
      <c r="C201" s="90"/>
      <c r="D201" s="90"/>
      <c r="E201" s="90"/>
      <c r="F201" s="90"/>
      <c r="G201" s="90"/>
      <c r="H201" s="90"/>
      <c r="I201" s="90"/>
      <c r="J201" s="90"/>
      <c r="K201" s="90"/>
      <c r="L201" s="90"/>
      <c r="M201" s="90"/>
      <c r="N201" s="90"/>
      <c r="O201" s="90"/>
      <c r="P201" s="90"/>
      <c r="Q201" s="90"/>
      <c r="R201" s="90"/>
      <c r="S201" s="127"/>
    </row>
    <row r="202" spans="2:19" x14ac:dyDescent="0.2">
      <c r="B202" s="77"/>
      <c r="C202" s="77"/>
      <c r="D202" s="77"/>
      <c r="E202" s="77"/>
      <c r="F202" s="77"/>
      <c r="G202" s="77"/>
      <c r="H202" s="77"/>
      <c r="I202" s="77"/>
      <c r="J202" s="77"/>
      <c r="K202" s="77"/>
      <c r="L202" s="77"/>
      <c r="M202" s="77"/>
      <c r="N202" s="77"/>
      <c r="O202" s="77"/>
      <c r="P202" s="77"/>
      <c r="Q202" s="77"/>
      <c r="R202" s="77"/>
      <c r="S202" s="77"/>
    </row>
    <row r="203" spans="2:19" ht="12.75" customHeight="1" x14ac:dyDescent="0.2">
      <c r="B203" s="77" t="str">
        <f>IF(Mark!$E$5="","",Mark!$E$5)</f>
        <v/>
      </c>
      <c r="C203" s="77"/>
      <c r="D203" s="77"/>
      <c r="E203" s="77"/>
      <c r="F203" s="77"/>
      <c r="G203" s="77"/>
      <c r="H203" s="77"/>
      <c r="I203" s="77"/>
      <c r="J203" s="77"/>
      <c r="K203" s="77"/>
      <c r="L203" s="77"/>
      <c r="M203" s="77"/>
      <c r="N203" s="77"/>
      <c r="O203" s="77"/>
      <c r="P203" s="77"/>
      <c r="Q203" s="77"/>
      <c r="R203" s="77"/>
      <c r="S203" s="77"/>
    </row>
    <row r="204" spans="2:19" x14ac:dyDescent="0.2">
      <c r="B204" s="77" t="str">
        <f>IF(Mark!$M$5="","",Mark!$M$5)</f>
        <v/>
      </c>
      <c r="C204" s="77"/>
      <c r="D204" s="77"/>
      <c r="E204" s="77"/>
      <c r="F204" s="77"/>
      <c r="G204" s="77"/>
      <c r="H204" s="77"/>
      <c r="I204" s="77"/>
      <c r="J204" s="77"/>
      <c r="K204" s="77"/>
      <c r="L204" s="77"/>
      <c r="M204" s="77"/>
      <c r="N204" s="77"/>
      <c r="O204" s="77"/>
      <c r="P204" s="77"/>
      <c r="Q204" s="77"/>
      <c r="R204" s="77"/>
      <c r="S204" s="77"/>
    </row>
    <row r="205" spans="2:19" x14ac:dyDescent="0.2">
      <c r="B205" s="99">
        <f>IF(Postnr="","",Postnr)</f>
        <v>8382</v>
      </c>
      <c r="C205" s="77" t="str">
        <f>Mark!$T$5</f>
        <v>Hinnerup</v>
      </c>
      <c r="D205" s="77"/>
      <c r="E205" s="99" t="str">
        <f>IF(Postnr="","Postnr skal udfyldes i Mark","")</f>
        <v/>
      </c>
      <c r="F205" s="77"/>
      <c r="G205" s="77"/>
      <c r="H205" s="77"/>
      <c r="I205" s="77"/>
      <c r="J205" s="77"/>
      <c r="K205" s="77"/>
      <c r="L205" s="77"/>
      <c r="M205" s="77"/>
      <c r="N205" s="77"/>
      <c r="O205" s="77"/>
      <c r="P205" s="77"/>
      <c r="Q205" s="77"/>
      <c r="R205" s="77"/>
      <c r="S205" s="77"/>
    </row>
    <row r="206" spans="2:19" x14ac:dyDescent="0.2">
      <c r="B206" s="77"/>
      <c r="C206" s="77"/>
      <c r="D206" s="77"/>
      <c r="E206" s="77"/>
      <c r="F206" s="77"/>
      <c r="G206" s="77"/>
      <c r="H206" s="77"/>
      <c r="I206" s="77"/>
      <c r="J206" s="77"/>
      <c r="K206" s="77"/>
      <c r="L206" s="77"/>
      <c r="M206" s="77"/>
      <c r="N206" s="77"/>
      <c r="O206" s="77"/>
      <c r="P206" s="77"/>
      <c r="Q206" s="77"/>
      <c r="R206" s="77"/>
      <c r="S206" s="77"/>
    </row>
    <row r="207" spans="2:19" ht="15.75" x14ac:dyDescent="0.25">
      <c r="B207" s="113" t="s">
        <v>1435</v>
      </c>
      <c r="C207" s="82"/>
      <c r="D207" s="82"/>
      <c r="E207" s="82"/>
      <c r="F207" s="82"/>
      <c r="G207" s="82"/>
      <c r="H207" s="82"/>
      <c r="I207" s="82"/>
      <c r="J207" s="82"/>
      <c r="K207" s="82"/>
      <c r="L207" s="82"/>
      <c r="M207" s="82"/>
      <c r="N207" s="82"/>
      <c r="O207" s="82"/>
      <c r="P207" s="82"/>
      <c r="Q207" s="82"/>
      <c r="R207" s="82"/>
      <c r="S207" s="82"/>
    </row>
    <row r="208" spans="2:19" ht="8.1" customHeight="1" x14ac:dyDescent="0.2">
      <c r="B208" s="77"/>
      <c r="C208" s="77"/>
      <c r="D208" s="77"/>
      <c r="E208" s="77"/>
      <c r="F208" s="77"/>
      <c r="G208" s="77"/>
      <c r="H208" s="77"/>
      <c r="I208" s="77"/>
      <c r="J208" s="77"/>
      <c r="K208" s="77"/>
      <c r="L208" s="77"/>
      <c r="M208" s="77"/>
      <c r="N208" s="77"/>
      <c r="O208" s="83"/>
      <c r="P208" s="77"/>
      <c r="Q208" s="77"/>
      <c r="R208" s="77"/>
      <c r="S208" s="77"/>
    </row>
    <row r="209" spans="2:27" ht="3" customHeight="1" x14ac:dyDescent="0.2">
      <c r="B209" s="77"/>
      <c r="C209" s="77"/>
      <c r="D209" s="77"/>
      <c r="E209" s="77"/>
      <c r="F209" s="77"/>
      <c r="G209" s="77"/>
      <c r="H209" s="77"/>
      <c r="I209" s="77"/>
      <c r="J209" s="77"/>
      <c r="K209" s="77"/>
      <c r="L209" s="77"/>
      <c r="M209" s="77"/>
      <c r="N209" s="77"/>
      <c r="O209" s="77"/>
      <c r="P209" s="77"/>
      <c r="Q209" s="77"/>
      <c r="R209" s="77"/>
      <c r="S209" s="77"/>
    </row>
    <row r="210" spans="2:27" ht="15" x14ac:dyDescent="0.25">
      <c r="B210" s="77" t="s">
        <v>1183</v>
      </c>
      <c r="C210" s="77"/>
      <c r="D210" s="77"/>
      <c r="E210" s="286">
        <f>Husdyr!F19</f>
        <v>0</v>
      </c>
      <c r="F210" s="262"/>
      <c r="G210" s="77" t="s">
        <v>1184</v>
      </c>
      <c r="H210" s="77"/>
      <c r="I210" s="77"/>
      <c r="J210" s="77"/>
      <c r="K210" s="77"/>
      <c r="L210" s="77"/>
      <c r="M210" s="286">
        <f>Husdyr!AK19</f>
        <v>0</v>
      </c>
      <c r="N210" s="291"/>
      <c r="O210" s="77" t="s">
        <v>1428</v>
      </c>
      <c r="P210" s="88"/>
      <c r="Q210" s="77"/>
      <c r="R210" s="77"/>
      <c r="S210" s="77"/>
    </row>
    <row r="211" spans="2:27" ht="3" customHeight="1" x14ac:dyDescent="0.2">
      <c r="B211" s="77"/>
      <c r="C211" s="77"/>
      <c r="D211" s="77"/>
      <c r="E211" s="77"/>
      <c r="F211" s="77"/>
      <c r="G211" s="77"/>
      <c r="H211" s="77"/>
      <c r="I211" s="77"/>
      <c r="J211" s="77"/>
      <c r="K211" s="77"/>
      <c r="L211" s="77"/>
      <c r="M211" s="77"/>
      <c r="N211" s="77"/>
      <c r="O211" s="77"/>
      <c r="P211" s="77"/>
      <c r="Q211" s="77"/>
      <c r="R211" s="77"/>
      <c r="S211" s="77"/>
    </row>
    <row r="212" spans="2:27" ht="15" x14ac:dyDescent="0.25">
      <c r="B212" s="77" t="s">
        <v>1185</v>
      </c>
      <c r="C212" s="77"/>
      <c r="D212" s="77"/>
      <c r="E212" s="286">
        <f>Husdyr!F21</f>
        <v>0</v>
      </c>
      <c r="F212" s="291"/>
      <c r="G212" s="77" t="s">
        <v>1186</v>
      </c>
      <c r="H212" s="77">
        <f>Husdyr!J21</f>
        <v>7.4</v>
      </c>
      <c r="I212" s="77" t="s">
        <v>192</v>
      </c>
      <c r="J212" s="77">
        <f>Husdyr!L21</f>
        <v>32</v>
      </c>
      <c r="K212" s="77" t="s">
        <v>192</v>
      </c>
      <c r="L212" s="77"/>
      <c r="M212" s="286">
        <f>Husdyr!AK21</f>
        <v>0</v>
      </c>
      <c r="N212" s="291"/>
      <c r="O212" s="77" t="s">
        <v>1427</v>
      </c>
      <c r="P212" s="88"/>
      <c r="Q212" s="77"/>
      <c r="R212" s="77"/>
      <c r="S212" s="77"/>
    </row>
    <row r="213" spans="2:27" ht="3" customHeight="1" x14ac:dyDescent="0.2">
      <c r="B213" s="77"/>
      <c r="C213" s="77"/>
      <c r="D213" s="77"/>
      <c r="E213" s="77"/>
      <c r="F213" s="77"/>
      <c r="G213" s="77"/>
      <c r="H213" s="77"/>
      <c r="I213" s="77"/>
      <c r="J213" s="77"/>
      <c r="K213" s="77"/>
      <c r="L213" s="77"/>
      <c r="M213" s="77"/>
      <c r="N213" s="77"/>
      <c r="O213" s="77"/>
      <c r="P213" s="77"/>
      <c r="Q213" s="77"/>
      <c r="R213" s="77"/>
      <c r="S213" s="77"/>
    </row>
    <row r="214" spans="2:27" ht="15" x14ac:dyDescent="0.25">
      <c r="B214" s="77" t="s">
        <v>1190</v>
      </c>
      <c r="C214" s="77"/>
      <c r="D214" s="77"/>
      <c r="E214" s="286">
        <f>Husdyr!F23</f>
        <v>0</v>
      </c>
      <c r="F214" s="291"/>
      <c r="G214" s="77" t="s">
        <v>1186</v>
      </c>
      <c r="H214" s="77">
        <f>Husdyr!J23</f>
        <v>32</v>
      </c>
      <c r="I214" s="77" t="s">
        <v>192</v>
      </c>
      <c r="J214" s="77">
        <f>Husdyr!L23</f>
        <v>107</v>
      </c>
      <c r="K214" s="77" t="s">
        <v>192</v>
      </c>
      <c r="L214" s="77"/>
      <c r="M214" s="286">
        <f>Husdyr!AK23</f>
        <v>0</v>
      </c>
      <c r="N214" s="291"/>
      <c r="O214" s="77" t="s">
        <v>1427</v>
      </c>
      <c r="P214" s="88"/>
      <c r="Q214" s="77"/>
      <c r="R214" s="77"/>
      <c r="S214" s="77"/>
    </row>
    <row r="215" spans="2:27" ht="3" customHeight="1" x14ac:dyDescent="0.2">
      <c r="B215" s="77"/>
      <c r="C215" s="77"/>
      <c r="D215" s="77"/>
      <c r="E215" s="77"/>
      <c r="F215" s="77"/>
      <c r="G215" s="77"/>
      <c r="H215" s="77"/>
      <c r="I215" s="77"/>
      <c r="J215" s="77"/>
      <c r="K215" s="77"/>
      <c r="L215" s="77"/>
      <c r="M215" s="77"/>
      <c r="N215" s="77"/>
      <c r="O215" s="77"/>
      <c r="P215" s="77"/>
      <c r="Q215" s="77"/>
      <c r="R215" s="77"/>
      <c r="S215" s="77"/>
    </row>
    <row r="216" spans="2:27" ht="15" x14ac:dyDescent="0.25">
      <c r="B216" s="83" t="s">
        <v>1430</v>
      </c>
      <c r="C216" s="77"/>
      <c r="D216" s="77"/>
      <c r="E216" s="77"/>
      <c r="F216" s="77"/>
      <c r="G216" s="77"/>
      <c r="H216" s="77"/>
      <c r="I216" s="77"/>
      <c r="J216" s="77"/>
      <c r="K216" s="77"/>
      <c r="L216" s="77"/>
      <c r="M216" s="290">
        <f>FoderkornBehovFEsvIalt</f>
        <v>0</v>
      </c>
      <c r="N216" s="291"/>
      <c r="O216" s="83" t="s">
        <v>1427</v>
      </c>
      <c r="P216" s="94"/>
      <c r="Q216" s="290">
        <f>FoderkornBehovHkgIalt</f>
        <v>0</v>
      </c>
      <c r="R216" s="290"/>
      <c r="S216" s="83" t="s">
        <v>46</v>
      </c>
    </row>
    <row r="217" spans="2:27" x14ac:dyDescent="0.2">
      <c r="B217" s="77"/>
      <c r="C217" s="77"/>
      <c r="D217" s="77"/>
      <c r="E217" s="77"/>
      <c r="F217" s="77"/>
      <c r="G217" s="77"/>
      <c r="H217" s="77"/>
      <c r="I217" s="77"/>
      <c r="J217" s="77"/>
      <c r="K217" s="77"/>
      <c r="L217" s="77"/>
      <c r="M217" s="77"/>
      <c r="N217" s="77"/>
      <c r="O217" s="77"/>
      <c r="P217" s="77"/>
      <c r="Q217" s="77"/>
      <c r="R217" s="77"/>
      <c r="S217" s="77"/>
    </row>
    <row r="218" spans="2:27" x14ac:dyDescent="0.2">
      <c r="B218" s="77" t="s">
        <v>1431</v>
      </c>
      <c r="C218" s="77"/>
      <c r="D218" s="77"/>
      <c r="E218" s="303" t="str">
        <f>IF(G218="","",VLOOKUP(Husdyr!AJ46,Kvaegrace,2))</f>
        <v/>
      </c>
      <c r="F218" s="303"/>
      <c r="G218" s="289" t="str">
        <f>IF(Husdyr!H46&gt;0,Husdyr!H46,"")</f>
        <v/>
      </c>
      <c r="H218" s="289"/>
      <c r="I218" s="77" t="str">
        <f>IF(G218="","","årskøer inkl. opdræt")</f>
        <v/>
      </c>
      <c r="J218" s="77"/>
      <c r="K218" s="77"/>
      <c r="L218" s="77"/>
      <c r="M218" s="77"/>
      <c r="N218" s="77"/>
      <c r="O218" s="77"/>
      <c r="P218" s="77"/>
      <c r="Q218" s="77"/>
      <c r="R218" s="77"/>
      <c r="S218" s="77"/>
    </row>
    <row r="219" spans="2:27" ht="3" customHeight="1" x14ac:dyDescent="0.2">
      <c r="B219" s="77"/>
      <c r="C219" s="77"/>
      <c r="D219" s="77"/>
      <c r="E219" s="77"/>
      <c r="F219" s="77"/>
      <c r="G219" s="77"/>
      <c r="H219" s="77"/>
      <c r="I219" s="77"/>
      <c r="J219" s="77"/>
      <c r="K219" s="77"/>
      <c r="L219" s="77"/>
      <c r="M219" s="77"/>
      <c r="N219" s="77"/>
      <c r="O219" s="77"/>
      <c r="P219" s="77"/>
      <c r="Q219" s="77"/>
      <c r="R219" s="77"/>
      <c r="S219" s="77"/>
    </row>
    <row r="220" spans="2:27" ht="15" x14ac:dyDescent="0.25">
      <c r="B220" s="12" t="s">
        <v>1208</v>
      </c>
      <c r="C220" s="77"/>
      <c r="D220" s="77"/>
      <c r="E220" s="77"/>
      <c r="F220" s="77"/>
      <c r="G220" s="77"/>
      <c r="H220" s="77"/>
      <c r="I220" s="77"/>
      <c r="J220" s="77"/>
      <c r="K220" s="77"/>
      <c r="L220" s="77"/>
      <c r="M220" s="286">
        <f>IF(Husdyr!I50&lt;&gt;"",Husdyr!I50,Husdyr!F50)</f>
        <v>0</v>
      </c>
      <c r="N220" s="291"/>
      <c r="O220" s="77" t="s">
        <v>37</v>
      </c>
      <c r="P220" s="88"/>
      <c r="Q220" s="77"/>
      <c r="R220" s="77"/>
      <c r="S220" s="77"/>
      <c r="AA220" s="81"/>
    </row>
    <row r="221" spans="2:27" ht="3" customHeight="1" x14ac:dyDescent="0.25">
      <c r="B221" s="12"/>
      <c r="C221" s="77"/>
      <c r="D221" s="77"/>
      <c r="E221" s="77"/>
      <c r="F221" s="77"/>
      <c r="G221" s="77"/>
      <c r="H221" s="77"/>
      <c r="I221" s="77"/>
      <c r="J221" s="77"/>
      <c r="K221" s="77"/>
      <c r="L221" s="77"/>
      <c r="M221" s="77"/>
      <c r="N221" s="77"/>
      <c r="O221" s="77"/>
      <c r="P221" s="77"/>
      <c r="Q221" s="77"/>
      <c r="R221" s="77"/>
      <c r="S221" s="77"/>
    </row>
    <row r="222" spans="2:27" ht="15" x14ac:dyDescent="0.25">
      <c r="B222" s="12" t="s">
        <v>1194</v>
      </c>
      <c r="C222" s="77"/>
      <c r="D222" s="77"/>
      <c r="E222" s="77"/>
      <c r="F222" s="77"/>
      <c r="G222" s="77"/>
      <c r="H222" s="77"/>
      <c r="I222" s="77"/>
      <c r="J222" s="77"/>
      <c r="K222" s="77"/>
      <c r="L222" s="77"/>
      <c r="M222" s="286">
        <f>IF(Husdyr!I52&lt;&gt;"",Husdyr!I52,Husdyr!F52)</f>
        <v>0</v>
      </c>
      <c r="N222" s="291"/>
      <c r="O222" s="77" t="s">
        <v>37</v>
      </c>
      <c r="P222" s="88"/>
      <c r="Q222" s="77"/>
      <c r="R222" s="77"/>
      <c r="S222" s="77"/>
      <c r="AA222" s="81"/>
    </row>
    <row r="223" spans="2:27" ht="3" customHeight="1" x14ac:dyDescent="0.2">
      <c r="B223" s="77"/>
      <c r="C223" s="77"/>
      <c r="D223" s="77"/>
      <c r="E223" s="77"/>
      <c r="F223" s="77"/>
      <c r="G223" s="77"/>
      <c r="H223" s="77"/>
      <c r="I223" s="77"/>
      <c r="J223" s="77"/>
      <c r="K223" s="77"/>
      <c r="L223" s="77"/>
      <c r="M223" s="77"/>
      <c r="N223" s="77"/>
      <c r="O223" s="77"/>
      <c r="P223" s="77"/>
      <c r="Q223" s="77"/>
      <c r="R223" s="77"/>
      <c r="S223" s="77"/>
    </row>
    <row r="224" spans="2:27" ht="15" x14ac:dyDescent="0.25">
      <c r="B224" s="77" t="s">
        <v>1246</v>
      </c>
      <c r="C224" s="77"/>
      <c r="D224" s="77"/>
      <c r="E224" s="77"/>
      <c r="F224" s="77"/>
      <c r="G224" s="77"/>
      <c r="H224" s="77"/>
      <c r="I224" s="77"/>
      <c r="J224" s="77"/>
      <c r="K224" s="77"/>
      <c r="L224" s="77"/>
      <c r="M224" s="286">
        <f>IF(Husdyr!I54&lt;&gt;"",Husdyr!I54,Husdyr!F54)</f>
        <v>0</v>
      </c>
      <c r="N224" s="291"/>
      <c r="O224" s="77" t="s">
        <v>37</v>
      </c>
      <c r="P224" s="88"/>
      <c r="Q224" s="77"/>
      <c r="R224" s="77"/>
      <c r="S224" s="77"/>
    </row>
    <row r="225" spans="2:19" ht="3" customHeight="1" x14ac:dyDescent="0.2">
      <c r="B225" s="77"/>
      <c r="C225" s="77"/>
      <c r="D225" s="77"/>
      <c r="E225" s="77"/>
      <c r="F225" s="77"/>
      <c r="G225" s="77"/>
      <c r="H225" s="77"/>
      <c r="I225" s="77"/>
      <c r="J225" s="77"/>
      <c r="K225" s="77"/>
      <c r="L225" s="77"/>
      <c r="M225" s="77"/>
      <c r="N225" s="77"/>
      <c r="O225" s="77"/>
      <c r="P225" s="77"/>
      <c r="Q225" s="77"/>
      <c r="R225" s="77"/>
      <c r="S225" s="77"/>
    </row>
    <row r="226" spans="2:19" ht="15" x14ac:dyDescent="0.25">
      <c r="B226" s="83" t="s">
        <v>1432</v>
      </c>
      <c r="C226" s="77"/>
      <c r="D226" s="77"/>
      <c r="E226" s="77"/>
      <c r="F226" s="77"/>
      <c r="G226" s="77"/>
      <c r="H226" s="77"/>
      <c r="I226" s="77"/>
      <c r="J226" s="77"/>
      <c r="K226" s="77"/>
      <c r="L226" s="77"/>
      <c r="M226" s="290">
        <f>GrovfoderBehovFEIalt</f>
        <v>0</v>
      </c>
      <c r="N226" s="291"/>
      <c r="O226" s="83" t="s">
        <v>37</v>
      </c>
      <c r="P226" s="95"/>
      <c r="Q226" s="77"/>
      <c r="R226" s="77"/>
      <c r="S226" s="77"/>
    </row>
    <row r="227" spans="2:19" ht="3" customHeight="1" x14ac:dyDescent="0.2">
      <c r="B227" s="77"/>
      <c r="C227" s="77"/>
      <c r="D227" s="77"/>
      <c r="E227" s="77"/>
      <c r="F227" s="77"/>
      <c r="G227" s="77"/>
      <c r="H227" s="77"/>
      <c r="I227" s="77"/>
      <c r="J227" s="77"/>
      <c r="K227" s="77"/>
      <c r="L227" s="77"/>
      <c r="M227" s="77"/>
      <c r="N227" s="77"/>
      <c r="O227" s="77"/>
      <c r="P227" s="77"/>
      <c r="Q227" s="77"/>
      <c r="R227" s="77"/>
      <c r="S227" s="77"/>
    </row>
    <row r="228" spans="2:19" ht="15" x14ac:dyDescent="0.25">
      <c r="B228" s="12" t="s">
        <v>1192</v>
      </c>
      <c r="C228" s="77"/>
      <c r="D228" s="77"/>
      <c r="E228" s="77"/>
      <c r="F228" s="77"/>
      <c r="G228" s="77"/>
      <c r="H228" s="77"/>
      <c r="I228" s="77"/>
      <c r="J228" s="77"/>
      <c r="K228" s="77"/>
      <c r="L228" s="77"/>
      <c r="M228" s="286">
        <f>BygValsetBehovFEIalt</f>
        <v>0</v>
      </c>
      <c r="N228" s="304"/>
      <c r="O228" s="77" t="s">
        <v>37</v>
      </c>
      <c r="P228" s="77"/>
      <c r="Q228" s="286">
        <f>BygValsetBehovHkgIalt</f>
        <v>0</v>
      </c>
      <c r="R228" s="304"/>
      <c r="S228" s="77" t="s">
        <v>46</v>
      </c>
    </row>
    <row r="229" spans="2:19" x14ac:dyDescent="0.2">
      <c r="B229" s="77"/>
      <c r="C229" s="77"/>
      <c r="D229" s="77"/>
      <c r="E229" s="77"/>
      <c r="F229" s="77"/>
      <c r="G229" s="77"/>
      <c r="H229" s="77"/>
      <c r="I229" s="77"/>
      <c r="J229" s="77"/>
      <c r="K229" s="77"/>
      <c r="L229" s="77"/>
      <c r="M229" s="77"/>
      <c r="N229" s="77"/>
      <c r="O229" s="77"/>
      <c r="P229" s="77"/>
      <c r="Q229" s="77"/>
      <c r="R229" s="77"/>
      <c r="S229" s="77"/>
    </row>
    <row r="230" spans="2:19" ht="15.75" x14ac:dyDescent="0.25">
      <c r="B230" s="113" t="s">
        <v>1173</v>
      </c>
      <c r="C230" s="82"/>
      <c r="D230" s="82"/>
      <c r="E230" s="82"/>
      <c r="F230" s="82"/>
      <c r="G230" s="82"/>
      <c r="H230" s="82"/>
      <c r="I230" s="82"/>
      <c r="J230" s="82"/>
      <c r="K230" s="82"/>
      <c r="L230" s="82"/>
      <c r="M230" s="82"/>
      <c r="N230" s="82"/>
      <c r="O230" s="82"/>
      <c r="P230" s="82"/>
      <c r="Q230" s="82"/>
      <c r="R230" s="82"/>
      <c r="S230" s="82"/>
    </row>
    <row r="231" spans="2:19" ht="9.9499999999999993" customHeight="1" x14ac:dyDescent="0.2">
      <c r="B231" s="77"/>
      <c r="C231" s="77"/>
      <c r="D231" s="77"/>
      <c r="E231" s="77"/>
      <c r="F231" s="77"/>
      <c r="G231" s="77"/>
      <c r="H231" s="77"/>
      <c r="I231" s="77"/>
      <c r="J231" s="77"/>
      <c r="K231" s="77"/>
      <c r="L231" s="77"/>
      <c r="M231" s="77"/>
      <c r="N231" s="77"/>
      <c r="O231" s="77"/>
      <c r="P231" s="77"/>
      <c r="Q231" s="77"/>
      <c r="R231" s="77"/>
      <c r="S231" s="77"/>
    </row>
    <row r="232" spans="2:19" x14ac:dyDescent="0.2">
      <c r="B232" s="77"/>
      <c r="C232" s="77"/>
      <c r="D232" s="77"/>
      <c r="E232" s="77"/>
      <c r="F232" s="77"/>
      <c r="G232" s="77"/>
      <c r="H232" s="77"/>
      <c r="I232" s="77"/>
      <c r="J232" s="77"/>
      <c r="K232" s="130" t="s">
        <v>1816</v>
      </c>
      <c r="L232" s="83"/>
      <c r="M232" s="83"/>
      <c r="N232" s="77"/>
      <c r="O232" s="130" t="s">
        <v>1819</v>
      </c>
      <c r="P232" s="83"/>
      <c r="Q232" s="83"/>
      <c r="R232" s="83"/>
      <c r="S232" s="77"/>
    </row>
    <row r="233" spans="2:19" ht="3" customHeight="1" x14ac:dyDescent="0.2">
      <c r="B233" s="77"/>
      <c r="C233" s="77"/>
      <c r="D233" s="77"/>
      <c r="E233" s="77"/>
      <c r="F233" s="77"/>
      <c r="G233" s="77"/>
      <c r="H233" s="77"/>
      <c r="I233" s="77"/>
      <c r="J233" s="77"/>
      <c r="K233" s="77"/>
      <c r="L233" s="77"/>
      <c r="M233" s="77"/>
      <c r="N233" s="77"/>
      <c r="O233" s="77"/>
      <c r="P233" s="77"/>
      <c r="Q233" s="77"/>
      <c r="R233" s="77"/>
      <c r="S233" s="77"/>
    </row>
    <row r="234" spans="2:19" x14ac:dyDescent="0.2">
      <c r="B234" s="77" t="s">
        <v>1981</v>
      </c>
      <c r="C234" s="77"/>
      <c r="D234" s="77"/>
      <c r="E234" s="77"/>
      <c r="F234" s="77"/>
      <c r="G234" s="77"/>
      <c r="H234" s="77"/>
      <c r="I234" s="286">
        <f>IF(FoderkornBehovFEsvIalt&gt;0,FoderkornHkgIalt12,0)</f>
        <v>0</v>
      </c>
      <c r="J234" s="286"/>
      <c r="K234" s="77" t="s">
        <v>46</v>
      </c>
      <c r="L234" s="77"/>
      <c r="M234" s="286">
        <f>IF(FoderkornBehovFEsvIalt&gt;0,FoderkornHkgIalt34,0)</f>
        <v>0</v>
      </c>
      <c r="N234" s="286"/>
      <c r="O234" s="77" t="s">
        <v>46</v>
      </c>
      <c r="P234" s="77"/>
      <c r="Q234" s="77"/>
      <c r="R234" s="77"/>
      <c r="S234" s="77"/>
    </row>
    <row r="235" spans="2:19" ht="3" customHeight="1" x14ac:dyDescent="0.2">
      <c r="B235" s="77"/>
      <c r="C235" s="77"/>
      <c r="D235" s="77"/>
      <c r="E235" s="77"/>
      <c r="F235" s="77"/>
      <c r="G235" s="77"/>
      <c r="H235" s="77"/>
      <c r="I235" s="77"/>
      <c r="J235" s="77"/>
      <c r="K235" s="77"/>
      <c r="L235" s="77"/>
      <c r="M235" s="77"/>
      <c r="N235" s="77"/>
      <c r="O235" s="77"/>
      <c r="P235" s="77"/>
      <c r="Q235" s="77"/>
      <c r="R235" s="77"/>
      <c r="S235" s="77"/>
    </row>
    <row r="236" spans="2:19" ht="12.75" customHeight="1" x14ac:dyDescent="0.2">
      <c r="B236" s="77" t="s">
        <v>1433</v>
      </c>
      <c r="C236" s="77"/>
      <c r="D236" s="77"/>
      <c r="E236" s="77"/>
      <c r="F236" s="77"/>
      <c r="G236" s="77"/>
      <c r="H236" s="77"/>
      <c r="I236" s="286">
        <f>IF(Husdyr!H46&lt;&gt;"",BygvalsetIalt12/95,0)</f>
        <v>0</v>
      </c>
      <c r="J236" s="286"/>
      <c r="K236" s="77" t="s">
        <v>46</v>
      </c>
      <c r="L236" s="77"/>
      <c r="M236" s="286">
        <f>IF(Husdyr!H46&lt;&gt;"",BygvalsetIalt34/95,0)</f>
        <v>0</v>
      </c>
      <c r="N236" s="286"/>
      <c r="O236" s="77" t="s">
        <v>46</v>
      </c>
      <c r="P236" s="77"/>
      <c r="Q236" s="77"/>
      <c r="R236" s="77"/>
      <c r="S236" s="77"/>
    </row>
    <row r="237" spans="2:19" ht="3" customHeight="1" x14ac:dyDescent="0.2">
      <c r="B237" s="77"/>
      <c r="C237" s="77"/>
      <c r="D237" s="77"/>
      <c r="E237" s="77"/>
      <c r="F237" s="77"/>
      <c r="G237" s="77"/>
      <c r="H237" s="77"/>
      <c r="I237" s="77"/>
      <c r="J237" s="77"/>
      <c r="K237" s="77"/>
      <c r="L237" s="77"/>
      <c r="M237" s="77"/>
      <c r="N237" s="77"/>
      <c r="O237" s="77"/>
      <c r="P237" s="77"/>
      <c r="Q237" s="77"/>
      <c r="R237" s="77"/>
      <c r="S237" s="77"/>
    </row>
    <row r="238" spans="2:19" ht="12.75" customHeight="1" x14ac:dyDescent="0.2">
      <c r="B238" s="77" t="s">
        <v>1208</v>
      </c>
      <c r="C238" s="77"/>
      <c r="D238" s="77"/>
      <c r="E238" s="77"/>
      <c r="F238" s="77"/>
      <c r="G238" s="77"/>
      <c r="H238" s="77"/>
      <c r="I238" s="286">
        <f>GraesIalt12</f>
        <v>0</v>
      </c>
      <c r="J238" s="286"/>
      <c r="K238" s="77" t="s">
        <v>37</v>
      </c>
      <c r="L238" s="77"/>
      <c r="M238" s="286">
        <f>GraesIalt34</f>
        <v>0</v>
      </c>
      <c r="N238" s="286"/>
      <c r="O238" s="77" t="s">
        <v>37</v>
      </c>
      <c r="P238" s="77"/>
      <c r="Q238" s="77"/>
      <c r="R238" s="77"/>
      <c r="S238" s="77"/>
    </row>
    <row r="239" spans="2:19" ht="3" customHeight="1" x14ac:dyDescent="0.2">
      <c r="B239" s="77"/>
      <c r="C239" s="77"/>
      <c r="D239" s="77"/>
      <c r="E239" s="77"/>
      <c r="F239" s="77"/>
      <c r="G239" s="77"/>
      <c r="H239" s="77"/>
      <c r="I239" s="77"/>
      <c r="J239" s="77"/>
      <c r="K239" s="77"/>
      <c r="L239" s="77"/>
      <c r="M239" s="77"/>
      <c r="N239" s="77"/>
      <c r="O239" s="77"/>
      <c r="P239" s="77"/>
      <c r="Q239" s="77"/>
      <c r="R239" s="77"/>
      <c r="S239" s="77"/>
    </row>
    <row r="240" spans="2:19" ht="12.75" customHeight="1" x14ac:dyDescent="0.2">
      <c r="B240" s="77" t="s">
        <v>1194</v>
      </c>
      <c r="C240" s="77"/>
      <c r="D240" s="77"/>
      <c r="E240" s="77"/>
      <c r="F240" s="77"/>
      <c r="G240" s="77"/>
      <c r="H240" s="77"/>
      <c r="I240" s="286">
        <f>MajshelsaedIalt12</f>
        <v>0</v>
      </c>
      <c r="J240" s="286"/>
      <c r="K240" s="77" t="s">
        <v>37</v>
      </c>
      <c r="L240" s="77"/>
      <c r="M240" s="286">
        <f>MajshelsaedIalt34</f>
        <v>0</v>
      </c>
      <c r="N240" s="286"/>
      <c r="O240" s="77" t="s">
        <v>37</v>
      </c>
      <c r="P240" s="77"/>
      <c r="Q240" s="77"/>
      <c r="R240" s="77"/>
      <c r="S240" s="77"/>
    </row>
    <row r="241" spans="2:19" ht="3" customHeight="1" x14ac:dyDescent="0.2">
      <c r="B241" s="77"/>
      <c r="C241" s="77"/>
      <c r="D241" s="77"/>
      <c r="E241" s="77"/>
      <c r="F241" s="77"/>
      <c r="G241" s="77"/>
      <c r="H241" s="77"/>
      <c r="I241" s="77"/>
      <c r="J241" s="77"/>
      <c r="K241" s="77"/>
      <c r="L241" s="77"/>
      <c r="M241" s="77"/>
      <c r="N241" s="77"/>
      <c r="O241" s="77"/>
      <c r="P241" s="77"/>
      <c r="Q241" s="77"/>
      <c r="R241" s="77"/>
      <c r="S241" s="77"/>
    </row>
    <row r="242" spans="2:19" ht="12.75" customHeight="1" x14ac:dyDescent="0.2">
      <c r="B242" s="77" t="s">
        <v>1246</v>
      </c>
      <c r="C242" s="77"/>
      <c r="D242" s="77"/>
      <c r="E242" s="77"/>
      <c r="F242" s="77"/>
      <c r="G242" s="77"/>
      <c r="H242" s="77"/>
      <c r="I242" s="286">
        <f>KornhelsaedIalt12</f>
        <v>0</v>
      </c>
      <c r="J242" s="286"/>
      <c r="K242" s="77" t="s">
        <v>37</v>
      </c>
      <c r="L242" s="77"/>
      <c r="M242" s="286">
        <f>KornhelsaedIalt34</f>
        <v>0</v>
      </c>
      <c r="N242" s="286"/>
      <c r="O242" s="77" t="s">
        <v>37</v>
      </c>
      <c r="P242" s="77"/>
      <c r="Q242" s="77"/>
      <c r="R242" s="77"/>
      <c r="S242" s="77"/>
    </row>
    <row r="243" spans="2:19" ht="3" customHeight="1" x14ac:dyDescent="0.2">
      <c r="B243" s="77"/>
      <c r="C243" s="77"/>
      <c r="D243" s="77"/>
      <c r="E243" s="77"/>
      <c r="F243" s="77"/>
      <c r="G243" s="77"/>
      <c r="H243" s="77"/>
      <c r="I243" s="77"/>
      <c r="J243" s="77"/>
      <c r="K243" s="77"/>
      <c r="L243" s="77"/>
      <c r="M243" s="77"/>
      <c r="N243" s="77"/>
      <c r="O243" s="77"/>
      <c r="P243" s="77"/>
      <c r="Q243" s="77"/>
      <c r="R243" s="77"/>
      <c r="S243" s="77"/>
    </row>
    <row r="244" spans="2:19" x14ac:dyDescent="0.2">
      <c r="B244" s="77" t="s">
        <v>1434</v>
      </c>
      <c r="C244" s="77"/>
      <c r="D244" s="77"/>
      <c r="E244" s="77"/>
      <c r="F244" s="77"/>
      <c r="G244" s="77"/>
      <c r="H244" s="77"/>
      <c r="I244" s="286">
        <f>GrovfoderIalt12</f>
        <v>0</v>
      </c>
      <c r="J244" s="289"/>
      <c r="K244" s="77" t="s">
        <v>37</v>
      </c>
      <c r="L244" s="77"/>
      <c r="M244" s="286">
        <f>GrovfoderIalt34</f>
        <v>0</v>
      </c>
      <c r="N244" s="289"/>
      <c r="O244" s="77" t="s">
        <v>37</v>
      </c>
      <c r="P244" s="77"/>
      <c r="Q244" s="77"/>
      <c r="R244" s="77"/>
      <c r="S244" s="77"/>
    </row>
    <row r="245" spans="2:19" x14ac:dyDescent="0.2">
      <c r="B245" s="77"/>
      <c r="C245" s="77"/>
      <c r="D245" s="77"/>
      <c r="E245" s="77"/>
      <c r="F245" s="77"/>
      <c r="G245" s="77"/>
      <c r="H245" s="77"/>
      <c r="I245" s="77"/>
      <c r="J245" s="77"/>
      <c r="K245" s="77"/>
      <c r="L245" s="77"/>
      <c r="M245" s="77"/>
      <c r="N245" s="77"/>
      <c r="O245" s="77"/>
      <c r="P245" s="77"/>
      <c r="Q245" s="77"/>
      <c r="R245" s="77"/>
      <c r="S245" s="77"/>
    </row>
    <row r="246" spans="2:19" x14ac:dyDescent="0.2">
      <c r="B246" s="83" t="s">
        <v>1440</v>
      </c>
      <c r="C246" s="77"/>
      <c r="D246" s="77"/>
      <c r="E246" s="77"/>
      <c r="F246" s="77"/>
      <c r="G246" s="77"/>
      <c r="H246" s="77"/>
      <c r="I246" s="77"/>
      <c r="J246" s="77"/>
      <c r="K246" s="77"/>
      <c r="L246" s="77"/>
      <c r="M246" s="77"/>
      <c r="N246" s="77"/>
      <c r="O246" s="77"/>
      <c r="P246" s="77"/>
      <c r="Q246" s="77"/>
      <c r="R246" s="77"/>
      <c r="S246" s="77"/>
    </row>
    <row r="247" spans="2:19" ht="3" customHeight="1" x14ac:dyDescent="0.2">
      <c r="B247" s="77"/>
      <c r="C247" s="77"/>
      <c r="D247" s="77"/>
      <c r="E247" s="77"/>
      <c r="F247" s="77"/>
      <c r="G247" s="77"/>
      <c r="H247" s="77"/>
      <c r="I247" s="77"/>
      <c r="J247" s="77"/>
      <c r="K247" s="77"/>
      <c r="L247" s="77"/>
      <c r="M247" s="77"/>
      <c r="N247" s="77"/>
      <c r="O247" s="77"/>
      <c r="P247" s="77"/>
      <c r="Q247" s="77"/>
      <c r="R247" s="77"/>
      <c r="S247" s="77"/>
    </row>
    <row r="248" spans="2:19" ht="15" x14ac:dyDescent="0.25">
      <c r="B248" s="77" t="s">
        <v>1238</v>
      </c>
      <c r="C248" s="77"/>
      <c r="D248" s="77"/>
      <c r="E248" s="77"/>
      <c r="F248" s="77"/>
      <c r="G248" s="77"/>
      <c r="H248" s="77"/>
      <c r="I248" s="286">
        <f>Q216-I234</f>
        <v>0</v>
      </c>
      <c r="J248" s="291"/>
      <c r="K248" s="77" t="s">
        <v>46</v>
      </c>
      <c r="L248" s="77"/>
      <c r="M248" s="286">
        <f>Q216-M234</f>
        <v>0</v>
      </c>
      <c r="N248" s="291"/>
      <c r="O248" s="77" t="s">
        <v>46</v>
      </c>
      <c r="P248" s="77"/>
      <c r="Q248" s="77"/>
      <c r="R248" s="77"/>
      <c r="S248" s="77"/>
    </row>
    <row r="249" spans="2:19" ht="3" customHeight="1" x14ac:dyDescent="0.2">
      <c r="B249" s="77"/>
      <c r="C249" s="77"/>
      <c r="D249" s="77"/>
      <c r="E249" s="77"/>
      <c r="F249" s="77"/>
      <c r="G249" s="77"/>
      <c r="H249" s="77"/>
      <c r="I249" s="77"/>
      <c r="J249" s="77"/>
      <c r="K249" s="77"/>
      <c r="L249" s="77"/>
      <c r="M249" s="77"/>
      <c r="N249" s="77"/>
      <c r="O249" s="77"/>
      <c r="P249" s="77"/>
      <c r="Q249" s="77"/>
      <c r="R249" s="77"/>
      <c r="S249" s="77"/>
    </row>
    <row r="250" spans="2:19" ht="15" x14ac:dyDescent="0.25">
      <c r="B250" s="77" t="s">
        <v>1433</v>
      </c>
      <c r="C250" s="77"/>
      <c r="D250" s="77"/>
      <c r="E250" s="77"/>
      <c r="F250" s="77"/>
      <c r="G250" s="77"/>
      <c r="H250" s="77"/>
      <c r="I250" s="286">
        <f>Q228-I236</f>
        <v>0</v>
      </c>
      <c r="J250" s="291"/>
      <c r="K250" s="77" t="s">
        <v>46</v>
      </c>
      <c r="L250" s="77"/>
      <c r="M250" s="286">
        <f>Q228-M236</f>
        <v>0</v>
      </c>
      <c r="N250" s="291"/>
      <c r="O250" s="77" t="s">
        <v>46</v>
      </c>
      <c r="P250" s="77"/>
      <c r="Q250" s="77"/>
      <c r="R250" s="77"/>
      <c r="S250" s="77"/>
    </row>
    <row r="251" spans="2:19" ht="3" customHeight="1" x14ac:dyDescent="0.2">
      <c r="B251" s="77"/>
      <c r="C251" s="77"/>
      <c r="D251" s="77"/>
      <c r="E251" s="77"/>
      <c r="F251" s="77"/>
      <c r="G251" s="77"/>
      <c r="H251" s="77"/>
      <c r="I251" s="77"/>
      <c r="J251" s="77"/>
      <c r="K251" s="77"/>
      <c r="L251" s="77"/>
      <c r="M251" s="77"/>
      <c r="N251" s="77"/>
      <c r="O251" s="77"/>
      <c r="P251" s="77"/>
      <c r="Q251" s="77"/>
      <c r="R251" s="77"/>
      <c r="S251" s="77"/>
    </row>
    <row r="252" spans="2:19" ht="15" x14ac:dyDescent="0.25">
      <c r="B252" s="77" t="s">
        <v>1434</v>
      </c>
      <c r="C252" s="77"/>
      <c r="D252" s="77"/>
      <c r="E252" s="77"/>
      <c r="F252" s="77"/>
      <c r="G252" s="77"/>
      <c r="H252" s="77"/>
      <c r="I252" s="286">
        <f>GrovfoderBehovFEIalt-GrovfoderIalt12</f>
        <v>0</v>
      </c>
      <c r="J252" s="291"/>
      <c r="K252" s="77" t="s">
        <v>37</v>
      </c>
      <c r="L252" s="77"/>
      <c r="M252" s="286">
        <f>GrovfoderBehovFEIalt-GrovfoderIalt34</f>
        <v>0</v>
      </c>
      <c r="N252" s="291"/>
      <c r="O252" s="77" t="s">
        <v>37</v>
      </c>
      <c r="P252" s="77"/>
      <c r="Q252" s="77"/>
      <c r="R252" s="77"/>
      <c r="S252" s="77"/>
    </row>
    <row r="253" spans="2:19" x14ac:dyDescent="0.2">
      <c r="B253" s="77"/>
      <c r="C253" s="77"/>
      <c r="D253" s="77"/>
      <c r="E253" s="77"/>
      <c r="F253" s="77"/>
      <c r="G253" s="77"/>
      <c r="H253" s="77"/>
      <c r="I253" s="77"/>
      <c r="J253" s="77"/>
      <c r="K253" s="77"/>
      <c r="L253" s="77"/>
      <c r="M253" s="77"/>
      <c r="N253" s="77"/>
      <c r="O253" s="77"/>
      <c r="P253" s="77"/>
      <c r="Q253" s="77"/>
      <c r="R253" s="77"/>
      <c r="S253" s="77"/>
    </row>
    <row r="254" spans="2:19" ht="15.75" x14ac:dyDescent="0.25">
      <c r="B254" s="113" t="s">
        <v>1441</v>
      </c>
      <c r="C254" s="82"/>
      <c r="D254" s="82"/>
      <c r="E254" s="82"/>
      <c r="F254" s="82"/>
      <c r="G254" s="82"/>
      <c r="H254" s="82"/>
      <c r="I254" s="82"/>
      <c r="J254" s="82"/>
      <c r="K254" s="82"/>
      <c r="L254" s="82"/>
      <c r="M254" s="82"/>
      <c r="N254" s="82"/>
      <c r="O254" s="82"/>
      <c r="P254" s="82"/>
      <c r="Q254" s="82"/>
      <c r="R254" s="82"/>
      <c r="S254" s="82"/>
    </row>
    <row r="255" spans="2:19" ht="9.9499999999999993" customHeight="1" x14ac:dyDescent="0.2">
      <c r="B255" s="83"/>
      <c r="C255" s="77"/>
      <c r="D255" s="77"/>
      <c r="E255" s="77"/>
      <c r="F255" s="77"/>
      <c r="G255" s="77"/>
      <c r="H255" s="77"/>
      <c r="I255" s="77"/>
      <c r="J255" s="77"/>
      <c r="K255" s="77"/>
      <c r="L255" s="77"/>
      <c r="M255" s="77"/>
      <c r="N255" s="77"/>
      <c r="O255" s="77"/>
      <c r="P255" s="77"/>
      <c r="Q255" s="77"/>
      <c r="R255" s="77"/>
      <c r="S255" s="77"/>
    </row>
    <row r="256" spans="2:19" x14ac:dyDescent="0.2">
      <c r="B256" s="77"/>
      <c r="C256" s="77"/>
      <c r="D256" s="77"/>
      <c r="E256" s="77"/>
      <c r="F256" s="77"/>
      <c r="G256" s="77"/>
      <c r="H256" s="77"/>
      <c r="I256" s="77"/>
      <c r="J256" s="77"/>
      <c r="K256" s="130" t="s">
        <v>1816</v>
      </c>
      <c r="L256" s="83"/>
      <c r="M256" s="83"/>
      <c r="N256" s="77"/>
      <c r="O256" s="130" t="s">
        <v>1819</v>
      </c>
      <c r="P256" s="83"/>
      <c r="Q256" s="83"/>
      <c r="R256" s="83" t="s">
        <v>1356</v>
      </c>
      <c r="S256" s="77"/>
    </row>
    <row r="257" spans="2:19" ht="3" customHeight="1" x14ac:dyDescent="0.2">
      <c r="B257" s="77"/>
      <c r="C257" s="77"/>
      <c r="D257" s="77"/>
      <c r="E257" s="77"/>
      <c r="F257" s="77"/>
      <c r="G257" s="77"/>
      <c r="H257" s="77"/>
      <c r="I257" s="77"/>
      <c r="J257" s="77"/>
      <c r="K257" s="77"/>
      <c r="L257" s="77"/>
      <c r="M257" s="77"/>
      <c r="N257" s="77"/>
      <c r="O257" s="77"/>
      <c r="P257" s="77"/>
      <c r="Q257" s="77"/>
      <c r="R257" s="77"/>
      <c r="S257" s="77"/>
    </row>
    <row r="258" spans="2:19" x14ac:dyDescent="0.2">
      <c r="B258" s="289" t="s">
        <v>1727</v>
      </c>
      <c r="C258" s="289"/>
      <c r="D258" s="289"/>
      <c r="E258" s="289"/>
      <c r="F258" s="289"/>
      <c r="G258" s="289"/>
      <c r="H258" s="289"/>
      <c r="I258" s="286">
        <f>-IF(I248&lt;0,0,I248*Handelomkfoderkorn)</f>
        <v>0</v>
      </c>
      <c r="J258" s="286"/>
      <c r="K258" s="77" t="s">
        <v>188</v>
      </c>
      <c r="L258" s="77"/>
      <c r="M258" s="286">
        <f>-IF(M248&lt;0,0,M248*Handelomkfoderkorn)</f>
        <v>0</v>
      </c>
      <c r="N258" s="286"/>
      <c r="O258" s="77" t="s">
        <v>188</v>
      </c>
      <c r="P258" s="77"/>
      <c r="Q258" s="77"/>
      <c r="R258" s="77"/>
      <c r="S258" s="77"/>
    </row>
    <row r="259" spans="2:19" ht="3" customHeight="1" x14ac:dyDescent="0.2">
      <c r="B259" s="77"/>
      <c r="C259" s="77"/>
      <c r="D259" s="77"/>
      <c r="E259" s="77"/>
      <c r="F259" s="77"/>
      <c r="G259" s="77"/>
      <c r="H259" s="77"/>
      <c r="I259" s="93"/>
      <c r="J259" s="93"/>
      <c r="K259" s="77"/>
      <c r="L259" s="77"/>
      <c r="M259" s="93"/>
      <c r="N259" s="93"/>
      <c r="O259" s="77"/>
      <c r="P259" s="77"/>
      <c r="Q259" s="77"/>
      <c r="R259" s="77"/>
      <c r="S259" s="77"/>
    </row>
    <row r="260" spans="2:19" x14ac:dyDescent="0.2">
      <c r="B260" s="289" t="s">
        <v>1728</v>
      </c>
      <c r="C260" s="289"/>
      <c r="D260" s="289"/>
      <c r="E260" s="289"/>
      <c r="F260" s="289"/>
      <c r="G260" s="289"/>
      <c r="H260" s="289"/>
      <c r="I260" s="286">
        <f>-IF(I250&lt;0,0,I250*Handelomkbygvalset)</f>
        <v>0</v>
      </c>
      <c r="J260" s="286"/>
      <c r="K260" s="77" t="s">
        <v>188</v>
      </c>
      <c r="L260" s="77"/>
      <c r="M260" s="286">
        <f>-IF(M250&lt;0,0,M250*Handelomkbygvalset)</f>
        <v>0</v>
      </c>
      <c r="N260" s="286"/>
      <c r="O260" s="77" t="s">
        <v>188</v>
      </c>
      <c r="P260" s="77"/>
      <c r="Q260" s="77"/>
      <c r="R260" s="77"/>
      <c r="S260" s="77"/>
    </row>
    <row r="261" spans="2:19" ht="3" customHeight="1" x14ac:dyDescent="0.2">
      <c r="B261" s="77"/>
      <c r="C261" s="77"/>
      <c r="D261" s="77"/>
      <c r="E261" s="77"/>
      <c r="F261" s="77"/>
      <c r="G261" s="77"/>
      <c r="H261" s="77"/>
      <c r="I261" s="93"/>
      <c r="J261" s="93"/>
      <c r="K261" s="77"/>
      <c r="L261" s="77"/>
      <c r="M261" s="93"/>
      <c r="N261" s="93"/>
      <c r="O261" s="77"/>
      <c r="P261" s="77"/>
      <c r="Q261" s="77"/>
      <c r="R261" s="77"/>
      <c r="S261" s="77"/>
    </row>
    <row r="262" spans="2:19" x14ac:dyDescent="0.2">
      <c r="B262" s="289" t="s">
        <v>2013</v>
      </c>
      <c r="C262" s="289"/>
      <c r="D262" s="289"/>
      <c r="E262" s="289"/>
      <c r="F262" s="289"/>
      <c r="G262" s="289"/>
      <c r="H262" s="289"/>
      <c r="I262" s="286">
        <f>-IF(ISERROR(IF(I252&lt;0,0,I252*Handelomkgrovfoder)),0,IF(I252&lt;0,0,I252*Handelomkgrovfoder))</f>
        <v>0</v>
      </c>
      <c r="J262" s="286"/>
      <c r="K262" s="77" t="s">
        <v>188</v>
      </c>
      <c r="L262" s="77"/>
      <c r="M262" s="286">
        <f>-IF(ISERROR(IF(M252&lt;0,0,M252*Handelomkgrovfoder)),0,IF(M252&lt;0,0,M252*Handelomkgrovfoder))</f>
        <v>0</v>
      </c>
      <c r="N262" s="286"/>
      <c r="O262" s="77" t="s">
        <v>188</v>
      </c>
      <c r="P262" s="77"/>
      <c r="Q262" s="77"/>
      <c r="R262" s="77"/>
      <c r="S262" s="77"/>
    </row>
    <row r="263" spans="2:19" ht="3" customHeight="1" x14ac:dyDescent="0.2">
      <c r="B263" s="77"/>
      <c r="C263" s="77"/>
      <c r="D263" s="77"/>
      <c r="E263" s="77"/>
      <c r="F263" s="77"/>
      <c r="G263" s="77"/>
      <c r="H263" s="77"/>
      <c r="I263" s="77"/>
      <c r="J263" s="77"/>
      <c r="K263" s="77"/>
      <c r="L263" s="77"/>
      <c r="M263" s="77"/>
      <c r="N263" s="77"/>
      <c r="O263" s="77"/>
      <c r="P263" s="77"/>
      <c r="Q263" s="77"/>
      <c r="R263" s="77"/>
      <c r="S263" s="77"/>
    </row>
    <row r="264" spans="2:19" ht="15" x14ac:dyDescent="0.25">
      <c r="B264" s="83" t="s">
        <v>1211</v>
      </c>
      <c r="C264" s="77"/>
      <c r="D264" s="77"/>
      <c r="E264" s="77"/>
      <c r="F264" s="77"/>
      <c r="G264" s="77"/>
      <c r="H264" s="77"/>
      <c r="I264" s="290">
        <f>I258+I260+I262</f>
        <v>0</v>
      </c>
      <c r="J264" s="292"/>
      <c r="K264" s="83" t="s">
        <v>188</v>
      </c>
      <c r="L264" s="77"/>
      <c r="M264" s="290">
        <f>M258+M260+M262</f>
        <v>0</v>
      </c>
      <c r="N264" s="292"/>
      <c r="O264" s="83" t="s">
        <v>188</v>
      </c>
      <c r="P264" s="77"/>
      <c r="Q264" s="290">
        <f>-(Handelsomk12-Handelsomk34)</f>
        <v>0</v>
      </c>
      <c r="R264" s="290"/>
      <c r="S264" s="83" t="s">
        <v>188</v>
      </c>
    </row>
    <row r="265" spans="2:19" x14ac:dyDescent="0.2">
      <c r="B265" s="77"/>
      <c r="C265" s="77"/>
      <c r="D265" s="77"/>
      <c r="E265" s="77"/>
      <c r="F265" s="77"/>
      <c r="G265" s="77"/>
      <c r="H265" s="77"/>
      <c r="I265" s="77"/>
      <c r="J265" s="77"/>
      <c r="K265" s="77"/>
      <c r="L265" s="77"/>
      <c r="M265" s="77"/>
      <c r="N265" s="77"/>
      <c r="O265" s="77"/>
      <c r="P265" s="77"/>
      <c r="Q265" s="77"/>
      <c r="R265" s="77"/>
      <c r="S265" s="77"/>
    </row>
    <row r="266" spans="2:19" ht="15.75" x14ac:dyDescent="0.25">
      <c r="B266" s="113" t="s">
        <v>1445</v>
      </c>
      <c r="C266" s="82"/>
      <c r="D266" s="82"/>
      <c r="E266" s="82"/>
      <c r="F266" s="82"/>
      <c r="G266" s="82"/>
      <c r="H266" s="82"/>
      <c r="I266" s="82"/>
      <c r="J266" s="82"/>
      <c r="K266" s="82"/>
      <c r="L266" s="82"/>
      <c r="M266" s="82"/>
      <c r="N266" s="82"/>
      <c r="O266" s="82"/>
      <c r="P266" s="82"/>
      <c r="Q266" s="82"/>
      <c r="R266" s="82"/>
      <c r="S266" s="82"/>
    </row>
    <row r="267" spans="2:19" ht="9.9499999999999993" customHeight="1" x14ac:dyDescent="0.25">
      <c r="B267" s="115"/>
      <c r="C267" s="90"/>
      <c r="D267" s="90"/>
      <c r="E267" s="90"/>
      <c r="F267" s="90"/>
      <c r="G267" s="90"/>
      <c r="H267" s="90"/>
      <c r="I267" s="90"/>
      <c r="J267" s="90"/>
      <c r="K267" s="90"/>
      <c r="L267" s="90"/>
      <c r="M267" s="90"/>
      <c r="N267" s="90"/>
      <c r="O267" s="90"/>
      <c r="P267" s="90"/>
      <c r="Q267" s="90"/>
      <c r="R267" s="90"/>
      <c r="S267" s="90"/>
    </row>
    <row r="268" spans="2:19" x14ac:dyDescent="0.2">
      <c r="B268" s="77"/>
      <c r="C268" s="77"/>
      <c r="D268" s="77"/>
      <c r="E268" s="77"/>
      <c r="F268" s="77"/>
      <c r="G268" s="77"/>
      <c r="H268" s="77"/>
      <c r="I268" s="77"/>
      <c r="J268" s="77"/>
      <c r="K268" s="130" t="s">
        <v>1816</v>
      </c>
      <c r="L268" s="83"/>
      <c r="M268" s="83"/>
      <c r="N268" s="77"/>
      <c r="O268" s="130" t="s">
        <v>1819</v>
      </c>
      <c r="P268" s="83"/>
      <c r="Q268" s="83"/>
      <c r="R268" s="83" t="s">
        <v>1356</v>
      </c>
      <c r="S268" s="77"/>
    </row>
    <row r="269" spans="2:19" ht="3" customHeight="1" x14ac:dyDescent="0.2">
      <c r="B269" s="77"/>
      <c r="C269" s="77"/>
      <c r="D269" s="77"/>
      <c r="E269" s="77"/>
      <c r="F269" s="77"/>
      <c r="G269" s="77"/>
      <c r="H269" s="77"/>
      <c r="I269" s="77"/>
      <c r="J269" s="77"/>
      <c r="K269" s="77"/>
      <c r="L269" s="77"/>
      <c r="M269" s="77"/>
      <c r="N269" s="77"/>
      <c r="O269" s="77"/>
      <c r="P269" s="77"/>
      <c r="Q269" s="77"/>
      <c r="R269" s="77"/>
      <c r="S269" s="77"/>
    </row>
    <row r="270" spans="2:19" x14ac:dyDescent="0.2">
      <c r="B270" s="77" t="s">
        <v>1456</v>
      </c>
      <c r="C270" s="77"/>
      <c r="D270" s="77"/>
      <c r="E270" s="77"/>
      <c r="F270" s="77"/>
      <c r="G270" s="77"/>
      <c r="H270" s="77"/>
      <c r="I270" s="286">
        <f>IF(ISERROR(IF(FoderkornBehovHkgIalt&gt;FoderkornHkgIalt12,1,FoderkornBehovHkgIalt/FoderkornHkgIalt12)*ProtFoderkornBasisKg12),0,IF(FoderkornBehovHkgIalt&gt;FoderkornHkgIalt12,1,FoderkornBehovHkgIalt/FoderkornHkgIalt12)*ProtFoderkornBasisKg12)</f>
        <v>0</v>
      </c>
      <c r="J270" s="286"/>
      <c r="K270" s="77" t="s">
        <v>192</v>
      </c>
      <c r="L270" s="77"/>
      <c r="M270" s="286">
        <f>IF(ISERROR(IF(FoderkornBehovHkgIalt&gt;FoderkornHkgIalt34,1,FoderkornBehovHkgIalt/FoderkornHkgIalt34)*ProtFoderkornBasisKg34),0,IF(FoderkornBehovHkgIalt&gt;FoderkornHkgIalt34,1,FoderkornBehovHkgIalt/FoderkornHkgIalt34)*ProtFoderkornBasisKg34)</f>
        <v>0</v>
      </c>
      <c r="N270" s="286"/>
      <c r="O270" s="77" t="s">
        <v>192</v>
      </c>
      <c r="P270" s="77"/>
      <c r="Q270" s="77"/>
      <c r="R270" s="77"/>
      <c r="S270" s="77"/>
    </row>
    <row r="271" spans="2:19" ht="3" customHeight="1" x14ac:dyDescent="0.2">
      <c r="B271" s="77"/>
      <c r="C271" s="77"/>
      <c r="D271" s="77"/>
      <c r="E271" s="77"/>
      <c r="F271" s="77"/>
      <c r="G271" s="77"/>
      <c r="H271" s="77"/>
      <c r="I271" s="77"/>
      <c r="J271" s="77"/>
      <c r="K271" s="77"/>
      <c r="L271" s="77"/>
      <c r="M271" s="77"/>
      <c r="N271" s="77"/>
      <c r="O271" s="77"/>
      <c r="P271" s="77"/>
      <c r="Q271" s="77"/>
      <c r="R271" s="77"/>
      <c r="S271" s="77"/>
    </row>
    <row r="272" spans="2:19" x14ac:dyDescent="0.2">
      <c r="B272" s="77" t="s">
        <v>1457</v>
      </c>
      <c r="C272" s="77"/>
      <c r="D272" s="77"/>
      <c r="E272" s="77"/>
      <c r="F272" s="77"/>
      <c r="G272" s="77"/>
      <c r="H272" s="77"/>
      <c r="I272" s="286">
        <f>IF(ISERROR(IF(FoderkornBehovHkgIalt&gt;FoderkornHkgIalt12,1,FoderkornBehovHkgIalt/FoderkornHkgIalt12)*ProtFoderKornKorrKg12),0,IF(FoderkornBehovHkgIalt&gt;FoderkornHkgIalt12,1,FoderkornBehovHkgIalt/FoderkornHkgIalt12)*ProtFoderKornKorrKg12)</f>
        <v>0</v>
      </c>
      <c r="J272" s="286"/>
      <c r="K272" s="77" t="s">
        <v>192</v>
      </c>
      <c r="L272" s="77"/>
      <c r="M272" s="286">
        <f>IF(ISERROR(IF(FoderkornBehovHkgIalt&gt;FoderkornHkgIalt34,1,FoderkornBehovHkgIalt/FoderkornHkgIalt34)*ProtFoderKornKorrKg34),0,IF(FoderkornBehovHkgIalt&gt;FoderkornHkgIalt34,1,FoderkornBehovHkgIalt/FoderkornHkgIalt34)*ProtFoderKornKorrKg34)</f>
        <v>0</v>
      </c>
      <c r="N272" s="286"/>
      <c r="O272" s="77" t="s">
        <v>192</v>
      </c>
      <c r="P272" s="77"/>
      <c r="Q272" s="77"/>
      <c r="R272" s="77"/>
      <c r="S272" s="77"/>
    </row>
    <row r="273" spans="2:19" ht="3" customHeight="1" x14ac:dyDescent="0.2">
      <c r="B273" s="77"/>
      <c r="C273" s="77"/>
      <c r="D273" s="77"/>
      <c r="E273" s="77"/>
      <c r="F273" s="77"/>
      <c r="G273" s="77"/>
      <c r="H273" s="77"/>
      <c r="I273" s="77"/>
      <c r="J273" s="77"/>
      <c r="K273" s="77"/>
      <c r="L273" s="77"/>
      <c r="M273" s="77"/>
      <c r="N273" s="77"/>
      <c r="O273" s="77"/>
      <c r="P273" s="77"/>
      <c r="Q273" s="77"/>
      <c r="R273" s="77"/>
      <c r="S273" s="77"/>
    </row>
    <row r="274" spans="2:19" x14ac:dyDescent="0.2">
      <c r="B274" s="77" t="s">
        <v>1458</v>
      </c>
      <c r="C274" s="77"/>
      <c r="D274" s="77"/>
      <c r="E274" s="77"/>
      <c r="F274" s="77"/>
      <c r="G274" s="77"/>
      <c r="H274" s="77"/>
      <c r="I274" s="286">
        <f>I272-I270</f>
        <v>0</v>
      </c>
      <c r="J274" s="286"/>
      <c r="K274" s="77" t="s">
        <v>192</v>
      </c>
      <c r="L274" s="77"/>
      <c r="M274" s="286">
        <f>M272-M270</f>
        <v>0</v>
      </c>
      <c r="N274" s="286"/>
      <c r="O274" s="77" t="s">
        <v>192</v>
      </c>
      <c r="P274" s="77"/>
      <c r="Q274" s="77"/>
      <c r="R274" s="77"/>
      <c r="S274" s="77"/>
    </row>
    <row r="275" spans="2:19" ht="3" customHeight="1" x14ac:dyDescent="0.2">
      <c r="B275" s="77"/>
      <c r="C275" s="77"/>
      <c r="D275" s="77"/>
      <c r="E275" s="77"/>
      <c r="F275" s="77"/>
      <c r="G275" s="77"/>
      <c r="H275" s="77"/>
      <c r="I275" s="77"/>
      <c r="J275" s="77"/>
      <c r="K275" s="77"/>
      <c r="L275" s="77"/>
      <c r="M275" s="77"/>
      <c r="N275" s="77"/>
      <c r="O275" s="77"/>
      <c r="P275" s="77"/>
      <c r="Q275" s="77"/>
      <c r="R275" s="77"/>
      <c r="S275" s="77"/>
    </row>
    <row r="276" spans="2:19" x14ac:dyDescent="0.2">
      <c r="B276" s="83" t="s">
        <v>1459</v>
      </c>
      <c r="C276" s="77"/>
      <c r="D276" s="77"/>
      <c r="E276" s="77"/>
      <c r="F276" s="77"/>
      <c r="G276" s="77"/>
      <c r="H276" s="77"/>
      <c r="I276" s="293">
        <f>I274*ProtVaerdiKg</f>
        <v>0</v>
      </c>
      <c r="J276" s="293"/>
      <c r="K276" s="83" t="s">
        <v>188</v>
      </c>
      <c r="L276" s="77"/>
      <c r="M276" s="293">
        <f>M274*ProtVaerdiKg</f>
        <v>0</v>
      </c>
      <c r="N276" s="293"/>
      <c r="O276" s="83" t="s">
        <v>188</v>
      </c>
      <c r="P276" s="77"/>
      <c r="Q276" s="290">
        <f>-(ProteinTab12-ProteinTab34)</f>
        <v>0</v>
      </c>
      <c r="R276" s="290"/>
      <c r="S276" s="83" t="s">
        <v>188</v>
      </c>
    </row>
    <row r="277" spans="2:19" x14ac:dyDescent="0.2">
      <c r="B277" s="77"/>
      <c r="C277" s="77"/>
      <c r="D277" s="77"/>
      <c r="E277" s="77"/>
      <c r="F277" s="77"/>
      <c r="G277" s="77"/>
      <c r="H277" s="77"/>
      <c r="I277" s="77"/>
      <c r="J277" s="77"/>
      <c r="K277" s="77"/>
      <c r="L277" s="77"/>
      <c r="M277" s="77"/>
      <c r="N277" s="77"/>
      <c r="O277" s="77"/>
      <c r="P277" s="77"/>
      <c r="Q277" s="77"/>
      <c r="R277" s="77"/>
      <c r="S277" s="77"/>
    </row>
    <row r="278" spans="2:19" ht="12.75" customHeight="1" x14ac:dyDescent="0.25">
      <c r="B278" s="126"/>
      <c r="C278" s="90"/>
      <c r="D278" s="90"/>
      <c r="E278" s="90"/>
      <c r="F278" s="90"/>
      <c r="G278" s="90"/>
      <c r="H278" s="90"/>
      <c r="I278" s="90"/>
      <c r="J278" s="90"/>
      <c r="K278" s="90"/>
      <c r="L278" s="90"/>
      <c r="M278" s="90"/>
      <c r="N278" s="90"/>
      <c r="O278" s="90"/>
      <c r="P278" s="90"/>
      <c r="Q278" s="90"/>
      <c r="R278" s="90"/>
      <c r="S278" s="127"/>
    </row>
    <row r="279" spans="2:19" x14ac:dyDescent="0.2">
      <c r="B279" s="77"/>
      <c r="C279" s="77"/>
      <c r="D279" s="77"/>
      <c r="E279" s="77"/>
      <c r="F279" s="77"/>
      <c r="G279" s="77"/>
      <c r="H279" s="77"/>
      <c r="I279" s="77"/>
      <c r="J279" s="77"/>
      <c r="K279" s="77"/>
      <c r="L279" s="77"/>
      <c r="M279" s="77"/>
      <c r="N279" s="77"/>
      <c r="O279" s="77"/>
      <c r="P279" s="77"/>
      <c r="Q279" s="77"/>
      <c r="R279" s="77"/>
      <c r="S279" s="77"/>
    </row>
    <row r="280" spans="2:19" x14ac:dyDescent="0.2">
      <c r="B280" s="77" t="str">
        <f>IF(Mark!$E$5="","",Mark!$E$5)</f>
        <v/>
      </c>
      <c r="C280" s="77"/>
      <c r="D280" s="77"/>
      <c r="E280" s="77"/>
      <c r="F280" s="77"/>
      <c r="G280" s="77"/>
      <c r="H280" s="77"/>
      <c r="I280" s="77"/>
      <c r="J280" s="77"/>
      <c r="K280" s="77"/>
      <c r="L280" s="77"/>
      <c r="M280" s="77"/>
      <c r="N280" s="77"/>
      <c r="O280" s="77"/>
      <c r="P280" s="77"/>
      <c r="Q280" s="77"/>
      <c r="R280" s="77"/>
      <c r="S280" s="77"/>
    </row>
    <row r="281" spans="2:19" x14ac:dyDescent="0.2">
      <c r="B281" s="77" t="str">
        <f>IF(Mark!$M$5="","",Mark!$M$5)</f>
        <v/>
      </c>
      <c r="C281" s="77"/>
      <c r="D281" s="77"/>
      <c r="E281" s="77"/>
      <c r="F281" s="77"/>
      <c r="G281" s="77"/>
      <c r="H281" s="77"/>
      <c r="I281" s="77"/>
      <c r="J281" s="77"/>
      <c r="K281" s="77"/>
      <c r="L281" s="77"/>
      <c r="M281" s="77"/>
      <c r="N281" s="77"/>
      <c r="O281" s="77"/>
      <c r="P281" s="77"/>
      <c r="Q281" s="77"/>
      <c r="R281" s="77"/>
      <c r="S281" s="77"/>
    </row>
    <row r="282" spans="2:19" x14ac:dyDescent="0.2">
      <c r="B282" s="99">
        <f>IF(Postnr="","",Postnr)</f>
        <v>8382</v>
      </c>
      <c r="C282" s="77" t="str">
        <f>Mark!$T$5</f>
        <v>Hinnerup</v>
      </c>
      <c r="D282" s="77"/>
      <c r="E282" s="99" t="str">
        <f>IF(Postnr="","Postnr skal udfyldes i Mark","")</f>
        <v/>
      </c>
      <c r="F282" s="77"/>
      <c r="G282" s="77"/>
      <c r="H282" s="77"/>
      <c r="I282" s="77"/>
      <c r="J282" s="77"/>
      <c r="K282" s="77"/>
      <c r="L282" s="77"/>
      <c r="M282" s="77"/>
      <c r="N282" s="77"/>
      <c r="O282" s="77"/>
      <c r="P282" s="77"/>
      <c r="Q282" s="77"/>
      <c r="R282" s="77"/>
      <c r="S282" s="77"/>
    </row>
    <row r="283" spans="2:19" x14ac:dyDescent="0.2">
      <c r="B283" s="77"/>
      <c r="C283" s="77"/>
      <c r="D283" s="77"/>
      <c r="E283" s="77"/>
      <c r="F283" s="77"/>
      <c r="G283" s="77"/>
      <c r="H283" s="77"/>
      <c r="I283" s="77"/>
      <c r="J283" s="77"/>
      <c r="K283" s="77"/>
      <c r="L283" s="77"/>
      <c r="M283" s="77"/>
      <c r="N283" s="77"/>
      <c r="O283" s="77"/>
      <c r="P283" s="77"/>
      <c r="Q283" s="77"/>
      <c r="R283" s="77"/>
      <c r="S283" s="77"/>
    </row>
    <row r="284" spans="2:19" ht="15.75" x14ac:dyDescent="0.25">
      <c r="B284" s="113" t="s">
        <v>1849</v>
      </c>
      <c r="C284" s="82"/>
      <c r="D284" s="82"/>
      <c r="E284" s="82"/>
      <c r="F284" s="82"/>
      <c r="G284" s="82"/>
      <c r="H284" s="82"/>
      <c r="I284" s="82"/>
      <c r="J284" s="82"/>
      <c r="K284" s="82"/>
      <c r="L284" s="82"/>
      <c r="M284" s="82"/>
      <c r="N284" s="82"/>
      <c r="O284" s="82"/>
      <c r="P284" s="82"/>
      <c r="Q284" s="82"/>
      <c r="R284" s="82"/>
      <c r="S284" s="82"/>
    </row>
    <row r="285" spans="2:19" ht="9.9499999999999993" customHeight="1" x14ac:dyDescent="0.2">
      <c r="B285" s="83"/>
      <c r="C285" s="77"/>
      <c r="D285" s="77"/>
      <c r="E285" s="77"/>
      <c r="F285" s="77"/>
      <c r="G285" s="77"/>
      <c r="H285" s="77"/>
      <c r="I285" s="77"/>
      <c r="J285" s="77"/>
      <c r="K285" s="77"/>
      <c r="L285" s="77"/>
      <c r="M285" s="77"/>
      <c r="N285" s="77"/>
      <c r="O285" s="77"/>
      <c r="P285" s="77"/>
      <c r="Q285" s="77"/>
      <c r="R285" s="77"/>
      <c r="S285" s="77"/>
    </row>
    <row r="286" spans="2:19" x14ac:dyDescent="0.2">
      <c r="B286" s="83"/>
      <c r="C286" s="77"/>
      <c r="D286" s="77"/>
      <c r="E286" s="77"/>
      <c r="F286" s="77"/>
      <c r="G286" s="77"/>
      <c r="H286" s="77"/>
      <c r="I286" s="77"/>
      <c r="J286" s="77"/>
      <c r="K286" s="96" t="s">
        <v>1816</v>
      </c>
      <c r="L286" s="83"/>
      <c r="M286" s="83"/>
      <c r="N286" s="77"/>
      <c r="O286" s="96" t="s">
        <v>1819</v>
      </c>
      <c r="P286" s="83"/>
      <c r="Q286" s="83"/>
      <c r="R286" s="83" t="s">
        <v>1356</v>
      </c>
      <c r="S286" s="77"/>
    </row>
    <row r="287" spans="2:19" ht="3" customHeight="1" x14ac:dyDescent="0.2">
      <c r="B287" s="77"/>
      <c r="C287" s="77"/>
      <c r="D287" s="77"/>
      <c r="E287" s="77"/>
      <c r="F287" s="77"/>
      <c r="G287" s="77"/>
      <c r="H287" s="77"/>
      <c r="I287" s="77"/>
      <c r="J287" s="77"/>
      <c r="K287" s="77"/>
      <c r="L287" s="77"/>
      <c r="M287" s="77"/>
      <c r="N287" s="77"/>
      <c r="O287" s="77"/>
      <c r="P287" s="77"/>
      <c r="Q287" s="77"/>
      <c r="R287" s="77"/>
      <c r="S287" s="77"/>
    </row>
    <row r="288" spans="2:19" x14ac:dyDescent="0.2">
      <c r="B288" s="77" t="s">
        <v>1401</v>
      </c>
      <c r="C288" s="77"/>
      <c r="D288" s="77"/>
      <c r="E288" s="77"/>
      <c r="F288" s="77"/>
      <c r="G288" s="77"/>
      <c r="H288" s="77"/>
      <c r="I288" s="286">
        <f>ResulEftVarMask12</f>
        <v>6973.3857142857141</v>
      </c>
      <c r="J288" s="286"/>
      <c r="K288" s="77" t="str">
        <f>IF(I288&lt;&gt;"","kr.","")</f>
        <v>kr.</v>
      </c>
      <c r="L288" s="77"/>
      <c r="M288" s="286">
        <f>ResulEftVarMask34</f>
        <v>0</v>
      </c>
      <c r="N288" s="286"/>
      <c r="O288" s="77" t="str">
        <f>IF(M288&lt;&gt;"","kr.","")</f>
        <v>kr.</v>
      </c>
      <c r="P288" s="77"/>
      <c r="Q288" s="286">
        <f>ResulEftVarMaskForsk</f>
        <v>-6973.3857142857141</v>
      </c>
      <c r="R288" s="286"/>
      <c r="S288" s="77" t="str">
        <f>IF(Q288&lt;&gt;"","kr.","")</f>
        <v>kr.</v>
      </c>
    </row>
    <row r="289" spans="2:19" ht="3" customHeight="1" x14ac:dyDescent="0.2">
      <c r="B289" s="77"/>
      <c r="C289" s="77"/>
      <c r="D289" s="77"/>
      <c r="E289" s="77"/>
      <c r="F289" s="77"/>
      <c r="G289" s="77"/>
      <c r="H289" s="77"/>
      <c r="I289" s="77"/>
      <c r="J289" s="77"/>
      <c r="K289" s="77"/>
      <c r="L289" s="77"/>
      <c r="M289" s="77"/>
      <c r="N289" s="77"/>
      <c r="O289" s="77"/>
      <c r="P289" s="77"/>
      <c r="Q289" s="77"/>
      <c r="R289" s="77"/>
      <c r="S289" s="77"/>
    </row>
    <row r="290" spans="2:19" x14ac:dyDescent="0.2">
      <c r="B290" s="77" t="s">
        <v>1716</v>
      </c>
      <c r="C290" s="77"/>
      <c r="D290" s="77"/>
      <c r="E290" s="77"/>
      <c r="F290" s="77"/>
      <c r="G290" s="77"/>
      <c r="H290" s="77"/>
      <c r="I290" s="286">
        <f>HarmoniarealTab12</f>
        <v>0</v>
      </c>
      <c r="J290" s="286"/>
      <c r="K290" s="77" t="str">
        <f>IF(I290&lt;&gt;"","kr.","")</f>
        <v>kr.</v>
      </c>
      <c r="L290" s="77"/>
      <c r="M290" s="286">
        <f>HarmoniarealTab34</f>
        <v>0</v>
      </c>
      <c r="N290" s="286"/>
      <c r="O290" s="77" t="str">
        <f>IF(M290&lt;&gt;"","kr.","")</f>
        <v>kr.</v>
      </c>
      <c r="P290" s="77"/>
      <c r="Q290" s="286">
        <f>HarmoniarealTabForsk</f>
        <v>0</v>
      </c>
      <c r="R290" s="286"/>
      <c r="S290" s="77" t="str">
        <f>IF(Q290&lt;&gt;"","kr.","")</f>
        <v>kr.</v>
      </c>
    </row>
    <row r="291" spans="2:19" ht="3" customHeight="1" x14ac:dyDescent="0.2">
      <c r="B291" s="77"/>
      <c r="C291" s="77"/>
      <c r="D291" s="77"/>
      <c r="E291" s="77"/>
      <c r="F291" s="77"/>
      <c r="G291" s="77"/>
      <c r="H291" s="77"/>
      <c r="I291" s="77"/>
      <c r="J291" s="77"/>
      <c r="K291" s="77"/>
      <c r="L291" s="77"/>
      <c r="M291" s="77"/>
      <c r="N291" s="77"/>
      <c r="O291" s="77"/>
      <c r="P291" s="77"/>
      <c r="Q291" s="77"/>
      <c r="R291" s="77"/>
      <c r="S291" s="77"/>
    </row>
    <row r="292" spans="2:19" x14ac:dyDescent="0.2">
      <c r="B292" s="77" t="s">
        <v>1851</v>
      </c>
      <c r="C292" s="77"/>
      <c r="D292" s="77"/>
      <c r="E292" s="77"/>
      <c r="F292" s="77"/>
      <c r="G292" s="77"/>
      <c r="H292" s="77"/>
      <c r="I292" s="286">
        <f>Handelsomk12</f>
        <v>0</v>
      </c>
      <c r="J292" s="286"/>
      <c r="K292" s="77" t="str">
        <f>IF(I292&lt;&gt;"","kr.","")</f>
        <v>kr.</v>
      </c>
      <c r="L292" s="77"/>
      <c r="M292" s="286">
        <f>Handelsomk34</f>
        <v>0</v>
      </c>
      <c r="N292" s="286"/>
      <c r="O292" s="77" t="str">
        <f>IF(M292&lt;&gt;"","kr.","")</f>
        <v>kr.</v>
      </c>
      <c r="P292" s="77"/>
      <c r="Q292" s="286">
        <f>HandelsomkForsk</f>
        <v>0</v>
      </c>
      <c r="R292" s="286"/>
      <c r="S292" s="77" t="str">
        <f>IF(Q292&lt;&gt;"","kr.","")</f>
        <v>kr.</v>
      </c>
    </row>
    <row r="293" spans="2:19" ht="3" customHeight="1" x14ac:dyDescent="0.2">
      <c r="B293" s="77"/>
      <c r="C293" s="77"/>
      <c r="D293" s="77"/>
      <c r="E293" s="77"/>
      <c r="F293" s="77"/>
      <c r="G293" s="77"/>
      <c r="H293" s="77"/>
      <c r="I293" s="77"/>
      <c r="J293" s="77"/>
      <c r="K293" s="77"/>
      <c r="L293" s="77"/>
      <c r="M293" s="77"/>
      <c r="N293" s="77"/>
      <c r="O293" s="77"/>
      <c r="P293" s="77"/>
      <c r="Q293" s="77"/>
      <c r="R293" s="77"/>
      <c r="S293" s="77"/>
    </row>
    <row r="294" spans="2:19" x14ac:dyDescent="0.2">
      <c r="B294" s="77" t="s">
        <v>1445</v>
      </c>
      <c r="C294" s="77"/>
      <c r="D294" s="77"/>
      <c r="E294" s="77"/>
      <c r="F294" s="77"/>
      <c r="G294" s="77"/>
      <c r="H294" s="77"/>
      <c r="I294" s="286">
        <f>ProteinTab12</f>
        <v>0</v>
      </c>
      <c r="J294" s="286"/>
      <c r="K294" s="77" t="str">
        <f>IF(I294&lt;&gt;"","kr.","")</f>
        <v>kr.</v>
      </c>
      <c r="L294" s="77"/>
      <c r="M294" s="286">
        <f>ProteinTab34</f>
        <v>0</v>
      </c>
      <c r="N294" s="286"/>
      <c r="O294" s="77" t="str">
        <f>IF(M294&lt;&gt;"","kr.","")</f>
        <v>kr.</v>
      </c>
      <c r="P294" s="77"/>
      <c r="Q294" s="286">
        <f>ProteinTabForsk</f>
        <v>0</v>
      </c>
      <c r="R294" s="286"/>
      <c r="S294" s="77" t="str">
        <f>IF(Q294&lt;&gt;"","kr.","")</f>
        <v>kr.</v>
      </c>
    </row>
    <row r="295" spans="2:19" ht="3" customHeight="1" x14ac:dyDescent="0.2">
      <c r="B295" s="77"/>
      <c r="C295" s="77"/>
      <c r="D295" s="77"/>
      <c r="E295" s="77"/>
      <c r="F295" s="77"/>
      <c r="G295" s="77"/>
      <c r="H295" s="77"/>
      <c r="I295" s="87"/>
      <c r="J295" s="87"/>
      <c r="K295" s="77"/>
      <c r="L295" s="77"/>
      <c r="M295" s="87"/>
      <c r="N295" s="87"/>
      <c r="O295" s="77"/>
      <c r="P295" s="77"/>
      <c r="Q295" s="87"/>
      <c r="R295" s="87"/>
      <c r="S295" s="77"/>
    </row>
    <row r="296" spans="2:19" x14ac:dyDescent="0.2">
      <c r="B296" s="83" t="s">
        <v>1982</v>
      </c>
      <c r="C296" s="77"/>
      <c r="D296" s="77"/>
      <c r="E296" s="77"/>
      <c r="F296" s="77"/>
      <c r="G296" s="77"/>
      <c r="H296" s="77"/>
      <c r="I296" s="87"/>
      <c r="J296" s="87"/>
      <c r="K296" s="77"/>
      <c r="L296" s="77"/>
      <c r="M296" s="87"/>
      <c r="N296" s="87"/>
      <c r="O296" s="77"/>
      <c r="P296" s="77"/>
      <c r="Q296" s="290">
        <f>Q288+Q290+Q292+Q294</f>
        <v>-6973.3857142857141</v>
      </c>
      <c r="R296" s="290"/>
      <c r="S296" s="83" t="str">
        <f>IF(Q296&lt;&gt;"","kr.","")</f>
        <v>kr.</v>
      </c>
    </row>
    <row r="297" spans="2:19" x14ac:dyDescent="0.2">
      <c r="B297" s="77"/>
      <c r="C297" s="77"/>
      <c r="D297" s="77"/>
      <c r="E297" s="77"/>
      <c r="F297" s="77"/>
      <c r="G297" s="77"/>
      <c r="H297" s="77"/>
      <c r="I297" s="87"/>
      <c r="J297" s="87"/>
      <c r="K297" s="77"/>
      <c r="L297" s="77"/>
      <c r="M297" s="87"/>
      <c r="N297" s="87"/>
      <c r="O297" s="77"/>
      <c r="P297" s="77"/>
      <c r="Q297" s="87"/>
      <c r="R297" s="87"/>
      <c r="S297" s="77"/>
    </row>
    <row r="298" spans="2:19" x14ac:dyDescent="0.2">
      <c r="B298" s="77"/>
      <c r="C298" s="77"/>
      <c r="D298" s="77"/>
      <c r="E298" s="77"/>
      <c r="F298" s="77"/>
      <c r="G298" s="77"/>
      <c r="H298" s="77"/>
      <c r="I298" s="87"/>
      <c r="J298" s="87"/>
      <c r="K298" s="77"/>
      <c r="L298" s="77"/>
      <c r="M298" s="87"/>
      <c r="N298" s="87"/>
      <c r="O298" s="77"/>
      <c r="P298" s="77"/>
      <c r="Q298" s="87"/>
      <c r="R298" s="87"/>
      <c r="S298" s="77"/>
    </row>
    <row r="299" spans="2:19" ht="15.75" x14ac:dyDescent="0.25">
      <c r="B299" s="113" t="s">
        <v>1850</v>
      </c>
      <c r="C299" s="82"/>
      <c r="D299" s="82"/>
      <c r="E299" s="82"/>
      <c r="F299" s="82"/>
      <c r="G299" s="82"/>
      <c r="H299" s="82"/>
      <c r="I299" s="129"/>
      <c r="J299" s="129"/>
      <c r="K299" s="82"/>
      <c r="L299" s="82"/>
      <c r="M299" s="129"/>
      <c r="N299" s="129"/>
      <c r="O299" s="82"/>
      <c r="P299" s="82"/>
      <c r="Q299" s="129"/>
      <c r="R299" s="129"/>
      <c r="S299" s="82"/>
    </row>
    <row r="300" spans="2:19" ht="9.9499999999999993" customHeight="1" x14ac:dyDescent="0.2">
      <c r="B300" s="77"/>
      <c r="C300" s="77"/>
      <c r="D300" s="77"/>
      <c r="E300" s="77"/>
      <c r="F300" s="77"/>
      <c r="G300" s="77"/>
      <c r="H300" s="77"/>
      <c r="I300" s="77"/>
      <c r="J300" s="77"/>
      <c r="K300" s="77"/>
      <c r="L300" s="77"/>
      <c r="M300" s="77"/>
      <c r="N300" s="77"/>
      <c r="O300" s="77"/>
      <c r="P300" s="77"/>
      <c r="Q300" s="77"/>
      <c r="R300" s="77"/>
      <c r="S300" s="77"/>
    </row>
    <row r="301" spans="2:19" x14ac:dyDescent="0.2">
      <c r="B301" s="77"/>
      <c r="C301" s="77"/>
      <c r="D301" s="77"/>
      <c r="E301" s="77"/>
      <c r="F301" s="77"/>
      <c r="G301" s="77"/>
      <c r="H301" s="77"/>
      <c r="I301" s="77"/>
      <c r="J301" s="77"/>
      <c r="K301" s="96" t="s">
        <v>1816</v>
      </c>
      <c r="L301" s="83"/>
      <c r="M301" s="83"/>
      <c r="N301" s="77"/>
      <c r="O301" s="96" t="s">
        <v>1819</v>
      </c>
      <c r="P301" s="83"/>
      <c r="Q301" s="83"/>
      <c r="R301" s="83" t="s">
        <v>1356</v>
      </c>
      <c r="S301" s="77"/>
    </row>
    <row r="302" spans="2:19" ht="3" customHeight="1" x14ac:dyDescent="0.2">
      <c r="B302" s="77"/>
      <c r="C302" s="77"/>
      <c r="D302" s="77"/>
      <c r="E302" s="77"/>
      <c r="F302" s="77"/>
      <c r="G302" s="77"/>
      <c r="H302" s="77"/>
      <c r="I302" s="77"/>
      <c r="J302" s="77"/>
      <c r="K302" s="77"/>
      <c r="L302" s="77"/>
      <c r="M302" s="77"/>
      <c r="N302" s="77"/>
      <c r="O302" s="77"/>
      <c r="P302" s="77"/>
      <c r="Q302" s="77"/>
      <c r="R302" s="77"/>
      <c r="S302" s="77"/>
    </row>
    <row r="303" spans="2:19" x14ac:dyDescent="0.2">
      <c r="B303" s="77" t="s">
        <v>1480</v>
      </c>
      <c r="C303" s="77"/>
      <c r="D303" s="77"/>
      <c r="E303" s="77"/>
      <c r="F303" s="77"/>
      <c r="G303" s="77"/>
      <c r="H303" s="77"/>
      <c r="I303" s="286">
        <f>Noverskud12</f>
        <v>53.54043999999999</v>
      </c>
      <c r="J303" s="286"/>
      <c r="K303" s="77" t="s">
        <v>82</v>
      </c>
      <c r="L303" s="77"/>
      <c r="M303" s="286">
        <f>Noverskud34</f>
        <v>0</v>
      </c>
      <c r="N303" s="286"/>
      <c r="O303" s="77" t="s">
        <v>82</v>
      </c>
      <c r="P303" s="77"/>
      <c r="Q303" s="77"/>
      <c r="R303" s="77"/>
      <c r="S303" s="77"/>
    </row>
    <row r="304" spans="2:19" ht="3" customHeight="1" x14ac:dyDescent="0.2">
      <c r="B304" s="77"/>
      <c r="C304" s="77"/>
      <c r="D304" s="77"/>
      <c r="E304" s="77"/>
      <c r="F304" s="77"/>
      <c r="G304" s="77"/>
      <c r="H304" s="77"/>
      <c r="I304" s="77"/>
      <c r="J304" s="77"/>
      <c r="K304" s="77"/>
      <c r="L304" s="77"/>
      <c r="M304" s="77"/>
      <c r="N304" s="77"/>
      <c r="O304" s="77"/>
      <c r="P304" s="77"/>
      <c r="Q304" s="77"/>
      <c r="R304" s="77"/>
      <c r="S304" s="77"/>
    </row>
    <row r="305" spans="2:20" x14ac:dyDescent="0.2">
      <c r="B305" s="77" t="s">
        <v>1481</v>
      </c>
      <c r="C305" s="77"/>
      <c r="D305" s="77"/>
      <c r="E305" s="77"/>
      <c r="F305" s="77"/>
      <c r="G305" s="77"/>
      <c r="H305" s="77"/>
      <c r="I305" s="286">
        <f>Poverskud12</f>
        <v>0</v>
      </c>
      <c r="J305" s="286"/>
      <c r="K305" s="77" t="s">
        <v>1504</v>
      </c>
      <c r="L305" s="77"/>
      <c r="M305" s="286">
        <f>Poverskud34</f>
        <v>0</v>
      </c>
      <c r="N305" s="286"/>
      <c r="O305" s="77" t="s">
        <v>1504</v>
      </c>
      <c r="P305" s="77"/>
      <c r="Q305" s="77"/>
      <c r="R305" s="77"/>
      <c r="S305" s="77"/>
    </row>
    <row r="306" spans="2:20" ht="3" customHeight="1" x14ac:dyDescent="0.2">
      <c r="B306" s="77"/>
      <c r="C306" s="77"/>
      <c r="D306" s="77"/>
      <c r="E306" s="77"/>
      <c r="F306" s="77"/>
      <c r="G306" s="77"/>
      <c r="H306" s="77"/>
      <c r="I306" s="77"/>
      <c r="J306" s="77"/>
      <c r="K306" s="77"/>
      <c r="L306" s="77"/>
      <c r="M306" s="77"/>
      <c r="N306" s="77"/>
      <c r="O306" s="77"/>
      <c r="P306" s="77"/>
      <c r="Q306" s="77"/>
      <c r="R306" s="77"/>
      <c r="S306" s="77"/>
    </row>
    <row r="307" spans="2:20" x14ac:dyDescent="0.2">
      <c r="B307" s="77" t="s">
        <v>1482</v>
      </c>
      <c r="C307" s="77"/>
      <c r="D307" s="77"/>
      <c r="E307" s="77"/>
      <c r="F307" s="77"/>
      <c r="G307" s="77"/>
      <c r="H307" s="77"/>
      <c r="I307" s="286">
        <f>Nudvaskning12</f>
        <v>68.413480120945408</v>
      </c>
      <c r="J307" s="286"/>
      <c r="K307" s="77" t="s">
        <v>82</v>
      </c>
      <c r="L307" s="77"/>
      <c r="M307" s="286">
        <f>Nudvaskning34</f>
        <v>0</v>
      </c>
      <c r="N307" s="286"/>
      <c r="O307" s="77" t="s">
        <v>82</v>
      </c>
      <c r="P307" s="77"/>
      <c r="Q307" s="77"/>
      <c r="R307" s="77"/>
      <c r="S307" s="77"/>
    </row>
    <row r="308" spans="2:20" ht="3" customHeight="1" x14ac:dyDescent="0.2">
      <c r="B308" s="77"/>
      <c r="C308" s="77"/>
      <c r="D308" s="77"/>
      <c r="E308" s="77"/>
      <c r="F308" s="77"/>
      <c r="G308" s="77"/>
      <c r="H308" s="77"/>
      <c r="I308" s="77"/>
      <c r="J308" s="77"/>
      <c r="K308" s="77"/>
      <c r="L308" s="77"/>
      <c r="M308" s="77"/>
      <c r="N308" s="77"/>
      <c r="O308" s="77"/>
      <c r="P308" s="77"/>
      <c r="Q308" s="77"/>
      <c r="R308" s="77"/>
      <c r="S308" s="77"/>
    </row>
    <row r="309" spans="2:20" x14ac:dyDescent="0.2">
      <c r="B309" s="77" t="s">
        <v>1483</v>
      </c>
      <c r="C309" s="77"/>
      <c r="D309" s="77"/>
      <c r="E309" s="77"/>
      <c r="F309" s="77"/>
      <c r="G309" s="77"/>
      <c r="H309" s="77"/>
      <c r="I309" s="289">
        <f>IF(ISERROR((Retention1*DyrkAreal1+Retention2*DyrkAreal2)/DyrkAreal12),"",(Retention1*DyrkAreal1+Retention2*DyrkAreal2)/DyrkAreal12)</f>
        <v>60</v>
      </c>
      <c r="J309" s="289"/>
      <c r="K309" s="77" t="s">
        <v>205</v>
      </c>
      <c r="L309" s="77"/>
      <c r="M309" s="289" t="str">
        <f>IF(ISERROR((Retention3*DyrkAreal3+Retention4*DyrkAreal4)/DyrkAreal34),"",(Retention3*DyrkAreal3+Retention4*DyrkAreal4)/DyrkAreal34)</f>
        <v/>
      </c>
      <c r="N309" s="289"/>
      <c r="O309" s="77" t="s">
        <v>205</v>
      </c>
      <c r="P309" s="77"/>
      <c r="Q309" s="77"/>
      <c r="R309" s="77"/>
      <c r="S309" s="77"/>
    </row>
    <row r="310" spans="2:20" ht="3" customHeight="1" x14ac:dyDescent="0.2">
      <c r="B310" s="77"/>
      <c r="C310" s="77"/>
      <c r="D310" s="77"/>
      <c r="E310" s="77"/>
      <c r="F310" s="77"/>
      <c r="G310" s="77"/>
      <c r="H310" s="77"/>
      <c r="I310" s="77"/>
      <c r="J310" s="77"/>
      <c r="K310" s="77"/>
      <c r="L310" s="77"/>
      <c r="M310" s="77"/>
      <c r="N310" s="77"/>
      <c r="O310" s="77"/>
      <c r="P310" s="77"/>
      <c r="Q310" s="77"/>
      <c r="R310" s="77"/>
      <c r="S310" s="77"/>
    </row>
    <row r="311" spans="2:20" x14ac:dyDescent="0.2">
      <c r="B311" s="83" t="s">
        <v>1484</v>
      </c>
      <c r="C311" s="83"/>
      <c r="D311" s="83"/>
      <c r="E311" s="83"/>
      <c r="F311" s="83"/>
      <c r="G311" s="83"/>
      <c r="H311" s="83"/>
      <c r="I311" s="290">
        <f>Nudledning12</f>
        <v>27.365392048378162</v>
      </c>
      <c r="J311" s="290"/>
      <c r="K311" s="83" t="s">
        <v>82</v>
      </c>
      <c r="L311" s="83"/>
      <c r="M311" s="290">
        <f>Nudledning34</f>
        <v>0</v>
      </c>
      <c r="N311" s="290"/>
      <c r="O311" s="83" t="s">
        <v>82</v>
      </c>
      <c r="P311" s="83"/>
      <c r="Q311" s="290">
        <f>I311-M311</f>
        <v>27.365392048378162</v>
      </c>
      <c r="R311" s="293"/>
      <c r="S311" s="83" t="s">
        <v>82</v>
      </c>
    </row>
    <row r="312" spans="2:20" ht="3" customHeight="1" x14ac:dyDescent="0.2">
      <c r="B312" s="77"/>
      <c r="C312" s="77"/>
      <c r="D312" s="77"/>
      <c r="E312" s="77"/>
      <c r="F312" s="77"/>
      <c r="G312" s="77"/>
      <c r="H312" s="77"/>
      <c r="I312" s="77"/>
      <c r="J312" s="77"/>
      <c r="K312" s="77"/>
      <c r="L312" s="77"/>
      <c r="M312" s="77"/>
      <c r="N312" s="77"/>
      <c r="O312" s="77"/>
      <c r="P312" s="77"/>
      <c r="Q312" s="77"/>
      <c r="R312" s="77"/>
      <c r="S312" s="77"/>
    </row>
    <row r="313" spans="2:20" ht="15" x14ac:dyDescent="0.25">
      <c r="B313" s="83" t="s">
        <v>1733</v>
      </c>
      <c r="C313" s="83"/>
      <c r="D313" s="83"/>
      <c r="E313" s="83"/>
      <c r="F313" s="83"/>
      <c r="G313" s="83"/>
      <c r="H313" s="83"/>
      <c r="I313" s="83"/>
      <c r="J313" s="83"/>
      <c r="K313" s="83"/>
      <c r="L313" s="83"/>
      <c r="M313" s="83"/>
      <c r="N313" s="83"/>
      <c r="O313" s="83"/>
      <c r="P313" s="290">
        <f>IF(ISERROR(TabIaltKr/ReducUdledIaltKgN),"",TabIaltKr/ReducUdledIaltKgN)</f>
        <v>-254.82498850949219</v>
      </c>
      <c r="Q313" s="262"/>
      <c r="R313" s="83" t="s">
        <v>1717</v>
      </c>
      <c r="S313" s="77"/>
      <c r="T313" s="80"/>
    </row>
    <row r="314" spans="2:20" x14ac:dyDescent="0.2">
      <c r="B314" s="83"/>
      <c r="C314" s="83"/>
      <c r="D314" s="83"/>
      <c r="E314" s="83"/>
      <c r="F314" s="83"/>
      <c r="G314" s="83"/>
      <c r="H314" s="83"/>
      <c r="I314" s="83"/>
      <c r="J314" s="83"/>
      <c r="K314" s="83"/>
      <c r="L314" s="83"/>
      <c r="M314" s="83"/>
      <c r="N314" s="83"/>
      <c r="O314" s="83"/>
      <c r="P314" s="83"/>
      <c r="Q314" s="86"/>
      <c r="R314" s="86"/>
      <c r="S314" s="83"/>
      <c r="T314" s="80"/>
    </row>
    <row r="315" spans="2:20" x14ac:dyDescent="0.2">
      <c r="B315" s="83" t="s">
        <v>1730</v>
      </c>
      <c r="C315" s="83"/>
      <c r="D315" s="83"/>
      <c r="E315" s="83"/>
      <c r="F315" s="83"/>
      <c r="G315" s="83"/>
      <c r="H315" s="83"/>
      <c r="I315" s="83"/>
      <c r="J315" s="83"/>
      <c r="K315" s="83"/>
      <c r="L315" s="83"/>
      <c r="M315" s="83"/>
      <c r="N315" s="83"/>
      <c r="O315" s="83"/>
      <c r="P315" s="83"/>
      <c r="Q315" s="86"/>
      <c r="R315" s="86"/>
      <c r="S315" s="83"/>
      <c r="T315" s="80"/>
    </row>
    <row r="316" spans="2:20" ht="3" customHeight="1" x14ac:dyDescent="0.2">
      <c r="B316" s="77"/>
      <c r="C316" s="77"/>
      <c r="D316" s="77"/>
      <c r="E316" s="77"/>
      <c r="F316" s="77"/>
      <c r="G316" s="77"/>
      <c r="H316" s="77"/>
      <c r="I316" s="77"/>
      <c r="J316" s="77"/>
      <c r="K316" s="77"/>
      <c r="L316" s="77"/>
      <c r="M316" s="77"/>
      <c r="N316" s="77"/>
      <c r="O316" s="77"/>
      <c r="P316" s="77"/>
      <c r="Q316" s="77"/>
      <c r="R316" s="77"/>
      <c r="S316" s="77"/>
    </row>
    <row r="317" spans="2:20" x14ac:dyDescent="0.2">
      <c r="B317" s="77" t="s">
        <v>1485</v>
      </c>
      <c r="C317" s="77"/>
      <c r="D317" s="77"/>
      <c r="E317" s="77"/>
      <c r="F317" s="77"/>
      <c r="G317" s="77"/>
      <c r="H317" s="77"/>
      <c r="I317" s="286">
        <f>IF(ISERROR(Nudvaskning12/DyrkAreal12),"",Nudvaskning12/DyrkAreal12)</f>
        <v>68.413480120945408</v>
      </c>
      <c r="J317" s="286"/>
      <c r="K317" s="77" t="s">
        <v>1512</v>
      </c>
      <c r="L317" s="77"/>
      <c r="M317" s="286" t="str">
        <f>IF(ISERROR(Nudvaskning34/DyrkAreal34),"",Nudvaskning34/DyrkAreal34)</f>
        <v/>
      </c>
      <c r="N317" s="286"/>
      <c r="O317" s="77" t="s">
        <v>1512</v>
      </c>
      <c r="P317" s="77"/>
      <c r="Q317" s="77"/>
      <c r="R317" s="77"/>
      <c r="S317" s="77"/>
    </row>
    <row r="318" spans="2:20" ht="3" customHeight="1" x14ac:dyDescent="0.2">
      <c r="B318" s="77"/>
      <c r="C318" s="77"/>
      <c r="D318" s="77"/>
      <c r="E318" s="77"/>
      <c r="F318" s="77"/>
      <c r="G318" s="77"/>
      <c r="H318" s="77"/>
      <c r="I318" s="77"/>
      <c r="J318" s="77"/>
      <c r="K318" s="77"/>
      <c r="L318" s="77"/>
      <c r="M318" s="77"/>
      <c r="N318" s="77"/>
      <c r="O318" s="77"/>
      <c r="P318" s="77"/>
      <c r="Q318" s="77"/>
      <c r="R318" s="77"/>
      <c r="S318" s="77"/>
    </row>
    <row r="319" spans="2:20" x14ac:dyDescent="0.2">
      <c r="B319" s="77" t="s">
        <v>1486</v>
      </c>
      <c r="C319" s="77"/>
      <c r="D319" s="77"/>
      <c r="E319" s="77"/>
      <c r="F319" s="77"/>
      <c r="G319" s="77"/>
      <c r="H319" s="77"/>
      <c r="I319" s="286">
        <f>IF(ISERROR(Afstrømning12/(DyrkAreal12*1000)),"",Afstrømning12/(DyrkAreal12*10000))</f>
        <v>334.48</v>
      </c>
      <c r="J319" s="286"/>
      <c r="K319" s="77" t="s">
        <v>531</v>
      </c>
      <c r="L319" s="77"/>
      <c r="M319" s="286" t="str">
        <f>IF(ISERROR(Afstrømning34/(DyrkAreal34*1000)),"",Afstrømning34/(DyrkAreal34*10000))</f>
        <v/>
      </c>
      <c r="N319" s="286"/>
      <c r="O319" s="77" t="s">
        <v>531</v>
      </c>
      <c r="P319" s="77"/>
      <c r="Q319" s="77"/>
      <c r="R319" s="77"/>
      <c r="S319" s="77"/>
    </row>
    <row r="320" spans="2:20" ht="3" customHeight="1" x14ac:dyDescent="0.2">
      <c r="B320" s="77"/>
      <c r="C320" s="77"/>
      <c r="D320" s="77"/>
      <c r="E320" s="77"/>
      <c r="F320" s="77"/>
      <c r="G320" s="77"/>
      <c r="H320" s="77"/>
      <c r="I320" s="77"/>
      <c r="J320" s="77"/>
      <c r="K320" s="77"/>
      <c r="L320" s="77"/>
      <c r="M320" s="77"/>
      <c r="N320" s="77"/>
      <c r="O320" s="77"/>
      <c r="P320" s="77"/>
      <c r="Q320" s="77"/>
      <c r="R320" s="77"/>
      <c r="S320" s="77"/>
    </row>
    <row r="321" spans="2:19" ht="15.75" x14ac:dyDescent="0.3">
      <c r="B321" s="77" t="s">
        <v>1487</v>
      </c>
      <c r="C321" s="77"/>
      <c r="D321" s="77"/>
      <c r="E321" s="77"/>
      <c r="F321" s="77"/>
      <c r="G321" s="77"/>
      <c r="H321" s="77"/>
      <c r="I321" s="286">
        <f>Nitrat12</f>
        <v>20.453683365506279</v>
      </c>
      <c r="J321" s="286"/>
      <c r="K321" s="77" t="s">
        <v>1994</v>
      </c>
      <c r="L321" s="77"/>
      <c r="M321" s="286">
        <f>Nitrat34</f>
        <v>0</v>
      </c>
      <c r="N321" s="286"/>
      <c r="O321" s="77" t="s">
        <v>1994</v>
      </c>
      <c r="P321" s="77"/>
      <c r="Q321" s="77"/>
      <c r="R321" s="77"/>
      <c r="S321" s="77"/>
    </row>
    <row r="322" spans="2:19" ht="3" customHeight="1" x14ac:dyDescent="0.2">
      <c r="B322" s="77"/>
      <c r="C322" s="77"/>
      <c r="D322" s="77"/>
      <c r="E322" s="77"/>
      <c r="F322" s="77"/>
      <c r="G322" s="77"/>
      <c r="H322" s="77"/>
      <c r="I322" s="77"/>
      <c r="J322" s="77"/>
      <c r="K322" s="77"/>
      <c r="L322" s="77"/>
      <c r="M322" s="77"/>
      <c r="N322" s="77"/>
      <c r="O322" s="77"/>
      <c r="P322" s="77"/>
      <c r="Q322" s="77"/>
      <c r="R322" s="77"/>
      <c r="S322" s="77"/>
    </row>
    <row r="323" spans="2:19" x14ac:dyDescent="0.2">
      <c r="B323" s="77" t="s">
        <v>1488</v>
      </c>
      <c r="C323" s="77"/>
      <c r="D323" s="77"/>
      <c r="E323" s="77"/>
      <c r="F323" s="77"/>
      <c r="G323" s="77"/>
      <c r="H323" s="77"/>
      <c r="I323" s="286">
        <f>IF(ISERROR(Nudledning12/DyrkAreal12),"",Nudledning12/DyrkAreal12)</f>
        <v>27.365392048378162</v>
      </c>
      <c r="J323" s="286"/>
      <c r="K323" s="77" t="s">
        <v>82</v>
      </c>
      <c r="L323" s="77"/>
      <c r="M323" s="286" t="str">
        <f>IF(ISERROR(Nudledning34/DyrkAreal34),"",Nudledning34/DyrkAreal34)</f>
        <v/>
      </c>
      <c r="N323" s="286"/>
      <c r="O323" s="77" t="s">
        <v>82</v>
      </c>
      <c r="P323" s="77"/>
      <c r="Q323" s="77"/>
      <c r="R323" s="77"/>
      <c r="S323" s="77"/>
    </row>
    <row r="324" spans="2:19" x14ac:dyDescent="0.2">
      <c r="B324" s="77"/>
      <c r="C324" s="77"/>
      <c r="D324" s="77"/>
      <c r="E324" s="77"/>
      <c r="F324" s="77"/>
      <c r="G324" s="77"/>
      <c r="H324" s="77"/>
      <c r="I324" s="77"/>
      <c r="J324" s="77"/>
      <c r="K324" s="77"/>
      <c r="L324" s="77"/>
      <c r="M324" s="77"/>
      <c r="N324" s="77"/>
      <c r="O324" s="77"/>
      <c r="P324" s="77"/>
      <c r="Q324" s="77"/>
      <c r="R324" s="77"/>
      <c r="S324" s="77"/>
    </row>
    <row r="325" spans="2:19" x14ac:dyDescent="0.2">
      <c r="B325" s="77"/>
      <c r="C325" s="77"/>
      <c r="D325" s="77"/>
      <c r="E325" s="77"/>
      <c r="F325" s="77"/>
      <c r="G325" s="77"/>
      <c r="H325" s="77"/>
      <c r="I325" s="77"/>
      <c r="J325" s="77"/>
      <c r="K325" s="77"/>
      <c r="L325" s="77"/>
      <c r="M325" s="77"/>
      <c r="N325" s="77"/>
      <c r="O325" s="77"/>
      <c r="P325" s="77"/>
      <c r="Q325" s="77"/>
      <c r="R325" s="77"/>
      <c r="S325" s="77"/>
    </row>
  </sheetData>
  <sheetProtection sheet="1" objects="1" scenarios="1"/>
  <mergeCells count="304">
    <mergeCell ref="Q35:R35"/>
    <mergeCell ref="I36:J36"/>
    <mergeCell ref="M36:N36"/>
    <mergeCell ref="Q36:R36"/>
    <mergeCell ref="I38:J38"/>
    <mergeCell ref="M38:N38"/>
    <mergeCell ref="Q38:R38"/>
    <mergeCell ref="P153:Q153"/>
    <mergeCell ref="K155:L155"/>
    <mergeCell ref="P155:Q155"/>
    <mergeCell ref="Q110:R110"/>
    <mergeCell ref="Q122:R122"/>
    <mergeCell ref="N114:O114"/>
    <mergeCell ref="Q114:R114"/>
    <mergeCell ref="N115:O115"/>
    <mergeCell ref="Q115:R115"/>
    <mergeCell ref="N116:O116"/>
    <mergeCell ref="Q116:R116"/>
    <mergeCell ref="N117:O117"/>
    <mergeCell ref="Q117:R117"/>
    <mergeCell ref="N118:O118"/>
    <mergeCell ref="Q118:R118"/>
    <mergeCell ref="N119:O119"/>
    <mergeCell ref="Q119:R119"/>
    <mergeCell ref="N120:O120"/>
    <mergeCell ref="Q120:R120"/>
    <mergeCell ref="N121:O121"/>
    <mergeCell ref="Q121:R121"/>
    <mergeCell ref="Q113:S113"/>
    <mergeCell ref="P144:Q144"/>
    <mergeCell ref="N80:O80"/>
    <mergeCell ref="N106:O106"/>
    <mergeCell ref="Q106:R106"/>
    <mergeCell ref="N107:O107"/>
    <mergeCell ref="Q107:R107"/>
    <mergeCell ref="N108:O108"/>
    <mergeCell ref="Q108:R108"/>
    <mergeCell ref="N109:O109"/>
    <mergeCell ref="Q109:R109"/>
    <mergeCell ref="Q105:R105"/>
    <mergeCell ref="N102:O102"/>
    <mergeCell ref="Q102:R102"/>
    <mergeCell ref="N94:O94"/>
    <mergeCell ref="Q89:R89"/>
    <mergeCell ref="Q90:R90"/>
    <mergeCell ref="Q91:R91"/>
    <mergeCell ref="Q92:R92"/>
    <mergeCell ref="Q93:R93"/>
    <mergeCell ref="Q94:R94"/>
    <mergeCell ref="Q95:R95"/>
    <mergeCell ref="N95:O95"/>
    <mergeCell ref="N91:O91"/>
    <mergeCell ref="N92:O92"/>
    <mergeCell ref="N93:O93"/>
    <mergeCell ref="Q81:R81"/>
    <mergeCell ref="Q82:R82"/>
    <mergeCell ref="N103:O103"/>
    <mergeCell ref="Q83:R83"/>
    <mergeCell ref="N88:O88"/>
    <mergeCell ref="Q88:R88"/>
    <mergeCell ref="N89:O89"/>
    <mergeCell ref="N90:O90"/>
    <mergeCell ref="N87:P87"/>
    <mergeCell ref="Q87:S87"/>
    <mergeCell ref="N101:P101"/>
    <mergeCell ref="Q101:S101"/>
    <mergeCell ref="Q96:R96"/>
    <mergeCell ref="P313:Q313"/>
    <mergeCell ref="Q296:R296"/>
    <mergeCell ref="I294:J294"/>
    <mergeCell ref="M294:N294"/>
    <mergeCell ref="Q294:R294"/>
    <mergeCell ref="Q311:R311"/>
    <mergeCell ref="M210:N210"/>
    <mergeCell ref="M212:N212"/>
    <mergeCell ref="M214:N214"/>
    <mergeCell ref="M216:N216"/>
    <mergeCell ref="Q216:R216"/>
    <mergeCell ref="M220:N220"/>
    <mergeCell ref="M222:N222"/>
    <mergeCell ref="M224:N224"/>
    <mergeCell ref="M226:N226"/>
    <mergeCell ref="M228:N228"/>
    <mergeCell ref="Q228:R228"/>
    <mergeCell ref="Q264:R264"/>
    <mergeCell ref="Q276:R276"/>
    <mergeCell ref="M250:N250"/>
    <mergeCell ref="I288:J288"/>
    <mergeCell ref="M288:N288"/>
    <mergeCell ref="I290:J290"/>
    <mergeCell ref="M290:N290"/>
    <mergeCell ref="I323:J323"/>
    <mergeCell ref="I309:J309"/>
    <mergeCell ref="I311:J311"/>
    <mergeCell ref="I303:J303"/>
    <mergeCell ref="I305:J305"/>
    <mergeCell ref="I307:J307"/>
    <mergeCell ref="I321:J321"/>
    <mergeCell ref="I319:J319"/>
    <mergeCell ref="I317:J317"/>
    <mergeCell ref="Q288:R288"/>
    <mergeCell ref="Q290:R290"/>
    <mergeCell ref="Q292:R292"/>
    <mergeCell ref="I29:J29"/>
    <mergeCell ref="I31:J31"/>
    <mergeCell ref="I33:J33"/>
    <mergeCell ref="K187:L187"/>
    <mergeCell ref="K151:L151"/>
    <mergeCell ref="K157:L157"/>
    <mergeCell ref="K159:L159"/>
    <mergeCell ref="K163:L163"/>
    <mergeCell ref="K134:L134"/>
    <mergeCell ref="I74:K74"/>
    <mergeCell ref="I44:J44"/>
    <mergeCell ref="I45:J45"/>
    <mergeCell ref="I46:J46"/>
    <mergeCell ref="I47:J47"/>
    <mergeCell ref="I48:J48"/>
    <mergeCell ref="I61:J61"/>
    <mergeCell ref="N77:O77"/>
    <mergeCell ref="N78:O78"/>
    <mergeCell ref="N79:O79"/>
    <mergeCell ref="N74:P74"/>
    <mergeCell ref="I62:J62"/>
    <mergeCell ref="I292:J292"/>
    <mergeCell ref="M292:N292"/>
    <mergeCell ref="K83:L83"/>
    <mergeCell ref="K96:L96"/>
    <mergeCell ref="I87:K87"/>
    <mergeCell ref="N81:O81"/>
    <mergeCell ref="N82:O82"/>
    <mergeCell ref="N113:P113"/>
    <mergeCell ref="I276:J276"/>
    <mergeCell ref="I252:J252"/>
    <mergeCell ref="I258:J258"/>
    <mergeCell ref="I260:J260"/>
    <mergeCell ref="I262:J262"/>
    <mergeCell ref="I264:J264"/>
    <mergeCell ref="I234:J234"/>
    <mergeCell ref="I236:J236"/>
    <mergeCell ref="I244:J244"/>
    <mergeCell ref="N104:O104"/>
    <mergeCell ref="N105:O105"/>
    <mergeCell ref="I248:J248"/>
    <mergeCell ref="I250:J250"/>
    <mergeCell ref="I272:J272"/>
    <mergeCell ref="I270:J270"/>
    <mergeCell ref="I194:J194"/>
    <mergeCell ref="I12:J12"/>
    <mergeCell ref="I13:J13"/>
    <mergeCell ref="I14:J14"/>
    <mergeCell ref="I15:J15"/>
    <mergeCell ref="I16:J16"/>
    <mergeCell ref="I21:J21"/>
    <mergeCell ref="I22:J22"/>
    <mergeCell ref="I24:J24"/>
    <mergeCell ref="I56:J56"/>
    <mergeCell ref="I26:J26"/>
    <mergeCell ref="I19:J19"/>
    <mergeCell ref="I20:J20"/>
    <mergeCell ref="I55:J55"/>
    <mergeCell ref="I18:J18"/>
    <mergeCell ref="I35:J35"/>
    <mergeCell ref="E72:F72"/>
    <mergeCell ref="E85:F85"/>
    <mergeCell ref="E99:F99"/>
    <mergeCell ref="E111:F111"/>
    <mergeCell ref="I274:J274"/>
    <mergeCell ref="E218:F218"/>
    <mergeCell ref="E214:F214"/>
    <mergeCell ref="M12:N12"/>
    <mergeCell ref="M13:N13"/>
    <mergeCell ref="M14:N14"/>
    <mergeCell ref="M15:N15"/>
    <mergeCell ref="M16:N16"/>
    <mergeCell ref="B262:H262"/>
    <mergeCell ref="G218:H218"/>
    <mergeCell ref="B258:H258"/>
    <mergeCell ref="B260:H260"/>
    <mergeCell ref="E212:F212"/>
    <mergeCell ref="I58:J58"/>
    <mergeCell ref="I59:J59"/>
    <mergeCell ref="I198:J198"/>
    <mergeCell ref="M18:N18"/>
    <mergeCell ref="M19:N19"/>
    <mergeCell ref="M21:N21"/>
    <mergeCell ref="M22:N22"/>
    <mergeCell ref="I196:J196"/>
    <mergeCell ref="I113:K113"/>
    <mergeCell ref="K122:L122"/>
    <mergeCell ref="I183:J183"/>
    <mergeCell ref="I181:J181"/>
    <mergeCell ref="I179:J179"/>
    <mergeCell ref="I177:J177"/>
    <mergeCell ref="K144:L144"/>
    <mergeCell ref="K138:L138"/>
    <mergeCell ref="K140:L140"/>
    <mergeCell ref="K171:L171"/>
    <mergeCell ref="K161:L161"/>
    <mergeCell ref="K153:L153"/>
    <mergeCell ref="I57:J57"/>
    <mergeCell ref="P134:Q134"/>
    <mergeCell ref="Q74:S74"/>
    <mergeCell ref="M55:N55"/>
    <mergeCell ref="M27:N27"/>
    <mergeCell ref="M60:N60"/>
    <mergeCell ref="M63:N63"/>
    <mergeCell ref="M64:N64"/>
    <mergeCell ref="I27:J27"/>
    <mergeCell ref="I60:J60"/>
    <mergeCell ref="I63:J63"/>
    <mergeCell ref="I64:J64"/>
    <mergeCell ref="Q64:R64"/>
    <mergeCell ref="Q48:R48"/>
    <mergeCell ref="I101:K101"/>
    <mergeCell ref="K110:L110"/>
    <mergeCell ref="Q103:R103"/>
    <mergeCell ref="Q104:R104"/>
    <mergeCell ref="Q75:R75"/>
    <mergeCell ref="Q76:R76"/>
    <mergeCell ref="Q77:R77"/>
    <mergeCell ref="Q78:R78"/>
    <mergeCell ref="Q79:R79"/>
    <mergeCell ref="Q80:R80"/>
    <mergeCell ref="Q12:R12"/>
    <mergeCell ref="Q13:R13"/>
    <mergeCell ref="Q14:R14"/>
    <mergeCell ref="Q15:R15"/>
    <mergeCell ref="Q22:R22"/>
    <mergeCell ref="Q24:R24"/>
    <mergeCell ref="Q29:R29"/>
    <mergeCell ref="Q33:R33"/>
    <mergeCell ref="Q16:R16"/>
    <mergeCell ref="M24:N24"/>
    <mergeCell ref="M20:N20"/>
    <mergeCell ref="M26:N26"/>
    <mergeCell ref="M56:N56"/>
    <mergeCell ref="M29:N29"/>
    <mergeCell ref="M31:N31"/>
    <mergeCell ref="M33:N33"/>
    <mergeCell ref="N75:O75"/>
    <mergeCell ref="N76:O76"/>
    <mergeCell ref="M44:N44"/>
    <mergeCell ref="M45:N45"/>
    <mergeCell ref="M46:N46"/>
    <mergeCell ref="M47:N47"/>
    <mergeCell ref="M48:N48"/>
    <mergeCell ref="M61:N61"/>
    <mergeCell ref="M62:N62"/>
    <mergeCell ref="M57:N57"/>
    <mergeCell ref="M58:N58"/>
    <mergeCell ref="M59:N59"/>
    <mergeCell ref="M35:N35"/>
    <mergeCell ref="M272:N272"/>
    <mergeCell ref="M244:N244"/>
    <mergeCell ref="M248:N248"/>
    <mergeCell ref="M234:N234"/>
    <mergeCell ref="M236:N236"/>
    <mergeCell ref="M252:N252"/>
    <mergeCell ref="M258:N258"/>
    <mergeCell ref="M323:N323"/>
    <mergeCell ref="M309:N309"/>
    <mergeCell ref="M311:N311"/>
    <mergeCell ref="M317:N317"/>
    <mergeCell ref="M319:N319"/>
    <mergeCell ref="M321:N321"/>
    <mergeCell ref="M274:N274"/>
    <mergeCell ref="M276:N276"/>
    <mergeCell ref="M303:N303"/>
    <mergeCell ref="M305:N305"/>
    <mergeCell ref="M307:N307"/>
    <mergeCell ref="N177:O177"/>
    <mergeCell ref="N179:O179"/>
    <mergeCell ref="N181:O181"/>
    <mergeCell ref="N183:O183"/>
    <mergeCell ref="P171:Q171"/>
    <mergeCell ref="M260:N260"/>
    <mergeCell ref="M262:N262"/>
    <mergeCell ref="M264:N264"/>
    <mergeCell ref="M270:N270"/>
    <mergeCell ref="I238:J238"/>
    <mergeCell ref="I240:J240"/>
    <mergeCell ref="I242:J242"/>
    <mergeCell ref="M238:N238"/>
    <mergeCell ref="M240:N240"/>
    <mergeCell ref="M242:N242"/>
    <mergeCell ref="E210:F210"/>
    <mergeCell ref="P138:Q138"/>
    <mergeCell ref="P140:Q140"/>
    <mergeCell ref="P163:Q163"/>
    <mergeCell ref="K169:L169"/>
    <mergeCell ref="P169:Q169"/>
    <mergeCell ref="P151:Q151"/>
    <mergeCell ref="P157:Q157"/>
    <mergeCell ref="P159:Q159"/>
    <mergeCell ref="Q198:R198"/>
    <mergeCell ref="M198:N198"/>
    <mergeCell ref="M194:N194"/>
    <mergeCell ref="M196:N196"/>
    <mergeCell ref="Q194:R194"/>
    <mergeCell ref="Q196:R196"/>
    <mergeCell ref="P187:Q187"/>
    <mergeCell ref="P161:Q161"/>
    <mergeCell ref="K190:L190"/>
  </mergeCells>
  <pageMargins left="0.70866141732283472" right="0.51181102362204722" top="0.74803149606299213" bottom="0.74803149606299213" header="0.31496062992125984" footer="0.31496062992125984"/>
  <pageSetup paperSize="9" orientation="portrait" r:id="rId1"/>
  <headerFooter>
    <oddHeader>&amp;L&amp;"-,Fed"
&amp;"Arial,Fed"Kalkule Mark&amp;R&amp;"-,Fed"
&amp;"Arial,Fed"Dansk Landbrugsrådgivning</oddHeader>
    <oddFooter>&amp;L&amp;D&amp;R&amp;P</oddFooter>
  </headerFooter>
  <rowBreaks count="4" manualBreakCount="4">
    <brk id="66" max="16383" man="1"/>
    <brk id="123" max="16383" man="1"/>
    <brk id="200" max="16383" man="1"/>
    <brk id="277"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2"/>
  <dimension ref="A2:QR272"/>
  <sheetViews>
    <sheetView topLeftCell="A10" zoomScaleNormal="100" workbookViewId="0">
      <selection activeCell="D34" sqref="D34"/>
    </sheetView>
  </sheetViews>
  <sheetFormatPr defaultRowHeight="15" x14ac:dyDescent="0.25"/>
  <cols>
    <col min="4" max="4" width="12.7109375" bestFit="1" customWidth="1"/>
    <col min="13" max="13" width="12.7109375" bestFit="1" customWidth="1"/>
    <col min="33" max="33" width="12.5703125" bestFit="1" customWidth="1"/>
    <col min="34" max="36" width="12.5703125" customWidth="1"/>
    <col min="39" max="39" width="7.28515625" customWidth="1"/>
    <col min="40" max="40" width="9.42578125" customWidth="1"/>
    <col min="146" max="146" width="12.5703125" bestFit="1" customWidth="1"/>
    <col min="147" max="147" width="10.5703125" customWidth="1"/>
    <col min="148" max="148" width="9.5703125" customWidth="1"/>
    <col min="173" max="173" width="12.5703125" bestFit="1" customWidth="1"/>
    <col min="192" max="192" width="10.5703125" bestFit="1" customWidth="1"/>
    <col min="199" max="199" width="12.5703125" bestFit="1" customWidth="1"/>
    <col min="205" max="205" width="12.5703125" bestFit="1" customWidth="1"/>
    <col min="207" max="207" width="10.5703125" bestFit="1" customWidth="1"/>
    <col min="216" max="216" width="11.5703125" bestFit="1" customWidth="1"/>
    <col min="218" max="218" width="11.5703125" bestFit="1" customWidth="1"/>
    <col min="229" max="229" width="10.140625" bestFit="1" customWidth="1"/>
    <col min="230" max="230" width="12.140625" customWidth="1"/>
    <col min="353" max="353" width="12.5703125" bestFit="1" customWidth="1"/>
  </cols>
  <sheetData>
    <row r="2" spans="2:199" ht="21" x14ac:dyDescent="0.35">
      <c r="B2" s="152" t="s">
        <v>1947</v>
      </c>
    </row>
    <row r="3" spans="2:199" ht="21" x14ac:dyDescent="0.35">
      <c r="B3" s="153"/>
    </row>
    <row r="4" spans="2:199" ht="21" x14ac:dyDescent="0.35">
      <c r="B4" s="152" t="s">
        <v>1948</v>
      </c>
      <c r="S4" s="12"/>
      <c r="T4" s="12"/>
      <c r="U4" s="12"/>
    </row>
    <row r="7" spans="2:199" x14ac:dyDescent="0.25">
      <c r="GQ7" s="4" t="s">
        <v>327</v>
      </c>
    </row>
    <row r="8" spans="2:199" x14ac:dyDescent="0.25">
      <c r="GG8" s="4" t="s">
        <v>309</v>
      </c>
    </row>
    <row r="9" spans="2:199" x14ac:dyDescent="0.25">
      <c r="E9" s="12"/>
      <c r="F9" s="12"/>
      <c r="G9" s="12"/>
      <c r="H9" s="12"/>
      <c r="GI9" s="12"/>
      <c r="GM9" s="12"/>
      <c r="GO9" s="12"/>
    </row>
    <row r="10" spans="2:199" x14ac:dyDescent="0.25">
      <c r="B10" s="51" t="s">
        <v>1578</v>
      </c>
      <c r="C10" s="44"/>
      <c r="D10" s="44"/>
      <c r="E10" s="45"/>
      <c r="G10" s="51" t="s">
        <v>1579</v>
      </c>
      <c r="H10" s="44"/>
      <c r="I10" s="44"/>
      <c r="J10" s="44"/>
      <c r="K10" s="44"/>
      <c r="L10" s="44"/>
      <c r="M10" s="44"/>
      <c r="N10" s="44"/>
      <c r="O10" s="44"/>
      <c r="P10" s="44"/>
      <c r="Q10" s="44"/>
      <c r="R10" s="45"/>
      <c r="GI10" s="12"/>
      <c r="GM10" s="12"/>
      <c r="GO10" s="12"/>
    </row>
    <row r="11" spans="2:199" x14ac:dyDescent="0.25">
      <c r="B11" s="46" t="s">
        <v>484</v>
      </c>
      <c r="C11" s="22" t="s">
        <v>475</v>
      </c>
      <c r="D11" s="22"/>
      <c r="E11" s="47"/>
      <c r="G11" s="46" t="s">
        <v>2</v>
      </c>
      <c r="H11" s="22"/>
      <c r="I11" s="22" t="s">
        <v>3</v>
      </c>
      <c r="J11" s="22"/>
      <c r="K11" s="22" t="s">
        <v>1248</v>
      </c>
      <c r="L11" s="22"/>
      <c r="M11" s="22"/>
      <c r="N11" s="22"/>
      <c r="O11" s="22"/>
      <c r="P11" s="22" t="s">
        <v>499</v>
      </c>
      <c r="Q11" s="22" t="s">
        <v>261</v>
      </c>
      <c r="R11" s="47"/>
      <c r="GI11" s="12"/>
      <c r="GM11" s="12"/>
      <c r="GO11" s="12"/>
    </row>
    <row r="12" spans="2:199" x14ac:dyDescent="0.25">
      <c r="B12" s="48">
        <f>VLOOKUP(HdgDyreart,HdgType,3)</f>
        <v>75</v>
      </c>
      <c r="C12" s="49">
        <f>HdgDEIalt*VLOOKUP(HdgDyreart,HdgType,4)</f>
        <v>0</v>
      </c>
      <c r="D12" s="49"/>
      <c r="E12" s="50"/>
      <c r="G12" s="48">
        <f>IF(Normer!J11&lt;&gt;"",Normer!J11,Normer!G11)</f>
        <v>100</v>
      </c>
      <c r="H12" s="49">
        <f>G12*0.01</f>
        <v>1</v>
      </c>
      <c r="I12" s="49">
        <f>IF(Normer!J13&lt;&gt;"",Normer!J13,Normer!G13)</f>
        <v>100</v>
      </c>
      <c r="J12" s="49">
        <f>I12*0.01</f>
        <v>1</v>
      </c>
      <c r="K12" s="49">
        <f>IF(Normer!J15&lt;&gt;"",Normer!J15,Normer!G15)</f>
        <v>100</v>
      </c>
      <c r="L12" s="49">
        <f>K12*0.01</f>
        <v>1</v>
      </c>
      <c r="M12" s="49"/>
      <c r="N12" s="49"/>
      <c r="O12" s="49"/>
      <c r="P12" s="49">
        <v>1</v>
      </c>
      <c r="Q12" s="49">
        <v>15</v>
      </c>
      <c r="R12" s="50"/>
      <c r="GI12" s="12"/>
      <c r="GM12" s="12"/>
      <c r="GO12" s="12"/>
    </row>
    <row r="13" spans="2:199" x14ac:dyDescent="0.25">
      <c r="E13" s="12"/>
      <c r="F13" s="12"/>
      <c r="G13" s="12"/>
      <c r="H13" s="12"/>
      <c r="GI13" s="12"/>
      <c r="GM13" s="12"/>
      <c r="GO13" s="12"/>
    </row>
    <row r="14" spans="2:199" x14ac:dyDescent="0.25">
      <c r="E14" s="12"/>
      <c r="F14" s="12"/>
      <c r="G14" s="12"/>
      <c r="H14" s="12"/>
      <c r="GI14" s="12"/>
      <c r="GM14" s="12"/>
      <c r="GO14" s="12"/>
    </row>
    <row r="15" spans="2:199" x14ac:dyDescent="0.25">
      <c r="E15" s="12"/>
      <c r="F15" s="12"/>
      <c r="G15" s="12"/>
      <c r="H15" s="12"/>
      <c r="GI15" s="12"/>
      <c r="GM15" s="12"/>
      <c r="GO15" s="12"/>
    </row>
    <row r="16" spans="2:199" x14ac:dyDescent="0.25">
      <c r="E16" s="12"/>
      <c r="F16" s="12"/>
      <c r="G16" s="12"/>
      <c r="H16" s="12"/>
      <c r="GI16" s="12"/>
      <c r="GM16" s="12"/>
      <c r="GO16" s="12"/>
    </row>
    <row r="17" spans="2:460" x14ac:dyDescent="0.25">
      <c r="E17" s="12"/>
      <c r="F17" s="12"/>
      <c r="G17" s="12"/>
      <c r="H17" s="12"/>
      <c r="GI17" s="12"/>
      <c r="GM17" s="12"/>
      <c r="GO17" s="12"/>
    </row>
    <row r="18" spans="2:460" x14ac:dyDescent="0.25">
      <c r="E18" s="12"/>
      <c r="F18" s="12"/>
      <c r="G18" s="12"/>
      <c r="H18" s="12"/>
      <c r="GI18" s="12"/>
      <c r="GM18" s="12"/>
      <c r="GO18" s="12"/>
      <c r="HH18" s="4" t="s">
        <v>2104</v>
      </c>
      <c r="HI18" s="4"/>
      <c r="HJ18" s="4"/>
      <c r="HK18" s="4"/>
      <c r="HL18" s="4"/>
    </row>
    <row r="19" spans="2:460" x14ac:dyDescent="0.25">
      <c r="E19" s="12"/>
      <c r="F19" s="12"/>
      <c r="G19" s="12"/>
      <c r="H19" s="12"/>
      <c r="GI19" s="12"/>
      <c r="GM19" s="12"/>
      <c r="GO19" s="12"/>
    </row>
    <row r="20" spans="2:460" x14ac:dyDescent="0.25">
      <c r="E20" s="12"/>
      <c r="F20" s="12"/>
      <c r="G20" s="12"/>
      <c r="H20" s="12"/>
      <c r="GI20" s="12"/>
      <c r="GM20" s="12"/>
      <c r="GO20" s="12"/>
    </row>
    <row r="21" spans="2:460" x14ac:dyDescent="0.25">
      <c r="E21" s="12"/>
      <c r="F21" s="12"/>
      <c r="G21" s="12"/>
      <c r="H21" s="12"/>
      <c r="GI21" s="12"/>
      <c r="GJ21" s="4" t="s">
        <v>2019</v>
      </c>
      <c r="GM21" s="12"/>
      <c r="GO21" s="12"/>
    </row>
    <row r="22" spans="2:460" x14ac:dyDescent="0.25">
      <c r="GO22" s="12"/>
    </row>
    <row r="23" spans="2:460" x14ac:dyDescent="0.25">
      <c r="AR23" s="12" t="s">
        <v>472</v>
      </c>
      <c r="GW23" s="4" t="s">
        <v>2018</v>
      </c>
    </row>
    <row r="24" spans="2:460" x14ac:dyDescent="0.25">
      <c r="AU24" t="s">
        <v>482</v>
      </c>
      <c r="FE24" s="12"/>
      <c r="FF24" s="12"/>
      <c r="GY24" s="4" t="s">
        <v>2103</v>
      </c>
    </row>
    <row r="25" spans="2:460" x14ac:dyDescent="0.25">
      <c r="GG25" s="3" t="s">
        <v>265</v>
      </c>
      <c r="GP25" s="4" t="s">
        <v>2022</v>
      </c>
      <c r="GT25" s="4" t="s">
        <v>2021</v>
      </c>
    </row>
    <row r="26" spans="2:460" x14ac:dyDescent="0.25">
      <c r="G26" s="12"/>
    </row>
    <row r="27" spans="2:460" x14ac:dyDescent="0.25">
      <c r="B27" t="s">
        <v>1259</v>
      </c>
      <c r="C27" t="s">
        <v>1260</v>
      </c>
      <c r="D27" t="s">
        <v>1673</v>
      </c>
      <c r="E27" t="s">
        <v>1674</v>
      </c>
      <c r="F27" t="s">
        <v>1562</v>
      </c>
      <c r="G27" t="s">
        <v>1564</v>
      </c>
      <c r="H27" t="s">
        <v>1559</v>
      </c>
      <c r="I27" t="s">
        <v>1580</v>
      </c>
      <c r="J27" t="s">
        <v>1581</v>
      </c>
      <c r="K27" t="s">
        <v>1263</v>
      </c>
      <c r="L27" t="s">
        <v>1326</v>
      </c>
      <c r="N27" t="s">
        <v>1899</v>
      </c>
      <c r="P27" t="s">
        <v>1264</v>
      </c>
      <c r="Q27" t="s">
        <v>1265</v>
      </c>
      <c r="R27" t="s">
        <v>1262</v>
      </c>
      <c r="S27" t="s">
        <v>1266</v>
      </c>
      <c r="T27" t="s">
        <v>1267</v>
      </c>
      <c r="U27" t="s">
        <v>1269</v>
      </c>
      <c r="V27" t="s">
        <v>1268</v>
      </c>
      <c r="W27" t="s">
        <v>1413</v>
      </c>
      <c r="X27" t="s">
        <v>1414</v>
      </c>
      <c r="Z27" t="s">
        <v>1417</v>
      </c>
      <c r="FT27" s="12"/>
      <c r="FU27" s="12"/>
      <c r="FV27" s="12"/>
      <c r="FW27" s="12"/>
      <c r="FX27" s="12"/>
      <c r="FY27" s="12"/>
      <c r="FZ27" s="12"/>
      <c r="GA27" s="12"/>
      <c r="GB27" s="12"/>
      <c r="GC27" s="12"/>
      <c r="GD27" s="12"/>
      <c r="GE27" s="12"/>
      <c r="GF27" s="12"/>
      <c r="GG27" s="12"/>
      <c r="GH27" s="12"/>
      <c r="GI27" s="12"/>
      <c r="GJ27" s="12"/>
      <c r="GT27" t="s">
        <v>2026</v>
      </c>
    </row>
    <row r="28" spans="2:460" x14ac:dyDescent="0.25">
      <c r="B28">
        <v>6</v>
      </c>
      <c r="C28">
        <v>1</v>
      </c>
      <c r="D28">
        <f>HdgDEIalt-DEAfsatEkstra12</f>
        <v>0</v>
      </c>
      <c r="E28">
        <f>D28*VLOOKUP(HdgDyreart,HdgType,4)</f>
        <v>0</v>
      </c>
      <c r="F28">
        <f>IF(ISERROR(HdgDEIaltKorr12/Harmoniareal12),0,HdgDEIaltKorr12/Harmoniareal12)</f>
        <v>0</v>
      </c>
      <c r="G28">
        <f>IF(F28&gt;=0.8,2,1)</f>
        <v>1</v>
      </c>
      <c r="H28">
        <v>2</v>
      </c>
      <c r="I28">
        <f>IF($G28=1,KvoteredukUnder08DE,KvoteredukOver08DE)</f>
        <v>56</v>
      </c>
      <c r="J28">
        <f>IF($G28=1,KvoteTillaegUnder08DE,KvoteTillaegOver08DE)</f>
        <v>15</v>
      </c>
      <c r="K28">
        <f>IF(Markvand1=1,VLOOKUP(Jordtype1,Jordtype,Data!$K$112),VLOOKUP(Jordtype1,Jordtype,Data!$L$112))</f>
        <v>9</v>
      </c>
      <c r="L28">
        <f>IF(Markvand1=1,VLOOKUP(Jordtype1,Jordtype,Data!$M$112),VLOOKUP(Jordtype1,Jordtype,Data!$N$112))</f>
        <v>14</v>
      </c>
      <c r="N28">
        <f>IF(OR(Jordtype1=1,Jordtype1=3),0,IF(OR(Jordtype1=2,Jordtype1=4),1,IF(OR(Jordtype1=5,Jordtype1=6),2,3)))</f>
        <v>2</v>
      </c>
      <c r="P28">
        <f>IF(Markvand1=1,VLOOKUP(Jordtype1,Jordtype,Data!$Q$112),VLOOKUP(Jordtype1,Jordtype,Data!$R$112))</f>
        <v>25</v>
      </c>
      <c r="Q28">
        <f>IF(Markvand1=1,VLOOKUP(Jordtype1,Jordtype,Data!$O$112),VLOOKUP(Jordtype1,Jordtype,Data!$P$112))</f>
        <v>19</v>
      </c>
      <c r="R28">
        <f>IF(Jordtype1&lt;5,0,1)</f>
        <v>1</v>
      </c>
      <c r="S28">
        <f>IF(Jordtype1&lt;5,PlojJB,1)</f>
        <v>1</v>
      </c>
      <c r="T28">
        <f>IF(Jordtype1&lt;5,SaaJB,1)</f>
        <v>1</v>
      </c>
      <c r="U28">
        <f>IF(Markvand1=1,VLOOKUP(Jordtype1,Jordtype,Data!$S$112),VLOOKUP(Jordtype1,Jordtype,Data!$T$112))</f>
        <v>8</v>
      </c>
      <c r="V28">
        <f>IF(Markvand1=1,VLOOKUP(Jordtype1,Jordtype,Data!$U$112),VLOOKUP(Jordtype1,Jordtype,Data!$V$112))</f>
        <v>13</v>
      </c>
      <c r="W28">
        <v>1</v>
      </c>
      <c r="X28" s="22">
        <f>IF(Mark!K19&lt;&gt;"",Mark!K19,Mark!H19)</f>
        <v>100</v>
      </c>
      <c r="Z28">
        <f>HdgNIalt12 - HdgNindtastetIalt12-HdgNindtastetIaltEfgr12</f>
        <v>0</v>
      </c>
      <c r="AK28" s="12"/>
      <c r="AL28" s="12"/>
      <c r="AM28" s="12"/>
      <c r="AN28" s="12"/>
      <c r="AO28" s="12"/>
      <c r="AP28" s="12"/>
      <c r="AQ28" s="12"/>
      <c r="AR28" s="12"/>
      <c r="AS28" s="12"/>
      <c r="AT28" s="12"/>
      <c r="AX28" s="12"/>
      <c r="AY28" s="12"/>
      <c r="CY28" s="12"/>
      <c r="CZ28" s="12"/>
      <c r="DA28" s="12"/>
      <c r="DB28" s="12"/>
      <c r="DC28" s="4" t="s">
        <v>486</v>
      </c>
      <c r="DD28" s="4"/>
      <c r="DE28" s="4"/>
      <c r="DF28" s="4"/>
      <c r="DG28" s="4"/>
      <c r="DH28" s="12"/>
      <c r="FS28" s="4" t="s">
        <v>262</v>
      </c>
    </row>
    <row r="29" spans="2:460" ht="60" x14ac:dyDescent="0.25">
      <c r="D29" s="12"/>
      <c r="AM29" s="3" t="s">
        <v>1895</v>
      </c>
      <c r="BA29" t="s">
        <v>527</v>
      </c>
      <c r="GG29" s="6" t="s">
        <v>266</v>
      </c>
      <c r="GH29" s="6" t="s">
        <v>267</v>
      </c>
      <c r="GI29" s="6" t="s">
        <v>268</v>
      </c>
      <c r="GJ29" s="6" t="s">
        <v>269</v>
      </c>
      <c r="GK29" s="6" t="s">
        <v>232</v>
      </c>
      <c r="GL29" s="6" t="s">
        <v>270</v>
      </c>
      <c r="GM29" s="6" t="s">
        <v>271</v>
      </c>
      <c r="GN29" s="6" t="s">
        <v>272</v>
      </c>
      <c r="GO29" s="6" t="s">
        <v>273</v>
      </c>
      <c r="GP29" s="7" t="s">
        <v>273</v>
      </c>
      <c r="GQ29" s="6" t="s">
        <v>274</v>
      </c>
      <c r="GR29" s="6" t="s">
        <v>275</v>
      </c>
      <c r="GS29" s="6"/>
      <c r="GT29" s="6"/>
      <c r="GU29" s="6" t="s">
        <v>276</v>
      </c>
      <c r="GV29" s="6"/>
      <c r="GW29" s="6"/>
      <c r="GX29" s="6" t="s">
        <v>277</v>
      </c>
      <c r="GY29" s="6" t="s">
        <v>278</v>
      </c>
      <c r="GZ29" s="6" t="s">
        <v>279</v>
      </c>
      <c r="HA29" s="6" t="s">
        <v>280</v>
      </c>
      <c r="HB29" s="6" t="s">
        <v>281</v>
      </c>
      <c r="HC29" s="6" t="s">
        <v>282</v>
      </c>
      <c r="HD29" s="6" t="s">
        <v>283</v>
      </c>
      <c r="HE29" s="6" t="s">
        <v>284</v>
      </c>
      <c r="HF29" s="6" t="s">
        <v>285</v>
      </c>
      <c r="HG29" s="6" t="s">
        <v>286</v>
      </c>
      <c r="HH29" s="6" t="s">
        <v>287</v>
      </c>
      <c r="HI29" s="6"/>
      <c r="HJ29" s="6" t="s">
        <v>288</v>
      </c>
      <c r="HK29" s="6"/>
      <c r="HL29" s="6" t="s">
        <v>110</v>
      </c>
      <c r="HM29" s="6"/>
      <c r="HN29" s="6" t="s">
        <v>111</v>
      </c>
      <c r="HO29" s="6" t="s">
        <v>289</v>
      </c>
      <c r="HP29" s="6" t="s">
        <v>1949</v>
      </c>
      <c r="HQ29" s="8" t="s">
        <v>290</v>
      </c>
      <c r="HR29" s="6" t="s">
        <v>1234</v>
      </c>
      <c r="HS29" s="6" t="s">
        <v>1242</v>
      </c>
      <c r="HT29" s="6" t="s">
        <v>1243</v>
      </c>
      <c r="HU29" s="6" t="s">
        <v>1250</v>
      </c>
      <c r="HV29" s="6" t="s">
        <v>1252</v>
      </c>
      <c r="HW29" s="6" t="s">
        <v>1253</v>
      </c>
      <c r="HX29" s="6"/>
      <c r="HY29" s="5" t="s">
        <v>1864</v>
      </c>
      <c r="HZ29" s="6"/>
      <c r="IA29" s="6"/>
      <c r="IB29" s="3" t="s">
        <v>330</v>
      </c>
      <c r="JL29" s="3" t="s">
        <v>348</v>
      </c>
      <c r="LH29" s="3" t="s">
        <v>331</v>
      </c>
      <c r="MO29" s="3" t="s">
        <v>417</v>
      </c>
      <c r="NW29" s="3" t="s">
        <v>1144</v>
      </c>
      <c r="NX29" s="3"/>
      <c r="OB29" s="3" t="s">
        <v>1149</v>
      </c>
      <c r="OO29" s="3" t="s">
        <v>1161</v>
      </c>
      <c r="OY29" s="3" t="s">
        <v>1306</v>
      </c>
      <c r="PD29" s="3" t="s">
        <v>1329</v>
      </c>
      <c r="PG29" s="3" t="s">
        <v>473</v>
      </c>
      <c r="PH29" s="3"/>
      <c r="PL29" t="s">
        <v>1419</v>
      </c>
      <c r="PO29" t="s">
        <v>1421</v>
      </c>
      <c r="PR29" s="3" t="s">
        <v>1173</v>
      </c>
      <c r="PS29" s="3"/>
      <c r="QN29" t="s">
        <v>1802</v>
      </c>
    </row>
    <row r="30" spans="2:460" ht="30" x14ac:dyDescent="0.25">
      <c r="P30" s="3" t="s">
        <v>457</v>
      </c>
      <c r="CJ30" s="3" t="s">
        <v>458</v>
      </c>
      <c r="CK30" s="3"/>
      <c r="CL30" s="3"/>
      <c r="DL30" s="3" t="s">
        <v>501</v>
      </c>
      <c r="DM30" s="3"/>
      <c r="DN30" s="3"/>
      <c r="DO30" s="3"/>
      <c r="DP30" s="3"/>
      <c r="EZ30" s="5" t="s">
        <v>220</v>
      </c>
      <c r="FK30" s="3" t="s">
        <v>547</v>
      </c>
      <c r="FL30" s="3"/>
      <c r="GG30" s="6" t="s">
        <v>291</v>
      </c>
      <c r="GH30" s="6" t="s">
        <v>292</v>
      </c>
      <c r="GI30" s="6"/>
      <c r="GJ30" s="6" t="s">
        <v>291</v>
      </c>
      <c r="GK30" s="6" t="s">
        <v>291</v>
      </c>
      <c r="GL30" s="6" t="s">
        <v>292</v>
      </c>
      <c r="GM30" s="6" t="s">
        <v>291</v>
      </c>
      <c r="GN30" s="6" t="s">
        <v>292</v>
      </c>
      <c r="GO30" s="6" t="s">
        <v>291</v>
      </c>
      <c r="GP30" s="6" t="s">
        <v>292</v>
      </c>
      <c r="GQ30" s="6" t="s">
        <v>291</v>
      </c>
      <c r="GR30" s="6" t="s">
        <v>292</v>
      </c>
      <c r="GS30" s="6"/>
      <c r="GT30" s="6"/>
      <c r="GU30" s="6" t="s">
        <v>291</v>
      </c>
      <c r="GV30" s="6"/>
      <c r="GW30" s="6"/>
      <c r="GX30" s="6" t="s">
        <v>291</v>
      </c>
      <c r="GY30" s="6" t="s">
        <v>293</v>
      </c>
      <c r="GZ30" s="6" t="s">
        <v>294</v>
      </c>
      <c r="HA30" s="6" t="s">
        <v>294</v>
      </c>
      <c r="HB30" s="6" t="s">
        <v>291</v>
      </c>
      <c r="HC30" s="6" t="s">
        <v>292</v>
      </c>
      <c r="HD30" s="6" t="s">
        <v>292</v>
      </c>
      <c r="HE30" s="6" t="s">
        <v>295</v>
      </c>
      <c r="HF30" s="6" t="s">
        <v>293</v>
      </c>
      <c r="HG30" s="6" t="s">
        <v>296</v>
      </c>
      <c r="HH30" s="6" t="s">
        <v>291</v>
      </c>
      <c r="HI30" s="6" t="s">
        <v>297</v>
      </c>
      <c r="HJ30" s="6" t="s">
        <v>291</v>
      </c>
      <c r="HK30" s="6" t="s">
        <v>292</v>
      </c>
      <c r="HL30" s="6" t="s">
        <v>291</v>
      </c>
      <c r="HM30" s="6" t="s">
        <v>292</v>
      </c>
      <c r="HN30" s="6" t="s">
        <v>291</v>
      </c>
      <c r="HO30" s="6" t="s">
        <v>292</v>
      </c>
      <c r="HP30" s="6"/>
      <c r="HQ30" s="6" t="s">
        <v>298</v>
      </c>
      <c r="HS30" s="6" t="s">
        <v>298</v>
      </c>
      <c r="KQ30" s="3" t="s">
        <v>387</v>
      </c>
      <c r="NW30" t="s">
        <v>76</v>
      </c>
      <c r="NY30" t="s">
        <v>1162</v>
      </c>
      <c r="OB30" t="s">
        <v>1148</v>
      </c>
      <c r="OI30" t="s">
        <v>1159</v>
      </c>
      <c r="OO30" t="s">
        <v>1148</v>
      </c>
      <c r="OT30" t="s">
        <v>1159</v>
      </c>
      <c r="OY30" t="s">
        <v>1148</v>
      </c>
      <c r="PA30" t="s">
        <v>1159</v>
      </c>
      <c r="PR30" t="s">
        <v>1237</v>
      </c>
      <c r="PU30" t="s">
        <v>1241</v>
      </c>
      <c r="PW30" t="s">
        <v>1244</v>
      </c>
      <c r="PY30" t="s">
        <v>1245</v>
      </c>
      <c r="QA30" t="s">
        <v>1246</v>
      </c>
      <c r="QC30" t="s">
        <v>1436</v>
      </c>
      <c r="QE30" t="s">
        <v>1446</v>
      </c>
      <c r="QF30" t="s">
        <v>1447</v>
      </c>
      <c r="QG30" t="s">
        <v>1255</v>
      </c>
      <c r="QH30" t="s">
        <v>68</v>
      </c>
      <c r="QI30" t="s">
        <v>65</v>
      </c>
      <c r="QJ30" t="s">
        <v>53</v>
      </c>
      <c r="QK30" t="s">
        <v>60</v>
      </c>
      <c r="QL30" t="s">
        <v>1429</v>
      </c>
      <c r="QN30" t="s">
        <v>1804</v>
      </c>
    </row>
    <row r="31" spans="2:460" x14ac:dyDescent="0.25">
      <c r="P31" s="3" t="s">
        <v>132</v>
      </c>
      <c r="Y31" s="3" t="s">
        <v>437</v>
      </c>
      <c r="AB31" s="3" t="s">
        <v>450</v>
      </c>
      <c r="AC31" s="3" t="s">
        <v>451</v>
      </c>
      <c r="AD31" s="3" t="s">
        <v>184</v>
      </c>
      <c r="AE31" s="3" t="s">
        <v>446</v>
      </c>
      <c r="AF31" s="3" t="s">
        <v>448</v>
      </c>
      <c r="AG31" s="3" t="s">
        <v>449</v>
      </c>
      <c r="AH31" s="3" t="s">
        <v>1983</v>
      </c>
      <c r="AI31" s="3" t="s">
        <v>1984</v>
      </c>
      <c r="AJ31" s="3" t="s">
        <v>1985</v>
      </c>
      <c r="AK31" s="3" t="s">
        <v>455</v>
      </c>
      <c r="AL31" s="3"/>
      <c r="AM31" s="3" t="s">
        <v>1892</v>
      </c>
      <c r="AN31" s="3" t="s">
        <v>1891</v>
      </c>
      <c r="AO31" s="3" t="s">
        <v>1893</v>
      </c>
      <c r="AP31" s="3"/>
      <c r="AQ31" s="3" t="s">
        <v>138</v>
      </c>
      <c r="AS31" s="3"/>
      <c r="AT31" s="3"/>
      <c r="AU31" s="3"/>
      <c r="AV31" s="3"/>
      <c r="AW31" s="3"/>
      <c r="AX31" s="3"/>
      <c r="AY31" s="3"/>
      <c r="AZ31" s="3"/>
      <c r="BA31" s="3" t="s">
        <v>1257</v>
      </c>
      <c r="BB31" s="3"/>
      <c r="BC31" s="3"/>
      <c r="BD31" s="3" t="s">
        <v>216</v>
      </c>
      <c r="BE31" s="3"/>
      <c r="BN31" s="3" t="s">
        <v>185</v>
      </c>
      <c r="BS31" s="3" t="s">
        <v>1337</v>
      </c>
      <c r="BW31" s="3" t="s">
        <v>190</v>
      </c>
      <c r="BX31" s="3"/>
      <c r="CD31" s="3" t="s">
        <v>217</v>
      </c>
      <c r="CJ31" s="3" t="s">
        <v>1746</v>
      </c>
      <c r="CK31" s="3"/>
      <c r="CL31" s="3"/>
      <c r="CP31" s="3" t="s">
        <v>1747</v>
      </c>
      <c r="DC31" s="3" t="s">
        <v>218</v>
      </c>
      <c r="DL31" t="s">
        <v>489</v>
      </c>
      <c r="DX31" t="s">
        <v>492</v>
      </c>
      <c r="EA31" t="s">
        <v>502</v>
      </c>
      <c r="ED31" t="s">
        <v>490</v>
      </c>
      <c r="EJ31" t="s">
        <v>494</v>
      </c>
      <c r="EM31" t="s">
        <v>504</v>
      </c>
      <c r="EP31" t="s">
        <v>491</v>
      </c>
      <c r="ET31" t="s">
        <v>500</v>
      </c>
      <c r="EW31" t="s">
        <v>505</v>
      </c>
      <c r="EZ31" t="s">
        <v>256</v>
      </c>
      <c r="FG31" t="s">
        <v>78</v>
      </c>
      <c r="FH31" t="s">
        <v>545</v>
      </c>
      <c r="FW31" t="s">
        <v>1493</v>
      </c>
      <c r="GB31" t="s">
        <v>1499</v>
      </c>
      <c r="GG31" s="6"/>
      <c r="GH31" s="6"/>
      <c r="GI31" s="6"/>
      <c r="GJ31" s="6"/>
      <c r="GK31" s="6"/>
      <c r="GL31" s="6"/>
      <c r="GM31" s="6"/>
      <c r="GN31" s="6"/>
      <c r="GO31" s="6"/>
      <c r="GP31" s="6"/>
      <c r="GQ31" s="6"/>
      <c r="GR31" s="6"/>
      <c r="GS31" s="6"/>
      <c r="GT31" s="6"/>
      <c r="GU31" s="9"/>
      <c r="GV31" s="6"/>
      <c r="GW31" s="6"/>
      <c r="GX31" s="6"/>
      <c r="GY31" s="6"/>
      <c r="GZ31" s="6"/>
      <c r="HA31" s="6"/>
      <c r="HB31" s="6"/>
      <c r="HC31" s="6"/>
      <c r="HD31" s="6"/>
      <c r="HE31" s="6"/>
      <c r="HF31" s="6"/>
      <c r="HG31" s="6"/>
      <c r="HH31" s="6"/>
      <c r="HI31" s="6"/>
      <c r="HJ31" s="6"/>
      <c r="HK31" s="6"/>
      <c r="HL31" s="6"/>
      <c r="HM31" s="6"/>
      <c r="HN31" s="6"/>
      <c r="HO31" s="6"/>
      <c r="HP31" s="6"/>
      <c r="NQ31" s="3" t="s">
        <v>1867</v>
      </c>
    </row>
    <row r="32" spans="2:460" ht="75" x14ac:dyDescent="0.25">
      <c r="B32" t="s">
        <v>76</v>
      </c>
      <c r="C32" t="s">
        <v>80</v>
      </c>
      <c r="D32" t="s">
        <v>81</v>
      </c>
      <c r="E32" t="s">
        <v>28</v>
      </c>
      <c r="F32" t="s">
        <v>194</v>
      </c>
      <c r="G32" t="s">
        <v>78</v>
      </c>
      <c r="H32" t="s">
        <v>426</v>
      </c>
      <c r="I32" t="s">
        <v>15</v>
      </c>
      <c r="K32" t="s">
        <v>83</v>
      </c>
      <c r="M32" t="s">
        <v>1887</v>
      </c>
      <c r="N32" s="1" t="s">
        <v>1888</v>
      </c>
      <c r="O32" s="1"/>
      <c r="P32" t="s">
        <v>133</v>
      </c>
      <c r="Q32" t="s">
        <v>134</v>
      </c>
      <c r="R32" t="s">
        <v>135</v>
      </c>
      <c r="S32" t="s">
        <v>86</v>
      </c>
      <c r="T32" t="s">
        <v>1315</v>
      </c>
      <c r="U32" t="s">
        <v>1217</v>
      </c>
      <c r="V32" s="1" t="s">
        <v>453</v>
      </c>
      <c r="W32" s="1" t="s">
        <v>474</v>
      </c>
      <c r="Y32" t="s">
        <v>438</v>
      </c>
      <c r="Z32" t="s">
        <v>447</v>
      </c>
      <c r="AB32" t="s">
        <v>1883</v>
      </c>
      <c r="AC32" t="s">
        <v>1884</v>
      </c>
      <c r="AD32" t="s">
        <v>452</v>
      </c>
      <c r="AQ32" t="s">
        <v>483</v>
      </c>
      <c r="AR32" s="1" t="s">
        <v>479</v>
      </c>
      <c r="AS32" s="1" t="s">
        <v>480</v>
      </c>
      <c r="AT32" s="1" t="s">
        <v>477</v>
      </c>
      <c r="AU32" s="1" t="s">
        <v>478</v>
      </c>
      <c r="AV32" s="1" t="s">
        <v>481</v>
      </c>
      <c r="AW32" t="s">
        <v>1218</v>
      </c>
      <c r="AX32" s="1"/>
      <c r="AY32" s="1" t="s">
        <v>485</v>
      </c>
      <c r="AZ32" s="1"/>
      <c r="BA32" s="1" t="s">
        <v>543</v>
      </c>
      <c r="BB32" s="1" t="s">
        <v>544</v>
      </c>
      <c r="BC32" s="1"/>
      <c r="BD32" t="s">
        <v>133</v>
      </c>
      <c r="BE32" s="1" t="s">
        <v>76</v>
      </c>
      <c r="BF32" t="s">
        <v>78</v>
      </c>
      <c r="BG32" s="1" t="s">
        <v>1913</v>
      </c>
      <c r="BH32" t="s">
        <v>1912</v>
      </c>
      <c r="BI32" s="1" t="s">
        <v>454</v>
      </c>
      <c r="BJ32" s="1" t="s">
        <v>1219</v>
      </c>
      <c r="BK32" t="s">
        <v>29</v>
      </c>
      <c r="BL32" t="s">
        <v>1748</v>
      </c>
      <c r="BN32" t="s">
        <v>186</v>
      </c>
      <c r="BO32" t="s">
        <v>187</v>
      </c>
      <c r="BP32" t="s">
        <v>1856</v>
      </c>
      <c r="BQ32" t="s">
        <v>1855</v>
      </c>
      <c r="BS32" t="s">
        <v>1342</v>
      </c>
      <c r="BT32" t="s">
        <v>1343</v>
      </c>
      <c r="BU32" t="s">
        <v>1344</v>
      </c>
      <c r="BW32" t="s">
        <v>191</v>
      </c>
      <c r="BX32" t="s">
        <v>1914</v>
      </c>
      <c r="BY32" t="s">
        <v>193</v>
      </c>
      <c r="BZ32" t="s">
        <v>1220</v>
      </c>
      <c r="CC32" t="s">
        <v>1860</v>
      </c>
      <c r="CD32" t="s">
        <v>1859</v>
      </c>
      <c r="CE32" t="s">
        <v>198</v>
      </c>
      <c r="CF32" t="s">
        <v>199</v>
      </c>
      <c r="CG32" t="s">
        <v>1858</v>
      </c>
      <c r="CH32" t="s">
        <v>1857</v>
      </c>
      <c r="CJ32" t="s">
        <v>133</v>
      </c>
      <c r="CK32" s="1" t="s">
        <v>2023</v>
      </c>
      <c r="CL32" t="s">
        <v>1217</v>
      </c>
      <c r="CM32" s="1" t="s">
        <v>525</v>
      </c>
      <c r="CN32" s="1" t="s">
        <v>526</v>
      </c>
      <c r="CP32" t="s">
        <v>483</v>
      </c>
      <c r="CQ32" s="1" t="s">
        <v>479</v>
      </c>
      <c r="CR32" s="1" t="s">
        <v>480</v>
      </c>
      <c r="CS32" s="1" t="s">
        <v>477</v>
      </c>
      <c r="CT32" s="1" t="s">
        <v>478</v>
      </c>
      <c r="CU32" s="1" t="s">
        <v>481</v>
      </c>
      <c r="CV32" s="1" t="s">
        <v>1218</v>
      </c>
      <c r="CW32" s="1"/>
      <c r="CX32" s="1" t="s">
        <v>485</v>
      </c>
      <c r="CY32" s="1"/>
      <c r="CZ32" s="1" t="s">
        <v>543</v>
      </c>
      <c r="DA32" s="1" t="s">
        <v>544</v>
      </c>
      <c r="DC32" t="s">
        <v>253</v>
      </c>
      <c r="DD32" t="s">
        <v>254</v>
      </c>
      <c r="DE32" t="s">
        <v>1221</v>
      </c>
      <c r="DF32" t="s">
        <v>29</v>
      </c>
      <c r="DG32" t="s">
        <v>1862</v>
      </c>
      <c r="DH32" t="s">
        <v>1861</v>
      </c>
      <c r="DI32" t="s">
        <v>209</v>
      </c>
      <c r="DJ32" t="s">
        <v>255</v>
      </c>
      <c r="DL32" t="s">
        <v>202</v>
      </c>
      <c r="DM32" t="s">
        <v>1449</v>
      </c>
      <c r="DN32" t="s">
        <v>1936</v>
      </c>
      <c r="DO32" t="s">
        <v>1915</v>
      </c>
      <c r="DP32" t="s">
        <v>1141</v>
      </c>
      <c r="DQ32" t="s">
        <v>1142</v>
      </c>
      <c r="DR32" t="s">
        <v>212</v>
      </c>
      <c r="DS32" t="s">
        <v>214</v>
      </c>
      <c r="DT32" t="s">
        <v>1451</v>
      </c>
      <c r="DU32" t="s">
        <v>258</v>
      </c>
      <c r="DV32" t="s">
        <v>1223</v>
      </c>
      <c r="DX32" t="s">
        <v>493</v>
      </c>
      <c r="DY32" t="s">
        <v>1224</v>
      </c>
      <c r="EA32" t="s">
        <v>503</v>
      </c>
      <c r="EB32" t="s">
        <v>1225</v>
      </c>
      <c r="ED32" t="s">
        <v>1916</v>
      </c>
      <c r="EE32" t="s">
        <v>213</v>
      </c>
      <c r="EF32" t="s">
        <v>215</v>
      </c>
      <c r="EG32" t="s">
        <v>259</v>
      </c>
      <c r="EH32" t="s">
        <v>1226</v>
      </c>
      <c r="EJ32" t="s">
        <v>493</v>
      </c>
      <c r="EK32" t="s">
        <v>1227</v>
      </c>
      <c r="EM32" t="s">
        <v>503</v>
      </c>
      <c r="EN32" t="s">
        <v>1228</v>
      </c>
      <c r="EP32" t="s">
        <v>257</v>
      </c>
      <c r="EQ32" t="s">
        <v>260</v>
      </c>
      <c r="ER32" t="s">
        <v>1229</v>
      </c>
      <c r="ET32" t="s">
        <v>529</v>
      </c>
      <c r="EU32" t="s">
        <v>1224</v>
      </c>
      <c r="EW32" t="s">
        <v>529</v>
      </c>
      <c r="EX32" t="s">
        <v>1225</v>
      </c>
      <c r="EZ32" s="6" t="s">
        <v>221</v>
      </c>
      <c r="FA32" s="6" t="s">
        <v>222</v>
      </c>
      <c r="FB32" s="6" t="s">
        <v>223</v>
      </c>
      <c r="FC32" s="1" t="s">
        <v>224</v>
      </c>
      <c r="FD32" s="1" t="s">
        <v>542</v>
      </c>
      <c r="FE32" s="1" t="s">
        <v>225</v>
      </c>
      <c r="FF32" s="1" t="s">
        <v>542</v>
      </c>
      <c r="FG32" s="1" t="s">
        <v>539</v>
      </c>
      <c r="FH32" s="1" t="s">
        <v>546</v>
      </c>
      <c r="FI32" s="1" t="s">
        <v>545</v>
      </c>
      <c r="FK32" s="1" t="s">
        <v>548</v>
      </c>
      <c r="FL32" s="1" t="s">
        <v>488</v>
      </c>
      <c r="FM32" s="1" t="s">
        <v>2</v>
      </c>
      <c r="FN32" s="1" t="s">
        <v>261</v>
      </c>
      <c r="FO32" s="1" t="s">
        <v>236</v>
      </c>
      <c r="FP32" s="1" t="s">
        <v>1230</v>
      </c>
      <c r="FQ32" s="1" t="s">
        <v>1232</v>
      </c>
      <c r="FR32" s="1" t="s">
        <v>1231</v>
      </c>
      <c r="FS32" s="1" t="s">
        <v>263</v>
      </c>
      <c r="FT32" s="1" t="s">
        <v>264</v>
      </c>
      <c r="FU32" s="1" t="s">
        <v>1233</v>
      </c>
      <c r="FW32" s="1" t="s">
        <v>1494</v>
      </c>
      <c r="FX32" s="1" t="s">
        <v>1495</v>
      </c>
      <c r="FY32" s="1" t="s">
        <v>1496</v>
      </c>
      <c r="FZ32" s="1" t="s">
        <v>1497</v>
      </c>
      <c r="GB32" s="1" t="s">
        <v>1494</v>
      </c>
      <c r="GC32" s="1" t="s">
        <v>1495</v>
      </c>
      <c r="GD32" s="1" t="s">
        <v>1500</v>
      </c>
      <c r="GE32" s="1" t="s">
        <v>1501</v>
      </c>
      <c r="GG32" s="6"/>
      <c r="GH32" s="6" t="s">
        <v>299</v>
      </c>
      <c r="GI32" s="6"/>
      <c r="GJ32" s="6" t="s">
        <v>300</v>
      </c>
      <c r="GK32" s="6" t="s">
        <v>300</v>
      </c>
      <c r="GL32" s="6" t="s">
        <v>299</v>
      </c>
      <c r="GM32" s="6"/>
      <c r="GN32" s="6"/>
      <c r="GO32" s="6" t="s">
        <v>300</v>
      </c>
      <c r="GP32" s="10" t="s">
        <v>301</v>
      </c>
      <c r="GQ32" s="6" t="s">
        <v>300</v>
      </c>
      <c r="GR32" s="6" t="s">
        <v>299</v>
      </c>
      <c r="GS32" s="10" t="s">
        <v>302</v>
      </c>
      <c r="GT32" s="10" t="s">
        <v>303</v>
      </c>
      <c r="GU32" s="7" t="s">
        <v>304</v>
      </c>
      <c r="GV32" s="7" t="s">
        <v>305</v>
      </c>
      <c r="GW32" s="7" t="s">
        <v>549</v>
      </c>
      <c r="GX32" s="6"/>
      <c r="GY32" s="6"/>
      <c r="GZ32" s="6" t="s">
        <v>306</v>
      </c>
      <c r="HA32" s="6" t="s">
        <v>306</v>
      </c>
      <c r="HB32" s="6"/>
      <c r="HC32" s="6"/>
      <c r="HD32" s="6" t="s">
        <v>306</v>
      </c>
      <c r="HE32" s="6"/>
      <c r="HF32" s="6"/>
      <c r="HG32" s="6" t="s">
        <v>306</v>
      </c>
      <c r="HH32" s="6" t="s">
        <v>307</v>
      </c>
      <c r="HI32" s="6" t="s">
        <v>306</v>
      </c>
      <c r="HJ32" s="6" t="s">
        <v>307</v>
      </c>
      <c r="HK32" s="6" t="s">
        <v>306</v>
      </c>
      <c r="HL32" s="6" t="s">
        <v>308</v>
      </c>
      <c r="HM32" s="6" t="s">
        <v>306</v>
      </c>
      <c r="HN32" s="6" t="s">
        <v>308</v>
      </c>
      <c r="HO32" s="6" t="s">
        <v>306</v>
      </c>
      <c r="HP32" s="6"/>
      <c r="HQ32" s="6"/>
      <c r="HU32" t="s">
        <v>1251</v>
      </c>
      <c r="HV32" t="s">
        <v>1508</v>
      </c>
      <c r="HW32" t="s">
        <v>1254</v>
      </c>
      <c r="HY32" s="6" t="s">
        <v>1863</v>
      </c>
      <c r="IB32" t="s">
        <v>2</v>
      </c>
      <c r="ID32" t="s">
        <v>1211</v>
      </c>
      <c r="IF32" t="s">
        <v>506</v>
      </c>
      <c r="IG32" t="s">
        <v>1211</v>
      </c>
      <c r="II32" t="s">
        <v>6</v>
      </c>
      <c r="IJ32" t="s">
        <v>7</v>
      </c>
      <c r="IK32" t="s">
        <v>510</v>
      </c>
      <c r="IL32" t="s">
        <v>1490</v>
      </c>
      <c r="IM32" t="s">
        <v>1491</v>
      </c>
      <c r="IN32" t="s">
        <v>516</v>
      </c>
      <c r="IO32" t="s">
        <v>1211</v>
      </c>
      <c r="IQ32" t="s">
        <v>518</v>
      </c>
      <c r="IR32" t="s">
        <v>519</v>
      </c>
      <c r="IS32" t="s">
        <v>520</v>
      </c>
      <c r="IT32" t="s">
        <v>1492</v>
      </c>
      <c r="IU32" t="s">
        <v>521</v>
      </c>
      <c r="IV32" t="s">
        <v>1235</v>
      </c>
      <c r="IX32" t="s">
        <v>522</v>
      </c>
      <c r="IZ32" t="s">
        <v>1211</v>
      </c>
      <c r="JB32" t="s">
        <v>3</v>
      </c>
      <c r="JD32" t="s">
        <v>1211</v>
      </c>
      <c r="JF32" t="s">
        <v>332</v>
      </c>
      <c r="JH32" t="s">
        <v>1211</v>
      </c>
      <c r="JJ32" t="s">
        <v>1865</v>
      </c>
      <c r="JL32" t="s">
        <v>17</v>
      </c>
      <c r="JM32" t="s">
        <v>353</v>
      </c>
      <c r="JN32" t="s">
        <v>361</v>
      </c>
      <c r="JP32" t="s">
        <v>1211</v>
      </c>
      <c r="JR32" t="s">
        <v>338</v>
      </c>
      <c r="JS32" t="s">
        <v>354</v>
      </c>
      <c r="JT32" t="s">
        <v>356</v>
      </c>
      <c r="JU32" t="s">
        <v>357</v>
      </c>
      <c r="JV32" t="s">
        <v>358</v>
      </c>
      <c r="JW32" t="s">
        <v>1826</v>
      </c>
      <c r="JX32" t="s">
        <v>343</v>
      </c>
      <c r="JY32" t="s">
        <v>359</v>
      </c>
      <c r="KA32" t="s">
        <v>1211</v>
      </c>
      <c r="KC32" t="s">
        <v>364</v>
      </c>
      <c r="KE32" t="s">
        <v>1211</v>
      </c>
      <c r="KG32" t="s">
        <v>365</v>
      </c>
      <c r="KI32" t="s">
        <v>1211</v>
      </c>
      <c r="KK32" t="s">
        <v>104</v>
      </c>
      <c r="KN32" t="s">
        <v>1236</v>
      </c>
      <c r="KO32" t="s">
        <v>1211</v>
      </c>
      <c r="KQ32" t="s">
        <v>388</v>
      </c>
      <c r="KR32" t="s">
        <v>389</v>
      </c>
      <c r="KS32" t="s">
        <v>390</v>
      </c>
      <c r="KT32" t="s">
        <v>402</v>
      </c>
      <c r="KU32" s="3" t="s">
        <v>404</v>
      </c>
      <c r="KV32" s="3" t="s">
        <v>1211</v>
      </c>
      <c r="KW32" s="3"/>
      <c r="KX32" t="s">
        <v>396</v>
      </c>
      <c r="KY32" t="s">
        <v>397</v>
      </c>
      <c r="KZ32" t="s">
        <v>403</v>
      </c>
      <c r="LA32" s="3" t="s">
        <v>406</v>
      </c>
      <c r="LB32" s="3" t="s">
        <v>1211</v>
      </c>
      <c r="LD32" t="s">
        <v>15</v>
      </c>
      <c r="LE32" s="3" t="s">
        <v>413</v>
      </c>
      <c r="LF32" s="3" t="s">
        <v>1211</v>
      </c>
      <c r="LH32" t="s">
        <v>414</v>
      </c>
      <c r="LJ32" t="s">
        <v>1211</v>
      </c>
      <c r="LL32" t="s">
        <v>524</v>
      </c>
      <c r="LM32" t="s">
        <v>1211</v>
      </c>
      <c r="LO32" t="s">
        <v>510</v>
      </c>
      <c r="LP32" t="s">
        <v>1490</v>
      </c>
      <c r="LQ32" t="s">
        <v>1491</v>
      </c>
      <c r="LR32" t="s">
        <v>516</v>
      </c>
      <c r="LS32" t="s">
        <v>1211</v>
      </c>
      <c r="LU32" t="s">
        <v>519</v>
      </c>
      <c r="LV32" t="s">
        <v>1498</v>
      </c>
      <c r="LW32" t="s">
        <v>1492</v>
      </c>
      <c r="LX32" t="s">
        <v>521</v>
      </c>
      <c r="LY32" t="s">
        <v>1211</v>
      </c>
      <c r="MA32" t="s">
        <v>522</v>
      </c>
      <c r="MC32" t="s">
        <v>1211</v>
      </c>
      <c r="ME32" t="s">
        <v>3</v>
      </c>
      <c r="MG32" t="s">
        <v>1211</v>
      </c>
      <c r="MI32" t="s">
        <v>332</v>
      </c>
      <c r="MK32" t="s">
        <v>1211</v>
      </c>
      <c r="MM32" t="s">
        <v>1866</v>
      </c>
      <c r="MO32" t="s">
        <v>20</v>
      </c>
      <c r="MQ32" t="s">
        <v>1211</v>
      </c>
      <c r="MS32" t="s">
        <v>364</v>
      </c>
      <c r="MU32" t="s">
        <v>1211</v>
      </c>
      <c r="MW32" t="s">
        <v>365</v>
      </c>
      <c r="MY32" t="s">
        <v>1211</v>
      </c>
      <c r="NA32" t="s">
        <v>104</v>
      </c>
      <c r="NE32" t="s">
        <v>1211</v>
      </c>
      <c r="NG32" t="s">
        <v>388</v>
      </c>
      <c r="NH32" t="s">
        <v>390</v>
      </c>
      <c r="NI32" t="s">
        <v>402</v>
      </c>
      <c r="NJ32" s="3" t="s">
        <v>404</v>
      </c>
      <c r="NK32" s="3" t="s">
        <v>1211</v>
      </c>
      <c r="NM32" t="s">
        <v>429</v>
      </c>
      <c r="NO32" t="s">
        <v>1211</v>
      </c>
      <c r="NQ32" t="s">
        <v>1863</v>
      </c>
      <c r="NR32" t="s">
        <v>1865</v>
      </c>
      <c r="NS32" t="s">
        <v>1868</v>
      </c>
      <c r="NT32" t="s">
        <v>1869</v>
      </c>
      <c r="NU32" t="s">
        <v>1870</v>
      </c>
      <c r="NW32" t="s">
        <v>1146</v>
      </c>
      <c r="NX32" t="s">
        <v>1147</v>
      </c>
      <c r="NY32" t="s">
        <v>1146</v>
      </c>
      <c r="NZ32" t="s">
        <v>1147</v>
      </c>
      <c r="OB32" t="s">
        <v>1153</v>
      </c>
      <c r="OC32" t="s">
        <v>1154</v>
      </c>
      <c r="OD32" t="s">
        <v>1155</v>
      </c>
      <c r="OE32" t="s">
        <v>1156</v>
      </c>
      <c r="OF32" t="s">
        <v>1157</v>
      </c>
      <c r="OG32" t="s">
        <v>1352</v>
      </c>
      <c r="OI32" t="s">
        <v>1153</v>
      </c>
      <c r="OJ32" t="s">
        <v>1154</v>
      </c>
      <c r="OK32" t="s">
        <v>1155</v>
      </c>
      <c r="OL32" t="s">
        <v>1156</v>
      </c>
      <c r="OM32" t="s">
        <v>1157</v>
      </c>
      <c r="OO32" t="s">
        <v>1165</v>
      </c>
      <c r="OP32" t="s">
        <v>1154</v>
      </c>
      <c r="OQ32" t="s">
        <v>1155</v>
      </c>
      <c r="OR32" t="s">
        <v>1166</v>
      </c>
      <c r="OT32" t="s">
        <v>1165</v>
      </c>
      <c r="OU32" t="s">
        <v>1154</v>
      </c>
      <c r="OV32" t="s">
        <v>1155</v>
      </c>
      <c r="OW32" t="s">
        <v>1166</v>
      </c>
      <c r="PD32" t="s">
        <v>1330</v>
      </c>
      <c r="PE32" t="s">
        <v>1331</v>
      </c>
      <c r="PG32" s="1" t="s">
        <v>1171</v>
      </c>
      <c r="PH32" s="1" t="s">
        <v>1147</v>
      </c>
      <c r="PI32" s="1" t="s">
        <v>1172</v>
      </c>
      <c r="PJ32" s="1" t="s">
        <v>1147</v>
      </c>
      <c r="PL32" s="1" t="s">
        <v>1420</v>
      </c>
      <c r="PM32" s="1" t="s">
        <v>1147</v>
      </c>
      <c r="PO32" s="1" t="s">
        <v>1422</v>
      </c>
      <c r="PP32" s="1" t="s">
        <v>1423</v>
      </c>
      <c r="PR32" s="1" t="s">
        <v>1720</v>
      </c>
      <c r="PS32" s="1" t="s">
        <v>1211</v>
      </c>
      <c r="PV32" t="s">
        <v>1211</v>
      </c>
      <c r="PX32" t="s">
        <v>1211</v>
      </c>
      <c r="PZ32" t="s">
        <v>1211</v>
      </c>
      <c r="QB32" t="s">
        <v>1211</v>
      </c>
      <c r="QE32" t="s">
        <v>1256</v>
      </c>
      <c r="QF32" t="s">
        <v>1256</v>
      </c>
      <c r="QG32" t="s">
        <v>1256</v>
      </c>
      <c r="QH32" t="s">
        <v>1256</v>
      </c>
      <c r="QI32" t="s">
        <v>1256</v>
      </c>
      <c r="QJ32" t="s">
        <v>1256</v>
      </c>
      <c r="QK32" t="s">
        <v>1256</v>
      </c>
      <c r="QN32" t="s">
        <v>1803</v>
      </c>
      <c r="QO32" t="s">
        <v>2</v>
      </c>
      <c r="QP32" t="s">
        <v>3</v>
      </c>
      <c r="QQ32" t="s">
        <v>20</v>
      </c>
      <c r="QR32" t="s">
        <v>1805</v>
      </c>
    </row>
    <row r="33" spans="1:460" x14ac:dyDescent="0.25">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6"/>
      <c r="HI33" s="1"/>
      <c r="HJ33" s="1"/>
      <c r="HK33" s="1"/>
      <c r="HL33" s="1"/>
      <c r="HM33" s="1"/>
      <c r="HN33" s="1"/>
      <c r="HO33" s="1"/>
      <c r="HP33" s="1"/>
      <c r="HQ33" s="1"/>
      <c r="LE33" s="3"/>
      <c r="LF33" s="3"/>
    </row>
    <row r="34" spans="1:460" x14ac:dyDescent="0.25">
      <c r="A34">
        <v>1</v>
      </c>
      <c r="B34">
        <v>34</v>
      </c>
      <c r="C34">
        <v>1</v>
      </c>
      <c r="D34" t="b">
        <v>1</v>
      </c>
      <c r="E34">
        <v>37</v>
      </c>
      <c r="F34">
        <v>1</v>
      </c>
      <c r="G34">
        <v>1</v>
      </c>
      <c r="H34">
        <v>1</v>
      </c>
      <c r="I34">
        <v>1</v>
      </c>
      <c r="K34">
        <v>35</v>
      </c>
      <c r="M34">
        <f>IF(ISERROR(N34*Areal1/$N$50),0,N34*Areal1/$N$50)</f>
        <v>1</v>
      </c>
      <c r="N34">
        <f>Mark!Z34</f>
        <v>1</v>
      </c>
      <c r="P34">
        <f>VLOOKUP($E34,Afgr,NnormKolonneNr1)</f>
        <v>194</v>
      </c>
      <c r="Q34">
        <f>VLOOKUP($B34,Afgr,Data!$AI$3)*VLOOKUP(E34,Afgr,Data!$AJ$3)</f>
        <v>0</v>
      </c>
      <c r="R34">
        <f>IF($D34,0,VLOOKUP($C34,Efgr,(Data!$W$53+$G$28-1)))</f>
        <v>0</v>
      </c>
      <c r="S34">
        <f>P34-Q34-R34</f>
        <v>194</v>
      </c>
      <c r="T34">
        <f>S34*M34</f>
        <v>194</v>
      </c>
      <c r="U34">
        <f>IF(Nmodel12=1,S34*Nniveau12*0.01,AO34)</f>
        <v>194</v>
      </c>
      <c r="V34" s="3">
        <f>IF(Mark!CI34&lt;&gt;"",Mark!CI34,U34)</f>
        <v>194</v>
      </c>
      <c r="W34" s="3">
        <f>V34*M34</f>
        <v>194</v>
      </c>
      <c r="Y34">
        <f>S34/NoptFaktor</f>
        <v>230.95238095238096</v>
      </c>
      <c r="Z34" s="3">
        <f>IF(Mark!BZ34&lt;&gt;"",Mark!BZ34,Y34)</f>
        <v>230.95238095238096</v>
      </c>
      <c r="AB34">
        <f>VLOOKUP($E34,Afgr,Data!$DE$3)</f>
        <v>-5.6800000000000002E-3</v>
      </c>
      <c r="AC34">
        <f>VLOOKUP($E34,Afgr,Data!$DD$3)</f>
        <v>-3.5E-4</v>
      </c>
      <c r="AD34">
        <f>VLOOKUP($E34,Afgr,Data!$DC$3)</f>
        <v>210</v>
      </c>
      <c r="AE34">
        <f>IF(ISERROR($Z34+(-PrisN/$AD34-$AB34)/(2*$AC34)),0,($Z34+(-PrisN/$AD34-$AB34)/(2*$AC34)))</f>
        <v>263.65442176870749</v>
      </c>
      <c r="AF34">
        <f>($BD34+$BE34+$BF34)*1.03333</f>
        <v>41.333200000000005</v>
      </c>
      <c r="AG34">
        <f>$AF34-($AB34*($AE34-$Z34)+$AC34*($AE34-$Z34)^2)</f>
        <v>41.893245807580179</v>
      </c>
      <c r="AH34">
        <f>IF(Nmodel12=1,$AB34*($AE34-$S34)+$AC34*($AE34-$S34)^2,$AB34*($AE34-$AO34)+$AC34*($AE34-$AO34)^2)</f>
        <v>-2.093745580822806</v>
      </c>
      <c r="AI34">
        <f>IF(Nmodel12=1,$AB34*($AE34-$V34)+$AC34*($AE34-$V34)^2,$AB34*($AE34-$AO34)+$AC34*($AE34-$AO34)^2)</f>
        <v>-2.093745580822806</v>
      </c>
      <c r="AJ34">
        <f>AG34+AH34-BG34</f>
        <v>-0.20049977324262613</v>
      </c>
      <c r="AK34">
        <f>AG34+AI34-AJ34</f>
        <v>40</v>
      </c>
      <c r="AM34">
        <f>VLOOKUP(E34,Afgr,Data!$DF$3+SandLer1)</f>
        <v>0.36</v>
      </c>
      <c r="AN34">
        <f>IF(ISERROR(((-(PrisN+Pantafgift)+AM34*Pantfaktor*Pantafgift)/AD34-AB34)/(2*AC34)),0,((-(PrisN+Pantafgift)+AM34*Pantfaktor*Pantafgift)/AD34-AB34)/(2*AC34))</f>
        <v>58.824489795918367</v>
      </c>
      <c r="AO34">
        <f>AE34-AN34</f>
        <v>204.82993197278913</v>
      </c>
      <c r="AQ34">
        <f>IF(AT34&gt;0,0,W34)</f>
        <v>194</v>
      </c>
      <c r="AR34">
        <f>IF(ISERROR(W34*HdgNTilFordeling12/NnormIaltFordel12),0,W34*HdgNTilFordeling12/NnormIaltFordel12)</f>
        <v>0</v>
      </c>
      <c r="AS34">
        <f>IF(ISERROR($AR34/$M34),0,$AR34/$M34)</f>
        <v>0</v>
      </c>
      <c r="AT34">
        <f>IF(Mark!CO34&lt;&gt;"",Mark!CO34,0)</f>
        <v>0</v>
      </c>
      <c r="AU34">
        <f>$AT34*$M34</f>
        <v>0</v>
      </c>
      <c r="AV34" s="3">
        <f>IF(AT34&gt;0,AT34,AS34)</f>
        <v>0</v>
      </c>
      <c r="AW34" s="3">
        <f>AV34*M34</f>
        <v>0</v>
      </c>
      <c r="AY34">
        <f>UdnKrav*$AV34/100</f>
        <v>0</v>
      </c>
      <c r="BA34">
        <f>AV34*VLOOKUP($E34,Afgr,Data!$DJ$3)</f>
        <v>0</v>
      </c>
      <c r="BB34">
        <f>UdnKrav*$BA34/100</f>
        <v>0</v>
      </c>
      <c r="BD34">
        <f>VLOOKUP(E34,Afgr,NormudbKolonneNr1)</f>
        <v>40</v>
      </c>
      <c r="BE34">
        <f>VLOOKUP(B34,Afgr,Data!$AL$3)*VLOOKUP(E34,Afgr,MerudbKolonneNr1)</f>
        <v>0</v>
      </c>
      <c r="BF34">
        <f>VLOOKUP(C34,Efgr,(Data!$Y$53+EftervirkningUdb1))</f>
        <v>0</v>
      </c>
      <c r="BG34">
        <f>BD34+BE34+BF34</f>
        <v>40</v>
      </c>
      <c r="BH34">
        <f>IF(OR(V34&lt;&gt;S34,Nmodel12=2),AK34,BD34+BE34+BF34)</f>
        <v>40</v>
      </c>
      <c r="BI34" s="3">
        <f>IF(Mark!AK34&lt;&gt;"",Mark!AK34,BH34)</f>
        <v>40</v>
      </c>
      <c r="BJ34">
        <f>BI34*M34</f>
        <v>40</v>
      </c>
      <c r="BK34" t="str">
        <f>VLOOKUP(E34,Afgr,3)</f>
        <v>hkg</v>
      </c>
      <c r="BL34">
        <f>IF(BK34="FE",VLOOKUP($E34,Afgr,Data!$AV$3),0)</f>
        <v>0</v>
      </c>
      <c r="BN34">
        <f>VLOOKUP(E34,Afgr,4)</f>
        <v>320</v>
      </c>
      <c r="BO34" s="3">
        <f>IF(Mark!AW34&lt;&gt;"",Mark!AW34,Regn!BN34)</f>
        <v>320</v>
      </c>
      <c r="BP34" s="3">
        <f>BI34*BO34</f>
        <v>12800</v>
      </c>
      <c r="BQ34" s="3">
        <f>BJ34*BO34</f>
        <v>12800</v>
      </c>
      <c r="BS34">
        <f>VLOOKUP(E34,Afgr,Data!$AN$3)</f>
        <v>0</v>
      </c>
      <c r="BT34" s="3">
        <f>IF(Mark!BC34&lt;&gt;"",Mark!BC34,BS34)</f>
        <v>0</v>
      </c>
      <c r="BU34" s="3">
        <f>BT34*M34</f>
        <v>0</v>
      </c>
      <c r="BW34">
        <f>VLOOKUP(E34,Afgr,HalmudbKolonneNr1)</f>
        <v>3000</v>
      </c>
      <c r="BX34">
        <f>IF(ISERROR(BW34*BI34/BG34),0,(BW34*BI34/BG34))</f>
        <v>3000</v>
      </c>
      <c r="BY34" s="3">
        <f>IF(Mark!BI34&lt;&gt;"",Mark!BI34,BX34)</f>
        <v>3000</v>
      </c>
      <c r="BZ34">
        <f>BY34*M34</f>
        <v>3000</v>
      </c>
      <c r="CC34">
        <f>IF($F34=1,BY34,0)</f>
        <v>3000</v>
      </c>
      <c r="CD34">
        <f>IF($F34=1,BZ34,0)</f>
        <v>3000</v>
      </c>
      <c r="CE34">
        <f>VLOOKUP(E34,Afgr,Data!$AM$3)</f>
        <v>0.5</v>
      </c>
      <c r="CF34">
        <f>IF(Mark!BR34&lt;&gt;"",Mark!BR34,CE34)</f>
        <v>0.5</v>
      </c>
      <c r="CG34">
        <f>CC34*CF34</f>
        <v>1500</v>
      </c>
      <c r="CH34">
        <f>CD34*CF34</f>
        <v>1500</v>
      </c>
      <c r="CJ34">
        <f>VLOOKUP($G34,Efgr,NnormKolonneEfgr1)</f>
        <v>0</v>
      </c>
      <c r="CK34">
        <f>CJ34*M34</f>
        <v>0</v>
      </c>
      <c r="CL34">
        <f>CJ34*Nniveau12*0.01</f>
        <v>0</v>
      </c>
      <c r="CM34" s="3">
        <f>IF(Mark!DM34&lt;&gt;"",Mark!DM34,CL34)</f>
        <v>0</v>
      </c>
      <c r="CN34" s="3">
        <f>$CM34*$M34</f>
        <v>0</v>
      </c>
      <c r="CP34">
        <f>IF(CS34&gt;0,0,CN34)</f>
        <v>0</v>
      </c>
      <c r="CQ34">
        <f>IF(ISERROR(CN34*HdgNTilFordeling12/NnormIaltFordel12),0,CN34*HdgNTilFordeling12/NnormIaltFordel12)</f>
        <v>0</v>
      </c>
      <c r="CR34">
        <f>IF(ISERROR($CQ34/$M34),0,$CQ34/$M34)</f>
        <v>0</v>
      </c>
      <c r="CS34">
        <f>IF(Mark!DS34&lt;&gt;"",Mark!DS34,0)</f>
        <v>0</v>
      </c>
      <c r="CT34">
        <f>$CS34*$M34</f>
        <v>0</v>
      </c>
      <c r="CU34" s="3">
        <f>IF($CS34&gt;0,$CS34,$CR34)</f>
        <v>0</v>
      </c>
      <c r="CV34" s="3">
        <f>CU34*M34</f>
        <v>0</v>
      </c>
      <c r="CX34">
        <f>UdnKrav*$CU34/100</f>
        <v>0</v>
      </c>
      <c r="CZ34">
        <f>$CU34*VLOOKUP($G34,Efgr,Data!$BG$53)</f>
        <v>0</v>
      </c>
      <c r="DA34">
        <f>UdnKrav*$CZ34/100</f>
        <v>0</v>
      </c>
      <c r="DC34">
        <f>VLOOKUP(G34,Efgr,NormudbKolonneNrEfgr1)</f>
        <v>0</v>
      </c>
      <c r="DD34" s="3">
        <f>IF(Mark!DC34&lt;&gt;"",Mark!DC34,DC34)</f>
        <v>0</v>
      </c>
      <c r="DE34">
        <f>DD34*M34</f>
        <v>0</v>
      </c>
      <c r="DF34" t="s">
        <v>37</v>
      </c>
      <c r="DG34">
        <f>DD34*Efterslaetpris</f>
        <v>0</v>
      </c>
      <c r="DH34">
        <f>DE34*Efterslaetpris</f>
        <v>0</v>
      </c>
      <c r="DI34">
        <f>VLOOKUP(G34,Efgr,Data!$AG$53)</f>
        <v>0</v>
      </c>
      <c r="DJ34">
        <f>DD34*DI34</f>
        <v>0</v>
      </c>
      <c r="DL34">
        <f>VLOOKUP($E34,Afgr,Data!$AW$3)</f>
        <v>23</v>
      </c>
      <c r="DM34">
        <f>IF($BK34="FE",$BI34*$BL34*$DL34*0.01,$BI34*100*$DR34*0.01*$DL34*0.01)</f>
        <v>837.2</v>
      </c>
      <c r="DN34">
        <f>IF(VLOOKUP(E34,Afgr,Data!$BO$3)=1,DM34,0)*M34</f>
        <v>0</v>
      </c>
      <c r="DO34" s="12">
        <f>IF(Nmodel12=1,(V34-S34)*VLOOKUP($E34,Afgr,Data!$AX$3),(AO34-S34)*VLOOKUP(E34,Afgr,Data!$AX$3))</f>
        <v>0</v>
      </c>
      <c r="DP34">
        <f>DL34+DO34</f>
        <v>23</v>
      </c>
      <c r="DQ34">
        <f>IF(Mark!AQ34&lt;&gt;"",Mark!AQ34,DP34)</f>
        <v>23</v>
      </c>
      <c r="DR34">
        <f>VLOOKUP(E34,Afgr,Data!$AT$3)</f>
        <v>91</v>
      </c>
      <c r="DS34">
        <f>IF($BK34="FE",$BI34*$BL34*$DQ34*0.01,$BI34*100*$DR34*0.01*DQ34*0.01)</f>
        <v>837.2</v>
      </c>
      <c r="DT34">
        <f>IF(VLOOKUP(E34,Afgr,Data!$BO$3)=1,DS34,0)*M34</f>
        <v>0</v>
      </c>
      <c r="DU34">
        <f>IF(ISERROR(DS34/VLOOKUP(E34,Afgr,Data!$AY$3)),0,DS34/VLOOKUP(E34,Afgr,Data!$AY$3))</f>
        <v>133.952</v>
      </c>
      <c r="DV34">
        <f>DU34*M34</f>
        <v>133.952</v>
      </c>
      <c r="DX34">
        <f>IF($BK34="FE",$BI34*$BL34*VLOOKUP($E34,Afgr,Data!$BC$3)*0.001,$BI34*100*$DR34*0.01*VLOOKUP($E34,Afgr,Data!$BC$3)*0.001)</f>
        <v>32.76</v>
      </c>
      <c r="DY34">
        <f>DX34*M34</f>
        <v>32.76</v>
      </c>
      <c r="EA34">
        <f>IF($BK34="FE",$BI34*$BL34*VLOOKUP($E34,Afgr,Data!$BF$3)*0.001,$BI34*100*$DR34*0.01*VLOOKUP($E34,Afgr,Data!$BF$3)*0.001)</f>
        <v>54.6</v>
      </c>
      <c r="EB34">
        <f>EA34*M34</f>
        <v>54.6</v>
      </c>
      <c r="ED34">
        <f>IF(ISERROR(VLOOKUP(E34,Afgr,Data!$AZ$3)*DQ34/DL34),0,VLOOKUP(E34,Afgr,Data!$AZ$3)*DQ34/DL34)</f>
        <v>5.3125</v>
      </c>
      <c r="EE34">
        <f>VLOOKUP(E34,Afgr,Data!$AU$3)</f>
        <v>85</v>
      </c>
      <c r="EF34">
        <f>IF($F34=1,$BY34*$EE34*0.01*ED34*0.01,0)</f>
        <v>135.46875</v>
      </c>
      <c r="EG34">
        <f>EF34/6.25</f>
        <v>21.675000000000001</v>
      </c>
      <c r="EH34">
        <f>EG34*M34</f>
        <v>21.675000000000001</v>
      </c>
      <c r="EJ34">
        <f>IF($F34=1,$BY34*$EE34*0.01*VLOOKUP($E34,Afgr,Data!$BD$3)*0.001,0)</f>
        <v>2.04</v>
      </c>
      <c r="EK34">
        <f>EJ34*M34</f>
        <v>2.04</v>
      </c>
      <c r="EM34">
        <f>IF($F34=1,$BY34*$EE34*0.01*VLOOKUP($E34,Afgr,Data!$BG$3)*0.001,0)</f>
        <v>41.82</v>
      </c>
      <c r="EN34">
        <f>EM34*M34</f>
        <v>41.82</v>
      </c>
      <c r="EP34">
        <f>VLOOKUP(G34,Efgr,Data!$AI$53)</f>
        <v>0</v>
      </c>
      <c r="EQ34">
        <f>DJ34*EP34*0.01/6.25</f>
        <v>0</v>
      </c>
      <c r="ER34">
        <f>EQ34*M34</f>
        <v>0</v>
      </c>
      <c r="ET34">
        <f>$DJ34*VLOOKUP($G34,Efgr,Data!$AJ$53)*0.001</f>
        <v>0</v>
      </c>
      <c r="EU34">
        <f>ET34*M34</f>
        <v>0</v>
      </c>
      <c r="EW34">
        <f>$DJ34*VLOOKUP($G34,Efgr,Data!$AK$53)*0.001</f>
        <v>0</v>
      </c>
      <c r="EX34">
        <f>EW34*M34</f>
        <v>0</v>
      </c>
      <c r="EZ34">
        <f>IF(VLOOKUP(E34,Afgr,Data!$DS$3)=1,DU34*VLOOKUP(E34,Afgr,(Data!$DT$3+EftervirkningUdb1))*VLOOKUP(E34,Afgr,Data!$DV$3),0)</f>
        <v>0</v>
      </c>
      <c r="FA34">
        <f>IF(VLOOKUP(E34,Afgr,Data!$DS$3)=2,VLOOKUP(E34,Afgr,Data!$DX$3),0)</f>
        <v>0</v>
      </c>
      <c r="FB34">
        <f>IF(VLOOKUP(E34,Afgr,Data!$DS$3)=3,$DU34*VLOOKUP($E34,Afgr,IF(Jordtype1&lt;5,Data!$DT$3,Data!$DU$3))*VLOOKUP($E34,Afgr,Data!$DV$3),0)</f>
        <v>0</v>
      </c>
      <c r="FC34">
        <f>IF(VLOOKUP(E34,Afgr,Data!$DS$3)=4,(1.232+0.00469*BI34*100+(0.000256*BI34*100+0.089)*60),0)</f>
        <v>0</v>
      </c>
      <c r="FD34">
        <f>$V34+IF($AY34-$BB34&gt;$V34,$AY34-$V34,0)-$BB34</f>
        <v>194</v>
      </c>
      <c r="FE34">
        <f>IF(VLOOKUP($E34,Afgr,Data!$DS$3)=5,($BI34*0.02742-$BI34*0.0001*$FD34+$BI34*0.0000001111*$FD34*$FD34),0)</f>
        <v>0</v>
      </c>
      <c r="FF34">
        <f>$CM34+IF($CX34-$DA34&gt;$CM34,$CX34-$CM34,0)-$DA34</f>
        <v>0</v>
      </c>
      <c r="FG34">
        <f>IF(VLOOKUP($G34,Efgr,Data!$BH$53)=5,($DD34*0.02742-$DD34*0.0001*$FF34+$DD34*0.0000001111*$FF34*$FF34),0)</f>
        <v>0</v>
      </c>
      <c r="FH34" s="3">
        <f>EZ34+FA34+FB34+FC34+FE34+FG34</f>
        <v>0</v>
      </c>
      <c r="FI34" s="3">
        <f>FH34*M34</f>
        <v>0</v>
      </c>
      <c r="FK34">
        <f>$V34+$CM34</f>
        <v>194</v>
      </c>
      <c r="FL34">
        <f>($AV34-$AY34)+IF($AY34&gt;$V34,$AY34-$V34,0)+($CU34-$CX34)+IF($CX34&gt;$CM34,$CX34-$CM34,0)</f>
        <v>0</v>
      </c>
      <c r="FM34">
        <f>VLOOKUP($E34,Afgr,Data!$DK$3)*VLOOKUP($E34,Afgr,Data!$AT$3)*0.01*VLOOKUP($E34,Afgr,Data!$AW$3)*0.01/6.25</f>
        <v>0.16744000000000001</v>
      </c>
      <c r="FN34" s="4">
        <f>IF(E34&gt;1,Deposition,0)</f>
        <v>15</v>
      </c>
      <c r="FO34">
        <f>FH34</f>
        <v>0</v>
      </c>
      <c r="FP34">
        <f>SUM(FK34:FO34)</f>
        <v>209.16744</v>
      </c>
      <c r="FQ34">
        <f>DU34+EG34+EQ34</f>
        <v>155.62700000000001</v>
      </c>
      <c r="FR34" s="3">
        <f>FP34-FQ34</f>
        <v>53.54043999999999</v>
      </c>
      <c r="FS34" s="19">
        <f>FP34*M34</f>
        <v>209.16744</v>
      </c>
      <c r="FT34" s="19">
        <f>FQ34*M34</f>
        <v>155.62700000000001</v>
      </c>
      <c r="FU34" s="3">
        <f>FR34*M34</f>
        <v>53.54043999999999</v>
      </c>
      <c r="FW34">
        <f>IL34+IM34+LP34+LQ34</f>
        <v>34.799999999999997</v>
      </c>
      <c r="FX34">
        <f>IK34+LO34</f>
        <v>34.799999999999997</v>
      </c>
      <c r="FY34">
        <f>FW34-FX34</f>
        <v>0</v>
      </c>
      <c r="FZ34">
        <f>FY34*M34</f>
        <v>0</v>
      </c>
      <c r="GB34">
        <f>IS34+IT34+LV34+LW34</f>
        <v>96.42</v>
      </c>
      <c r="GC34">
        <f>IR34+LU34</f>
        <v>96.42</v>
      </c>
      <c r="GD34">
        <f>GB34-GC34</f>
        <v>0</v>
      </c>
      <c r="GE34">
        <f>GD34*M34</f>
        <v>0</v>
      </c>
      <c r="GG34" s="149">
        <f>IF(OR(VLOOKUP(E34,Afgr,Data!$BV$3)=1,VLOOKUP(E34,Afgr,Data!$BW$3)=1),0,NniveauDelsaedsk1)</f>
        <v>194</v>
      </c>
      <c r="GH34" s="1">
        <v>0.32550000000000001</v>
      </c>
      <c r="GI34" s="6">
        <v>0</v>
      </c>
      <c r="GJ34" s="24">
        <f>IF(($V34-BB34+$CM34-DA34)&lt;0,0,$V34-BB34+$CM34-DA34)</f>
        <v>194</v>
      </c>
      <c r="GK34" s="6">
        <f>$FO34</f>
        <v>0</v>
      </c>
      <c r="GL34" s="1">
        <v>0.25280000000000002</v>
      </c>
      <c r="GM34">
        <f>$BA34+$CZ34</f>
        <v>0</v>
      </c>
      <c r="GN34" s="1">
        <v>0.376</v>
      </c>
      <c r="GO34" s="6">
        <v>0</v>
      </c>
      <c r="GP34" s="1">
        <f>IF(SandLer1&gt;1,0.3539,1.0749)</f>
        <v>0.35389999999999999</v>
      </c>
      <c r="GQ34" s="11">
        <f>$FQ34</f>
        <v>155.62700000000001</v>
      </c>
      <c r="GR34" s="1">
        <v>0.19359999999999999</v>
      </c>
      <c r="GS34" s="1">
        <f>VLOOKUP($E34,Afgr,Data!$DM$3)</f>
        <v>1</v>
      </c>
      <c r="GT34" s="24">
        <f>IF($GS34&gt;1,0,(VLOOKUP($K34,Afgr,Data!$DP$3)+IF(VLOOKUP($K34,Afgr,Data!$DP$3)=0,VLOOKUP($G34,Efgr,Data!$BI$53,0))))+IF(AND($GS34=7,VLOOKUP($K34,Afgr,Data!$DQ$3)=-2),-2,0)+IF(AND($GS34=6,VLOOKUP($G34,Efgr,Data!$BI$53)=2),8,0)</f>
        <v>1</v>
      </c>
      <c r="GU34" s="6">
        <f>VLOOKUP(SUM(GS34:GT34),Nlesafgr,3)</f>
        <v>-7.6</v>
      </c>
      <c r="GV34" s="7">
        <f>VLOOKUP($B34,Afgr,Data!$DN$3)</f>
        <v>1</v>
      </c>
      <c r="GW34" s="24">
        <f>IF(GV34&gt;1,0,VLOOKUP($E34,Afgr,Data!$DO$3)+IF(VLOOKUP($E34,Afgr,Data!$DO$3)=1,0,VLOOKUP($C34,Efgr,Data!$BJ$53)))</f>
        <v>1</v>
      </c>
      <c r="GX34" s="6">
        <f>VLOOKUP(SUM(GV34:GW34),Nlesforfrugt,3)</f>
        <v>14.2</v>
      </c>
      <c r="GY34" s="1">
        <f>GH34*GG34+GL34*(GJ34+GK34)+GN34*GM34+GP34*GO34-GR34*GQ34+GU34+GX34</f>
        <v>88.660812800000016</v>
      </c>
      <c r="GZ34" s="1">
        <f>Nlesafskaering</f>
        <v>59.6</v>
      </c>
      <c r="HA34" s="1">
        <f>Teknologi1</f>
        <v>2455</v>
      </c>
      <c r="HB34" s="6">
        <v>2001</v>
      </c>
      <c r="HC34" s="1">
        <f>Teknologi2</f>
        <v>1962.2</v>
      </c>
      <c r="HD34" s="1">
        <f>Tandel</f>
        <v>0.54659999999999997</v>
      </c>
      <c r="HE34" s="1">
        <f>IF(OR(GY34&gt;0,GY34=0),GZ34+HA34/(HB34-HC34),GZ34+HA34/(HB34-HC34)+HD34*GY34)</f>
        <v>122.87319587628873</v>
      </c>
      <c r="HF34" s="1">
        <f>IF(GY34&gt;0,GY34,0.001)</f>
        <v>88.660812800000016</v>
      </c>
      <c r="HG34" s="1">
        <v>1.5020000000000001E-3</v>
      </c>
      <c r="HH34" s="24">
        <f>IF(E34=1,0,VLOOKUP(Postnr,AfstromData,VLOOKUP($E34,Afgr,Data!$DL$3)+IF(Jordtype1&lt;7,Jordtype1,6),FALSE)-VLOOKUP(G34,Efgr,Data!$AA$53))</f>
        <v>334.48</v>
      </c>
      <c r="HI34" s="1">
        <v>5.5400000000000002E-4</v>
      </c>
      <c r="HJ34" s="24">
        <f>IF(E34=1,0,VLOOKUP(Postnr,AfstromData,VLOOKUP($B34,Afgr,Data!$DL$3)+IF(Jordtype1&lt;7,Jordtype1,6),FALSE)-VLOOKUP(C34,Efgr,Data!$AA$53))</f>
        <v>334.48</v>
      </c>
      <c r="HK34" s="1">
        <v>0.10639999999999999</v>
      </c>
      <c r="HL34" s="6">
        <f>VLOOKUP(Jordtype1,Jordtype,Data!$W$112)</f>
        <v>3</v>
      </c>
      <c r="HM34" s="1">
        <v>3.2500000000000001E-2</v>
      </c>
      <c r="HN34" s="6">
        <f>VLOOKUP(Jordtype1,Jordtype,Data!$X$112)</f>
        <v>12</v>
      </c>
      <c r="HO34" s="1">
        <v>1.2453000000000001</v>
      </c>
      <c r="HP34" s="1">
        <f>IF(VLOOKUP(G34,Efgr,Data!$AO$53)=1,MlafgrNUdvask,0)</f>
        <v>0</v>
      </c>
      <c r="HQ34" s="20">
        <f>IF(ISERROR((HE34+POWER(HF34,1.2))*(1-EXP(-HG34*HH34))*EXP(-HI34*HJ34)*EXP(-HK34*HL34)*EXP(-HM34*HN34)*HO34),0,(HE34+POWER(HF34,1.2))*(1-EXP(-HG34*HH34))*EXP(-HI34*HJ34)*EXP(-HK34*HL34)*EXP(-HM34*HN34)*HO34+HP34)</f>
        <v>68.413480120945408</v>
      </c>
      <c r="HR34">
        <f>HQ34*M34</f>
        <v>68.413480120945408</v>
      </c>
      <c r="HS34">
        <f>HQ34*(100-Retention1)*0.01</f>
        <v>27.365392048378162</v>
      </c>
      <c r="HT34">
        <f>HS34*M34</f>
        <v>27.365392048378162</v>
      </c>
      <c r="HU34" s="2">
        <f>HH34*10000</f>
        <v>3344800</v>
      </c>
      <c r="HV34" s="2">
        <f>HU34*M34</f>
        <v>3344800</v>
      </c>
      <c r="HW34">
        <f>IF(ISERROR(HQ34*1000*1000/HU34),0,HQ34*1000*1000/HU34)</f>
        <v>20.453683365506279</v>
      </c>
      <c r="HY34">
        <f>BP34+BT34+CG34+DG34</f>
        <v>14300</v>
      </c>
      <c r="IB34">
        <f>VLOOKUP(E34,Afgr,Data!$AP$3)*UdsaedJust</f>
        <v>500</v>
      </c>
      <c r="IC34" s="3">
        <f>IF(Mark!EG34&lt;&gt;"",Mark!EG34,Regn!IB34)</f>
        <v>500</v>
      </c>
      <c r="ID34" s="3">
        <f>IC34*M34</f>
        <v>500</v>
      </c>
      <c r="IF34" s="3">
        <f>IF(HdgVaerdi=1,($V34-$AY34)*Npris,$V34*Npris)</f>
        <v>1639.3</v>
      </c>
      <c r="IG34" s="3">
        <f>IF34*M34</f>
        <v>1639.3</v>
      </c>
      <c r="II34">
        <f>VLOOKUP($E34,Afgr,Data!$BA$3)</f>
        <v>0</v>
      </c>
      <c r="IJ34">
        <f>VLOOKUP($E34,Afgr,Data!$BB$3)</f>
        <v>0</v>
      </c>
      <c r="IK34">
        <f>$DX34+$EJ34</f>
        <v>34.799999999999997</v>
      </c>
      <c r="IL34">
        <f>IF(HdgDyreart=2,$AV34*NPforholdSvin,$AV34*NPforholdKvaeg)</f>
        <v>0</v>
      </c>
      <c r="IM34">
        <f>II34+IF($IJ34+$IK34&gt;$IL34,($IJ34+$IK34-$IL34),0)</f>
        <v>34.799999999999997</v>
      </c>
      <c r="IN34" s="3">
        <f>IF(HdgVaerdi=1,($II34*Ppris+IF($IJ34+$IK34&gt;$IL34,($IJ34+$IK34-$IL34)*Ppris,0)),($II34+$IJ34+$IK34)*Ppris)</f>
        <v>483.71999999999997</v>
      </c>
      <c r="IO34" s="3">
        <f>IN34*M34</f>
        <v>483.71999999999997</v>
      </c>
      <c r="IQ34">
        <f>IF(AND(E34&gt;1,OR(Jordtype1=1,Jordtype1=3,Markvand1=2)),Kudvask,0)</f>
        <v>0</v>
      </c>
      <c r="IR34">
        <f>$EA34+$EM34</f>
        <v>96.42</v>
      </c>
      <c r="IS34">
        <f>IF(HdgDyreart=2,$AV34*NKforholdSvin,$AV34*NkforholdKvaeg)</f>
        <v>0</v>
      </c>
      <c r="IT34">
        <f>IF($IQ34+$IR34&gt;$IS34,($IQ34+$IR34-$IS34),0)</f>
        <v>96.42</v>
      </c>
      <c r="IU34" s="3">
        <f>IF(HdgVaerdi=1,IF($IQ34+$IR34&gt;$IS34,($IQ34+$IR34-$IS34)*Kpris,0),($IQ34+$IR34)*Kpris)</f>
        <v>626.73</v>
      </c>
      <c r="IV34" s="3">
        <f>IU34*M34</f>
        <v>626.73</v>
      </c>
      <c r="IX34">
        <f>IF34+IN34+IU34</f>
        <v>2749.75</v>
      </c>
      <c r="IY34" s="3">
        <f>IF(Mark!EM34&lt;&gt;"",Mark!EM34,$IX34)</f>
        <v>2749.75</v>
      </c>
      <c r="IZ34" s="3">
        <f>IY34*M34</f>
        <v>2749.75</v>
      </c>
      <c r="JB34">
        <f>VLOOKUP(E34,Afgr,Data!$AQ$3)*PlantevJust</f>
        <v>755</v>
      </c>
      <c r="JC34" s="3">
        <f>IF(Mark!ES34&lt;&gt;"",Mark!ES34,JB34)</f>
        <v>755</v>
      </c>
      <c r="JD34" s="3">
        <f>JC34*M34</f>
        <v>755</v>
      </c>
      <c r="JF34">
        <f>VLOOKUP(E34,Afgr,Data!$AR$3)+BI34*VLOOKUP(E34,Afgr,Data!$BH$3)</f>
        <v>80</v>
      </c>
      <c r="JG34" s="3">
        <f>IF(Mark!EY34&lt;&gt;"",Mark!EY34,JF34)</f>
        <v>80</v>
      </c>
      <c r="JH34">
        <f>JG34*M34</f>
        <v>80</v>
      </c>
      <c r="JJ34">
        <f>IC34+IY34+JC34+JG34</f>
        <v>4084.75</v>
      </c>
      <c r="JL34">
        <f>IF(VLOOKUP(E34,Afgr,Data!$BY$3)&gt;0,Data!$K$259*PlojJB1,0)</f>
        <v>600</v>
      </c>
      <c r="JM34">
        <f>IF(VLOOKUP(E34,Afgr,Data!$BZ$3)&gt;0,Data!$K$260*PlojJB1,0)</f>
        <v>200</v>
      </c>
      <c r="JN34">
        <f>(JL34+JM34)*MaskJust</f>
        <v>800</v>
      </c>
      <c r="JO34" s="3">
        <f>IF(Mark!FE34&lt;&gt;"",Mark!FE34,JN34)</f>
        <v>800</v>
      </c>
      <c r="JP34" s="3">
        <f>JO34*M34</f>
        <v>800</v>
      </c>
      <c r="JR34">
        <f>IF(VLOOKUP(E34,Afgr,Data!$CA$3)&gt;0,VLOOKUP(E34,Afgr,Data!$CA$3)*Data!$K$261*SaaJB1,0)</f>
        <v>0</v>
      </c>
      <c r="JS34">
        <f>IF(VLOOKUP(E34,Afgr,Data!$CC$3)&gt;0,Data!$K$262*SaaJB1,0)</f>
        <v>350</v>
      </c>
      <c r="JT34">
        <f>IF(VLOOKUP(E34,Afgr,Data!$CD$3)&gt;0,VLOOKUP(E34,Afgr,Data!$CD$3)*Data!$K$263*SaaJB1,0)</f>
        <v>0</v>
      </c>
      <c r="JU34">
        <f>IF(VLOOKUP(E34,Afgr,Data!$CE$3)&gt;0,Data!$K$264*SaaJB1,0)</f>
        <v>0</v>
      </c>
      <c r="JV34">
        <f>IF(VLOOKUP(E34,Afgr,Data!$CF$3)&gt;0,Data!$K$265*SaaJB1,0)</f>
        <v>0</v>
      </c>
      <c r="JW34">
        <f>IF(VLOOKUP(E34,Afgr,Data!$CV$3)&gt;0,Data!$K$266,0)</f>
        <v>0</v>
      </c>
      <c r="JX34">
        <f>IF(VLOOKUP(E34,Afgr,Data!$CG$3)&gt;0,Data!$K$267*SaaJB1,0)</f>
        <v>0</v>
      </c>
      <c r="JY34">
        <f>(JR34+JS34+JT34+JU34+JV34+JW34+JX34)*MaskJust</f>
        <v>350</v>
      </c>
      <c r="JZ34" s="3">
        <f>IF(Mark!FK34&lt;&gt;"",Mark!FK34,JY34)</f>
        <v>350</v>
      </c>
      <c r="KA34" s="3">
        <f>JZ34*M34</f>
        <v>350</v>
      </c>
      <c r="KC34">
        <f>IF(VLOOKUP(E34,Afgr,Data!$CJ$3)&gt;0,VLOOKUP(E34,Afgr,Data!$CJ$3)*Data!$K$268*SaaJB1,0)*MaskJust</f>
        <v>280</v>
      </c>
      <c r="KD34" s="3">
        <f>IF(Mark!FQ34&lt;&gt;"",Mark!FQ34,KC34)</f>
        <v>280</v>
      </c>
      <c r="KE34" s="3">
        <f>KD34*M34</f>
        <v>280</v>
      </c>
      <c r="KG34">
        <f>IF(VLOOKUP(E34,Afgr,Data!$CI$3)&gt;0,VLOOKUP(E34,Afgr,Data!$CI$3)*Data!$K$269,0)*MaskJust</f>
        <v>450</v>
      </c>
      <c r="KH34" s="3">
        <f>IF(Mark!FW34&lt;&gt;"",Mark!FW34,KG34)</f>
        <v>450</v>
      </c>
      <c r="KI34" s="3">
        <f>KH34*M34</f>
        <v>450</v>
      </c>
      <c r="KK34">
        <f>IF(Markvand1=2,VLOOKUP($E34,Afgr,Data!$CY$3),0)</f>
        <v>0</v>
      </c>
      <c r="KL34">
        <f>IF(Mark!GC34&lt;&gt;"",Mark!GC34,$KK34)</f>
        <v>0</v>
      </c>
      <c r="KM34">
        <f>IF(AND(E34&gt;1,Markvand1=2),Vandmaskin+$KL34*Flytning/mmprgang+$KL34*Prisprmm,0)</f>
        <v>0</v>
      </c>
      <c r="KN34" s="3">
        <f>IF(Mark!GI34&lt;&gt;"",Mark!GI34,$KM34)</f>
        <v>0</v>
      </c>
      <c r="KO34" s="3">
        <f>KN34*M34</f>
        <v>0</v>
      </c>
      <c r="KQ34">
        <f>IF(VLOOKUP($E34,Afgr,Data!$CK$3)&gt;0,((1+Regn!$BI34/VLOOKUP($E34,Afgr,Data!$CK$3))/2)*VLOOKUP($E34,Afgr,Data!$CL$3)*VLOOKUP($E34,Afgr,Data!$CN$3)+VLOOKUP($E34,Afgr,Data!$CM$3),0)</f>
        <v>964.28571428571422</v>
      </c>
      <c r="KR34">
        <f>IF(VLOOKUP($E34,Afgr,Data!$CK$3)&gt;0,IF(AND($F34=2,$BW34&gt;0),Data!$K$271,0),0)</f>
        <v>0</v>
      </c>
      <c r="KS34">
        <f>IF(VLOOKUP($E34,Afgr,Data!$CK$3)&gt;0,(Regn!$BI34/VLOOKUP($E34,Afgr,Data!$CK$3))*VLOOKUP($E34,Afgr,Data!$CO$3)*VLOOKUP($E34,Afgr,Data!$CN$3),0)</f>
        <v>371.42857142857139</v>
      </c>
      <c r="KT34">
        <f>(KQ34+KR34+KS34)*MaskJust</f>
        <v>1335.7142857142856</v>
      </c>
      <c r="KU34" s="3">
        <f>IF(Mark!GO34&lt;&gt;"",Mark!GO34,KT34)</f>
        <v>1335.7142857142856</v>
      </c>
      <c r="KV34" s="3">
        <f>KU34*M34</f>
        <v>1335.7142857142856</v>
      </c>
      <c r="KW34" s="3"/>
      <c r="KX34">
        <f>IF(AND($F34=1,VLOOKUP($E34,Afgr,Data!$CP$3)&gt;0),((1+$BY34/VLOOKUP($E34,Afgr,Data!$CP$3))/2)*VLOOKUP($E34,Afgr,Data!$CQ$3),0)</f>
        <v>525</v>
      </c>
      <c r="KY34">
        <f>IF(AND($F34=1,VLOOKUP($E34,Afgr,Data!$CP$3)&gt;0),($BY34/VLOOKUP($E34,Afgr,Data!$CP$3))*VLOOKUP($E34,Afgr,Data!$CR$3),0)</f>
        <v>200</v>
      </c>
      <c r="KZ34">
        <f>(KX34+KY34)*MaskJust</f>
        <v>725</v>
      </c>
      <c r="LA34" s="3">
        <f>IF(Mark!GU34&lt;&gt;"",Mark!GU34,KZ34)</f>
        <v>725</v>
      </c>
      <c r="LB34" s="3">
        <f>LA34*M34</f>
        <v>725</v>
      </c>
      <c r="LD34">
        <f>$BI34*VLOOKUP($E34,Afgr,Data!$CS$3)*IF($I34=1,VLOOKUP($E34,Afgr,Data!$CT$3),IF($I34=2,VLOOKUP($E34,Afgr,Data!$CU$3),0))</f>
        <v>680.40000000000009</v>
      </c>
      <c r="LE34" s="3">
        <f>IF(Mark!HD34&lt;&gt;"",Mark!HD34,LD34)</f>
        <v>680.40000000000009</v>
      </c>
      <c r="LF34" s="3">
        <f>LE34*M34</f>
        <v>680.40000000000009</v>
      </c>
      <c r="LH34">
        <f>VLOOKUP($G34,Efgr,Data!$AC$53)*UdsaedJust</f>
        <v>0</v>
      </c>
      <c r="LI34" s="3">
        <f>IF(Mark!$HL34&lt;&gt;"",Mark!$HL34,LH34)</f>
        <v>0</v>
      </c>
      <c r="LJ34" s="3">
        <f>LI34*M34</f>
        <v>0</v>
      </c>
      <c r="LL34" s="3">
        <f>IF(HdgVaerdi=1,($CM34-$CX34)*Npris,$CM34*Npris)</f>
        <v>0</v>
      </c>
      <c r="LM34" s="3">
        <f>LL34*M34</f>
        <v>0</v>
      </c>
      <c r="LO34">
        <f>$ET34</f>
        <v>0</v>
      </c>
      <c r="LP34">
        <f>IF(HdgDyreart=2,$CU34*NPforholdSvin,$CU34*NPforholdKvaeg)</f>
        <v>0</v>
      </c>
      <c r="LQ34">
        <f>IF($LO34&gt;$LP34,($LO34-$LP34),0)</f>
        <v>0</v>
      </c>
      <c r="LR34" s="3">
        <f>IF(HdgVaerdi=1,IF($LO34&gt;$LP34,($LO34-$LP34)*Ppris,0),$LO34*Ppris)</f>
        <v>0</v>
      </c>
      <c r="LS34" s="3">
        <f>LR34*M34</f>
        <v>0</v>
      </c>
      <c r="LU34">
        <f>$EW34</f>
        <v>0</v>
      </c>
      <c r="LV34">
        <f>IF(HdgDyreart=2,$CU34*NKforholdSvin,$CU34*NkforholdKvaeg)</f>
        <v>0</v>
      </c>
      <c r="LW34">
        <f>IF($LU34&gt;$LV34,($LU34-$LV34),0)</f>
        <v>0</v>
      </c>
      <c r="LX34" s="3">
        <f>IF(HdgVaerdi=1,IF($LU34&gt;$LV34,($LU34-$LV34)*Ppris,0),$LU34*Ppris)</f>
        <v>0</v>
      </c>
      <c r="LY34" s="3">
        <f>LX34*M34</f>
        <v>0</v>
      </c>
      <c r="MA34">
        <f>LL34+LR34+LX34</f>
        <v>0</v>
      </c>
      <c r="MB34" s="3">
        <f>IF(Mark!HR34&lt;&gt;"",Mark!HR34,$MA34)</f>
        <v>0</v>
      </c>
      <c r="MC34" s="3">
        <f>MB34*M34</f>
        <v>0</v>
      </c>
      <c r="ME34">
        <f>VLOOKUP($G34,Efgr,Data!$AE$53)*PlantevJust</f>
        <v>0</v>
      </c>
      <c r="MF34" s="3">
        <f>IF(Mark!HX34&lt;&gt;"",Mark!HX34,ME34)</f>
        <v>0</v>
      </c>
      <c r="MG34" s="3">
        <f>MF34*M34</f>
        <v>0</v>
      </c>
      <c r="MI34">
        <f>VLOOKUP($G34,Efgr,Data!$AF$53)+$DD34*VLOOKUP($G34,Efgr,Data!$AL$53)</f>
        <v>0</v>
      </c>
      <c r="MJ34" s="3">
        <f>IF(Mark!ID34&lt;&gt;"",Mark!ID34,MI34)</f>
        <v>0</v>
      </c>
      <c r="MK34" s="3">
        <f>MJ34*M34</f>
        <v>0</v>
      </c>
      <c r="MM34">
        <f>LI34+MB34+MF34+MJ34</f>
        <v>0</v>
      </c>
      <c r="MO34">
        <f>VLOOKUP($G34,Efgr,Data!$AU$53)*SaaJB1*MaskJust</f>
        <v>0</v>
      </c>
      <c r="MP34" s="3">
        <f>IF(Mark!IJ34&lt;&gt;"",Mark!IJ34,MO34)</f>
        <v>0</v>
      </c>
      <c r="MQ34" s="3">
        <f>MP34*M34</f>
        <v>0</v>
      </c>
      <c r="MS34">
        <f>VLOOKUP($G34,Efgr,Data!$AW$53)*Data!$K$268*SaaJB1*MaskJust</f>
        <v>0</v>
      </c>
      <c r="MT34" s="3">
        <f>IF(Mark!IP34&lt;&gt;"",Mark!IP34,MS34)</f>
        <v>0</v>
      </c>
      <c r="MU34" s="3">
        <f>MT34*M34</f>
        <v>0</v>
      </c>
      <c r="MW34">
        <f>VLOOKUP($G34,Efgr,Data!$AV$53)*Data!$K$269*MaskJust</f>
        <v>0</v>
      </c>
      <c r="MX34" s="3">
        <f>IF(Mark!IV34&lt;&gt;"",Mark!IV34,MW34)</f>
        <v>0</v>
      </c>
      <c r="MY34" s="3">
        <f>MX34*M34</f>
        <v>0</v>
      </c>
      <c r="NA34">
        <f>IF(Markvand1=2,VLOOKUP($G34,Efgr,Data!$BC$53),0)</f>
        <v>0</v>
      </c>
      <c r="NB34">
        <f>IF(Mark!JB34&lt;&gt;"",Mark!JB34,$NA34)</f>
        <v>0</v>
      </c>
      <c r="NC34">
        <f>IF(Markvand1=2,$NB34*Flytning/mmprgang+$NB34*Prisprmm,0)</f>
        <v>0</v>
      </c>
      <c r="ND34" s="3">
        <f>IF(Mark!JH34&lt;&gt;"",Mark!JH34,$NC34)</f>
        <v>0</v>
      </c>
      <c r="NE34" s="3">
        <f>ND34*M34</f>
        <v>0</v>
      </c>
      <c r="NG34">
        <f>IF(VLOOKUP($G34,Efgr,Data!$AX$53)&gt;0,((1+Regn!DD34/VLOOKUP($G34,Efgr,Data!$AX$53))/2)*VLOOKUP($G34,Efgr,Data!$AY$53)*VLOOKUP($G34,Efgr,Data!$BA$53)+VLOOKUP($G34,Efgr,Data!$AZ$53),0)</f>
        <v>0</v>
      </c>
      <c r="NH34">
        <f>IF(VLOOKUP($G34,Efgr,Data!$AX$53)&gt;0,($DD34/VLOOKUP($G34,Efgr,Data!$AX$53))*VLOOKUP($G34,Efgr,Data!$BB$53)*VLOOKUP($G34,Efgr,Data!$BA$53),0)</f>
        <v>0</v>
      </c>
      <c r="NI34">
        <f>(NG34+NH34)*MaskJust</f>
        <v>0</v>
      </c>
      <c r="NJ34" s="3">
        <f>IF(Mark!JN34&lt;&gt;"",Mark!JN34,NI34)</f>
        <v>0</v>
      </c>
      <c r="NK34" s="3">
        <f>NJ34*M34</f>
        <v>0</v>
      </c>
      <c r="NM34">
        <f>IF($H34=2,Data!$K$304,IF($H34=3,Data!$K$305,0))*MaskJust</f>
        <v>0</v>
      </c>
      <c r="NN34" s="3">
        <f>IF(Mark!JT34&lt;&gt;"",Mark!JT34,NM34)</f>
        <v>0</v>
      </c>
      <c r="NO34" s="3">
        <f>NN34*M34</f>
        <v>0</v>
      </c>
      <c r="NQ34">
        <f>HY34</f>
        <v>14300</v>
      </c>
      <c r="NR34">
        <f>JJ34+MM34</f>
        <v>4084.75</v>
      </c>
      <c r="NS34">
        <f>NQ34-NR34</f>
        <v>10215.25</v>
      </c>
      <c r="NT34">
        <f>NS34*M34</f>
        <v>10215.25</v>
      </c>
      <c r="NW34">
        <f>VLOOKUP($B34,Afgr,Data!$BP$3)+VLOOKUP($C34,Efgr,Data!$AM$53)</f>
        <v>1</v>
      </c>
      <c r="NX34" s="3">
        <f>NW34*M34</f>
        <v>1</v>
      </c>
      <c r="NY34">
        <f>VLOOKUP($E34,Afgr,Data!$BP$3)+VLOOKUP($G34,Efgr,Data!$AM$53)</f>
        <v>1</v>
      </c>
      <c r="NZ34" s="3">
        <f>NY34*M34</f>
        <v>1</v>
      </c>
      <c r="OB34">
        <f>VLOOKUP($C34,Efgr,Data!$AN$53)</f>
        <v>0</v>
      </c>
      <c r="OC34">
        <f>VLOOKUP($B34,Afgr,Data!$BQ$3)</f>
        <v>1</v>
      </c>
      <c r="OD34">
        <f>VLOOKUP($E34,Afgr,Data!$BR$3)</f>
        <v>0</v>
      </c>
      <c r="OE34">
        <f>OB34*OC34*OD34</f>
        <v>0</v>
      </c>
      <c r="OF34" s="3">
        <f>OE34*M34</f>
        <v>0</v>
      </c>
      <c r="OG34" s="3">
        <f>IF(D34,1,0)*OF34</f>
        <v>0</v>
      </c>
      <c r="OI34">
        <f>VLOOKUP($G34,Efgr,Data!$AN$53)</f>
        <v>0</v>
      </c>
      <c r="OJ34">
        <f>VLOOKUP($E34,Afgr,Data!$BQ$3)</f>
        <v>1</v>
      </c>
      <c r="OK34">
        <f>VLOOKUP($K34,Afgr,Data!$BR$3)</f>
        <v>0</v>
      </c>
      <c r="OL34">
        <f>OI34*OJ34*OK34</f>
        <v>0</v>
      </c>
      <c r="OM34" s="3">
        <f>OL34*M34</f>
        <v>0</v>
      </c>
      <c r="OO34">
        <f>VLOOKUP($G34,Efgr,Data!$AO$53)</f>
        <v>0</v>
      </c>
      <c r="OP34">
        <f>VLOOKUP($B34,Afgr,Data!$BQ$3)</f>
        <v>1</v>
      </c>
      <c r="OQ34">
        <f>VLOOKUP($E34,Afgr,Data!$BS$3)</f>
        <v>0</v>
      </c>
      <c r="OR34" s="3">
        <f>OO34*OP34*OQ34*$M34</f>
        <v>0</v>
      </c>
      <c r="OT34">
        <f>VLOOKUP($G34,Efgr,Data!$AO$53)</f>
        <v>0</v>
      </c>
      <c r="OU34">
        <f>VLOOKUP($E34,Afgr,Data!$BQ$3)</f>
        <v>1</v>
      </c>
      <c r="OV34">
        <f>VLOOKUP($K34,Afgr,Data!$BS$3)</f>
        <v>1</v>
      </c>
      <c r="OW34" s="3">
        <f>OT34*OU34*OV34*$M34</f>
        <v>0</v>
      </c>
      <c r="OX34" s="3"/>
      <c r="OY34" s="3">
        <f>VLOOKUP($B34,Afgr,Data!$BU$3)</f>
        <v>0</v>
      </c>
      <c r="OZ34" s="3">
        <f>OY34*M34</f>
        <v>0</v>
      </c>
      <c r="PA34" s="3">
        <f>VLOOKUP($E34,Afgr,Data!$BU$3)</f>
        <v>0</v>
      </c>
      <c r="PB34" s="3">
        <f>PA34*M34</f>
        <v>0</v>
      </c>
      <c r="PD34">
        <f>VLOOKUP(E34,Afgr,Data!$BX$3)+VLOOKUP(G34,Efgr,Data!$AQ$53)</f>
        <v>1</v>
      </c>
      <c r="PE34">
        <f>IF(PD34&gt;0,M34,0)</f>
        <v>1</v>
      </c>
      <c r="PG34">
        <f>VLOOKUP($B34,Afgr,Data!$BT$3)</f>
        <v>1</v>
      </c>
      <c r="PH34" s="3">
        <f>PG34*M34</f>
        <v>1</v>
      </c>
      <c r="PI34">
        <f>VLOOKUP($E34,Afgr,Data!$BT$3)</f>
        <v>1</v>
      </c>
      <c r="PJ34" s="3">
        <f>PI34*M34</f>
        <v>1</v>
      </c>
      <c r="PL34">
        <f>VLOOKUP($E34,Afgr,Data!$BV$3)</f>
        <v>0</v>
      </c>
      <c r="PM34">
        <f>PL34*M34</f>
        <v>0</v>
      </c>
      <c r="PO34">
        <f>VLOOKUP($E34,Afgr,Data!$BW$3)</f>
        <v>0</v>
      </c>
      <c r="PP34">
        <f>PO34*M34</f>
        <v>0</v>
      </c>
      <c r="PR34">
        <f>BI34*IF(VLOOKUP($E34,Afgr,Data!$BJ$3)&gt;0,1,0)</f>
        <v>0</v>
      </c>
      <c r="PS34">
        <f>PR34*M34</f>
        <v>0</v>
      </c>
      <c r="PU34">
        <f>BI34*VLOOKUP(E34,Afgr,Data!$BK$3)</f>
        <v>0</v>
      </c>
      <c r="PV34">
        <f>M34*PU34</f>
        <v>0</v>
      </c>
      <c r="PW34">
        <f>$BI34*VLOOKUP($E34,Afgr,Data!$BL$3)+$DD34*VLOOKUP($G34,Efgr,Data!$AP$53)</f>
        <v>0</v>
      </c>
      <c r="PX34">
        <f>PW34*M34</f>
        <v>0</v>
      </c>
      <c r="PY34">
        <f>$BI34*VLOOKUP($E34,Afgr,Data!$BM$3)</f>
        <v>0</v>
      </c>
      <c r="PZ34">
        <f>PY34*M34</f>
        <v>0</v>
      </c>
      <c r="QA34">
        <f>$BI34*VLOOKUP($E34,Afgr,Data!$BN$3)</f>
        <v>0</v>
      </c>
      <c r="QB34">
        <f>QA34*M34</f>
        <v>0</v>
      </c>
      <c r="QE34">
        <f>IF(VLOOKUP($E34,Afgr,Data!$DA$3)="Vårbyg",$BJ34,0)*VLOOKUP($E34,Afgr,Data!$BJ$3)</f>
        <v>0</v>
      </c>
      <c r="QF34">
        <f>IF(VLOOKUP($E34,Afgr,Data!$DA$3)="Vinterbyg",$BJ34,0)*VLOOKUP($E34,Afgr,Data!$BJ$3)</f>
        <v>0</v>
      </c>
      <c r="QG34">
        <f>IF(VLOOKUP($E34,Afgr,Data!$DA$3)="Havre",$BJ34,0)*VLOOKUP($E34,Afgr,Data!$BJ$3)</f>
        <v>0</v>
      </c>
      <c r="QH34">
        <f>IF(VLOOKUP($E34,Afgr,Data!$DA$3)="Hvede",$BJ34,0)*VLOOKUP($E34,Afgr,Data!$BJ$3)</f>
        <v>0</v>
      </c>
      <c r="QI34">
        <f>IF(VLOOKUP($E34,Afgr,Data!$DA$3)="Triticale",$BJ34,0)*VLOOKUP($E34,Afgr,Data!$BJ$3)</f>
        <v>0</v>
      </c>
      <c r="QJ34">
        <f>IF(VLOOKUP($E34,Afgr,Data!$DA$3)="Rug",$BJ34,0)*VLOOKUP($E34,Afgr,Data!$BJ$3)</f>
        <v>0</v>
      </c>
      <c r="QK34">
        <f>IF(VLOOKUP($E34,Afgr,Data!$DA$3)="Majs",$BJ34,0)*VLOOKUP($E34,Afgr,Data!$BJ$3)</f>
        <v>0</v>
      </c>
      <c r="QN34">
        <f>IF(OI34+OO34&gt;0,1,0)</f>
        <v>0</v>
      </c>
      <c r="QO34">
        <f>QN34*LJ34</f>
        <v>0</v>
      </c>
      <c r="QP34">
        <f>QN34*MG34</f>
        <v>0</v>
      </c>
      <c r="QQ34">
        <f>MQ34</f>
        <v>0</v>
      </c>
      <c r="QR34">
        <f>QN34*NO34</f>
        <v>0</v>
      </c>
    </row>
    <row r="35" spans="1:460" x14ac:dyDescent="0.25">
      <c r="GG35" s="12"/>
      <c r="GS35" s="12"/>
    </row>
    <row r="36" spans="1:460" x14ac:dyDescent="0.25">
      <c r="A36">
        <v>2</v>
      </c>
      <c r="B36">
        <v>37</v>
      </c>
      <c r="C36">
        <v>1</v>
      </c>
      <c r="D36" t="b">
        <v>0</v>
      </c>
      <c r="E36">
        <v>35</v>
      </c>
      <c r="F36">
        <v>1</v>
      </c>
      <c r="G36">
        <v>1</v>
      </c>
      <c r="H36">
        <v>1</v>
      </c>
      <c r="I36">
        <v>1</v>
      </c>
      <c r="K36">
        <v>35</v>
      </c>
      <c r="M36">
        <f>IF(ISERROR(N36*Areal1/$N$50),0,N36*Areal1/$N$50)</f>
        <v>0</v>
      </c>
      <c r="N36">
        <f>Mark!Z36</f>
        <v>0</v>
      </c>
      <c r="P36">
        <f>VLOOKUP($E36,Afgr,NnormKolonneNr1)</f>
        <v>159</v>
      </c>
      <c r="Q36">
        <f>VLOOKUP($B36,Afgr,Data!$AI$3)*VLOOKUP(E36,Afgr,Data!$AJ$3)</f>
        <v>22</v>
      </c>
      <c r="R36">
        <f>IF($D36,0,VLOOKUP($C36,Efgr,(Data!$W$53+$G$28-1)))</f>
        <v>0</v>
      </c>
      <c r="S36">
        <f>P36-Q36-R36</f>
        <v>137</v>
      </c>
      <c r="T36">
        <f>S36*M36</f>
        <v>0</v>
      </c>
      <c r="U36">
        <f>IF(Nmodel12=1,S36*Nniveau12*0.01,AO36)</f>
        <v>137</v>
      </c>
      <c r="V36" s="3">
        <f>IF(Mark!CI36&lt;&gt;"",Mark!CI36,U36)</f>
        <v>137</v>
      </c>
      <c r="W36" s="3">
        <f>V36*M36</f>
        <v>0</v>
      </c>
      <c r="Y36">
        <f>S36/NoptFaktor</f>
        <v>163.0952380952381</v>
      </c>
      <c r="Z36" s="3">
        <f>IF(Mark!BZ36&lt;&gt;"",Mark!BZ36,Y36)</f>
        <v>163.0952380952381</v>
      </c>
      <c r="AB36">
        <f>VLOOKUP($E36,Afgr,Data!$DE$3)</f>
        <v>-4.2700000000000004E-3</v>
      </c>
      <c r="AC36">
        <f>VLOOKUP($E36,Afgr,Data!$DD$3)</f>
        <v>-9.5E-4</v>
      </c>
      <c r="AD36">
        <f>VLOOKUP($E36,Afgr,Data!$DC$3)</f>
        <v>100</v>
      </c>
      <c r="AE36">
        <f>IF(ISERROR($Z36+(-PrisN/$AD36-$AB36)/(2*$AC36)),0,($Z36+(-PrisN/$AD36-$AB36)/(2*$AC36)))</f>
        <v>192.42681704260653</v>
      </c>
      <c r="AF36">
        <f>($BD36+$BE36+$BF36)*1.03333</f>
        <v>91.966370000000012</v>
      </c>
      <c r="AG36">
        <f>$AF36-($AB36*($AE36-$Z36)+$AC36*($AE36-$Z36)^2)</f>
        <v>92.908940289473691</v>
      </c>
      <c r="AH36">
        <f>IF(Nmodel12=1,$AB36*($AE36-$S36)+$AC36*($AE36-$S36)^2,$AB36*($AE36-$AO36)+$AC36*($AE36-$AO36)^2)</f>
        <v>-3.1551979538727788</v>
      </c>
      <c r="AI36">
        <f>IF(Nmodel12=1,$AB36*($AE36-$V36)+$AC36*($AE36-$V36)^2,$AB36*($AE36-AO36)+$AC36*($AE36-AO36)^2)</f>
        <v>-3.1551979538727788</v>
      </c>
      <c r="AJ36">
        <f>AG36+AH36-BG36</f>
        <v>0.75374233560091852</v>
      </c>
      <c r="AK36">
        <f>AG36+AI36-AJ36</f>
        <v>89</v>
      </c>
      <c r="AM36">
        <f>VLOOKUP(E36,Afgr,Data!$DF$3+SandLer1)</f>
        <v>0.43</v>
      </c>
      <c r="AN36">
        <f>IF(ISERROR(((-(PrisN+Pantafgift)+AM36*Pantfaktor*Pantafgift)/AD36-AB36)/(2*AC36)),0,((-(PrisN+Pantafgift)+AM36*Pantfaktor*Pantafgift)/AD36-AB36)/(2*AC36))</f>
        <v>47.331578947368428</v>
      </c>
      <c r="AO36">
        <f>AE36-AN36</f>
        <v>145.0952380952381</v>
      </c>
      <c r="AQ36">
        <f>IF(AT36&gt;0,0,W36)</f>
        <v>0</v>
      </c>
      <c r="AR36">
        <f>IF(ISERROR(W36*HdgNTilFordeling12/NnormIaltFordel12),0,W36*HdgNTilFordeling12/NnormIaltFordel12)</f>
        <v>0</v>
      </c>
      <c r="AS36">
        <f>IF(ISERROR($AR36/$M36),0,$AR36/$M36)</f>
        <v>0</v>
      </c>
      <c r="AT36">
        <f>IF(Mark!CO36&lt;&gt;"",Mark!CO36,0)</f>
        <v>0</v>
      </c>
      <c r="AU36">
        <f>$AT36*$M36</f>
        <v>0</v>
      </c>
      <c r="AV36" s="3">
        <f>IF(AT36&gt;0,AT36,AS36)</f>
        <v>0</v>
      </c>
      <c r="AW36" s="3">
        <f>AV36*M36</f>
        <v>0</v>
      </c>
      <c r="AY36">
        <f>UdnKrav*$AV36/100</f>
        <v>0</v>
      </c>
      <c r="BA36">
        <f>AV36*VLOOKUP($E36,Afgr,Data!$DJ$3)</f>
        <v>0</v>
      </c>
      <c r="BB36">
        <f>UdnKrav*$BA36/100</f>
        <v>0</v>
      </c>
      <c r="BD36">
        <f>VLOOKUP(E36,Afgr,NormudbKolonneNr1)</f>
        <v>81</v>
      </c>
      <c r="BE36">
        <f>VLOOKUP(B36,Afgr,Data!$AL$3)*VLOOKUP(E36,Afgr,MerudbKolonneNr1)</f>
        <v>8</v>
      </c>
      <c r="BF36">
        <f>VLOOKUP(C36,Efgr,(Data!$Y$53+EftervirkningUdb1))</f>
        <v>0</v>
      </c>
      <c r="BG36">
        <f>BD36+BE36+BF36</f>
        <v>89</v>
      </c>
      <c r="BH36">
        <f>IF(OR(V36&lt;&gt;S36,Nmodel12=2),AK36,BD36+BE36+BF36)</f>
        <v>89</v>
      </c>
      <c r="BI36" s="3">
        <f>IF(Mark!AK36&lt;&gt;"",Mark!AK36,BH36)</f>
        <v>89</v>
      </c>
      <c r="BJ36">
        <f>BI36*M36</f>
        <v>0</v>
      </c>
      <c r="BK36" t="str">
        <f>VLOOKUP(E36,Afgr,3)</f>
        <v>hkg</v>
      </c>
      <c r="BL36">
        <f>IF(BK36="FE",VLOOKUP($E36,Afgr,Data!$AV$3),0)</f>
        <v>0</v>
      </c>
      <c r="BN36">
        <f>VLOOKUP(E36,Afgr,4)</f>
        <v>145</v>
      </c>
      <c r="BO36" s="3">
        <f>IF(Mark!AW36&lt;&gt;"",Mark!AW36,Regn!BN36)</f>
        <v>145</v>
      </c>
      <c r="BP36" s="3">
        <f>BI36*BO36</f>
        <v>12905</v>
      </c>
      <c r="BQ36" s="3">
        <f>BJ36*BO36</f>
        <v>0</v>
      </c>
      <c r="BS36">
        <f>VLOOKUP(E36,Afgr,Data!$AN$3)</f>
        <v>0</v>
      </c>
      <c r="BT36" s="3">
        <f>IF(Mark!BC36&lt;&gt;"",Mark!BC36,BS36)</f>
        <v>0</v>
      </c>
      <c r="BU36" s="3">
        <f>BT36*M36</f>
        <v>0</v>
      </c>
      <c r="BW36">
        <f>VLOOKUP(E36,Afgr,HalmudbKolonneNr1)</f>
        <v>4700</v>
      </c>
      <c r="BX36">
        <f>IF(ISERROR(BW36*BI36/BG36),0,(BW36*BI36/BG36))</f>
        <v>4700</v>
      </c>
      <c r="BY36" s="3">
        <f>IF(Mark!BI36&lt;&gt;"",Mark!BI36,BX36)</f>
        <v>4700</v>
      </c>
      <c r="BZ36">
        <f>BY36*M36</f>
        <v>0</v>
      </c>
      <c r="CC36">
        <f>IF($F36=1,BY36,0)</f>
        <v>4700</v>
      </c>
      <c r="CD36">
        <f>IF(F36=1,BZ36,0)</f>
        <v>0</v>
      </c>
      <c r="CE36">
        <f>VLOOKUP(E36,Afgr,Data!$AM$3)</f>
        <v>0.5</v>
      </c>
      <c r="CF36">
        <f>IF(Mark!BR36&lt;&gt;"",Mark!BR36,CE36)</f>
        <v>0.5</v>
      </c>
      <c r="CG36">
        <f>CC36*CF36</f>
        <v>2350</v>
      </c>
      <c r="CH36">
        <f>CD36*CF36</f>
        <v>0</v>
      </c>
      <c r="CJ36">
        <f>VLOOKUP($G36,Efgr,NnormKolonneEfgr1)</f>
        <v>0</v>
      </c>
      <c r="CK36">
        <f t="shared" ref="CK36:CK48" si="0">CJ36*M36</f>
        <v>0</v>
      </c>
      <c r="CL36">
        <f>CJ36*Nniveau12*0.01</f>
        <v>0</v>
      </c>
      <c r="CM36" s="3">
        <f>IF(Mark!DM36&lt;&gt;"",Mark!DM36,CL36)</f>
        <v>0</v>
      </c>
      <c r="CN36" s="3">
        <f>$CM36*$M36</f>
        <v>0</v>
      </c>
      <c r="CP36">
        <f>IF(CS36&gt;0,0,CN36)</f>
        <v>0</v>
      </c>
      <c r="CQ36">
        <f>IF(ISERROR(CN36*HdgNTilFordeling12/NnormIaltFordel12),0,CN36*HdgNTilFordeling12/NnormIaltFordel12)</f>
        <v>0</v>
      </c>
      <c r="CR36">
        <f>IF(ISERROR($CQ36/$M36),0,$CQ36/$M36)</f>
        <v>0</v>
      </c>
      <c r="CS36">
        <f>IF(Mark!DS36&lt;&gt;"",Mark!DS36,0)</f>
        <v>0</v>
      </c>
      <c r="CT36">
        <f>$CS36*$M36</f>
        <v>0</v>
      </c>
      <c r="CU36" s="3">
        <f>IF($CS36&gt;0,$CS36,$CR36)</f>
        <v>0</v>
      </c>
      <c r="CV36" s="3">
        <f>CU36*M36</f>
        <v>0</v>
      </c>
      <c r="CX36">
        <f>UdnKrav*$CU36/100</f>
        <v>0</v>
      </c>
      <c r="CZ36">
        <f>$CU36*VLOOKUP($G36,Efgr,Data!$BG$53)</f>
        <v>0</v>
      </c>
      <c r="DA36">
        <f>UdnKrav*$CZ36/100</f>
        <v>0</v>
      </c>
      <c r="DC36">
        <f>VLOOKUP(G36,Efgr,NormudbKolonneNrEfgr1)</f>
        <v>0</v>
      </c>
      <c r="DD36" s="3">
        <f>IF(Mark!DC36&lt;&gt;"",Mark!DC36,DC36)</f>
        <v>0</v>
      </c>
      <c r="DE36">
        <f>DD36*M36</f>
        <v>0</v>
      </c>
      <c r="DF36" t="s">
        <v>37</v>
      </c>
      <c r="DG36">
        <f>DD36*Efterslaetpris</f>
        <v>0</v>
      </c>
      <c r="DH36">
        <f>DE36*Efterslaetpris</f>
        <v>0</v>
      </c>
      <c r="DI36">
        <f>VLOOKUP(G36,Efgr,Data!$AG$53)</f>
        <v>0</v>
      </c>
      <c r="DJ36">
        <f>DD36*DI36</f>
        <v>0</v>
      </c>
      <c r="DL36">
        <f>VLOOKUP($E36,Afgr,Data!$AW$3)</f>
        <v>10.7</v>
      </c>
      <c r="DM36">
        <f>IF(BK36="FE",$BI36*$BL36*$DL36*0.01,$BI36*100*$DR36*0.01*$DL36*0.01)</f>
        <v>809.45500000000004</v>
      </c>
      <c r="DN36">
        <f>IF(VLOOKUP(E36,Afgr,Data!$BO$3)=1,DM36,0)*M36</f>
        <v>0</v>
      </c>
      <c r="DO36" s="12">
        <f>IF(Nmodel12=1,(V36-S36)*VLOOKUP($E36,Afgr,Data!$AX$3),(AO36-S36)*VLOOKUP(E36,Afgr,Data!$AX$3))</f>
        <v>0</v>
      </c>
      <c r="DP36">
        <f>DL36+DO36</f>
        <v>10.7</v>
      </c>
      <c r="DQ36">
        <f>IF(Mark!AQ36&lt;&gt;"",Mark!AQ36,DP36)</f>
        <v>10.7</v>
      </c>
      <c r="DR36">
        <f>VLOOKUP(E36,Afgr,Data!$AT$3)</f>
        <v>85</v>
      </c>
      <c r="DS36">
        <f>IF($BK36="FE",$BI36*$BL36*$DQ36*0.01,$BI36*100*$DR36*0.01*DQ36*0.01)</f>
        <v>809.45500000000004</v>
      </c>
      <c r="DT36">
        <f>IF(VLOOKUP(E36,Afgr,Data!$BO$3)=1,DS36,0)*M36</f>
        <v>0</v>
      </c>
      <c r="DU36">
        <f>IF(ISERROR(DS36/VLOOKUP(E36,Afgr,Data!$AY$3)),0,DS36/VLOOKUP(E36,Afgr,Data!$AY$3))</f>
        <v>142.00964912280702</v>
      </c>
      <c r="DV36">
        <f>DU36*M36</f>
        <v>0</v>
      </c>
      <c r="DX36">
        <f>IF($BK36="FE",$BI36*$BL36*VLOOKUP($E36,Afgr,Data!$BC$3)*0.001,$BI36*100*$DR36*0.01*VLOOKUP($E36,Afgr,Data!$BC$3)*0.001)</f>
        <v>25.721</v>
      </c>
      <c r="DY36">
        <f>DX36*M36</f>
        <v>0</v>
      </c>
      <c r="EA36">
        <f>IF($BK36="FE",$BI36*$BL36*VLOOKUP($E36,Afgr,Data!$BF$3)*0.001,$BI36*100*$DR36*0.01*VLOOKUP($E36,Afgr,Data!$BF$3)*0.001)</f>
        <v>36.311999999999998</v>
      </c>
      <c r="EB36">
        <f>EA36*M36</f>
        <v>0</v>
      </c>
      <c r="ED36">
        <f>IF(ISERROR(VLOOKUP(E36,Afgr,Data!$AZ$3)*DQ36/DL36),0,VLOOKUP(E36,Afgr,Data!$AZ$3)*DQ36/DL36)</f>
        <v>3.3124999999999996</v>
      </c>
      <c r="EE36">
        <f>VLOOKUP(E36,Afgr,Data!$AU$3)</f>
        <v>85</v>
      </c>
      <c r="EF36">
        <f>IF($F36=1,$BY36*$EE36*0.01*ED36*0.01,0)</f>
        <v>132.33437499999999</v>
      </c>
      <c r="EG36">
        <f>EF36/6.25</f>
        <v>21.173500000000001</v>
      </c>
      <c r="EH36">
        <f>EG36*M36</f>
        <v>0</v>
      </c>
      <c r="EJ36">
        <f>IF($F36=1,$BY36*$EE36*0.01*VLOOKUP($E36,Afgr,Data!$BD$3)*0.001,0)</f>
        <v>3.5954999999999999</v>
      </c>
      <c r="EK36">
        <f>EJ36*M36</f>
        <v>0</v>
      </c>
      <c r="EM36">
        <f>IF($F36=1,$BY36*$EE36*0.01*VLOOKUP($E36,Afgr,Data!$BG$3)*0.001,0)</f>
        <v>59.925000000000004</v>
      </c>
      <c r="EN36">
        <f>EM36*M36</f>
        <v>0</v>
      </c>
      <c r="EP36">
        <f>VLOOKUP(G36,Efgr,Data!$AI$53)</f>
        <v>0</v>
      </c>
      <c r="EQ36">
        <f>DJ36*EP36*0.01/6.25</f>
        <v>0</v>
      </c>
      <c r="ER36">
        <f>EQ36*M36</f>
        <v>0</v>
      </c>
      <c r="ET36">
        <f>$DJ36*VLOOKUP($G36,Efgr,Data!$AJ$53)*0.001</f>
        <v>0</v>
      </c>
      <c r="EU36">
        <f>ET36*M36</f>
        <v>0</v>
      </c>
      <c r="EW36">
        <f>$DJ36*VLOOKUP($G36,Efgr,Data!$AK$53)*0.001</f>
        <v>0</v>
      </c>
      <c r="EX36">
        <f>EW36*M36</f>
        <v>0</v>
      </c>
      <c r="EZ36">
        <f>IF(VLOOKUP(E36,Afgr,Data!$DS$3)=1,DU36*VLOOKUP(E36,Afgr,(Data!$DT$3+EftervirkningUdb1))*VLOOKUP(E36,Afgr,Data!$DV$3),0)</f>
        <v>0</v>
      </c>
      <c r="FA36">
        <f>IF(VLOOKUP(E36,Afgr,Data!$DS$3)=2,VLOOKUP(E36,Afgr,Data!$DX$3),0)</f>
        <v>0</v>
      </c>
      <c r="FB36">
        <f>IF(VLOOKUP(E36,Afgr,Data!$DS$3)=3,$DU36*VLOOKUP($E36,Afgr,IF(Jordtype1&lt;5,Data!$DT$3,Data!$DU$3))*VLOOKUP($E36,Afgr,Data!$DV$3),0)</f>
        <v>0</v>
      </c>
      <c r="FC36">
        <f>IF(VLOOKUP(E36,Afgr,Data!$DS$3)=4,(1.232+0.00469*BI36*100+(0.000256*BI36*100+0.089)*60),0)</f>
        <v>0</v>
      </c>
      <c r="FD36">
        <f>$V36+IF($AY36-$BB36&gt;$V36,$AY36-$V36,0)-$BB36</f>
        <v>137</v>
      </c>
      <c r="FE36">
        <f>IF(VLOOKUP($E36,Afgr,Data!$DS$3)=5,($BI36*0.02742-$BI36*0.0001*$FD36+$BI36*0.0000001111*$FD36*$FD36),0)</f>
        <v>0</v>
      </c>
      <c r="FF36">
        <f>$CM36+IF($CX36-$DA36&gt;$CM36,$CX36-$CM36,0)-$DA36</f>
        <v>0</v>
      </c>
      <c r="FG36">
        <f>IF(VLOOKUP($G36,Efgr,Data!$BH$53)=5,($DD36*0.02742-$DD36*0.0001*$FF36+$DD36*0.0000001111*$FF36*$FF36),0)</f>
        <v>0</v>
      </c>
      <c r="FH36" s="3">
        <f>EZ36+FA36+FB36+FC36+FE36+FG36</f>
        <v>0</v>
      </c>
      <c r="FI36" s="3">
        <f>FH36*M36</f>
        <v>0</v>
      </c>
      <c r="FK36">
        <f>$V36+$CM36</f>
        <v>137</v>
      </c>
      <c r="FL36">
        <f>($AV36-$AY36)+IF($AY36&gt;$V36,$AY36-$V36,0)+($CU36-$CX36)+IF($CX36&gt;$CM36,$CX36-$CM36,0)</f>
        <v>0</v>
      </c>
      <c r="FM36">
        <f>VLOOKUP($E36,Afgr,Data!$DK$3)*VLOOKUP($E36,Afgr,Data!$AT$3)*0.01*VLOOKUP($E36,Afgr,Data!$AW$3)*0.01/6.25</f>
        <v>2.3283199999999997</v>
      </c>
      <c r="FN36" s="4">
        <f>IF(E36&gt;1,Deposition,0)</f>
        <v>15</v>
      </c>
      <c r="FO36">
        <f>FH36</f>
        <v>0</v>
      </c>
      <c r="FP36">
        <f>SUM(FK36:FO36)</f>
        <v>154.32831999999999</v>
      </c>
      <c r="FQ36">
        <f>DU36+EG36+EQ36</f>
        <v>163.18314912280701</v>
      </c>
      <c r="FR36" s="3">
        <f>FP36-FQ36</f>
        <v>-8.8548291228070184</v>
      </c>
      <c r="FS36" s="19">
        <f>FP36*M36</f>
        <v>0</v>
      </c>
      <c r="FT36" s="19">
        <f>FQ36*M36</f>
        <v>0</v>
      </c>
      <c r="FU36" s="3">
        <f>FR36*M36</f>
        <v>0</v>
      </c>
      <c r="FW36">
        <f>IL36+IM36+LP36+LQ36</f>
        <v>29.316500000000001</v>
      </c>
      <c r="FX36">
        <f>IK36+LO36</f>
        <v>29.316500000000001</v>
      </c>
      <c r="FY36">
        <f>FW36-FX36</f>
        <v>0</v>
      </c>
      <c r="FZ36">
        <f>FY36*M36</f>
        <v>0</v>
      </c>
      <c r="GB36">
        <f>IS36+IT36+LV36+LW36</f>
        <v>96.236999999999995</v>
      </c>
      <c r="GC36">
        <f>IR36+LU36</f>
        <v>96.236999999999995</v>
      </c>
      <c r="GD36">
        <f>GB36-GC36</f>
        <v>0</v>
      </c>
      <c r="GE36">
        <f>GD36*M36</f>
        <v>0</v>
      </c>
      <c r="GG36" s="149">
        <f>IF(OR(VLOOKUP(E36,Afgr,Data!$BV$3)=1,VLOOKUP(E36,Afgr,Data!$BW$3)=1),0,NniveauDelsaedsk1)</f>
        <v>194</v>
      </c>
      <c r="GH36" s="1">
        <v>0.32550000000000001</v>
      </c>
      <c r="GI36" s="6">
        <v>0</v>
      </c>
      <c r="GJ36" s="24">
        <f>IF(($V36-BB36+$CM36-DA36)&lt;0,0,$V36-BB36+$CM36-DA36)</f>
        <v>137</v>
      </c>
      <c r="GK36" s="6">
        <f>$FO36</f>
        <v>0</v>
      </c>
      <c r="GL36" s="1">
        <v>0.25280000000000002</v>
      </c>
      <c r="GM36">
        <f>$BA36+$CZ36</f>
        <v>0</v>
      </c>
      <c r="GN36" s="1">
        <v>0.376</v>
      </c>
      <c r="GO36" s="6">
        <v>0</v>
      </c>
      <c r="GP36" s="1">
        <f>IF(SandLer1&gt;1,0.3539,1.0749)</f>
        <v>0.35389999999999999</v>
      </c>
      <c r="GQ36" s="11">
        <f>$FQ36</f>
        <v>163.18314912280701</v>
      </c>
      <c r="GR36" s="1">
        <v>0.19359999999999999</v>
      </c>
      <c r="GS36" s="1">
        <f>VLOOKUP($E36,Afgr,Data!$DM$3)</f>
        <v>1</v>
      </c>
      <c r="GT36" s="24">
        <f>IF($GS36&gt;1,0,(VLOOKUP($K36,Afgr,Data!$DP$3)+IF(VLOOKUP($K36,Afgr,Data!$DP$3)=0,VLOOKUP($G36,Efgr,Data!$BI$53,0))))+IF(AND($GS36=7,VLOOKUP($K36,Afgr,Data!$DQ$3)=-2),-2,0)+IF(AND($GS36=6,VLOOKUP($G36,Efgr,Data!$BI$53)=2),8,0)</f>
        <v>1</v>
      </c>
      <c r="GU36" s="6">
        <f>VLOOKUP(SUM(GS36:GT36),Nlesafgr,3)</f>
        <v>-7.6</v>
      </c>
      <c r="GV36" s="7">
        <f>VLOOKUP($B36,Afgr,Data!$DN$3)</f>
        <v>3</v>
      </c>
      <c r="GW36" s="24">
        <f>IF(GV36&gt;1,0,VLOOKUP($E36,Afgr,Data!$DO$3)+IF(VLOOKUP($E36,Afgr,Data!$DO$3)=1,0,VLOOKUP($C36,Efgr,Data!$BJ$53)))</f>
        <v>0</v>
      </c>
      <c r="GX36" s="6">
        <f>VLOOKUP(SUM(GV36:GW36),Nlesforfrugt,3)</f>
        <v>14.2</v>
      </c>
      <c r="GY36" s="1">
        <f>GH36*GG36+GL36*(GJ36+GK36)+GN36*GM36+GP36*GO36-GR36*GQ36+GU36+GX36</f>
        <v>72.788342329824559</v>
      </c>
      <c r="GZ36" s="1">
        <f>Nlesafskaering</f>
        <v>59.6</v>
      </c>
      <c r="HA36" s="1">
        <f>Teknologi1</f>
        <v>2455</v>
      </c>
      <c r="HB36" s="6">
        <v>2001</v>
      </c>
      <c r="HC36" s="1">
        <f>Teknologi2</f>
        <v>1962.2</v>
      </c>
      <c r="HD36" s="1">
        <f>Tandel</f>
        <v>0.54659999999999997</v>
      </c>
      <c r="HE36" s="1">
        <f>IF(OR(GY36&gt;0,GY36=0),GZ36+HA36/(HB36-HC36),GZ36+HA36/(HB36-HC36)+HD36*GY36)</f>
        <v>122.87319587628873</v>
      </c>
      <c r="HF36" s="1">
        <f>IF(GY36&gt;0,GY36,0.001)</f>
        <v>72.788342329824559</v>
      </c>
      <c r="HG36" s="1">
        <v>1.5020000000000001E-3</v>
      </c>
      <c r="HH36" s="24">
        <f>IF(E36=1,0,VLOOKUP(Postnr,AfstromData,VLOOKUP($E36,Afgr,Data!$DL$3)+IF(Jordtype1&lt;7,Jordtype1,6),FALSE)-VLOOKUP(G36,Efgr,Data!$AA$53))</f>
        <v>334.48</v>
      </c>
      <c r="HI36" s="1">
        <v>5.5400000000000002E-4</v>
      </c>
      <c r="HJ36" s="24">
        <f>IF(E36=1,0,VLOOKUP(Postnr,AfstromData,VLOOKUP($B36,Afgr,Data!$DL$3)+IF(Jordtype1&lt;7,Jordtype1,6),FALSE)-VLOOKUP(C36,Efgr,Data!$AA$53))</f>
        <v>334.48</v>
      </c>
      <c r="HK36" s="1">
        <v>0.10639999999999999</v>
      </c>
      <c r="HL36" s="6">
        <f>VLOOKUP(Jordtype1,Jordtype,Data!$W$112)</f>
        <v>3</v>
      </c>
      <c r="HM36" s="1">
        <v>3.2500000000000001E-2</v>
      </c>
      <c r="HN36" s="6">
        <f>VLOOKUP(Jordtype1,Jordtype,Data!$X$112)</f>
        <v>12</v>
      </c>
      <c r="HO36" s="1">
        <v>1.2453000000000001</v>
      </c>
      <c r="HP36" s="1">
        <f>IF(VLOOKUP(G36,Efgr,Data!$AO$53)=1,MlafgrNUdvask,0)</f>
        <v>0</v>
      </c>
      <c r="HQ36" s="20">
        <f>IF(ISERROR((HE36+POWER(HF36,1.2))*(1-EXP(-HG36*HH36))*EXP(-HI36*HJ36)*EXP(-HK36*HL36)*EXP(-HM36*HN36)*HO36),0,(HE36+POWER(HF36,1.2))*(1-EXP(-HG36*HH36))*EXP(-HI36*HJ36)*EXP(-HK36*HL36)*EXP(-HM36*HN36)*HO36+HP36)</f>
        <v>59.200145975226114</v>
      </c>
      <c r="HR36">
        <f>HQ36*M36</f>
        <v>0</v>
      </c>
      <c r="HS36">
        <f>HQ36*(100-Retention1)*0.01</f>
        <v>23.680058390090444</v>
      </c>
      <c r="HT36">
        <f>HS36*M36</f>
        <v>0</v>
      </c>
      <c r="HU36" s="2">
        <f>HH36*10000</f>
        <v>3344800</v>
      </c>
      <c r="HV36" s="2">
        <f>HU36*M36</f>
        <v>0</v>
      </c>
      <c r="HW36">
        <f>IF(ISERROR(HQ36*1000*1000/HU36),0,HQ36*1000*1000/HU36)</f>
        <v>17.699158686685635</v>
      </c>
      <c r="HY36">
        <f>BP36+BT36+CG36+DG36</f>
        <v>15255</v>
      </c>
      <c r="IB36">
        <f>VLOOKUP(E36,Afgr,Data!$AP$3)*UdsaedJust</f>
        <v>578</v>
      </c>
      <c r="IC36" s="3">
        <f>IF(Mark!EG36&lt;&gt;"",Mark!EG36,Regn!IB36)</f>
        <v>578</v>
      </c>
      <c r="ID36" s="3">
        <f>IC36*M36</f>
        <v>0</v>
      </c>
      <c r="IF36" s="3">
        <f>IF(HdgVaerdi=1,($V36-$AY36)*Npris,$V36*Npris)</f>
        <v>1157.6499999999999</v>
      </c>
      <c r="IG36" s="3">
        <f>IF36*M36</f>
        <v>0</v>
      </c>
      <c r="II36">
        <f>VLOOKUP($E36,Afgr,Data!$BA$3)</f>
        <v>0</v>
      </c>
      <c r="IJ36">
        <f>VLOOKUP($E36,Afgr,Data!$BB$3)</f>
        <v>0</v>
      </c>
      <c r="IK36">
        <f>$DX36+$EJ36</f>
        <v>29.316500000000001</v>
      </c>
      <c r="IL36">
        <f>IF(HdgDyreart=2,$AV36*NPforholdSvin,$AV36*NPforholdKvaeg)</f>
        <v>0</v>
      </c>
      <c r="IM36">
        <f>II36+IF($IJ36+$IK36&gt;$IL36,($IJ36+$IK36-$IL36),0)</f>
        <v>29.316500000000001</v>
      </c>
      <c r="IN36" s="3">
        <f>IF(HdgVaerdi=1,($II36*Ppris+IF($IJ36+$IK36&gt;$IL36,($IJ36+$IK36-$IL36)*Ppris,0)),($II36+$IJ36+$IK36)*Ppris)</f>
        <v>407.49935000000005</v>
      </c>
      <c r="IO36" s="3">
        <f>IN36*M36</f>
        <v>0</v>
      </c>
      <c r="IQ36">
        <f>IF(AND(E36&gt;1,OR(Jordtype1=1,Jordtype1=3,Markvand1=2)),Kudvask,0)</f>
        <v>0</v>
      </c>
      <c r="IR36">
        <f>$EA36+$EM36</f>
        <v>96.236999999999995</v>
      </c>
      <c r="IS36">
        <f>IF(HdgDyreart=2,$AV36*NKforholdSvin,$AV36*NkforholdKvaeg)</f>
        <v>0</v>
      </c>
      <c r="IT36">
        <f>IF($IQ36+$IR36&gt;$IS36,($IQ36+$IR36-$IS36),0)</f>
        <v>96.236999999999995</v>
      </c>
      <c r="IU36" s="3">
        <f>IF(HdgVaerdi=1,IF($IQ36+$IR36&gt;$IS36,($IQ36+$IR36-$IS36)*Kpris,0),($IQ36+$IR36)*Kpris)</f>
        <v>625.54049999999995</v>
      </c>
      <c r="IV36" s="3">
        <f>IU36*M36</f>
        <v>0</v>
      </c>
      <c r="IX36">
        <f>IF36+IN36+IU36</f>
        <v>2190.6898499999998</v>
      </c>
      <c r="IY36" s="3">
        <f>IF(Mark!EM36&lt;&gt;"",Mark!EM36,$IX36)</f>
        <v>2190.6898499999998</v>
      </c>
      <c r="IZ36" s="3">
        <f>IY36*M36</f>
        <v>0</v>
      </c>
      <c r="JB36">
        <f>VLOOKUP(E36,Afgr,Data!$AQ$3)*PlantevJust</f>
        <v>703</v>
      </c>
      <c r="JC36" s="3">
        <f>IF(Mark!ES36&lt;&gt;"",Mark!ES36,JB36)</f>
        <v>703</v>
      </c>
      <c r="JD36" s="3">
        <f>JC36*M36</f>
        <v>0</v>
      </c>
      <c r="JF36">
        <f>VLOOKUP(E36,Afgr,Data!$AR$3)+BI36*VLOOKUP(E36,Afgr,Data!$BH$3)</f>
        <v>0</v>
      </c>
      <c r="JG36" s="3">
        <f>IF(Mark!EY36&lt;&gt;"",Mark!EY36,JF36)</f>
        <v>0</v>
      </c>
      <c r="JH36">
        <f>JG36*M36</f>
        <v>0</v>
      </c>
      <c r="JJ36">
        <f>IC36+IY36+JC36+JG36</f>
        <v>3471.6898499999998</v>
      </c>
      <c r="JL36">
        <f>IF(VLOOKUP(E36,Afgr,Data!$BY$3)&gt;0,Data!$K$259*PlojJB1,0)</f>
        <v>600</v>
      </c>
      <c r="JM36">
        <f>IF(VLOOKUP(E36,Afgr,Data!$BZ$3)&gt;0,Data!$K$260*PlojJB1,0)</f>
        <v>0</v>
      </c>
      <c r="JN36">
        <f>(JL36+JM36)*MaskJust</f>
        <v>600</v>
      </c>
      <c r="JO36" s="3">
        <f>IF(Mark!FE36&lt;&gt;"",Mark!FE36,JN36)</f>
        <v>600</v>
      </c>
      <c r="JP36" s="3">
        <f>JO36*M36</f>
        <v>0</v>
      </c>
      <c r="JR36">
        <f>IF(VLOOKUP(E36,Afgr,Data!$CA$3)&gt;0,VLOOKUP(E36,Afgr,Data!$CA$3)*Data!$K$261*SaaJB1,0)</f>
        <v>0</v>
      </c>
      <c r="JS36">
        <f>IF(VLOOKUP(E36,Afgr,Data!$CC$3)&gt;0,Data!$K$262*SaaJB1,0)</f>
        <v>350</v>
      </c>
      <c r="JT36">
        <f>IF(VLOOKUP(E36,Afgr,Data!$CD$3)&gt;0,VLOOKUP(E36,Afgr,Data!$CD$3)*Data!$K$263*SaaJB1,0)</f>
        <v>0</v>
      </c>
      <c r="JU36">
        <f>IF(VLOOKUP(E36,Afgr,Data!$CE$3)&gt;0,Data!$K$264*SaaJB1,0)</f>
        <v>0</v>
      </c>
      <c r="JV36">
        <f>IF(VLOOKUP(E36,Afgr,Data!$CF$3)&gt;0,Data!$K$265*SaaJB1,0)</f>
        <v>0</v>
      </c>
      <c r="JW36">
        <f>IF(VLOOKUP(E36,Afgr,Data!$CV$3)&gt;0,Data!$K$266,0)</f>
        <v>0</v>
      </c>
      <c r="JX36">
        <f>IF(VLOOKUP(E36,Afgr,Data!$CG$3)&gt;0,Data!$K$267*SaaJB1,0)</f>
        <v>0</v>
      </c>
      <c r="JY36">
        <f>(JR36+JS36+JT36+JU36+JV36+JW36+JX36)*MaskJust</f>
        <v>350</v>
      </c>
      <c r="JZ36" s="3">
        <f>IF(Mark!FK36&lt;&gt;"",Mark!FK36,JY36)</f>
        <v>350</v>
      </c>
      <c r="KA36" s="3">
        <f>JZ36*M36</f>
        <v>0</v>
      </c>
      <c r="KC36">
        <f>IF(VLOOKUP(E36,Afgr,Data!$CJ$3)&gt;0,VLOOKUP(E36,Afgr,Data!$CJ$3)*Data!$K$268*SaaJB1,0)*MaskJust</f>
        <v>280</v>
      </c>
      <c r="KD36" s="3">
        <f>IF(Mark!FQ36&lt;&gt;"",Mark!FQ36,KC36)</f>
        <v>280</v>
      </c>
      <c r="KE36" s="3">
        <f>KD36*M36</f>
        <v>0</v>
      </c>
      <c r="KG36">
        <f>IF(VLOOKUP(E36,Afgr,Data!$CI$3)&gt;0,VLOOKUP(E36,Afgr,Data!$CI$3)*Data!$K$269,0)*MaskJust</f>
        <v>450</v>
      </c>
      <c r="KH36" s="3">
        <f>IF(Mark!FW36&lt;&gt;"",Mark!FW36,KG36)</f>
        <v>450</v>
      </c>
      <c r="KI36" s="3">
        <f>KH36*M36</f>
        <v>0</v>
      </c>
      <c r="KK36">
        <f>IF(Markvand1=2,VLOOKUP($E36,Afgr,Data!$CY$3),0)</f>
        <v>0</v>
      </c>
      <c r="KL36">
        <f>IF(Mark!GC36&lt;&gt;"",Mark!GC36,$KK36)</f>
        <v>0</v>
      </c>
      <c r="KM36">
        <f>IF(AND(E36&gt;1,Markvand1=2),Vandmaskin+$KL36*Flytning/mmprgang+$KL36*Prisprmm,0)</f>
        <v>0</v>
      </c>
      <c r="KN36" s="3">
        <f>IF(Mark!GI36&lt;&gt;"",Mark!GI36,$KM36)</f>
        <v>0</v>
      </c>
      <c r="KO36" s="3">
        <f>KN36*M36</f>
        <v>0</v>
      </c>
      <c r="KQ36">
        <f>IF(VLOOKUP($E36,Afgr,Data!$CK$3)&gt;0,((1+Regn!$BI36/VLOOKUP($E36,Afgr,Data!$CK$3))/2)*VLOOKUP($E36,Afgr,Data!$CL$3)*VLOOKUP($E36,Afgr,Data!$CN$3)+VLOOKUP($E36,Afgr,Data!$CM$3),0)</f>
        <v>921.17647058823525</v>
      </c>
      <c r="KR36">
        <f>IF(VLOOKUP($E36,Afgr,Data!$CK$3)&gt;0,IF(AND($F36=2,$BW36&gt;0),Data!$K$271,0),0)</f>
        <v>0</v>
      </c>
      <c r="KS36">
        <f>IF(VLOOKUP($E36,Afgr,Data!$CK$3)&gt;0,(Regn!$BI36/VLOOKUP($E36,Afgr,Data!$CK$3))*VLOOKUP($E36,Afgr,Data!$CO$3)*VLOOKUP($E36,Afgr,Data!$CN$3),0)</f>
        <v>340.29411764705884</v>
      </c>
      <c r="KT36">
        <f>(KQ36+KR36+KS36)*MaskJust</f>
        <v>1261.4705882352941</v>
      </c>
      <c r="KU36" s="3">
        <f>IF(Mark!GO36&lt;&gt;"",Mark!GO36,KT36)</f>
        <v>1261.4705882352941</v>
      </c>
      <c r="KV36" s="3">
        <f>KU36*M36</f>
        <v>0</v>
      </c>
      <c r="KW36" s="3"/>
      <c r="KX36">
        <f>IF(AND($F36=1,VLOOKUP($E36,Afgr,Data!$CP$3)&gt;0),((1+$BY36/VLOOKUP($E36,Afgr,Data!$CP$3))/2)*VLOOKUP($E36,Afgr,Data!$CQ$3),0)</f>
        <v>673.74999999999989</v>
      </c>
      <c r="KY36">
        <f>IF(AND($F36=1,VLOOKUP($E36,Afgr,Data!$CP$3)&gt;0),($BY36/VLOOKUP($E36,Afgr,Data!$CP$3))*VLOOKUP($E36,Afgr,Data!$CR$3),0)</f>
        <v>313.33333333333331</v>
      </c>
      <c r="KZ36">
        <f>(KX36+KY36)*MaskJust</f>
        <v>987.08333333333326</v>
      </c>
      <c r="LA36" s="3">
        <f>IF(Mark!GU36&lt;&gt;"",Mark!GU36,KZ36)</f>
        <v>987.08333333333326</v>
      </c>
      <c r="LB36" s="3">
        <f>LA36*M36</f>
        <v>0</v>
      </c>
      <c r="LD36">
        <f>$BI36*VLOOKUP($E36,Afgr,Data!$CS$3)*IF($I36=1,VLOOKUP($E36,Afgr,Data!$CT$3),IF($I36=2,VLOOKUP($E36,Afgr,Data!$CU$3),0))</f>
        <v>822.36000000000013</v>
      </c>
      <c r="LE36" s="3">
        <f>IF(Mark!HD36&lt;&gt;"",Mark!HD36,LD36)</f>
        <v>822.36000000000013</v>
      </c>
      <c r="LF36" s="3">
        <f>LE36*M36</f>
        <v>0</v>
      </c>
      <c r="LH36">
        <f>VLOOKUP($G36,Efgr,Data!$AC$53)*UdsaedJust</f>
        <v>0</v>
      </c>
      <c r="LI36" s="3">
        <f>IF(Mark!$HL36&lt;&gt;"",Mark!$HL36,LH36)</f>
        <v>0</v>
      </c>
      <c r="LJ36" s="3">
        <f>LI36*M36</f>
        <v>0</v>
      </c>
      <c r="LL36" s="3">
        <f>IF(HdgVaerdi=1,($CM36-$CX36)*Npris,$CM36*Npris)</f>
        <v>0</v>
      </c>
      <c r="LM36" s="3">
        <f>LL36*M36</f>
        <v>0</v>
      </c>
      <c r="LO36">
        <f>$ET36</f>
        <v>0</v>
      </c>
      <c r="LP36">
        <f>IF(HdgDyreart=2,$CU36*NPforholdSvin,$CU36*NPforholdKvaeg)</f>
        <v>0</v>
      </c>
      <c r="LQ36">
        <f>IF($LO36&gt;$LP36,($LO36-$LP36),0)</f>
        <v>0</v>
      </c>
      <c r="LR36" s="3">
        <f>IF(HdgVaerdi=1,IF($LO36&gt;$LP36,($LO36-$LP36)*Ppris,0),$LO36*Ppris)</f>
        <v>0</v>
      </c>
      <c r="LS36" s="3">
        <f>LR36*M36</f>
        <v>0</v>
      </c>
      <c r="LU36">
        <f>$EW36</f>
        <v>0</v>
      </c>
      <c r="LV36">
        <f>IF(HdgDyreart=2,$CU36*NKforholdSvin,$CU36*NkforholdKvaeg)</f>
        <v>0</v>
      </c>
      <c r="LW36">
        <f>IF($LU36&gt;$LV36,($LU36-$LV36),0)</f>
        <v>0</v>
      </c>
      <c r="LX36" s="3">
        <f>IF(HdgVaerdi=1,IF($LU36&gt;$LV36,($LU36-$LV36)*Ppris,0),$LU36*Ppris)</f>
        <v>0</v>
      </c>
      <c r="LY36" s="3">
        <f>LX36*M36</f>
        <v>0</v>
      </c>
      <c r="MA36">
        <f>LL36+LR36+LX36</f>
        <v>0</v>
      </c>
      <c r="MB36" s="3">
        <f>IF(Mark!HR36&lt;&gt;"",Mark!HR36,$MA36)</f>
        <v>0</v>
      </c>
      <c r="MC36" s="3">
        <f>MB36*M36</f>
        <v>0</v>
      </c>
      <c r="ME36">
        <f>VLOOKUP($G36,Efgr,Data!$AE$53)*PlantevJust</f>
        <v>0</v>
      </c>
      <c r="MF36" s="3">
        <f>IF(Mark!HX36&lt;&gt;"",Mark!HX36,ME36)</f>
        <v>0</v>
      </c>
      <c r="MG36" s="3">
        <f>MF36*M36</f>
        <v>0</v>
      </c>
      <c r="MI36">
        <f>VLOOKUP($G36,Efgr,Data!$AF$53)+$DD36*VLOOKUP($G36,Efgr,Data!$AL$53)</f>
        <v>0</v>
      </c>
      <c r="MJ36" s="3">
        <f>IF(Mark!ID36&lt;&gt;"",Mark!ID36,MI36)</f>
        <v>0</v>
      </c>
      <c r="MK36" s="3">
        <f>MJ36*M36</f>
        <v>0</v>
      </c>
      <c r="MM36">
        <f>LI36+MB36+MF36+MJ36</f>
        <v>0</v>
      </c>
      <c r="MO36">
        <f>VLOOKUP($G36,Efgr,Data!$AU$53)*SaaJB1*MaskJust</f>
        <v>0</v>
      </c>
      <c r="MP36" s="3">
        <f>IF(Mark!IJ36&lt;&gt;"",Mark!IJ36,MO36)</f>
        <v>0</v>
      </c>
      <c r="MQ36" s="3">
        <f>MP36*M36</f>
        <v>0</v>
      </c>
      <c r="MS36">
        <f>VLOOKUP($G36,Efgr,Data!$AW$53)*Data!$K$268*SaaJB1*MaskJust</f>
        <v>0</v>
      </c>
      <c r="MT36" s="3">
        <f>IF(Mark!IP36&lt;&gt;"",Mark!IP36,MS36)</f>
        <v>0</v>
      </c>
      <c r="MU36" s="3">
        <f>MT36*M36</f>
        <v>0</v>
      </c>
      <c r="MW36">
        <f>VLOOKUP($G36,Efgr,Data!$AV$53)*Data!$K$269*MaskJust</f>
        <v>0</v>
      </c>
      <c r="MX36" s="3">
        <f>IF(Mark!IV36&lt;&gt;"",Mark!IV36,MW36)</f>
        <v>0</v>
      </c>
      <c r="MY36" s="3">
        <f>MX36*M36</f>
        <v>0</v>
      </c>
      <c r="NA36">
        <f>IF(Markvand1=2,VLOOKUP($G36,Efgr,Data!$BC$53),0)</f>
        <v>0</v>
      </c>
      <c r="NB36">
        <f>IF(Mark!JB36&lt;&gt;"",Mark!JB36,$NA36)</f>
        <v>0</v>
      </c>
      <c r="NC36">
        <f>IF(Markvand1=2,$NB36*Flytning/mmprgang+$NB36*Prisprmm,0)</f>
        <v>0</v>
      </c>
      <c r="ND36" s="3">
        <f>IF(Mark!JH36&lt;&gt;"",Mark!JH36,$NC36)</f>
        <v>0</v>
      </c>
      <c r="NE36" s="3">
        <f>ND36*M36</f>
        <v>0</v>
      </c>
      <c r="NG36">
        <f>IF(VLOOKUP($G36,Efgr,Data!$AX$53)&gt;0,((1+Regn!DD36/VLOOKUP($G36,Efgr,Data!$AX$53))/2)*VLOOKUP($G36,Efgr,Data!$AY$53)*VLOOKUP($G36,Efgr,Data!$BA$53)+VLOOKUP($G36,Efgr,Data!$AZ$53),0)</f>
        <v>0</v>
      </c>
      <c r="NH36">
        <f>IF(VLOOKUP($G36,Efgr,Data!$AX$53)&gt;0,($DD36/VLOOKUP($G36,Efgr,Data!$AX$53))*VLOOKUP($G36,Efgr,Data!$BB$53)*VLOOKUP($G36,Efgr,Data!$BA$53),0)</f>
        <v>0</v>
      </c>
      <c r="NI36">
        <f>(NG36+NH36)*MaskJust</f>
        <v>0</v>
      </c>
      <c r="NJ36" s="3">
        <f>IF(Mark!JN36&lt;&gt;"",Mark!JN36,NI36)</f>
        <v>0</v>
      </c>
      <c r="NK36" s="3">
        <f>NJ36*M36</f>
        <v>0</v>
      </c>
      <c r="NM36">
        <f>IF($H36=2,Data!$K$304,IF($H36=3,Data!$K$305,0))*MaskJust</f>
        <v>0</v>
      </c>
      <c r="NN36" s="3">
        <f>IF(Mark!JT36&lt;&gt;"",Mark!JT36,NM36)</f>
        <v>0</v>
      </c>
      <c r="NO36" s="3">
        <f>NN36*M36</f>
        <v>0</v>
      </c>
      <c r="NQ36">
        <f>HY36</f>
        <v>15255</v>
      </c>
      <c r="NR36">
        <f>JJ36+MM36</f>
        <v>3471.6898499999998</v>
      </c>
      <c r="NS36">
        <f>NQ36-NR36</f>
        <v>11783.310150000001</v>
      </c>
      <c r="NT36">
        <f>NS36*M36</f>
        <v>0</v>
      </c>
      <c r="NW36">
        <f>VLOOKUP($B36,Afgr,Data!$BP$3)+VLOOKUP($C36,Efgr,Data!$AM$53)</f>
        <v>1</v>
      </c>
      <c r="NX36" s="3">
        <f>NW36*M36</f>
        <v>0</v>
      </c>
      <c r="NY36">
        <f>VLOOKUP($E36,Afgr,Data!$BP$3)+VLOOKUP($G36,Efgr,Data!$AM$53)</f>
        <v>1</v>
      </c>
      <c r="NZ36" s="3">
        <f>NY36*M36</f>
        <v>0</v>
      </c>
      <c r="OB36">
        <f>VLOOKUP($C36,Efgr,Data!$AN$53)</f>
        <v>0</v>
      </c>
      <c r="OC36">
        <f>VLOOKUP($B36,Afgr,Data!$BQ$3)</f>
        <v>1</v>
      </c>
      <c r="OD36">
        <f>VLOOKUP($E36,Afgr,Data!$BR$3)</f>
        <v>0</v>
      </c>
      <c r="OE36">
        <f>OB36*OC36*OD36</f>
        <v>0</v>
      </c>
      <c r="OF36" s="3">
        <f>OE36*M36</f>
        <v>0</v>
      </c>
      <c r="OG36" s="3">
        <f>IF(D36,1,0)*OF36</f>
        <v>0</v>
      </c>
      <c r="OI36">
        <f>VLOOKUP($G36,Efgr,Data!$AN$53)</f>
        <v>0</v>
      </c>
      <c r="OJ36">
        <f>VLOOKUP($E36,Afgr,Data!$BQ$3)</f>
        <v>1</v>
      </c>
      <c r="OK36">
        <f>VLOOKUP($K36,Afgr,Data!$BR$3)</f>
        <v>0</v>
      </c>
      <c r="OL36">
        <f>OI36*OJ36*OK36</f>
        <v>0</v>
      </c>
      <c r="OM36" s="3">
        <f>OL36*M36</f>
        <v>0</v>
      </c>
      <c r="OO36">
        <f>VLOOKUP($G36,Efgr,Data!$AO$53)</f>
        <v>0</v>
      </c>
      <c r="OP36">
        <f>VLOOKUP($B36,Afgr,Data!$BQ$3)</f>
        <v>1</v>
      </c>
      <c r="OQ36">
        <f>VLOOKUP($E36,Afgr,Data!$BS$3)</f>
        <v>1</v>
      </c>
      <c r="OR36" s="3">
        <f>OO36*OP36*OQ36*$M36</f>
        <v>0</v>
      </c>
      <c r="OT36">
        <f>VLOOKUP($G36,Efgr,Data!$AO$53)</f>
        <v>0</v>
      </c>
      <c r="OU36">
        <f>VLOOKUP($E36,Afgr,Data!$BQ$3)</f>
        <v>1</v>
      </c>
      <c r="OV36">
        <f>VLOOKUP($K36,Afgr,Data!$BS$3)</f>
        <v>1</v>
      </c>
      <c r="OW36" s="3">
        <f>OT36*OU36*OV36*$M36</f>
        <v>0</v>
      </c>
      <c r="OX36" s="3"/>
      <c r="OY36" s="3">
        <f>VLOOKUP($B36,Afgr,Data!$BU$3)</f>
        <v>0</v>
      </c>
      <c r="OZ36" s="3">
        <f>OY36*M36</f>
        <v>0</v>
      </c>
      <c r="PA36" s="3">
        <f>VLOOKUP($E36,Afgr,Data!$BU$3)</f>
        <v>0</v>
      </c>
      <c r="PB36" s="3">
        <f>PA36*M36</f>
        <v>0</v>
      </c>
      <c r="PD36">
        <f>VLOOKUP(E36,Afgr,Data!$BX$3)+VLOOKUP(G36,Efgr,Data!$AQ$53)</f>
        <v>1</v>
      </c>
      <c r="PE36">
        <f>IF(PD36&gt;0,M36,0)</f>
        <v>0</v>
      </c>
      <c r="PG36">
        <f>VLOOKUP($B36,Afgr,Data!$BT$3)</f>
        <v>1</v>
      </c>
      <c r="PH36" s="3">
        <f>PG36*M36</f>
        <v>0</v>
      </c>
      <c r="PI36">
        <f>VLOOKUP($E36,Afgr,Data!$BT$3)</f>
        <v>1</v>
      </c>
      <c r="PJ36" s="3">
        <f>PI36*M36</f>
        <v>0</v>
      </c>
      <c r="PL36">
        <f>VLOOKUP($E36,Afgr,Data!$BV$3)</f>
        <v>0</v>
      </c>
      <c r="PM36">
        <f>PL36*M36</f>
        <v>0</v>
      </c>
      <c r="PO36">
        <f>VLOOKUP($E36,Afgr,Data!$BW$3)</f>
        <v>0</v>
      </c>
      <c r="PP36">
        <f>PO36*M36</f>
        <v>0</v>
      </c>
      <c r="PR36">
        <f>BI36*IF(VLOOKUP($E36,Afgr,Data!$BJ$3)&gt;0,1,0)</f>
        <v>89</v>
      </c>
      <c r="PS36">
        <f>PR36*M36</f>
        <v>0</v>
      </c>
      <c r="PU36">
        <f>BI36*VLOOKUP(E36,Afgr,Data!$BK$3)</f>
        <v>9167</v>
      </c>
      <c r="PV36">
        <f>M36*PU36</f>
        <v>0</v>
      </c>
      <c r="PW36">
        <f>$BI36*VLOOKUP($E36,Afgr,Data!$BL$3)+$DD36*VLOOKUP($G36,Efgr,Data!$AP$53)</f>
        <v>0</v>
      </c>
      <c r="PX36">
        <f>PW36*M36</f>
        <v>0</v>
      </c>
      <c r="PY36">
        <f>$BI36*VLOOKUP($E36,Afgr,Data!$BM$3)</f>
        <v>0</v>
      </c>
      <c r="PZ36">
        <f>PY36*M36</f>
        <v>0</v>
      </c>
      <c r="QA36">
        <f>$BI36*VLOOKUP($E36,Afgr,Data!$BN$3)</f>
        <v>0</v>
      </c>
      <c r="QB36">
        <f>QA36*M36</f>
        <v>0</v>
      </c>
      <c r="QE36">
        <f>IF(VLOOKUP($E36,Afgr,Data!$DA$3)="Vårbyg",$BJ36,0)*VLOOKUP($E36,Afgr,Data!$BJ$3)</f>
        <v>0</v>
      </c>
      <c r="QF36">
        <f>IF(VLOOKUP($E36,Afgr,Data!$DA$3)="Vinterbyg",$BJ36,0)*VLOOKUP($E36,Afgr,Data!$BJ$3)</f>
        <v>0</v>
      </c>
      <c r="QG36">
        <f>IF(VLOOKUP($E36,Afgr,Data!$DA$3)="Havre",$BJ36,0)*VLOOKUP($E36,Afgr,Data!$BJ$3)</f>
        <v>0</v>
      </c>
      <c r="QH36">
        <f>IF(VLOOKUP($E36,Afgr,Data!$DA$3)="Hvede",$BJ36,0)*VLOOKUP($E36,Afgr,Data!$BJ$3)</f>
        <v>0</v>
      </c>
      <c r="QI36">
        <f>IF(VLOOKUP($E36,Afgr,Data!$DA$3)="Triticale",$BJ36,0)*VLOOKUP($E36,Afgr,Data!$BJ$3)</f>
        <v>0</v>
      </c>
      <c r="QJ36">
        <f>IF(VLOOKUP($E36,Afgr,Data!$DA$3)="Rug",$BJ36,0)*VLOOKUP($E36,Afgr,Data!$BJ$3)</f>
        <v>0</v>
      </c>
      <c r="QK36">
        <f>IF(VLOOKUP($E36,Afgr,Data!$DA$3)="Majs",$BJ36,0)*VLOOKUP($E36,Afgr,Data!$BJ$3)</f>
        <v>0</v>
      </c>
      <c r="QN36">
        <f>IF(OI36+OO36&gt;0,1,0)</f>
        <v>0</v>
      </c>
      <c r="QO36">
        <f>QN36*LJ36</f>
        <v>0</v>
      </c>
      <c r="QP36">
        <f>QN36*MG36</f>
        <v>0</v>
      </c>
      <c r="QQ36">
        <f>MQ36</f>
        <v>0</v>
      </c>
      <c r="QR36">
        <f>QN36*NO36</f>
        <v>0</v>
      </c>
    </row>
    <row r="37" spans="1:460" x14ac:dyDescent="0.25">
      <c r="GG37" s="12"/>
    </row>
    <row r="38" spans="1:460" x14ac:dyDescent="0.25">
      <c r="A38">
        <v>3</v>
      </c>
      <c r="B38">
        <v>1</v>
      </c>
      <c r="C38">
        <v>1</v>
      </c>
      <c r="D38" t="b">
        <v>0</v>
      </c>
      <c r="E38">
        <v>1</v>
      </c>
      <c r="F38">
        <v>1</v>
      </c>
      <c r="G38">
        <v>1</v>
      </c>
      <c r="H38">
        <v>1</v>
      </c>
      <c r="I38">
        <v>1</v>
      </c>
      <c r="K38">
        <v>1</v>
      </c>
      <c r="M38">
        <f>IF(ISERROR(N38*Areal1/$N$50),0,N38*Areal1/$N$50)</f>
        <v>0</v>
      </c>
      <c r="N38">
        <f>Mark!Z38</f>
        <v>0</v>
      </c>
      <c r="P38">
        <f>VLOOKUP($E38,Afgr,NnormKolonneNr1)</f>
        <v>0</v>
      </c>
      <c r="Q38">
        <f>VLOOKUP($B38,Afgr,Data!$AI$3)*VLOOKUP(E38,Afgr,Data!$AJ$3)</f>
        <v>0</v>
      </c>
      <c r="R38">
        <f>IF($D38,0,VLOOKUP($C38,Efgr,(Data!$W$53+$G$28-1)))</f>
        <v>0</v>
      </c>
      <c r="S38">
        <f>P38-Q38-R38</f>
        <v>0</v>
      </c>
      <c r="T38">
        <f>S38*M38</f>
        <v>0</v>
      </c>
      <c r="U38">
        <f>IF(Nmodel12=1,S38*Nniveau12*0.01,AO38)</f>
        <v>0</v>
      </c>
      <c r="V38" s="3">
        <f>IF(Mark!CI38&lt;&gt;"",Mark!CI38,U38)</f>
        <v>0</v>
      </c>
      <c r="W38" s="3">
        <f>V38*M38</f>
        <v>0</v>
      </c>
      <c r="Y38">
        <f>S38/NoptFaktor</f>
        <v>0</v>
      </c>
      <c r="Z38" s="3">
        <f>IF(Mark!BZ38&lt;&gt;"",Mark!BZ38,Y38)</f>
        <v>0</v>
      </c>
      <c r="AB38">
        <f>VLOOKUP($E38,Afgr,Data!$DE$3)</f>
        <v>0</v>
      </c>
      <c r="AC38">
        <f>VLOOKUP($E38,Afgr,Data!$DD$3)</f>
        <v>0</v>
      </c>
      <c r="AD38">
        <f>VLOOKUP($E38,Afgr,Data!$DC$3)</f>
        <v>0</v>
      </c>
      <c r="AE38">
        <f>IF(ISERROR($Z38+(-PrisN/$AD38-$AB38)/(2*$AC38)),0,($Z38+(-PrisN/$AD38-$AB38)/(2*$AC38)))</f>
        <v>0</v>
      </c>
      <c r="AF38">
        <f>($BD38+$BE38+$BF38)*1.03333</f>
        <v>0</v>
      </c>
      <c r="AG38">
        <f>$AF38-($AB38*($AE38-$Z38)+$AC38*($AE38-$Z38)^2)</f>
        <v>0</v>
      </c>
      <c r="AH38">
        <f>IF(Nmodel12=1,$AB38*($AE38-$S38)+$AC38*($AE38-$S38)^2,$AB38*($AE38-$AO38)+$AC38*($AE38-$AO38)^2)</f>
        <v>0</v>
      </c>
      <c r="AI38">
        <f>IF(Nmodel12=1,$AB38*($AE38-$V38)+$AC38*($AE38-$V38)^2,$AB38*($AE38-AO38)+$AC38*($AE38-AO38)^2)</f>
        <v>0</v>
      </c>
      <c r="AJ38">
        <f>AG38+AH38-BG38</f>
        <v>0</v>
      </c>
      <c r="AK38">
        <f>AG38+AI38-AJ38</f>
        <v>0</v>
      </c>
      <c r="AM38">
        <f>VLOOKUP(E38,Afgr,Data!$DF$3+SandLer1)</f>
        <v>0</v>
      </c>
      <c r="AN38">
        <f>IF(ISERROR(((-(PrisN+Pantafgift)+AM38*Pantfaktor*Pantafgift)/AD38-AB38)/(2*AC38)),0,((-(PrisN+Pantafgift)+AM38*Pantfaktor*Pantafgift)/AD38-AB38)/(2*AC38))</f>
        <v>0</v>
      </c>
      <c r="AO38">
        <f>AE38-AN38</f>
        <v>0</v>
      </c>
      <c r="AQ38">
        <f>IF(AT38&gt;0,0,W38)</f>
        <v>0</v>
      </c>
      <c r="AR38">
        <f>IF(ISERROR(W38*HdgNTilFordeling12/NnormIaltFordel12),0,W38*HdgNTilFordeling12/NnormIaltFordel12)</f>
        <v>0</v>
      </c>
      <c r="AS38">
        <f>IF(ISERROR($AR38/$M38),0,$AR38/$M38)</f>
        <v>0</v>
      </c>
      <c r="AT38">
        <f>IF(Mark!CO38&lt;&gt;"",Mark!CO38,0)</f>
        <v>0</v>
      </c>
      <c r="AU38">
        <f>$AT38*$M38</f>
        <v>0</v>
      </c>
      <c r="AV38" s="3">
        <f>IF(AT38&gt;0,AT38,AS38)</f>
        <v>0</v>
      </c>
      <c r="AW38" s="3">
        <f>AV38*M38</f>
        <v>0</v>
      </c>
      <c r="AY38">
        <f>UdnKrav*$AV38/100</f>
        <v>0</v>
      </c>
      <c r="BA38">
        <f>AV38*VLOOKUP($E38,Afgr,Data!$DJ$3)</f>
        <v>0</v>
      </c>
      <c r="BB38">
        <f>UdnKrav*$BA38/100</f>
        <v>0</v>
      </c>
      <c r="BD38">
        <f>VLOOKUP(E38,Afgr,NormudbKolonneNr1)</f>
        <v>0</v>
      </c>
      <c r="BE38">
        <f>VLOOKUP(B38,Afgr,Data!$AL$3)*VLOOKUP(E38,Afgr,MerudbKolonneNr1)</f>
        <v>0</v>
      </c>
      <c r="BF38">
        <f>VLOOKUP(C38,Efgr,(Data!$Y$53+EftervirkningUdb1))</f>
        <v>0</v>
      </c>
      <c r="BG38">
        <f>BD38+BE38+BF38</f>
        <v>0</v>
      </c>
      <c r="BH38">
        <f>IF(OR(V38&lt;&gt;S38,Nmodel12=2),AK38,BD38+BE38+BF38)</f>
        <v>0</v>
      </c>
      <c r="BI38" s="3">
        <f>IF(Mark!AK38&lt;&gt;"",Mark!AK38,BH38)</f>
        <v>0</v>
      </c>
      <c r="BJ38">
        <f>BI38*M38</f>
        <v>0</v>
      </c>
      <c r="BK38">
        <f>VLOOKUP(E38,Afgr,3)</f>
        <v>0</v>
      </c>
      <c r="BL38">
        <f>IF(BK38="FE",VLOOKUP($E38,Afgr,Data!$AV$3),0)</f>
        <v>0</v>
      </c>
      <c r="BN38">
        <f>VLOOKUP(E38,Afgr,4)</f>
        <v>0</v>
      </c>
      <c r="BO38" s="3">
        <f>IF(Mark!AW38&lt;&gt;"",Mark!AW38,Regn!BN38)</f>
        <v>0</v>
      </c>
      <c r="BP38" s="3">
        <f>BI38*BO38</f>
        <v>0</v>
      </c>
      <c r="BQ38" s="3">
        <f>BJ38*BO38</f>
        <v>0</v>
      </c>
      <c r="BS38">
        <f>VLOOKUP(E38,Afgr,Data!$AN$3)</f>
        <v>0</v>
      </c>
      <c r="BT38" s="3">
        <f>IF(Mark!BC38&lt;&gt;"",Mark!BC38,BS38)</f>
        <v>0</v>
      </c>
      <c r="BU38" s="3">
        <f>BT38*M38</f>
        <v>0</v>
      </c>
      <c r="BW38">
        <f>VLOOKUP(E38,Afgr,HalmudbKolonneNr1)</f>
        <v>0</v>
      </c>
      <c r="BX38">
        <f>IF(ISERROR(BW38*BI38/BG38),0,(BW38*BI38/BG38))</f>
        <v>0</v>
      </c>
      <c r="BY38" s="3">
        <f>IF(Mark!BI38&lt;&gt;"",Mark!BI38,BX38)</f>
        <v>0</v>
      </c>
      <c r="BZ38">
        <f>BY38*M38</f>
        <v>0</v>
      </c>
      <c r="CC38">
        <f>IF($F38=1,BY38,0)</f>
        <v>0</v>
      </c>
      <c r="CD38">
        <f>IF(F38=1,BZ38,0)</f>
        <v>0</v>
      </c>
      <c r="CE38">
        <f>VLOOKUP(E38,Afgr,Data!$AM$3)</f>
        <v>0</v>
      </c>
      <c r="CF38">
        <f>IF(Mark!BR38&lt;&gt;"",Mark!BR38,CE38)</f>
        <v>0</v>
      </c>
      <c r="CG38">
        <f>CC38*CF38</f>
        <v>0</v>
      </c>
      <c r="CH38">
        <f>CD38*CF38</f>
        <v>0</v>
      </c>
      <c r="CJ38">
        <f>VLOOKUP($G38,Efgr,NnormKolonneEfgr1)</f>
        <v>0</v>
      </c>
      <c r="CK38">
        <f t="shared" si="0"/>
        <v>0</v>
      </c>
      <c r="CL38">
        <f>CJ38*Nniveau12*0.01</f>
        <v>0</v>
      </c>
      <c r="CM38" s="3">
        <f>IF(Mark!DM38&lt;&gt;"",Mark!DM38,CL38)</f>
        <v>0</v>
      </c>
      <c r="CN38" s="3">
        <f>$CM38*$M38</f>
        <v>0</v>
      </c>
      <c r="CP38">
        <f>IF(CS38&gt;0,0,CN38)</f>
        <v>0</v>
      </c>
      <c r="CQ38">
        <f>IF(ISERROR(CN38*HdgNTilFordeling12/NnormIaltFordel12),0,CN38*HdgNTilFordeling12/NnormIaltFordel12)</f>
        <v>0</v>
      </c>
      <c r="CR38">
        <f>IF(ISERROR($CQ38/$M38),0,$CQ38/$M38)</f>
        <v>0</v>
      </c>
      <c r="CS38">
        <f>IF(Mark!DS38&lt;&gt;"",Mark!DS38,0)</f>
        <v>0</v>
      </c>
      <c r="CT38">
        <f>$CS38*$M38</f>
        <v>0</v>
      </c>
      <c r="CU38" s="3">
        <f>IF($CS38&gt;0,$CS38,$CR38)</f>
        <v>0</v>
      </c>
      <c r="CV38" s="3">
        <f>CU38*M38</f>
        <v>0</v>
      </c>
      <c r="CX38">
        <f>UdnKrav*$CU38/100</f>
        <v>0</v>
      </c>
      <c r="CZ38">
        <f>$CU38*VLOOKUP($G38,Efgr,Data!$BG$53)</f>
        <v>0</v>
      </c>
      <c r="DA38">
        <f>UdnKrav*$CZ38/100</f>
        <v>0</v>
      </c>
      <c r="DC38">
        <f>VLOOKUP(G38,Efgr,NormudbKolonneNrEfgr1)</f>
        <v>0</v>
      </c>
      <c r="DD38" s="3">
        <f>IF(Mark!DC38&lt;&gt;"",Mark!DC38,DC38)</f>
        <v>0</v>
      </c>
      <c r="DE38">
        <f>DD38*M38</f>
        <v>0</v>
      </c>
      <c r="DF38" t="s">
        <v>37</v>
      </c>
      <c r="DG38">
        <f>DD38*Efterslaetpris</f>
        <v>0</v>
      </c>
      <c r="DH38">
        <f>DE38*Efterslaetpris</f>
        <v>0</v>
      </c>
      <c r="DI38">
        <f>VLOOKUP(G38,Efgr,Data!$AG$53)</f>
        <v>0</v>
      </c>
      <c r="DJ38">
        <f>DD38*DI38</f>
        <v>0</v>
      </c>
      <c r="DL38">
        <f>VLOOKUP($E38,Afgr,Data!$AW$3)</f>
        <v>0</v>
      </c>
      <c r="DM38">
        <f>IF(BK38="FE",$BI38*$BL38*$DL38*0.01,$BI38*100*$DR38*0.01*$DL38*0.01)</f>
        <v>0</v>
      </c>
      <c r="DN38">
        <f>IF(VLOOKUP(E38,Afgr,Data!$BO$3)=1,DM38,0)*M38</f>
        <v>0</v>
      </c>
      <c r="DO38" s="12">
        <f>IF(Nmodel12=1,(V38-S38)*VLOOKUP($E38,Afgr,Data!$AX$3),(AO38-S38)*VLOOKUP(E38,Afgr,Data!$AX$3))</f>
        <v>0</v>
      </c>
      <c r="DP38">
        <f>DL38+DO38</f>
        <v>0</v>
      </c>
      <c r="DQ38">
        <f>IF(Mark!AQ38&lt;&gt;"",Mark!AQ38,DP38)</f>
        <v>0</v>
      </c>
      <c r="DR38">
        <f>VLOOKUP(E38,Afgr,Data!$AT$3)</f>
        <v>0</v>
      </c>
      <c r="DS38">
        <f>IF($BK38="FE",$BI38*$BL38*$DQ38*0.01,$BI38*100*$DR38*0.01*DQ38*0.01)</f>
        <v>0</v>
      </c>
      <c r="DT38">
        <f>IF(VLOOKUP(E38,Afgr,Data!$BO$3)=1,DS38,0)*M38</f>
        <v>0</v>
      </c>
      <c r="DU38">
        <f>IF(ISERROR(DS38/VLOOKUP(E38,Afgr,Data!$AY$3)),0,DS38/VLOOKUP(E38,Afgr,Data!$AY$3))</f>
        <v>0</v>
      </c>
      <c r="DV38">
        <f>DU38*M38</f>
        <v>0</v>
      </c>
      <c r="DX38">
        <f>IF($BK38="FE",$BI38*$BL38*VLOOKUP($E38,Afgr,Data!$BC$3)*0.001,$BI38*100*$DR38*0.01*VLOOKUP($E38,Afgr,Data!$BC$3)*0.001)</f>
        <v>0</v>
      </c>
      <c r="DY38">
        <f>DX38*M38</f>
        <v>0</v>
      </c>
      <c r="EA38">
        <f>IF($BK38="FE",$BI38*$BL38*VLOOKUP($E38,Afgr,Data!$BF$3)*0.001,$BI38*100*$DR38*0.01*VLOOKUP($E38,Afgr,Data!$BF$3)*0.001)</f>
        <v>0</v>
      </c>
      <c r="EB38">
        <f>EA38*M38</f>
        <v>0</v>
      </c>
      <c r="ED38">
        <f>IF(ISERROR(VLOOKUP(E38,Afgr,Data!$AZ$3)*DQ38/DL38),0,VLOOKUP(E38,Afgr,Data!$AZ$3)*DQ38/DL38)</f>
        <v>0</v>
      </c>
      <c r="EE38">
        <f>VLOOKUP(E38,Afgr,Data!$AU$3)</f>
        <v>0</v>
      </c>
      <c r="EF38">
        <f>IF($F38=1,$BY38*$EE38*0.01*ED38*0.01,0)</f>
        <v>0</v>
      </c>
      <c r="EG38">
        <f>EF38/6.25</f>
        <v>0</v>
      </c>
      <c r="EH38">
        <f>EG38*M38</f>
        <v>0</v>
      </c>
      <c r="EJ38">
        <f>IF($F38=1,$BY38*$EE38*0.01*VLOOKUP($E38,Afgr,Data!$BD$3)*0.001,0)</f>
        <v>0</v>
      </c>
      <c r="EK38">
        <f>EJ38*M38</f>
        <v>0</v>
      </c>
      <c r="EM38">
        <f>IF($F38=1,$BY38*$EE38*0.01*VLOOKUP($E38,Afgr,Data!$BG$3)*0.001,0)</f>
        <v>0</v>
      </c>
      <c r="EN38">
        <f>EM38*M38</f>
        <v>0</v>
      </c>
      <c r="EP38">
        <f>VLOOKUP(G38,Efgr,Data!$AI$53)</f>
        <v>0</v>
      </c>
      <c r="EQ38">
        <f>DJ38*EP38*0.01/6.25</f>
        <v>0</v>
      </c>
      <c r="ER38">
        <f>EQ38*M38</f>
        <v>0</v>
      </c>
      <c r="ET38">
        <f>$DJ38*VLOOKUP($G38,Efgr,Data!$AJ$53)*0.001</f>
        <v>0</v>
      </c>
      <c r="EU38">
        <f>ET38*M38</f>
        <v>0</v>
      </c>
      <c r="EW38">
        <f>$DJ38*VLOOKUP($G38,Efgr,Data!$AK$53)*0.001</f>
        <v>0</v>
      </c>
      <c r="EX38">
        <f>EW38*M38</f>
        <v>0</v>
      </c>
      <c r="EZ38">
        <f>IF(VLOOKUP(E38,Afgr,Data!$DS$3)=1,DU38*VLOOKUP(E38,Afgr,(Data!$DT$3+EftervirkningUdb1))*VLOOKUP(E38,Afgr,Data!$DV$3),0)</f>
        <v>0</v>
      </c>
      <c r="FA38">
        <f>IF(VLOOKUP(E38,Afgr,Data!$DS$3)=2,VLOOKUP(E38,Afgr,Data!$DX$3),0)</f>
        <v>0</v>
      </c>
      <c r="FB38">
        <f>IF(VLOOKUP(E38,Afgr,Data!$DS$3)=3,$DU38*VLOOKUP($E38,Afgr,IF(Jordtype1&lt;5,Data!$DT$3,Data!$DU$3))*VLOOKUP($E38,Afgr,Data!$DV$3),0)</f>
        <v>0</v>
      </c>
      <c r="FC38">
        <f>IF(VLOOKUP(E38,Afgr,Data!$DS$3)=4,(1.232+0.00469*BI38*100+(0.000256*BI38*100+0.089)*60),0)</f>
        <v>0</v>
      </c>
      <c r="FD38">
        <f>$V38+IF($AY38-$BB38&gt;$V38,$AY38-$V38,0)-$BB38</f>
        <v>0</v>
      </c>
      <c r="FE38">
        <f>IF(VLOOKUP($E38,Afgr,Data!$DS$3)=5,($BI38*0.02742-$BI38*0.0001*$FD38+$BI38*0.0000001111*$FD38*$FD38),0)</f>
        <v>0</v>
      </c>
      <c r="FF38">
        <f>$CM38+IF($CX38-$DA38&gt;$CM38,$CX38-$CM38,0)-$DA38</f>
        <v>0</v>
      </c>
      <c r="FG38">
        <f>IF(VLOOKUP($G38,Efgr,Data!$BH$53)=5,($DD38*0.02742-$DD38*0.0001*$FF38+$DD38*0.0000001111*$FF38*$FF38),0)</f>
        <v>0</v>
      </c>
      <c r="FH38" s="3">
        <f>EZ38+FA38+FB38+FC38+FE38+FG38</f>
        <v>0</v>
      </c>
      <c r="FI38" s="3">
        <f>FH38*M38</f>
        <v>0</v>
      </c>
      <c r="FK38">
        <f>$V38+$CM38</f>
        <v>0</v>
      </c>
      <c r="FL38">
        <f>($AV38-$AY38)+IF($AY38&gt;$V38,$AY38-$V38,0)+($CU38-$CX38)+IF($CX38&gt;$CM38,$CX38-$CM38,0)</f>
        <v>0</v>
      </c>
      <c r="FM38">
        <f>VLOOKUP($E38,Afgr,Data!$DK$3)*VLOOKUP($E38,Afgr,Data!$AT$3)*0.01*VLOOKUP($E38,Afgr,Data!$AW$3)*0.01/6.25</f>
        <v>0</v>
      </c>
      <c r="FN38" s="4">
        <f>IF(E38&gt;1,Deposition,0)</f>
        <v>0</v>
      </c>
      <c r="FO38">
        <f>FH38</f>
        <v>0</v>
      </c>
      <c r="FP38">
        <f>SUM(FK38:FO38)</f>
        <v>0</v>
      </c>
      <c r="FQ38">
        <f>DU38+EG38+EQ38</f>
        <v>0</v>
      </c>
      <c r="FR38" s="3">
        <f>FP38-FQ38</f>
        <v>0</v>
      </c>
      <c r="FS38" s="19">
        <f>FP38*M38</f>
        <v>0</v>
      </c>
      <c r="FT38" s="19">
        <f>FQ38*M38</f>
        <v>0</v>
      </c>
      <c r="FU38" s="3">
        <f>FR38*M38</f>
        <v>0</v>
      </c>
      <c r="FW38">
        <f>IL38+IM38+LP38+LQ38</f>
        <v>0</v>
      </c>
      <c r="FX38">
        <f>IK38+LO38</f>
        <v>0</v>
      </c>
      <c r="FY38">
        <f>FW38-FX38</f>
        <v>0</v>
      </c>
      <c r="FZ38">
        <f>FY38*M38</f>
        <v>0</v>
      </c>
      <c r="GB38">
        <f>IS38+IT38+LV38+LW38</f>
        <v>0</v>
      </c>
      <c r="GC38">
        <f>IR38+LU38</f>
        <v>0</v>
      </c>
      <c r="GD38">
        <f>GB38-GC38</f>
        <v>0</v>
      </c>
      <c r="GE38">
        <f>GD38*M38</f>
        <v>0</v>
      </c>
      <c r="GG38" s="149">
        <f>IF(OR(VLOOKUP(E38,Afgr,Data!$BV$3)=1,VLOOKUP(E38,Afgr,Data!$BW$3)=1),0,NniveauDelsaedsk1)</f>
        <v>194</v>
      </c>
      <c r="GH38" s="1">
        <v>0.32550000000000001</v>
      </c>
      <c r="GI38" s="6">
        <v>0</v>
      </c>
      <c r="GJ38" s="24">
        <f>IF(($V38-BB38+$CM38-DA38)&lt;0,0,$V38-BB38+$CM38-DA38)</f>
        <v>0</v>
      </c>
      <c r="GK38" s="6">
        <f>$FO38</f>
        <v>0</v>
      </c>
      <c r="GL38" s="1">
        <v>0.25280000000000002</v>
      </c>
      <c r="GM38">
        <f>$BA38+$CZ38</f>
        <v>0</v>
      </c>
      <c r="GN38" s="1">
        <v>0.376</v>
      </c>
      <c r="GO38" s="6">
        <v>0</v>
      </c>
      <c r="GP38" s="1">
        <f>IF(SandLer1&gt;1,0.3539,1.0749)</f>
        <v>0.35389999999999999</v>
      </c>
      <c r="GQ38" s="11">
        <f>$FQ38</f>
        <v>0</v>
      </c>
      <c r="GR38" s="1">
        <v>0.19359999999999999</v>
      </c>
      <c r="GS38" s="1">
        <f>VLOOKUP($E38,Afgr,Data!$DM$3)</f>
        <v>0</v>
      </c>
      <c r="GT38" s="24">
        <f>IF($GS38&gt;1,0,(VLOOKUP($K38,Afgr,Data!$DP$3)+IF(VLOOKUP($K38,Afgr,Data!$DP$3)=0,VLOOKUP($G38,Efgr,Data!$BI$53,0))))+IF(AND($GS38=7,VLOOKUP($K38,Afgr,Data!$DQ$3)=-2),-2,0)+IF(AND($GS38=6,VLOOKUP($G38,Efgr,Data!$BI$53)=2),8,0)</f>
        <v>0</v>
      </c>
      <c r="GU38" s="6" t="e">
        <f>VLOOKUP(SUM(GS38:GT38),Nlesafgr,3)</f>
        <v>#N/A</v>
      </c>
      <c r="GV38" s="7">
        <f>VLOOKUP($B38,Afgr,Data!$DN$3)</f>
        <v>0</v>
      </c>
      <c r="GW38" s="24">
        <f>IF(GV38&gt;1,0,VLOOKUP($E38,Afgr,Data!$DO$3)+IF(VLOOKUP($E38,Afgr,Data!$DO$3)=1,0,VLOOKUP($C38,Efgr,Data!$BJ$53)))</f>
        <v>0</v>
      </c>
      <c r="GX38" s="6" t="e">
        <f>VLOOKUP(SUM(GV38:GW38),Nlesforfrugt,3)</f>
        <v>#N/A</v>
      </c>
      <c r="GY38" s="1" t="e">
        <f>GH38*GG38+GL38*(GJ38+GK38)+GN38*GM38+GP38*GO38-GR38*GQ38+GU38+GX38</f>
        <v>#N/A</v>
      </c>
      <c r="GZ38" s="1">
        <f>Nlesafskaering</f>
        <v>59.6</v>
      </c>
      <c r="HA38" s="1">
        <f>Teknologi1</f>
        <v>2455</v>
      </c>
      <c r="HB38" s="6">
        <v>2001</v>
      </c>
      <c r="HC38" s="1">
        <f>Teknologi2</f>
        <v>1962.2</v>
      </c>
      <c r="HD38" s="1">
        <f>Tandel</f>
        <v>0.54659999999999997</v>
      </c>
      <c r="HE38" s="1" t="e">
        <f>IF(OR(GY38&gt;0,GY38=0),GZ38+HA38/(HB38-HC38),GZ38+HA38/(HB38-HC38)+HD38*GY38)</f>
        <v>#N/A</v>
      </c>
      <c r="HF38" s="1" t="e">
        <f>IF(GY38&gt;0,GY38,0.001)</f>
        <v>#N/A</v>
      </c>
      <c r="HG38" s="1">
        <v>1.5020000000000001E-3</v>
      </c>
      <c r="HH38" s="24">
        <f>IF(E38=1,0,VLOOKUP(Postnr,AfstromData,VLOOKUP($E38,Afgr,Data!$DL$3)+IF(Jordtype1&lt;7,Jordtype1,6),FALSE)-VLOOKUP(G38,Efgr,Data!$AA$53))</f>
        <v>0</v>
      </c>
      <c r="HI38" s="1">
        <v>5.5400000000000002E-4</v>
      </c>
      <c r="HJ38" s="24">
        <f>IF(E38=1,0,VLOOKUP(Postnr,AfstromData,VLOOKUP($B38,Afgr,Data!$DL$3)+IF(Jordtype1&lt;7,Jordtype1,6),FALSE)-VLOOKUP(C38,Efgr,Data!$AA$53))</f>
        <v>0</v>
      </c>
      <c r="HK38" s="1">
        <v>0.10639999999999999</v>
      </c>
      <c r="HL38" s="6">
        <f>VLOOKUP(Jordtype1,Jordtype,Data!$W$112)</f>
        <v>3</v>
      </c>
      <c r="HM38" s="1">
        <v>3.2500000000000001E-2</v>
      </c>
      <c r="HN38" s="6">
        <f>VLOOKUP(Jordtype1,Jordtype,Data!$X$112)</f>
        <v>12</v>
      </c>
      <c r="HO38" s="1">
        <v>1.2453000000000001</v>
      </c>
      <c r="HP38" s="1">
        <f>IF(VLOOKUP(G38,Efgr,Data!$AO$53)=1,MlafgrNUdvask,0)</f>
        <v>0</v>
      </c>
      <c r="HQ38" s="20">
        <f>IF(ISERROR((HE38+POWER(HF38,1.2))*(1-EXP(-HG38*HH38))*EXP(-HI38*HJ38)*EXP(-HK38*HL38)*EXP(-HM38*HN38)*HO38),0,(HE38+POWER(HF38,1.2))*(1-EXP(-HG38*HH38))*EXP(-HI38*HJ38)*EXP(-HK38*HL38)*EXP(-HM38*HN38)*HO38+HP38)</f>
        <v>0</v>
      </c>
      <c r="HR38">
        <f>HQ38*M38</f>
        <v>0</v>
      </c>
      <c r="HS38">
        <f>HQ38*(100-Retention1)*0.01</f>
        <v>0</v>
      </c>
      <c r="HT38">
        <f>HS38*M38</f>
        <v>0</v>
      </c>
      <c r="HU38" s="2">
        <f>HH38*10000</f>
        <v>0</v>
      </c>
      <c r="HV38" s="2">
        <f>HU38*M38</f>
        <v>0</v>
      </c>
      <c r="HW38">
        <f>IF(ISERROR(HQ38*1000*1000/HU38),0,HQ38*1000*1000/HU38)</f>
        <v>0</v>
      </c>
      <c r="HY38">
        <f>BP38+BT38+CG38+DG38</f>
        <v>0</v>
      </c>
      <c r="IB38">
        <f>VLOOKUP(E38,Afgr,Data!$AP$3)*UdsaedJust</f>
        <v>0</v>
      </c>
      <c r="IC38" s="3">
        <f>IF(Mark!EG38&lt;&gt;"",Mark!EG38,Regn!IB38)</f>
        <v>0</v>
      </c>
      <c r="ID38" s="3">
        <f>IC38*M38</f>
        <v>0</v>
      </c>
      <c r="IF38" s="3">
        <f>IF(HdgVaerdi=1,($V38-$AY38)*Npris,$V38*Npris)</f>
        <v>0</v>
      </c>
      <c r="IG38" s="3">
        <f>IF38*M38</f>
        <v>0</v>
      </c>
      <c r="II38">
        <f>VLOOKUP($E38,Afgr,Data!$BA$3)</f>
        <v>0</v>
      </c>
      <c r="IJ38">
        <f>VLOOKUP($E38,Afgr,Data!$BB$3)</f>
        <v>0</v>
      </c>
      <c r="IK38">
        <f>$DX38+$EJ38</f>
        <v>0</v>
      </c>
      <c r="IL38">
        <f>IF(HdgDyreart=2,$AV38*NPforholdSvin,$AV38*NPforholdKvaeg)</f>
        <v>0</v>
      </c>
      <c r="IM38">
        <f>II38+IF($IJ38+$IK38&gt;$IL38,($IJ38+$IK38-$IL38),0)</f>
        <v>0</v>
      </c>
      <c r="IN38" s="3">
        <f>IF(HdgVaerdi=1,($II38*Ppris+IF($IJ38+$IK38&gt;$IL38,($IJ38+$IK38-$IL38)*Ppris,0)),($II38+$IJ38+$IK38)*Ppris)</f>
        <v>0</v>
      </c>
      <c r="IO38" s="3">
        <f>IN38*M38</f>
        <v>0</v>
      </c>
      <c r="IQ38">
        <f>IF(AND(E38&gt;1,OR(Jordtype1=1,Jordtype1=3,Markvand1=2)),Kudvask,0)</f>
        <v>0</v>
      </c>
      <c r="IR38">
        <f>$EA38+$EM38</f>
        <v>0</v>
      </c>
      <c r="IS38">
        <f>IF(HdgDyreart=2,$AV38*NKforholdSvin,$AV38*NkforholdKvaeg)</f>
        <v>0</v>
      </c>
      <c r="IT38">
        <f>IF($IQ38+$IR38&gt;$IS38,($IQ38+$IR38-$IS38),0)</f>
        <v>0</v>
      </c>
      <c r="IU38" s="3">
        <f>IF(HdgVaerdi=1,IF($IQ38+$IR38&gt;$IS38,($IQ38+$IR38-$IS38)*Kpris,0),($IQ38+$IR38)*Kpris)</f>
        <v>0</v>
      </c>
      <c r="IV38" s="3">
        <f>IU38*M38</f>
        <v>0</v>
      </c>
      <c r="IX38">
        <f>IF38+IN38+IU38</f>
        <v>0</v>
      </c>
      <c r="IY38" s="3">
        <f>IF(Mark!EM38&lt;&gt;"",Mark!EM38,$IX38)</f>
        <v>0</v>
      </c>
      <c r="IZ38" s="3">
        <f>IY38*M38</f>
        <v>0</v>
      </c>
      <c r="JB38">
        <f>VLOOKUP(E38,Afgr,Data!$AQ$3)*PlantevJust</f>
        <v>0</v>
      </c>
      <c r="JC38" s="3">
        <f>IF(Mark!ES38&lt;&gt;"",Mark!ES38,JB38)</f>
        <v>0</v>
      </c>
      <c r="JD38" s="3">
        <f>JC38*M38</f>
        <v>0</v>
      </c>
      <c r="JF38">
        <f>VLOOKUP(E38,Afgr,Data!$AR$3)+BI38*VLOOKUP(E38,Afgr,Data!$BH$3)</f>
        <v>0</v>
      </c>
      <c r="JG38" s="3">
        <f>IF(Mark!EY38&lt;&gt;"",Mark!EY38,JF38)</f>
        <v>0</v>
      </c>
      <c r="JH38">
        <f>JG38*M38</f>
        <v>0</v>
      </c>
      <c r="JJ38">
        <f>IC38+IY38+JC38+JG38</f>
        <v>0</v>
      </c>
      <c r="JL38">
        <f>IF(VLOOKUP(E38,Afgr,Data!$BY$3)&gt;0,Data!$K$259*PlojJB1,0)</f>
        <v>0</v>
      </c>
      <c r="JM38">
        <f>IF(VLOOKUP(E38,Afgr,Data!$BZ$3)&gt;0,Data!$K$260*PlojJB1,0)</f>
        <v>0</v>
      </c>
      <c r="JN38">
        <f>(JL38+JM38)*MaskJust</f>
        <v>0</v>
      </c>
      <c r="JO38" s="3">
        <f>IF(Mark!FE38&lt;&gt;"",Mark!FE38,JN38)</f>
        <v>0</v>
      </c>
      <c r="JP38" s="3">
        <f>JO38*M38</f>
        <v>0</v>
      </c>
      <c r="JR38">
        <f>IF(VLOOKUP(E38,Afgr,Data!$CA$3)&gt;0,VLOOKUP(E38,Afgr,Data!$CA$3)*Data!$K$261*SaaJB1,0)</f>
        <v>0</v>
      </c>
      <c r="JS38">
        <f>IF(VLOOKUP(E38,Afgr,Data!$CC$3)&gt;0,Data!$K$262*SaaJB1,0)</f>
        <v>0</v>
      </c>
      <c r="JT38">
        <f>IF(VLOOKUP(E38,Afgr,Data!$CD$3)&gt;0,VLOOKUP(E38,Afgr,Data!$CD$3)*Data!$K$263*SaaJB1,0)</f>
        <v>0</v>
      </c>
      <c r="JU38">
        <f>IF(VLOOKUP(E38,Afgr,Data!$CE$3)&gt;0,Data!$K$264*SaaJB1,0)</f>
        <v>0</v>
      </c>
      <c r="JV38">
        <f>IF(VLOOKUP(E38,Afgr,Data!$CF$3)&gt;0,Data!$K$265*SaaJB1,0)</f>
        <v>0</v>
      </c>
      <c r="JW38">
        <f>IF(VLOOKUP(E38,Afgr,Data!$CV$3)&gt;0,Data!$K$266,0)</f>
        <v>0</v>
      </c>
      <c r="JX38">
        <f>IF(VLOOKUP(E38,Afgr,Data!$CG$3)&gt;0,Data!$K$267*SaaJB1,0)</f>
        <v>0</v>
      </c>
      <c r="JY38">
        <f>(JR38+JS38+JT38+JU38+JV38+JW38+JX38)*MaskJust</f>
        <v>0</v>
      </c>
      <c r="JZ38" s="3">
        <f>IF(Mark!FK38&lt;&gt;"",Mark!FK38,JY38)</f>
        <v>0</v>
      </c>
      <c r="KA38" s="3">
        <f>JZ38*M38</f>
        <v>0</v>
      </c>
      <c r="KC38">
        <f>IF(VLOOKUP(E38,Afgr,Data!$CJ$3)&gt;0,VLOOKUP(E38,Afgr,Data!$CJ$3)*Data!$K$268*SaaJB1,0)*MaskJust</f>
        <v>0</v>
      </c>
      <c r="KD38" s="3">
        <f>IF(Mark!FQ38&lt;&gt;"",Mark!FQ38,KC38)</f>
        <v>0</v>
      </c>
      <c r="KE38" s="3">
        <f>KD38*M38</f>
        <v>0</v>
      </c>
      <c r="KG38">
        <f>IF(VLOOKUP(E38,Afgr,Data!$CI$3)&gt;0,VLOOKUP(E38,Afgr,Data!$CI$3)*Data!$K$269,0)*MaskJust</f>
        <v>0</v>
      </c>
      <c r="KH38" s="3">
        <f>IF(Mark!FW38&lt;&gt;"",Mark!FW38,KG38)</f>
        <v>0</v>
      </c>
      <c r="KI38" s="3">
        <f>KH38*M38</f>
        <v>0</v>
      </c>
      <c r="KK38">
        <f>IF(Markvand1=2,VLOOKUP($E38,Afgr,Data!$CY$3),0)</f>
        <v>0</v>
      </c>
      <c r="KL38">
        <f>IF(Mark!GC38&lt;&gt;"",Mark!GC38,$KK38)</f>
        <v>0</v>
      </c>
      <c r="KM38">
        <f>IF(AND(E38&gt;1,Markvand1=2),Vandmaskin+$KL38*Flytning/mmprgang+$KL38*Prisprmm,0)</f>
        <v>0</v>
      </c>
      <c r="KN38" s="3">
        <f>IF(Mark!GI38&lt;&gt;"",Mark!GI38,$KM38)</f>
        <v>0</v>
      </c>
      <c r="KO38" s="3">
        <f>KN38*M38</f>
        <v>0</v>
      </c>
      <c r="KQ38">
        <f>IF(VLOOKUP($E38,Afgr,Data!$CK$3)&gt;0,((1+Regn!$BI38/VLOOKUP($E38,Afgr,Data!$CK$3))/2)*VLOOKUP($E38,Afgr,Data!$CL$3)*VLOOKUP($E38,Afgr,Data!$CN$3)+VLOOKUP($E38,Afgr,Data!$CM$3),0)</f>
        <v>0</v>
      </c>
      <c r="KR38">
        <f>IF(VLOOKUP($E38,Afgr,Data!$CK$3)&gt;0,IF(AND($F38=2,$BW38&gt;0),Data!$K$271,0),0)</f>
        <v>0</v>
      </c>
      <c r="KS38">
        <f>IF(VLOOKUP($E38,Afgr,Data!$CK$3)&gt;0,(Regn!$BI38/VLOOKUP($E38,Afgr,Data!$CK$3))*VLOOKUP($E38,Afgr,Data!$CO$3)*VLOOKUP($E38,Afgr,Data!$CN$3),0)</f>
        <v>0</v>
      </c>
      <c r="KT38">
        <f>(KQ38+KR38+KS38)*MaskJust</f>
        <v>0</v>
      </c>
      <c r="KU38" s="3">
        <f>IF(Mark!GO38&lt;&gt;"",Mark!GO38,KT38)</f>
        <v>0</v>
      </c>
      <c r="KV38" s="3">
        <f>KU38*M38</f>
        <v>0</v>
      </c>
      <c r="KW38" s="3"/>
      <c r="KX38">
        <f>IF(AND($F38=1,VLOOKUP($E38,Afgr,Data!$CP$3)&gt;0),((1+$BY38/VLOOKUP($E38,Afgr,Data!$CP$3))/2)*VLOOKUP($E38,Afgr,Data!$CQ$3),0)</f>
        <v>0</v>
      </c>
      <c r="KY38">
        <f>IF(AND($F38=1,VLOOKUP($E38,Afgr,Data!$CP$3)&gt;0),($BY38/VLOOKUP($E38,Afgr,Data!$CP$3))*VLOOKUP($E38,Afgr,Data!$CR$3),0)</f>
        <v>0</v>
      </c>
      <c r="KZ38">
        <f>(KX38+KY38)*MaskJust</f>
        <v>0</v>
      </c>
      <c r="LA38" s="3">
        <f>IF(Mark!GU38&lt;&gt;"",Mark!GU38,KZ38)</f>
        <v>0</v>
      </c>
      <c r="LB38" s="3">
        <f>LA38*M38</f>
        <v>0</v>
      </c>
      <c r="LD38">
        <f>$BI38*VLOOKUP($E38,Afgr,Data!$CS$3)*IF($I38=1,VLOOKUP($E38,Afgr,Data!$CT$3),IF($I38=2,VLOOKUP($E38,Afgr,Data!$CU$3),0))</f>
        <v>0</v>
      </c>
      <c r="LE38" s="3">
        <f>IF(Mark!HD38&lt;&gt;"",Mark!HD38,LD38)</f>
        <v>0</v>
      </c>
      <c r="LF38" s="3">
        <f>LE38*M38</f>
        <v>0</v>
      </c>
      <c r="LH38">
        <f>VLOOKUP($G38,Efgr,Data!$AC$53)*UdsaedJust</f>
        <v>0</v>
      </c>
      <c r="LI38" s="3">
        <f>IF(Mark!$HL38&lt;&gt;"",Mark!$HL38,LH38)</f>
        <v>0</v>
      </c>
      <c r="LJ38" s="3">
        <f>LI38*M38</f>
        <v>0</v>
      </c>
      <c r="LL38" s="3">
        <f>IF(HdgVaerdi=1,($CM38-$CX38)*Npris,$CM38*Npris)</f>
        <v>0</v>
      </c>
      <c r="LM38" s="3">
        <f>LL38*M38</f>
        <v>0</v>
      </c>
      <c r="LO38">
        <f>$ET38</f>
        <v>0</v>
      </c>
      <c r="LP38">
        <f>IF(HdgDyreart=2,$CU38*NPforholdSvin,$CU38*NPforholdKvaeg)</f>
        <v>0</v>
      </c>
      <c r="LQ38">
        <f>IF($LO38&gt;$LP38,($LO38-$LP38),0)</f>
        <v>0</v>
      </c>
      <c r="LR38" s="3">
        <f>IF(HdgVaerdi=1,IF($LO38&gt;$LP38,($LO38-$LP38)*Ppris,0),$LO38*Ppris)</f>
        <v>0</v>
      </c>
      <c r="LS38" s="3">
        <f>LR38*M38</f>
        <v>0</v>
      </c>
      <c r="LU38">
        <f>$EW38</f>
        <v>0</v>
      </c>
      <c r="LV38">
        <f>IF(HdgDyreart=2,$CU38*NKforholdSvin,$CU38*NkforholdKvaeg)</f>
        <v>0</v>
      </c>
      <c r="LW38">
        <f>IF($LU38&gt;$LV38,($LU38-$LV38),0)</f>
        <v>0</v>
      </c>
      <c r="LX38" s="3">
        <f>IF(HdgVaerdi=1,IF($LU38&gt;$LV38,($LU38-$LV38)*Ppris,0),$LU38*Ppris)</f>
        <v>0</v>
      </c>
      <c r="LY38" s="3">
        <f>LX38*M38</f>
        <v>0</v>
      </c>
      <c r="MA38">
        <f>LL38+LR38+LX38</f>
        <v>0</v>
      </c>
      <c r="MB38" s="3">
        <f>IF(Mark!HR38&lt;&gt;"",Mark!HR38,$MA38)</f>
        <v>0</v>
      </c>
      <c r="MC38" s="3">
        <f>MB38*M38</f>
        <v>0</v>
      </c>
      <c r="ME38">
        <f>VLOOKUP($G38,Efgr,Data!$AE$53)*PlantevJust</f>
        <v>0</v>
      </c>
      <c r="MF38" s="3">
        <f>IF(Mark!HX38&lt;&gt;"",Mark!HX38,ME38)</f>
        <v>0</v>
      </c>
      <c r="MG38" s="3">
        <f>MF38*M38</f>
        <v>0</v>
      </c>
      <c r="MI38">
        <f>VLOOKUP($G38,Efgr,Data!$AF$53)+$DD38*VLOOKUP($G38,Efgr,Data!$AL$53)</f>
        <v>0</v>
      </c>
      <c r="MJ38" s="3">
        <f>IF(Mark!ID38&lt;&gt;"",Mark!ID38,MI38)</f>
        <v>0</v>
      </c>
      <c r="MK38" s="3">
        <f>MJ38*M38</f>
        <v>0</v>
      </c>
      <c r="MM38">
        <f>LI38+MB38+MF38+MJ38</f>
        <v>0</v>
      </c>
      <c r="MO38">
        <f>VLOOKUP($G38,Efgr,Data!$AU$53)*SaaJB1*MaskJust</f>
        <v>0</v>
      </c>
      <c r="MP38" s="3">
        <f>IF(Mark!IJ38&lt;&gt;"",Mark!IJ38,MO38)</f>
        <v>0</v>
      </c>
      <c r="MQ38" s="3">
        <f>MP38*M38</f>
        <v>0</v>
      </c>
      <c r="MS38">
        <f>VLOOKUP($G38,Efgr,Data!$AW$53)*Data!$K$268*SaaJB1*MaskJust</f>
        <v>0</v>
      </c>
      <c r="MT38" s="3">
        <f>IF(Mark!IP38&lt;&gt;"",Mark!IP38,MS38)</f>
        <v>0</v>
      </c>
      <c r="MU38" s="3">
        <f>MT38*M38</f>
        <v>0</v>
      </c>
      <c r="MW38">
        <f>VLOOKUP($G38,Efgr,Data!$AV$53)*Data!$K$269*MaskJust</f>
        <v>0</v>
      </c>
      <c r="MX38" s="3">
        <f>IF(Mark!IV38&lt;&gt;"",Mark!IV38,MW38)</f>
        <v>0</v>
      </c>
      <c r="MY38" s="3">
        <f>MX38*M38</f>
        <v>0</v>
      </c>
      <c r="NA38">
        <f>IF(Markvand1=2,VLOOKUP($G38,Efgr,Data!$BC$53),0)</f>
        <v>0</v>
      </c>
      <c r="NB38">
        <f>IF(Mark!JB38&lt;&gt;"",Mark!JB38,$NA38)</f>
        <v>0</v>
      </c>
      <c r="NC38">
        <f>IF(Markvand1=2,$NB38*Flytning/mmprgang+$NB38*Prisprmm,0)</f>
        <v>0</v>
      </c>
      <c r="ND38" s="3">
        <f>IF(Mark!JH38&lt;&gt;"",Mark!JH38,$NC38)</f>
        <v>0</v>
      </c>
      <c r="NE38" s="3">
        <f>ND38*M38</f>
        <v>0</v>
      </c>
      <c r="NG38">
        <f>IF(VLOOKUP($G38,Efgr,Data!$AX$53)&gt;0,((1+Regn!DD38/VLOOKUP($G38,Efgr,Data!$AX$53))/2)*VLOOKUP($G38,Efgr,Data!$AY$53)*VLOOKUP($G38,Efgr,Data!$BA$53)+VLOOKUP($G38,Efgr,Data!$AZ$53),0)</f>
        <v>0</v>
      </c>
      <c r="NH38">
        <f>IF(VLOOKUP($G38,Efgr,Data!$AX$53)&gt;0,($DD38/VLOOKUP($G38,Efgr,Data!$AX$53))*VLOOKUP($G38,Efgr,Data!$BB$53)*VLOOKUP($G38,Efgr,Data!$BA$53),0)</f>
        <v>0</v>
      </c>
      <c r="NI38">
        <f>(NG38+NH38)*MaskJust</f>
        <v>0</v>
      </c>
      <c r="NJ38" s="3">
        <f>IF(Mark!JN38&lt;&gt;"",Mark!JN38,NI38)</f>
        <v>0</v>
      </c>
      <c r="NK38" s="3">
        <f>NJ38*M38</f>
        <v>0</v>
      </c>
      <c r="NM38">
        <f>IF($H38=2,Data!$K$304,IF($H38=3,Data!$K$305,0))*MaskJust</f>
        <v>0</v>
      </c>
      <c r="NN38" s="3">
        <f>IF(Mark!JT38&lt;&gt;"",Mark!JT38,NM38)</f>
        <v>0</v>
      </c>
      <c r="NO38" s="3">
        <f>NN38*M38</f>
        <v>0</v>
      </c>
      <c r="NQ38">
        <f>HY38</f>
        <v>0</v>
      </c>
      <c r="NR38">
        <f>JJ38+MM38</f>
        <v>0</v>
      </c>
      <c r="NS38">
        <f>NQ38-NR38</f>
        <v>0</v>
      </c>
      <c r="NT38">
        <f>NS38*M38</f>
        <v>0</v>
      </c>
      <c r="NW38">
        <f>VLOOKUP($B38,Afgr,Data!$BP$3)+VLOOKUP($C38,Efgr,Data!$AM$53)</f>
        <v>0</v>
      </c>
      <c r="NX38" s="3">
        <f>NW38*M38</f>
        <v>0</v>
      </c>
      <c r="NY38">
        <f>VLOOKUP($E38,Afgr,Data!$BP$3)+VLOOKUP($G38,Efgr,Data!$AM$53)</f>
        <v>0</v>
      </c>
      <c r="NZ38" s="3">
        <f>NY38*M38</f>
        <v>0</v>
      </c>
      <c r="OB38">
        <f>VLOOKUP($C38,Efgr,Data!$AN$53)</f>
        <v>0</v>
      </c>
      <c r="OC38">
        <f>VLOOKUP($B38,Afgr,Data!$BQ$3)</f>
        <v>0</v>
      </c>
      <c r="OD38">
        <f>VLOOKUP($E38,Afgr,Data!$BR$3)</f>
        <v>1</v>
      </c>
      <c r="OE38">
        <f>OB38*OC38*OD38</f>
        <v>0</v>
      </c>
      <c r="OF38" s="3">
        <f>OE38*M38</f>
        <v>0</v>
      </c>
      <c r="OG38" s="3">
        <f>IF(D38,1,0)*OF38</f>
        <v>0</v>
      </c>
      <c r="OI38">
        <f>VLOOKUP($G38,Efgr,Data!$AN$53)</f>
        <v>0</v>
      </c>
      <c r="OJ38">
        <f>VLOOKUP($E38,Afgr,Data!$BQ$3)</f>
        <v>0</v>
      </c>
      <c r="OK38">
        <f>VLOOKUP($K38,Afgr,Data!$BR$3)</f>
        <v>1</v>
      </c>
      <c r="OL38">
        <f>OI38*OJ38*OK38</f>
        <v>0</v>
      </c>
      <c r="OM38" s="3">
        <f>OL38*M38</f>
        <v>0</v>
      </c>
      <c r="OO38">
        <f>VLOOKUP($G38,Efgr,Data!$AO$53)</f>
        <v>0</v>
      </c>
      <c r="OP38">
        <f>VLOOKUP($B38,Afgr,Data!$BQ$3)</f>
        <v>0</v>
      </c>
      <c r="OQ38">
        <f>VLOOKUP($E38,Afgr,Data!$BS$3)</f>
        <v>0</v>
      </c>
      <c r="OR38" s="3">
        <f>OO38*OP38*OQ38*$M38</f>
        <v>0</v>
      </c>
      <c r="OT38">
        <f>VLOOKUP($G38,Efgr,Data!$AO$53)</f>
        <v>0</v>
      </c>
      <c r="OU38">
        <f>VLOOKUP($E38,Afgr,Data!$BQ$3)</f>
        <v>0</v>
      </c>
      <c r="OV38">
        <f>VLOOKUP($K38,Afgr,Data!$BS$3)</f>
        <v>0</v>
      </c>
      <c r="OW38" s="3">
        <f>OT38*OU38*OV38*$M38</f>
        <v>0</v>
      </c>
      <c r="OX38" s="3"/>
      <c r="OY38" s="3">
        <f>VLOOKUP($B38,Afgr,Data!$BU$3)</f>
        <v>0</v>
      </c>
      <c r="OZ38" s="3">
        <f>OY38*M38</f>
        <v>0</v>
      </c>
      <c r="PA38" s="3">
        <f>VLOOKUP($E38,Afgr,Data!$BU$3)</f>
        <v>0</v>
      </c>
      <c r="PB38" s="3">
        <f>PA38*M38</f>
        <v>0</v>
      </c>
      <c r="PD38">
        <f>VLOOKUP(E38,Afgr,Data!$BX$3)+VLOOKUP(G38,Efgr,Data!$AQ$53)</f>
        <v>0</v>
      </c>
      <c r="PE38">
        <f>IF(PD38&gt;0,M38,0)</f>
        <v>0</v>
      </c>
      <c r="PG38">
        <f>VLOOKUP($B38,Afgr,Data!$BT$3)</f>
        <v>0</v>
      </c>
      <c r="PH38" s="3">
        <f>PG38*M38</f>
        <v>0</v>
      </c>
      <c r="PI38">
        <f>VLOOKUP($E38,Afgr,Data!$BT$3)</f>
        <v>0</v>
      </c>
      <c r="PJ38" s="3">
        <f>PI38*M38</f>
        <v>0</v>
      </c>
      <c r="PL38">
        <f>VLOOKUP($E38,Afgr,Data!$BV$3)</f>
        <v>0</v>
      </c>
      <c r="PM38">
        <f>PL38*M38</f>
        <v>0</v>
      </c>
      <c r="PO38">
        <f>VLOOKUP($E38,Afgr,Data!$BW$3)</f>
        <v>0</v>
      </c>
      <c r="PP38">
        <f>PO38*M38</f>
        <v>0</v>
      </c>
      <c r="PR38">
        <f>BI38*IF(VLOOKUP($E38,Afgr,Data!$BJ$3)&gt;0,1,0)</f>
        <v>0</v>
      </c>
      <c r="PS38">
        <f>PR38*M38</f>
        <v>0</v>
      </c>
      <c r="PU38">
        <f>BI38*VLOOKUP(E38,Afgr,Data!$BK$3)</f>
        <v>0</v>
      </c>
      <c r="PV38">
        <f>M38*PU38</f>
        <v>0</v>
      </c>
      <c r="PW38">
        <f>$BI38*VLOOKUP($E38,Afgr,Data!$BL$3)+$DD38*VLOOKUP($G38,Efgr,Data!$AP$53)</f>
        <v>0</v>
      </c>
      <c r="PX38">
        <f>PW38*M38</f>
        <v>0</v>
      </c>
      <c r="PY38">
        <f>$BI38*VLOOKUP($E38,Afgr,Data!$BM$3)</f>
        <v>0</v>
      </c>
      <c r="PZ38">
        <f>PY38*M38</f>
        <v>0</v>
      </c>
      <c r="QA38">
        <f>$BI38*VLOOKUP($E38,Afgr,Data!$BN$3)</f>
        <v>0</v>
      </c>
      <c r="QB38">
        <f>QA38*M38</f>
        <v>0</v>
      </c>
      <c r="QE38">
        <f>IF(VLOOKUP($E38,Afgr,Data!$DA$3)="Vårbyg",$BJ38,0)*VLOOKUP($E38,Afgr,Data!$BJ$3)</f>
        <v>0</v>
      </c>
      <c r="QF38">
        <f>IF(VLOOKUP($E38,Afgr,Data!$DA$3)="Vinterbyg",$BJ38,0)*VLOOKUP($E38,Afgr,Data!$BJ$3)</f>
        <v>0</v>
      </c>
      <c r="QG38">
        <f>IF(VLOOKUP($E38,Afgr,Data!$DA$3)="Havre",$BJ38,0)*VLOOKUP($E38,Afgr,Data!$BJ$3)</f>
        <v>0</v>
      </c>
      <c r="QH38">
        <f>IF(VLOOKUP($E38,Afgr,Data!$DA$3)="Hvede",$BJ38,0)*VLOOKUP($E38,Afgr,Data!$BJ$3)</f>
        <v>0</v>
      </c>
      <c r="QI38">
        <f>IF(VLOOKUP($E38,Afgr,Data!$DA$3)="Triticale",$BJ38,0)*VLOOKUP($E38,Afgr,Data!$BJ$3)</f>
        <v>0</v>
      </c>
      <c r="QJ38">
        <f>IF(VLOOKUP($E38,Afgr,Data!$DA$3)="Rug",$BJ38,0)*VLOOKUP($E38,Afgr,Data!$BJ$3)</f>
        <v>0</v>
      </c>
      <c r="QK38">
        <f>IF(VLOOKUP($E38,Afgr,Data!$DA$3)="Majs",$BJ38,0)*VLOOKUP($E38,Afgr,Data!$BJ$3)</f>
        <v>0</v>
      </c>
      <c r="QN38">
        <f>IF(OI38+OO38&gt;0,1,0)</f>
        <v>0</v>
      </c>
      <c r="QO38">
        <f>QN38*LJ38</f>
        <v>0</v>
      </c>
      <c r="QP38">
        <f>QN38*MG38</f>
        <v>0</v>
      </c>
      <c r="QQ38">
        <f>MQ38</f>
        <v>0</v>
      </c>
      <c r="QR38">
        <f>QN38*NO38</f>
        <v>0</v>
      </c>
    </row>
    <row r="39" spans="1:460" x14ac:dyDescent="0.25">
      <c r="GG39" s="12"/>
    </row>
    <row r="40" spans="1:460" x14ac:dyDescent="0.25">
      <c r="A40">
        <v>4</v>
      </c>
      <c r="B40">
        <v>1</v>
      </c>
      <c r="C40">
        <v>1</v>
      </c>
      <c r="D40" t="b">
        <v>0</v>
      </c>
      <c r="E40">
        <v>1</v>
      </c>
      <c r="F40">
        <v>1</v>
      </c>
      <c r="G40">
        <v>1</v>
      </c>
      <c r="H40">
        <v>1</v>
      </c>
      <c r="I40">
        <v>1</v>
      </c>
      <c r="K40">
        <v>1</v>
      </c>
      <c r="M40">
        <f>IF(ISERROR(N40*Areal1/$N$50),0,N40*Areal1/$N$50)</f>
        <v>0</v>
      </c>
      <c r="N40">
        <f>Mark!Z40</f>
        <v>0</v>
      </c>
      <c r="P40">
        <f>VLOOKUP($E40,Afgr,NnormKolonneNr1)</f>
        <v>0</v>
      </c>
      <c r="Q40">
        <f>VLOOKUP($B40,Afgr,Data!$AI$3)*VLOOKUP(E40,Afgr,Data!$AJ$3)</f>
        <v>0</v>
      </c>
      <c r="R40">
        <f>IF($D40,0,VLOOKUP($C40,Efgr,(Data!$W$53+$G$28-1)))</f>
        <v>0</v>
      </c>
      <c r="S40">
        <f>P40-Q40-R40</f>
        <v>0</v>
      </c>
      <c r="T40">
        <f>S40*M40</f>
        <v>0</v>
      </c>
      <c r="U40">
        <f>IF(Nmodel12=1,S40*Nniveau12*0.01,AO40)</f>
        <v>0</v>
      </c>
      <c r="V40" s="3">
        <f>IF(Mark!CI40&lt;&gt;"",Mark!CI40,U40)</f>
        <v>0</v>
      </c>
      <c r="W40" s="3">
        <f>V40*M40</f>
        <v>0</v>
      </c>
      <c r="Y40">
        <f>S40/NoptFaktor</f>
        <v>0</v>
      </c>
      <c r="Z40" s="3">
        <f>IF(Mark!BZ40&lt;&gt;"",Mark!BZ40,Y40)</f>
        <v>0</v>
      </c>
      <c r="AB40">
        <f>VLOOKUP($E40,Afgr,Data!$DE$3)</f>
        <v>0</v>
      </c>
      <c r="AC40">
        <f>VLOOKUP($E40,Afgr,Data!$DD$3)</f>
        <v>0</v>
      </c>
      <c r="AD40">
        <f>VLOOKUP($E40,Afgr,Data!$DC$3)</f>
        <v>0</v>
      </c>
      <c r="AE40">
        <f>IF(ISERROR($Z40+(-PrisN/$AD40-$AB40)/(2*$AC40)),0,($Z40+(-PrisN/$AD40-$AB40)/(2*$AC40)))</f>
        <v>0</v>
      </c>
      <c r="AF40">
        <f>($BD40+$BE40+$BF40)*1.03333</f>
        <v>0</v>
      </c>
      <c r="AG40">
        <f>$AF40-($AB40*($AE40-$Z40)+$AC40*($AE40-$Z40)^2)</f>
        <v>0</v>
      </c>
      <c r="AH40">
        <f>IF(Nmodel12=1,$AB40*($AE40-$S40)+$AC40*($AE40-$S40)^2,$AB40*($AE40-$AO40)+$AC40*($AE40-$AO40)^2)</f>
        <v>0</v>
      </c>
      <c r="AI40">
        <f>IF(Nmodel12=1,$AB40*($AE40-$V40)+$AC40*($AE40-$V40)^2,$AB40*($AE40-AO40)+$AC40*($AE40-AO40)^2)</f>
        <v>0</v>
      </c>
      <c r="AJ40">
        <f>AG40+AH40-BG40</f>
        <v>0</v>
      </c>
      <c r="AK40">
        <f>AG40+AI40-AJ40</f>
        <v>0</v>
      </c>
      <c r="AM40">
        <f>VLOOKUP(E40,Afgr,Data!$DF$3+SandLer1)</f>
        <v>0</v>
      </c>
      <c r="AN40">
        <f>IF(ISERROR(((-(PrisN+Pantafgift)+AM40*Pantfaktor*Pantafgift)/AD40-AB40)/(2*AC40)),0,((-(PrisN+Pantafgift)+AM40*Pantfaktor*Pantafgift)/AD40-AB40)/(2*AC40))</f>
        <v>0</v>
      </c>
      <c r="AO40">
        <f>AE40-AN40</f>
        <v>0</v>
      </c>
      <c r="AQ40">
        <f>IF(AT40&gt;0,0,W40)</f>
        <v>0</v>
      </c>
      <c r="AR40">
        <f>IF(ISERROR(W40*HdgNTilFordeling12/NnormIaltFordel12),0,W40*HdgNTilFordeling12/NnormIaltFordel12)</f>
        <v>0</v>
      </c>
      <c r="AS40">
        <f>IF(ISERROR($AR40/$M40),0,$AR40/$M40)</f>
        <v>0</v>
      </c>
      <c r="AT40">
        <f>IF(Mark!CO40&lt;&gt;"",Mark!CO40,0)</f>
        <v>0</v>
      </c>
      <c r="AU40">
        <f>$AT40*$M40</f>
        <v>0</v>
      </c>
      <c r="AV40" s="3">
        <f>IF(AT40&gt;0,AT40,AS40)</f>
        <v>0</v>
      </c>
      <c r="AW40" s="3">
        <f>AV40*M40</f>
        <v>0</v>
      </c>
      <c r="AY40">
        <f>UdnKrav*$AV40/100</f>
        <v>0</v>
      </c>
      <c r="BA40">
        <f>AV40*VLOOKUP($E40,Afgr,Data!$DJ$3)</f>
        <v>0</v>
      </c>
      <c r="BB40">
        <f>UdnKrav*$BA40/100</f>
        <v>0</v>
      </c>
      <c r="BD40">
        <f>VLOOKUP(E40,Afgr,NormudbKolonneNr1)</f>
        <v>0</v>
      </c>
      <c r="BE40">
        <f>VLOOKUP(B40,Afgr,Data!$AL$3)*VLOOKUP(E40,Afgr,MerudbKolonneNr1)</f>
        <v>0</v>
      </c>
      <c r="BF40">
        <f>VLOOKUP(C40,Efgr,(Data!$Y$53+EftervirkningUdb1))</f>
        <v>0</v>
      </c>
      <c r="BG40">
        <f>BD40+BE40+BF40</f>
        <v>0</v>
      </c>
      <c r="BH40">
        <f>IF(OR(V40&lt;&gt;S40,Nmodel12=2),AK40,BD40+BE40+BF40)</f>
        <v>0</v>
      </c>
      <c r="BI40" s="3">
        <f>IF(Mark!AK40&lt;&gt;"",Mark!AK40,BH40)</f>
        <v>0</v>
      </c>
      <c r="BJ40">
        <f>BI40*M40</f>
        <v>0</v>
      </c>
      <c r="BK40">
        <f>VLOOKUP(E40,Afgr,3)</f>
        <v>0</v>
      </c>
      <c r="BL40">
        <f>IF(BK40="FE",VLOOKUP($E40,Afgr,Data!$AV$3),0)</f>
        <v>0</v>
      </c>
      <c r="BN40">
        <f>VLOOKUP(E40,Afgr,4)</f>
        <v>0</v>
      </c>
      <c r="BO40" s="3">
        <f>IF(Mark!AW40&lt;&gt;"",Mark!AW40,Regn!BN40)</f>
        <v>0</v>
      </c>
      <c r="BP40" s="3">
        <f>BI40*BO40</f>
        <v>0</v>
      </c>
      <c r="BQ40" s="3">
        <f>BJ40*BO40</f>
        <v>0</v>
      </c>
      <c r="BS40">
        <f>VLOOKUP(E40,Afgr,Data!$AN$3)</f>
        <v>0</v>
      </c>
      <c r="BT40" s="3">
        <f>IF(Mark!BC40&lt;&gt;"",Mark!BC40,BS40)</f>
        <v>0</v>
      </c>
      <c r="BU40" s="3">
        <f>BT40*M40</f>
        <v>0</v>
      </c>
      <c r="BW40">
        <f>VLOOKUP(E40,Afgr,HalmudbKolonneNr1)</f>
        <v>0</v>
      </c>
      <c r="BX40">
        <f>IF(ISERROR(BW40*BI40/BG40),0,(BW40*BI40/BG40))</f>
        <v>0</v>
      </c>
      <c r="BY40" s="3">
        <f>IF(Mark!BI40&lt;&gt;"",Mark!BI40,BX40)</f>
        <v>0</v>
      </c>
      <c r="BZ40">
        <f>BY40*M40</f>
        <v>0</v>
      </c>
      <c r="CC40">
        <f>IF($F40=1,BY40,0)</f>
        <v>0</v>
      </c>
      <c r="CD40">
        <f>IF(F40=1,BZ40,0)</f>
        <v>0</v>
      </c>
      <c r="CE40">
        <f>VLOOKUP(E40,Afgr,Data!$AM$3)</f>
        <v>0</v>
      </c>
      <c r="CF40">
        <f>IF(Mark!BR40&lt;&gt;"",Mark!BR40,CE40)</f>
        <v>0</v>
      </c>
      <c r="CG40">
        <f>CC40*CF40</f>
        <v>0</v>
      </c>
      <c r="CH40">
        <f>CD40*CF40</f>
        <v>0</v>
      </c>
      <c r="CJ40">
        <f>VLOOKUP($G40,Efgr,NnormKolonneEfgr1)</f>
        <v>0</v>
      </c>
      <c r="CK40">
        <f t="shared" si="0"/>
        <v>0</v>
      </c>
      <c r="CL40">
        <f>CJ40*Nniveau12*0.01</f>
        <v>0</v>
      </c>
      <c r="CM40" s="3">
        <f>IF(Mark!DM40&lt;&gt;"",Mark!DM40,CL40)</f>
        <v>0</v>
      </c>
      <c r="CN40" s="3">
        <f>$CM40*$M40</f>
        <v>0</v>
      </c>
      <c r="CP40">
        <f>IF(CS40&gt;0,0,CN40)</f>
        <v>0</v>
      </c>
      <c r="CQ40">
        <f>IF(ISERROR(CN40*HdgNTilFordeling12/NnormIaltFordel12),0,CN40*HdgNTilFordeling12/NnormIaltFordel12)</f>
        <v>0</v>
      </c>
      <c r="CR40">
        <f>IF(ISERROR($CQ40/$M40),0,$CQ40/$M40)</f>
        <v>0</v>
      </c>
      <c r="CS40">
        <f>IF(Mark!DS40&lt;&gt;"",Mark!DS40,0)</f>
        <v>0</v>
      </c>
      <c r="CT40">
        <f>$CS40*$M40</f>
        <v>0</v>
      </c>
      <c r="CU40" s="3">
        <f>IF($CS40&gt;0,$CS40,$CR40)</f>
        <v>0</v>
      </c>
      <c r="CV40" s="3">
        <f>CU40*M40</f>
        <v>0</v>
      </c>
      <c r="CX40">
        <f>UdnKrav*$CU40/100</f>
        <v>0</v>
      </c>
      <c r="CZ40">
        <f>$CU40*VLOOKUP($G40,Efgr,Data!$BG$53)</f>
        <v>0</v>
      </c>
      <c r="DA40">
        <f>UdnKrav*$CZ40/100</f>
        <v>0</v>
      </c>
      <c r="DC40">
        <f>VLOOKUP(G40,Efgr,NormudbKolonneNrEfgr1)</f>
        <v>0</v>
      </c>
      <c r="DD40" s="3">
        <f>IF(Mark!DC40&lt;&gt;"",Mark!DC40,DC40)</f>
        <v>0</v>
      </c>
      <c r="DE40">
        <f>DD40*M40</f>
        <v>0</v>
      </c>
      <c r="DF40" t="s">
        <v>37</v>
      </c>
      <c r="DG40">
        <f>DD40*Efterslaetpris</f>
        <v>0</v>
      </c>
      <c r="DH40">
        <f>DE40*Efterslaetpris</f>
        <v>0</v>
      </c>
      <c r="DI40">
        <f>VLOOKUP(G40,Efgr,Data!$AG$53)</f>
        <v>0</v>
      </c>
      <c r="DJ40">
        <f>DD40*DI40</f>
        <v>0</v>
      </c>
      <c r="DL40">
        <f>VLOOKUP($E40,Afgr,Data!$AW$3)</f>
        <v>0</v>
      </c>
      <c r="DM40">
        <f>IF(BK40="FE",$BI40*$BL40*$DL40*0.01,$BI40*100*$DR40*0.01*$DL40*0.01)</f>
        <v>0</v>
      </c>
      <c r="DN40">
        <f>IF(VLOOKUP(E40,Afgr,Data!$BO$3)=1,DM40,0)*M40</f>
        <v>0</v>
      </c>
      <c r="DO40" s="12">
        <f>IF(Nmodel12=1,(V40-S40)*VLOOKUP($E40,Afgr,Data!$AX$3),(AO40-S40)*VLOOKUP(E40,Afgr,Data!$AX$3))</f>
        <v>0</v>
      </c>
      <c r="DP40">
        <f>DL40+DO40</f>
        <v>0</v>
      </c>
      <c r="DQ40">
        <f>IF(Mark!AQ40&lt;&gt;"",Mark!AQ40,DP40)</f>
        <v>0</v>
      </c>
      <c r="DR40">
        <f>VLOOKUP(E40,Afgr,Data!$AT$3)</f>
        <v>0</v>
      </c>
      <c r="DS40">
        <f>IF($BK40="FE",$BI40*$BL40*$DQ40*0.01,$BI40*100*$DR40*0.01*DQ40*0.01)</f>
        <v>0</v>
      </c>
      <c r="DT40">
        <f>IF(VLOOKUP(E40,Afgr,Data!$BO$3)=1,DS40,0)*M40</f>
        <v>0</v>
      </c>
      <c r="DU40">
        <f>IF(ISERROR(DS40/VLOOKUP(E40,Afgr,Data!$AY$3)),0,DS40/VLOOKUP(E40,Afgr,Data!$AY$3))</f>
        <v>0</v>
      </c>
      <c r="DV40">
        <f>DU40*M40</f>
        <v>0</v>
      </c>
      <c r="DX40">
        <f>IF($BK40="FE",$BI40*$BL40*VLOOKUP($E40,Afgr,Data!$BC$3)*0.001,$BI40*100*$DR40*0.01*VLOOKUP($E40,Afgr,Data!$BC$3)*0.001)</f>
        <v>0</v>
      </c>
      <c r="DY40">
        <f>DX40*M40</f>
        <v>0</v>
      </c>
      <c r="EA40">
        <f>IF($BK40="FE",$BI40*$BL40*VLOOKUP($E40,Afgr,Data!$BF$3)*0.001,$BI40*100*$DR40*0.01*VLOOKUP($E40,Afgr,Data!$BF$3)*0.001)</f>
        <v>0</v>
      </c>
      <c r="EB40">
        <f>EA40*M40</f>
        <v>0</v>
      </c>
      <c r="ED40">
        <f>IF(ISERROR(VLOOKUP(E40,Afgr,Data!$AZ$3)*DQ40/DL40),0,VLOOKUP(E40,Afgr,Data!$AZ$3)*DQ40/DL40)</f>
        <v>0</v>
      </c>
      <c r="EE40">
        <f>VLOOKUP(E40,Afgr,Data!$AU$3)</f>
        <v>0</v>
      </c>
      <c r="EF40">
        <f>IF($F40=1,$BY40*$EE40*0.01*ED40*0.01,0)</f>
        <v>0</v>
      </c>
      <c r="EG40">
        <f>EF40/6.25</f>
        <v>0</v>
      </c>
      <c r="EH40">
        <f>EG40*M40</f>
        <v>0</v>
      </c>
      <c r="EJ40">
        <f>IF($F40=1,$BY40*$EE40*0.01*VLOOKUP($E40,Afgr,Data!$BD$3)*0.001,0)</f>
        <v>0</v>
      </c>
      <c r="EK40">
        <f>EJ40*M40</f>
        <v>0</v>
      </c>
      <c r="EM40">
        <f>IF($F40=1,$BY40*$EE40*0.01*VLOOKUP($E40,Afgr,Data!$BG$3)*0.001,0)</f>
        <v>0</v>
      </c>
      <c r="EN40">
        <f>EM40*M40</f>
        <v>0</v>
      </c>
      <c r="EP40">
        <f>VLOOKUP(G40,Efgr,Data!$AI$53)</f>
        <v>0</v>
      </c>
      <c r="EQ40">
        <f>DJ40*EP40*0.01/6.25</f>
        <v>0</v>
      </c>
      <c r="ER40">
        <f>EQ40*M40</f>
        <v>0</v>
      </c>
      <c r="ET40">
        <f>$DJ40*VLOOKUP($G40,Efgr,Data!$AJ$53)*0.001</f>
        <v>0</v>
      </c>
      <c r="EU40">
        <f>ET40*M40</f>
        <v>0</v>
      </c>
      <c r="EW40">
        <f>$DJ40*VLOOKUP($G40,Efgr,Data!$AK$53)*0.001</f>
        <v>0</v>
      </c>
      <c r="EX40">
        <f>EW40*M40</f>
        <v>0</v>
      </c>
      <c r="EZ40">
        <f>IF(VLOOKUP(E40,Afgr,Data!$DS$3)=1,DU40*VLOOKUP(E40,Afgr,(Data!$DT$3+EftervirkningUdb1))*VLOOKUP(E40,Afgr,Data!$DV$3),0)</f>
        <v>0</v>
      </c>
      <c r="FA40">
        <f>IF(VLOOKUP(E40,Afgr,Data!$DS$3)=2,VLOOKUP(E40,Afgr,Data!$DX$3),0)</f>
        <v>0</v>
      </c>
      <c r="FB40">
        <f>IF(VLOOKUP(E40,Afgr,Data!$DS$3)=3,$DU40*VLOOKUP($E40,Afgr,IF(Jordtype1&lt;5,Data!$DT$3,Data!$DU$3))*VLOOKUP($E40,Afgr,Data!$DV$3),0)</f>
        <v>0</v>
      </c>
      <c r="FC40">
        <f>IF(VLOOKUP(E40,Afgr,Data!$DS$3)=4,(1.232+0.00469*BI40*100+(0.000256*BI40*100+0.089)*60),0)</f>
        <v>0</v>
      </c>
      <c r="FD40">
        <f>$V40+IF($AY40-$BB40&gt;$V40,$AY40-$V40,0)-$BB40</f>
        <v>0</v>
      </c>
      <c r="FE40">
        <f>IF(VLOOKUP($E40,Afgr,Data!$DS$3)=5,($BI40*0.02742-$BI40*0.0001*$FD40+$BI40*0.0000001111*$FD40*$FD40),0)</f>
        <v>0</v>
      </c>
      <c r="FF40">
        <f>$CM40+IF($CX40-$DA40&gt;$CM40,$CX40-$CM40,0)-$DA40</f>
        <v>0</v>
      </c>
      <c r="FG40">
        <f>IF(VLOOKUP($G40,Efgr,Data!$BH$53)=5,($DD40*0.02742-$DD40*0.0001*$FF40+$DD40*0.0000001111*$FF40*$FF40),0)</f>
        <v>0</v>
      </c>
      <c r="FH40" s="3">
        <f>EZ40+FA40+FB40+FC40+FE40+FG40</f>
        <v>0</v>
      </c>
      <c r="FI40" s="3">
        <f>FH40*M40</f>
        <v>0</v>
      </c>
      <c r="FK40">
        <f>$V40+$CM40</f>
        <v>0</v>
      </c>
      <c r="FL40">
        <f>($AV40-$AY40)+IF($AY40&gt;$V40,$AY40-$V40,0)+($CU40-$CX40)+IF($CX40&gt;$CM40,$CX40-$CM40,0)</f>
        <v>0</v>
      </c>
      <c r="FM40">
        <f>VLOOKUP($E40,Afgr,Data!$DK$3)*VLOOKUP($E40,Afgr,Data!$AT$3)*0.01*VLOOKUP($E40,Afgr,Data!$AW$3)*0.01/6.25</f>
        <v>0</v>
      </c>
      <c r="FN40" s="4">
        <f>IF(E40&gt;1,Deposition,0)</f>
        <v>0</v>
      </c>
      <c r="FO40">
        <f>FH40</f>
        <v>0</v>
      </c>
      <c r="FP40">
        <f>SUM(FK40:FO40)</f>
        <v>0</v>
      </c>
      <c r="FQ40">
        <f>DU40+EG40+EQ40</f>
        <v>0</v>
      </c>
      <c r="FR40" s="3">
        <f>FP40-FQ40</f>
        <v>0</v>
      </c>
      <c r="FS40" s="19">
        <f>FP40*M40</f>
        <v>0</v>
      </c>
      <c r="FT40" s="19">
        <f>FQ40*M40</f>
        <v>0</v>
      </c>
      <c r="FU40" s="3">
        <f>FR40*M40</f>
        <v>0</v>
      </c>
      <c r="FW40">
        <f>IL40+IM40+LP40+LQ40</f>
        <v>0</v>
      </c>
      <c r="FX40">
        <f>IK40+LO40</f>
        <v>0</v>
      </c>
      <c r="FY40">
        <f>FW40-FX40</f>
        <v>0</v>
      </c>
      <c r="FZ40">
        <f>FY40*M40</f>
        <v>0</v>
      </c>
      <c r="GB40">
        <f>IS40+IT40+LV40+LW40</f>
        <v>0</v>
      </c>
      <c r="GC40">
        <f>IR40+LU40</f>
        <v>0</v>
      </c>
      <c r="GD40">
        <f>GB40-GC40</f>
        <v>0</v>
      </c>
      <c r="GE40">
        <f>GD40*M40</f>
        <v>0</v>
      </c>
      <c r="GG40" s="149">
        <f>IF(OR(VLOOKUP(E40,Afgr,Data!$BV$3)=1,VLOOKUP(E40,Afgr,Data!$BW$3)=1),0,NniveauDelsaedsk1)</f>
        <v>194</v>
      </c>
      <c r="GH40" s="1">
        <v>0.32550000000000001</v>
      </c>
      <c r="GI40" s="6">
        <v>0</v>
      </c>
      <c r="GJ40" s="24">
        <f>IF(($V40-BB40+$CM40-DA40)&lt;0,0,$V40-BB40+$CM40-DA40)</f>
        <v>0</v>
      </c>
      <c r="GK40" s="6">
        <f>$FO40</f>
        <v>0</v>
      </c>
      <c r="GL40" s="1">
        <v>0.25280000000000002</v>
      </c>
      <c r="GM40">
        <f>$BA40+$CZ40</f>
        <v>0</v>
      </c>
      <c r="GN40" s="1">
        <v>0.376</v>
      </c>
      <c r="GO40" s="6">
        <v>0</v>
      </c>
      <c r="GP40" s="1">
        <f>IF(SandLer1&gt;1,0.3539,1.0749)</f>
        <v>0.35389999999999999</v>
      </c>
      <c r="GQ40" s="11">
        <f>$FQ40</f>
        <v>0</v>
      </c>
      <c r="GR40" s="1">
        <v>0.19359999999999999</v>
      </c>
      <c r="GS40" s="1">
        <f>VLOOKUP($E40,Afgr,Data!$DM$3)</f>
        <v>0</v>
      </c>
      <c r="GT40" s="24">
        <f>IF($GS40&gt;1,0,(VLOOKUP($K40,Afgr,Data!$DP$3)+IF(VLOOKUP($K40,Afgr,Data!$DP$3)=0,VLOOKUP($G40,Efgr,Data!$BI$53,0))))+IF(AND($GS40=7,VLOOKUP($K40,Afgr,Data!$DQ$3)=-2),-2,0)+IF(AND($GS40=6,VLOOKUP($G40,Efgr,Data!$BI$53)=2),8,0)</f>
        <v>0</v>
      </c>
      <c r="GU40" s="6" t="e">
        <f>VLOOKUP(SUM(GS40:GT40),Nlesafgr,3)</f>
        <v>#N/A</v>
      </c>
      <c r="GV40" s="7">
        <f>VLOOKUP($B40,Afgr,Data!$DN$3)</f>
        <v>0</v>
      </c>
      <c r="GW40" s="24">
        <f>IF(GV40&gt;1,0,VLOOKUP($E40,Afgr,Data!$DO$3)+IF(VLOOKUP($E40,Afgr,Data!$DO$3)=1,0,VLOOKUP($C40,Efgr,Data!$BJ$53)))</f>
        <v>0</v>
      </c>
      <c r="GX40" s="6" t="e">
        <f>VLOOKUP(SUM(GV40:GW40),Nlesforfrugt,3)</f>
        <v>#N/A</v>
      </c>
      <c r="GY40" s="1" t="e">
        <f>GH40*GG40+GL40*(GJ40+GK40)+GN40*GM40+GP40*GO40-GR40*GQ40+GU40+GX40</f>
        <v>#N/A</v>
      </c>
      <c r="GZ40" s="1">
        <f>Nlesafskaering</f>
        <v>59.6</v>
      </c>
      <c r="HA40" s="1">
        <f>Teknologi1</f>
        <v>2455</v>
      </c>
      <c r="HB40" s="6">
        <v>2001</v>
      </c>
      <c r="HC40" s="1">
        <f>Teknologi2</f>
        <v>1962.2</v>
      </c>
      <c r="HD40" s="1">
        <f>Tandel</f>
        <v>0.54659999999999997</v>
      </c>
      <c r="HE40" s="1" t="e">
        <f>IF(OR(GY40&gt;0,GY40=0),GZ40+HA40/(HB40-HC40),GZ40+HA40/(HB40-HC40)+HD40*GY40)</f>
        <v>#N/A</v>
      </c>
      <c r="HF40" s="1" t="e">
        <f>IF(GY40&gt;0,GY40,0.001)</f>
        <v>#N/A</v>
      </c>
      <c r="HG40" s="1">
        <v>1.5020000000000001E-3</v>
      </c>
      <c r="HH40" s="24">
        <f>IF(E40=1,0,VLOOKUP(Postnr,AfstromData,VLOOKUP($E40,Afgr,Data!$DL$3)+IF(Jordtype1&lt;7,Jordtype1,6),FALSE)-VLOOKUP(G40,Efgr,Data!$AA$53))</f>
        <v>0</v>
      </c>
      <c r="HI40" s="1">
        <v>5.5400000000000002E-4</v>
      </c>
      <c r="HJ40" s="24">
        <f>IF(E40=1,0,VLOOKUP(Postnr,AfstromData,VLOOKUP($B40,Afgr,Data!$DL$3)+IF(Jordtype1&lt;7,Jordtype1,6),FALSE)-VLOOKUP(C40,Efgr,Data!$AA$53))</f>
        <v>0</v>
      </c>
      <c r="HK40" s="1">
        <v>0.10639999999999999</v>
      </c>
      <c r="HL40" s="6">
        <f>VLOOKUP(Jordtype1,Jordtype,Data!$W$112)</f>
        <v>3</v>
      </c>
      <c r="HM40" s="1">
        <v>3.2500000000000001E-2</v>
      </c>
      <c r="HN40" s="6">
        <f>VLOOKUP(Jordtype1,Jordtype,Data!$X$112)</f>
        <v>12</v>
      </c>
      <c r="HO40" s="1">
        <v>1.2453000000000001</v>
      </c>
      <c r="HP40" s="1">
        <f>IF(VLOOKUP(G40,Efgr,Data!$AO$53)=1,MlafgrNUdvask,0)</f>
        <v>0</v>
      </c>
      <c r="HQ40" s="20">
        <f>IF(ISERROR((HE40+POWER(HF40,1.2))*(1-EXP(-HG40*HH40))*EXP(-HI40*HJ40)*EXP(-HK40*HL40)*EXP(-HM40*HN40)*HO40),0,(HE40+POWER(HF40,1.2))*(1-EXP(-HG40*HH40))*EXP(-HI40*HJ40)*EXP(-HK40*HL40)*EXP(-HM40*HN40)*HO40+HP40)</f>
        <v>0</v>
      </c>
      <c r="HR40">
        <f>HQ40*M40</f>
        <v>0</v>
      </c>
      <c r="HS40">
        <f>HQ40*(100-Retention1)*0.01</f>
        <v>0</v>
      </c>
      <c r="HT40">
        <f>HS40*M40</f>
        <v>0</v>
      </c>
      <c r="HU40" s="2">
        <f>HH40*10000</f>
        <v>0</v>
      </c>
      <c r="HV40" s="2">
        <f>HU40*M40</f>
        <v>0</v>
      </c>
      <c r="HW40">
        <f>IF(ISERROR(HQ40*1000*1000/HU40),0,HQ40*1000*1000/HU40)</f>
        <v>0</v>
      </c>
      <c r="HY40">
        <f>BP40+BT40+CG40+DG40</f>
        <v>0</v>
      </c>
      <c r="IB40">
        <f>VLOOKUP(E40,Afgr,Data!$AP$3)*UdsaedJust</f>
        <v>0</v>
      </c>
      <c r="IC40" s="3">
        <f>IF(Mark!EG40&lt;&gt;"",Mark!EG40,Regn!IB40)</f>
        <v>0</v>
      </c>
      <c r="ID40" s="3">
        <f>IC40*M40</f>
        <v>0</v>
      </c>
      <c r="IF40" s="3">
        <f>IF(HdgVaerdi=1,($V40-$AY40)*Npris,$V40*Npris)</f>
        <v>0</v>
      </c>
      <c r="IG40" s="3">
        <f>IF40*M40</f>
        <v>0</v>
      </c>
      <c r="II40">
        <f>VLOOKUP($E40,Afgr,Data!$BA$3)</f>
        <v>0</v>
      </c>
      <c r="IJ40">
        <f>VLOOKUP($E40,Afgr,Data!$BB$3)</f>
        <v>0</v>
      </c>
      <c r="IK40">
        <f>$DX40+$EJ40</f>
        <v>0</v>
      </c>
      <c r="IL40">
        <f>IF(HdgDyreart=2,$AV40*NPforholdSvin,$AV40*NPforholdKvaeg)</f>
        <v>0</v>
      </c>
      <c r="IM40">
        <f>II40+IF($IJ40+$IK40&gt;$IL40,($IJ40+$IK40-$IL40),0)</f>
        <v>0</v>
      </c>
      <c r="IN40" s="3">
        <f>IF(HdgVaerdi=1,($II40*Ppris+IF($IJ40+$IK40&gt;$IL40,($IJ40+$IK40-$IL40)*Ppris,0)),($II40+$IJ40+$IK40)*Ppris)</f>
        <v>0</v>
      </c>
      <c r="IO40" s="3">
        <f>IN40*M40</f>
        <v>0</v>
      </c>
      <c r="IQ40">
        <f>IF(AND(E40&gt;1,OR(Jordtype1=1,Jordtype1=3,Markvand1=2)),Kudvask,0)</f>
        <v>0</v>
      </c>
      <c r="IR40">
        <f>$EA40+$EM40</f>
        <v>0</v>
      </c>
      <c r="IS40">
        <f>IF(HdgDyreart=2,$AV40*NKforholdSvin,$AV40*NkforholdKvaeg)</f>
        <v>0</v>
      </c>
      <c r="IT40">
        <f>IF($IQ40+$IR40&gt;$IS40,($IQ40+$IR40-$IS40),0)</f>
        <v>0</v>
      </c>
      <c r="IU40" s="3">
        <f>IF(HdgVaerdi=1,IF($IQ40+$IR40&gt;$IS40,($IQ40+$IR40-$IS40)*Kpris,0),($IQ40+$IR40)*Kpris)</f>
        <v>0</v>
      </c>
      <c r="IV40" s="3">
        <f>IU40*M40</f>
        <v>0</v>
      </c>
      <c r="IX40">
        <f>IF40+IN40+IU40</f>
        <v>0</v>
      </c>
      <c r="IY40" s="3">
        <f>IF(Mark!EM40&lt;&gt;"",Mark!EM40,$IX40)</f>
        <v>0</v>
      </c>
      <c r="IZ40" s="3">
        <f>IY40*M40</f>
        <v>0</v>
      </c>
      <c r="JB40">
        <f>VLOOKUP(E40,Afgr,Data!$AQ$3)*PlantevJust</f>
        <v>0</v>
      </c>
      <c r="JC40" s="3">
        <f>IF(Mark!ES40&lt;&gt;"",Mark!ES40,JB40)</f>
        <v>0</v>
      </c>
      <c r="JD40" s="3">
        <f>JC40*M40</f>
        <v>0</v>
      </c>
      <c r="JF40">
        <f>VLOOKUP(E40,Afgr,Data!$AR$3)+BI40*VLOOKUP(E40,Afgr,Data!$BH$3)</f>
        <v>0</v>
      </c>
      <c r="JG40" s="3">
        <f>IF(Mark!EY40&lt;&gt;"",Mark!EY40,JF40)</f>
        <v>0</v>
      </c>
      <c r="JH40">
        <f>JG40*M40</f>
        <v>0</v>
      </c>
      <c r="JJ40">
        <f>IC40+IY40+JC40+JG40</f>
        <v>0</v>
      </c>
      <c r="JL40">
        <f>IF(VLOOKUP(E40,Afgr,Data!$BY$3)&gt;0,Data!$K$259*PlojJB1,0)</f>
        <v>0</v>
      </c>
      <c r="JM40">
        <f>IF(VLOOKUP(E40,Afgr,Data!$BZ$3)&gt;0,Data!$K$260*PlojJB1,0)</f>
        <v>0</v>
      </c>
      <c r="JN40">
        <f>(JL40+JM40)*MaskJust</f>
        <v>0</v>
      </c>
      <c r="JO40" s="3">
        <f>IF(Mark!FE40&lt;&gt;"",Mark!FE40,JN40)</f>
        <v>0</v>
      </c>
      <c r="JP40" s="3">
        <f>JO40*M40</f>
        <v>0</v>
      </c>
      <c r="JR40">
        <f>IF(VLOOKUP(E40,Afgr,Data!$CA$3)&gt;0,VLOOKUP(E40,Afgr,Data!$CA$3)*Data!$K$261*SaaJB1,0)</f>
        <v>0</v>
      </c>
      <c r="JS40">
        <f>IF(VLOOKUP(E40,Afgr,Data!$CC$3)&gt;0,Data!$K$262*SaaJB1,0)</f>
        <v>0</v>
      </c>
      <c r="JT40">
        <f>IF(VLOOKUP(E40,Afgr,Data!$CD$3)&gt;0,VLOOKUP(E40,Afgr,Data!$CD$3)*Data!$K$263*SaaJB1,0)</f>
        <v>0</v>
      </c>
      <c r="JU40">
        <f>IF(VLOOKUP(E40,Afgr,Data!$CE$3)&gt;0,Data!$K$264*SaaJB1,0)</f>
        <v>0</v>
      </c>
      <c r="JV40">
        <f>IF(VLOOKUP(E40,Afgr,Data!$CF$3)&gt;0,Data!$K$265*SaaJB1,0)</f>
        <v>0</v>
      </c>
      <c r="JW40">
        <f>IF(VLOOKUP(E40,Afgr,Data!$CV$3)&gt;0,Data!$K$266,0)</f>
        <v>0</v>
      </c>
      <c r="JX40">
        <f>IF(VLOOKUP(E40,Afgr,Data!$CG$3)&gt;0,Data!$K$267*SaaJB1,0)</f>
        <v>0</v>
      </c>
      <c r="JY40">
        <f>(JR40+JS40+JT40+JU40+JV40+JW40+JX40)*MaskJust</f>
        <v>0</v>
      </c>
      <c r="JZ40" s="3">
        <f>IF(Mark!FK40&lt;&gt;"",Mark!FK40,JY40)</f>
        <v>0</v>
      </c>
      <c r="KA40" s="3">
        <f>JZ40*M40</f>
        <v>0</v>
      </c>
      <c r="KC40">
        <f>IF(VLOOKUP(E40,Afgr,Data!$CJ$3)&gt;0,VLOOKUP(E40,Afgr,Data!$CJ$3)*Data!$K$268*SaaJB1,0)*MaskJust</f>
        <v>0</v>
      </c>
      <c r="KD40" s="3">
        <f>IF(Mark!FQ40&lt;&gt;"",Mark!FQ40,KC40)</f>
        <v>0</v>
      </c>
      <c r="KE40" s="3">
        <f>KD40*M40</f>
        <v>0</v>
      </c>
      <c r="KG40">
        <f>IF(VLOOKUP(E40,Afgr,Data!$CI$3)&gt;0,VLOOKUP(E40,Afgr,Data!$CI$3)*Data!$K$269,0)*MaskJust</f>
        <v>0</v>
      </c>
      <c r="KH40" s="3">
        <f>IF(Mark!FW40&lt;&gt;"",Mark!FW40,KG40)</f>
        <v>0</v>
      </c>
      <c r="KI40" s="3">
        <f>KH40*M40</f>
        <v>0</v>
      </c>
      <c r="KK40">
        <f>IF(Markvand1=2,VLOOKUP($E40,Afgr,Data!$CY$3),0)</f>
        <v>0</v>
      </c>
      <c r="KL40">
        <f>IF(Mark!GC40&lt;&gt;"",Mark!GC40,$KK40)</f>
        <v>0</v>
      </c>
      <c r="KM40">
        <f>IF(AND(E40&gt;1,Markvand1=2),Vandmaskin+$KL40*Flytning/mmprgang+$KL40*Prisprmm,0)</f>
        <v>0</v>
      </c>
      <c r="KN40" s="3">
        <f>IF(Mark!GI40&lt;&gt;"",Mark!GI40,$KM40)</f>
        <v>0</v>
      </c>
      <c r="KO40" s="3">
        <f>KN40*M40</f>
        <v>0</v>
      </c>
      <c r="KQ40">
        <f>IF(VLOOKUP($E40,Afgr,Data!$CK$3)&gt;0,((1+Regn!$BI40/VLOOKUP($E40,Afgr,Data!$CK$3))/2)*VLOOKUP($E40,Afgr,Data!$CL$3)*VLOOKUP($E40,Afgr,Data!$CN$3)+VLOOKUP($E40,Afgr,Data!$CM$3),0)</f>
        <v>0</v>
      </c>
      <c r="KR40">
        <f>IF(VLOOKUP($E40,Afgr,Data!$CK$3)&gt;0,IF(AND($F40=2,$BW40&gt;0),Data!$K$271,0),0)</f>
        <v>0</v>
      </c>
      <c r="KS40">
        <f>IF(VLOOKUP($E40,Afgr,Data!$CK$3)&gt;0,(Regn!$BI40/VLOOKUP($E40,Afgr,Data!$CK$3))*VLOOKUP($E40,Afgr,Data!$CO$3)*VLOOKUP($E40,Afgr,Data!$CN$3),0)</f>
        <v>0</v>
      </c>
      <c r="KT40">
        <f>(KQ40+KR40+KS40)*MaskJust</f>
        <v>0</v>
      </c>
      <c r="KU40" s="3">
        <f>IF(Mark!GO40&lt;&gt;"",Mark!GO40,KT40)</f>
        <v>0</v>
      </c>
      <c r="KV40" s="3">
        <f>KU40*M40</f>
        <v>0</v>
      </c>
      <c r="KW40" s="3"/>
      <c r="KX40">
        <f>IF(AND($F40=1,VLOOKUP($E40,Afgr,Data!$CP$3)&gt;0),((1+$BY40/VLOOKUP($E40,Afgr,Data!$CP$3))/2)*VLOOKUP($E40,Afgr,Data!$CQ$3),0)</f>
        <v>0</v>
      </c>
      <c r="KY40">
        <f>IF(AND($F40=1,VLOOKUP($E40,Afgr,Data!$CP$3)&gt;0),($BY40/VLOOKUP($E40,Afgr,Data!$CP$3))*VLOOKUP($E40,Afgr,Data!$CR$3),0)</f>
        <v>0</v>
      </c>
      <c r="KZ40">
        <f>(KX40+KY40)*MaskJust</f>
        <v>0</v>
      </c>
      <c r="LA40" s="3">
        <f>IF(Mark!GU40&lt;&gt;"",Mark!GU40,KZ40)</f>
        <v>0</v>
      </c>
      <c r="LB40" s="3">
        <f>LA40*M40</f>
        <v>0</v>
      </c>
      <c r="LD40">
        <f>$BI40*VLOOKUP($E40,Afgr,Data!$CS$3)*IF($I40=1,VLOOKUP($E40,Afgr,Data!$CT$3),IF($I40=2,VLOOKUP($E40,Afgr,Data!$CU$3),0))</f>
        <v>0</v>
      </c>
      <c r="LE40" s="3">
        <f>IF(Mark!HD40&lt;&gt;"",Mark!HD40,LD40)</f>
        <v>0</v>
      </c>
      <c r="LF40" s="3">
        <f>LE40*M40</f>
        <v>0</v>
      </c>
      <c r="LH40">
        <f>VLOOKUP($G40,Efgr,Data!$AC$53)*UdsaedJust</f>
        <v>0</v>
      </c>
      <c r="LI40" s="3">
        <f>IF(Mark!$HL40&lt;&gt;"",Mark!$HL40,LH40)</f>
        <v>0</v>
      </c>
      <c r="LJ40" s="3">
        <f>LI40*M40</f>
        <v>0</v>
      </c>
      <c r="LL40" s="3">
        <f>IF(HdgVaerdi=1,($CM40-$CX40)*Npris,$CM40*Npris)</f>
        <v>0</v>
      </c>
      <c r="LM40" s="3">
        <f>LL40*M40</f>
        <v>0</v>
      </c>
      <c r="LO40">
        <f>$ET40</f>
        <v>0</v>
      </c>
      <c r="LP40">
        <f>IF(HdgDyreart=2,$CU40*NPforholdSvin,$CU40*NPforholdKvaeg)</f>
        <v>0</v>
      </c>
      <c r="LQ40">
        <f>IF($LO40&gt;$LP40,($LO40-$LP40),0)</f>
        <v>0</v>
      </c>
      <c r="LR40" s="3">
        <f>IF(HdgVaerdi=1,IF($LO40&gt;$LP40,($LO40-$LP40)*Ppris,0),$LO40*Ppris)</f>
        <v>0</v>
      </c>
      <c r="LS40" s="3">
        <f>LR40*M40</f>
        <v>0</v>
      </c>
      <c r="LU40">
        <f>$EW40</f>
        <v>0</v>
      </c>
      <c r="LV40">
        <f>IF(HdgDyreart=2,$CU40*NKforholdSvin,$CU40*NkforholdKvaeg)</f>
        <v>0</v>
      </c>
      <c r="LW40">
        <f>IF($LU40&gt;$LV40,($LU40-$LV40),0)</f>
        <v>0</v>
      </c>
      <c r="LX40" s="3">
        <f>IF(HdgVaerdi=1,IF($LU40&gt;$LV40,($LU40-$LV40)*Ppris,0),$LU40*Ppris)</f>
        <v>0</v>
      </c>
      <c r="LY40" s="3">
        <f>LX40*M40</f>
        <v>0</v>
      </c>
      <c r="MA40">
        <f>LL40+LR40+LX40</f>
        <v>0</v>
      </c>
      <c r="MB40" s="3">
        <f>IF(Mark!HR40&lt;&gt;"",Mark!HR40,$MA40)</f>
        <v>0</v>
      </c>
      <c r="MC40" s="3">
        <f>MB40*M40</f>
        <v>0</v>
      </c>
      <c r="ME40">
        <f>VLOOKUP($G40,Efgr,Data!$AE$53)*PlantevJust</f>
        <v>0</v>
      </c>
      <c r="MF40" s="3">
        <f>IF(Mark!HX40&lt;&gt;"",Mark!HX40,ME40)</f>
        <v>0</v>
      </c>
      <c r="MG40" s="3">
        <f>MF40*M40</f>
        <v>0</v>
      </c>
      <c r="MI40">
        <f>VLOOKUP($G40,Efgr,Data!$AF$53)+$DD40*VLOOKUP($G40,Efgr,Data!$AL$53)</f>
        <v>0</v>
      </c>
      <c r="MJ40" s="3">
        <f>IF(Mark!ID40&lt;&gt;"",Mark!ID40,MI40)</f>
        <v>0</v>
      </c>
      <c r="MK40" s="3">
        <f>MJ40*M40</f>
        <v>0</v>
      </c>
      <c r="MM40">
        <f>LI40+MB40+MF40+MJ40</f>
        <v>0</v>
      </c>
      <c r="MO40">
        <f>VLOOKUP($G40,Efgr,Data!$AU$53)*SaaJB1*MaskJust</f>
        <v>0</v>
      </c>
      <c r="MP40" s="3">
        <f>IF(Mark!IJ40&lt;&gt;"",Mark!IJ40,MO40)</f>
        <v>0</v>
      </c>
      <c r="MQ40" s="3">
        <f>MP40*M40</f>
        <v>0</v>
      </c>
      <c r="MS40">
        <f>VLOOKUP($G40,Efgr,Data!$AW$53)*Data!$K$268*SaaJB1*MaskJust</f>
        <v>0</v>
      </c>
      <c r="MT40" s="3">
        <f>IF(Mark!IP40&lt;&gt;"",Mark!IP40,MS40)</f>
        <v>0</v>
      </c>
      <c r="MU40" s="3">
        <f>MT40*M40</f>
        <v>0</v>
      </c>
      <c r="MW40">
        <f>VLOOKUP($G40,Efgr,Data!$AV$53)*Data!$K$269*MaskJust</f>
        <v>0</v>
      </c>
      <c r="MX40" s="3">
        <f>IF(Mark!IV40&lt;&gt;"",Mark!IV40,MW40)</f>
        <v>0</v>
      </c>
      <c r="MY40" s="3">
        <f>MX40*M40</f>
        <v>0</v>
      </c>
      <c r="NA40">
        <f>IF(Markvand1=2,VLOOKUP($G40,Efgr,Data!$BC$53),0)</f>
        <v>0</v>
      </c>
      <c r="NB40">
        <f>IF(Mark!JB40&lt;&gt;"",Mark!JB40,$NA40)</f>
        <v>0</v>
      </c>
      <c r="NC40">
        <f>IF(Markvand1=2,$NB40*Flytning/mmprgang+$NB40*Prisprmm,0)</f>
        <v>0</v>
      </c>
      <c r="ND40" s="3">
        <f>IF(Mark!JH40&lt;&gt;"",Mark!JH40,$NC40)</f>
        <v>0</v>
      </c>
      <c r="NE40" s="3">
        <f>ND40*M40</f>
        <v>0</v>
      </c>
      <c r="NG40">
        <f>IF(VLOOKUP($G40,Efgr,Data!$AX$53)&gt;0,((1+Regn!DD40/VLOOKUP($G40,Efgr,Data!$AX$53))/2)*VLOOKUP($G40,Efgr,Data!$AY$53)*VLOOKUP($G40,Efgr,Data!$BA$53)+VLOOKUP($G40,Efgr,Data!$AZ$53),0)</f>
        <v>0</v>
      </c>
      <c r="NH40">
        <f>IF(VLOOKUP($G40,Efgr,Data!$AX$53)&gt;0,($DD40/VLOOKUP($G40,Efgr,Data!$AX$53))*VLOOKUP($G40,Efgr,Data!$BB$53)*VLOOKUP($G40,Efgr,Data!$BA$53),0)</f>
        <v>0</v>
      </c>
      <c r="NI40">
        <f>(NG40+NH40)*MaskJust</f>
        <v>0</v>
      </c>
      <c r="NJ40" s="3">
        <f>IF(Mark!JN40&lt;&gt;"",Mark!JN40,NI40)</f>
        <v>0</v>
      </c>
      <c r="NK40" s="3">
        <f>NJ40*M40</f>
        <v>0</v>
      </c>
      <c r="NM40">
        <f>IF($H40=2,Data!$K$304,IF($H40=3,Data!$K$305,0))*MaskJust</f>
        <v>0</v>
      </c>
      <c r="NN40" s="3">
        <f>IF(Mark!JT40&lt;&gt;"",Mark!JT40,NM40)</f>
        <v>0</v>
      </c>
      <c r="NO40" s="3">
        <f>NN40*M40</f>
        <v>0</v>
      </c>
      <c r="NQ40">
        <f>HY40</f>
        <v>0</v>
      </c>
      <c r="NR40">
        <f>JJ40+MM40</f>
        <v>0</v>
      </c>
      <c r="NS40">
        <f>NQ40-NR40</f>
        <v>0</v>
      </c>
      <c r="NT40">
        <f>NS40*M40</f>
        <v>0</v>
      </c>
      <c r="NW40">
        <f>VLOOKUP($B40,Afgr,Data!$BP$3)+VLOOKUP($C40,Efgr,Data!$AM$53)</f>
        <v>0</v>
      </c>
      <c r="NX40" s="3">
        <f>NW40*M40</f>
        <v>0</v>
      </c>
      <c r="NY40">
        <f>VLOOKUP($E40,Afgr,Data!$BP$3)+VLOOKUP($G40,Efgr,Data!$AM$53)</f>
        <v>0</v>
      </c>
      <c r="NZ40" s="3">
        <f>NY40*M40</f>
        <v>0</v>
      </c>
      <c r="OB40">
        <f>VLOOKUP($C40,Efgr,Data!$AN$53)</f>
        <v>0</v>
      </c>
      <c r="OC40">
        <f>VLOOKUP($B40,Afgr,Data!$BQ$3)</f>
        <v>0</v>
      </c>
      <c r="OD40">
        <f>VLOOKUP($E40,Afgr,Data!$BR$3)</f>
        <v>1</v>
      </c>
      <c r="OE40">
        <f>OB40*OC40*OD40</f>
        <v>0</v>
      </c>
      <c r="OF40" s="3">
        <f>OE40*M40</f>
        <v>0</v>
      </c>
      <c r="OG40" s="3">
        <f>IF(D40,1,0)*OF40</f>
        <v>0</v>
      </c>
      <c r="OI40">
        <f>VLOOKUP($G40,Efgr,Data!$AN$53)</f>
        <v>0</v>
      </c>
      <c r="OJ40">
        <f>VLOOKUP($E40,Afgr,Data!$BQ$3)</f>
        <v>0</v>
      </c>
      <c r="OK40">
        <f>VLOOKUP($K40,Afgr,Data!$BR$3)</f>
        <v>1</v>
      </c>
      <c r="OL40">
        <f>OI40*OJ40*OK40</f>
        <v>0</v>
      </c>
      <c r="OM40" s="3">
        <f>OL40*M40</f>
        <v>0</v>
      </c>
      <c r="OO40">
        <f>VLOOKUP($G40,Efgr,Data!$AO$53)</f>
        <v>0</v>
      </c>
      <c r="OP40">
        <f>VLOOKUP($B40,Afgr,Data!$BQ$3)</f>
        <v>0</v>
      </c>
      <c r="OQ40">
        <f>VLOOKUP($E40,Afgr,Data!$BS$3)</f>
        <v>0</v>
      </c>
      <c r="OR40" s="3">
        <f>OO40*OP40*OQ40*$M40</f>
        <v>0</v>
      </c>
      <c r="OT40">
        <f>VLOOKUP($G40,Efgr,Data!$AO$53)</f>
        <v>0</v>
      </c>
      <c r="OU40">
        <f>VLOOKUP($E40,Afgr,Data!$BQ$3)</f>
        <v>0</v>
      </c>
      <c r="OV40">
        <f>VLOOKUP($K40,Afgr,Data!$BS$3)</f>
        <v>0</v>
      </c>
      <c r="OW40" s="3">
        <f>OT40*OU40*OV40*$M40</f>
        <v>0</v>
      </c>
      <c r="OX40" s="3"/>
      <c r="OY40" s="3">
        <f>VLOOKUP($B40,Afgr,Data!$BU$3)</f>
        <v>0</v>
      </c>
      <c r="OZ40" s="3">
        <f>OY40*M40</f>
        <v>0</v>
      </c>
      <c r="PA40" s="3">
        <f>VLOOKUP($E40,Afgr,Data!$BU$3)</f>
        <v>0</v>
      </c>
      <c r="PB40" s="3">
        <f>PA40*M40</f>
        <v>0</v>
      </c>
      <c r="PD40">
        <f>VLOOKUP(E40,Afgr,Data!$BX$3)+VLOOKUP(G40,Efgr,Data!$AQ$53)</f>
        <v>0</v>
      </c>
      <c r="PE40">
        <f>IF(PD40&gt;0,M40,0)</f>
        <v>0</v>
      </c>
      <c r="PG40">
        <f>VLOOKUP($B40,Afgr,Data!$BT$3)</f>
        <v>0</v>
      </c>
      <c r="PH40" s="3">
        <f>PG40*M40</f>
        <v>0</v>
      </c>
      <c r="PI40">
        <f>VLOOKUP($E40,Afgr,Data!$BT$3)</f>
        <v>0</v>
      </c>
      <c r="PJ40" s="3">
        <f>PI40*M40</f>
        <v>0</v>
      </c>
      <c r="PL40">
        <f>VLOOKUP($E40,Afgr,Data!$BV$3)</f>
        <v>0</v>
      </c>
      <c r="PM40">
        <f>PL40*M40</f>
        <v>0</v>
      </c>
      <c r="PO40">
        <f>VLOOKUP($E40,Afgr,Data!$BW$3)</f>
        <v>0</v>
      </c>
      <c r="PP40">
        <f>PO40*M40</f>
        <v>0</v>
      </c>
      <c r="PR40">
        <f>BI40*IF(VLOOKUP($E40,Afgr,Data!$BJ$3)&gt;0,1,0)</f>
        <v>0</v>
      </c>
      <c r="PS40">
        <f>PR40*M40</f>
        <v>0</v>
      </c>
      <c r="PU40">
        <f>BI40*VLOOKUP(E40,Afgr,Data!$BK$3)</f>
        <v>0</v>
      </c>
      <c r="PV40">
        <f>M40*PU40</f>
        <v>0</v>
      </c>
      <c r="PW40">
        <f>$BI40*VLOOKUP($E40,Afgr,Data!$BL$3)+$DD40*VLOOKUP($G40,Efgr,Data!$AP$53)</f>
        <v>0</v>
      </c>
      <c r="PX40">
        <f>PW40*M40</f>
        <v>0</v>
      </c>
      <c r="PY40">
        <f>$BI40*VLOOKUP($E40,Afgr,Data!$BM$3)</f>
        <v>0</v>
      </c>
      <c r="PZ40">
        <f>PY40*M40</f>
        <v>0</v>
      </c>
      <c r="QA40">
        <f>$BI40*VLOOKUP($E40,Afgr,Data!$BN$3)</f>
        <v>0</v>
      </c>
      <c r="QB40">
        <f>QA40*M40</f>
        <v>0</v>
      </c>
      <c r="QE40">
        <f>IF(VLOOKUP($E40,Afgr,Data!$DA$3)="Vårbyg",$BJ40,0)*VLOOKUP($E40,Afgr,Data!$BJ$3)</f>
        <v>0</v>
      </c>
      <c r="QF40">
        <f>IF(VLOOKUP($E40,Afgr,Data!$DA$3)="Vinterbyg",$BJ40,0)*VLOOKUP($E40,Afgr,Data!$BJ$3)</f>
        <v>0</v>
      </c>
      <c r="QG40">
        <f>IF(VLOOKUP($E40,Afgr,Data!$DA$3)="Havre",$BJ40,0)*VLOOKUP($E40,Afgr,Data!$BJ$3)</f>
        <v>0</v>
      </c>
      <c r="QH40">
        <f>IF(VLOOKUP($E40,Afgr,Data!$DA$3)="Hvede",$BJ40,0)*VLOOKUP($E40,Afgr,Data!$BJ$3)</f>
        <v>0</v>
      </c>
      <c r="QI40">
        <f>IF(VLOOKUP($E40,Afgr,Data!$DA$3)="Triticale",$BJ40,0)*VLOOKUP($E40,Afgr,Data!$BJ$3)</f>
        <v>0</v>
      </c>
      <c r="QJ40">
        <f>IF(VLOOKUP($E40,Afgr,Data!$DA$3)="Rug",$BJ40,0)*VLOOKUP($E40,Afgr,Data!$BJ$3)</f>
        <v>0</v>
      </c>
      <c r="QK40">
        <f>IF(VLOOKUP($E40,Afgr,Data!$DA$3)="Majs",$BJ40,0)*VLOOKUP($E40,Afgr,Data!$BJ$3)</f>
        <v>0</v>
      </c>
      <c r="QN40">
        <f>IF(OI40+OO40&gt;0,1,0)</f>
        <v>0</v>
      </c>
      <c r="QO40">
        <f>QN40*LJ40</f>
        <v>0</v>
      </c>
      <c r="QP40">
        <f>QN40*MG40</f>
        <v>0</v>
      </c>
      <c r="QQ40">
        <f>MQ40</f>
        <v>0</v>
      </c>
      <c r="QR40">
        <f>QN40*NO40</f>
        <v>0</v>
      </c>
    </row>
    <row r="41" spans="1:460" x14ac:dyDescent="0.25">
      <c r="GG41" s="12"/>
    </row>
    <row r="42" spans="1:460" x14ac:dyDescent="0.25">
      <c r="A42">
        <v>5</v>
      </c>
      <c r="B42">
        <v>1</v>
      </c>
      <c r="C42">
        <v>1</v>
      </c>
      <c r="D42" t="b">
        <v>0</v>
      </c>
      <c r="E42">
        <v>1</v>
      </c>
      <c r="F42">
        <v>1</v>
      </c>
      <c r="G42">
        <v>1</v>
      </c>
      <c r="H42">
        <v>1</v>
      </c>
      <c r="I42">
        <v>1</v>
      </c>
      <c r="K42">
        <v>1</v>
      </c>
      <c r="M42">
        <f>IF(ISERROR(N42*Areal1/$N$50),0,N42*Areal1/$N$50)</f>
        <v>0</v>
      </c>
      <c r="N42">
        <f>Mark!Z42</f>
        <v>0</v>
      </c>
      <c r="P42">
        <f>VLOOKUP($E42,Afgr,NnormKolonneNr1)</f>
        <v>0</v>
      </c>
      <c r="Q42">
        <f>VLOOKUP($B42,Afgr,Data!$AI$3)*VLOOKUP(E42,Afgr,Data!$AJ$3)</f>
        <v>0</v>
      </c>
      <c r="R42">
        <f>IF($D42,0,VLOOKUP($C42,Efgr,(Data!$W$53+$G$28-1)))</f>
        <v>0</v>
      </c>
      <c r="S42">
        <f>P42-Q42-R42</f>
        <v>0</v>
      </c>
      <c r="T42">
        <f>S42*M42</f>
        <v>0</v>
      </c>
      <c r="U42">
        <f>IF(Nmodel12=1,S42*Nniveau12*0.01,AO42)</f>
        <v>0</v>
      </c>
      <c r="V42" s="3">
        <f>IF(Mark!CI42&lt;&gt;"",Mark!CI42,U42)</f>
        <v>0</v>
      </c>
      <c r="W42" s="3">
        <f>V42*M42</f>
        <v>0</v>
      </c>
      <c r="Y42">
        <f>S42/NoptFaktor</f>
        <v>0</v>
      </c>
      <c r="Z42" s="3">
        <f>IF(Mark!BZ42&lt;&gt;"",Mark!BZ42,Y42)</f>
        <v>0</v>
      </c>
      <c r="AB42">
        <f>VLOOKUP($E42,Afgr,Data!$DE$3)</f>
        <v>0</v>
      </c>
      <c r="AC42">
        <f>VLOOKUP($E42,Afgr,Data!$DD$3)</f>
        <v>0</v>
      </c>
      <c r="AD42">
        <f>VLOOKUP($E42,Afgr,Data!$DC$3)</f>
        <v>0</v>
      </c>
      <c r="AE42">
        <f>IF(ISERROR($Z42+(-PrisN/$AD42-$AB42)/(2*$AC42)),0,($Z42+(-PrisN/$AD42-$AB42)/(2*$AC42)))</f>
        <v>0</v>
      </c>
      <c r="AF42">
        <f>($BD42+$BE42+$BF42)*1.03333</f>
        <v>0</v>
      </c>
      <c r="AG42">
        <f>$AF42-($AB42*($AE42-$Z42)+$AC42*($AE42-$Z42)^2)</f>
        <v>0</v>
      </c>
      <c r="AH42">
        <f>IF(Nmodel12=1,$AB42*($AE42-$S42)+$AC42*($AE42-$S42)^2,$AB42*($AE42-$AO42)+$AC42*($AE42-$AO42)^2)</f>
        <v>0</v>
      </c>
      <c r="AI42">
        <f>IF(Nmodel12=1,$AB42*($AE42-$V42)+$AC42*($AE42-$V42)^2,$AB42*($AE42-AO42)+$AC42*($AE42-AO42)^2)</f>
        <v>0</v>
      </c>
      <c r="AJ42">
        <f>AG42+AH42-BG42</f>
        <v>0</v>
      </c>
      <c r="AK42">
        <f>AG42+AI42-AJ42</f>
        <v>0</v>
      </c>
      <c r="AM42">
        <f>VLOOKUP(E42,Afgr,Data!$DF$3+SandLer1)</f>
        <v>0</v>
      </c>
      <c r="AN42">
        <f>IF(ISERROR(((-(PrisN+Pantafgift)+AM42*Pantfaktor*Pantafgift)/AD42-AB42)/(2*AC42)),0,((-(PrisN+Pantafgift)+AM42*Pantfaktor*Pantafgift)/AD42-AB42)/(2*AC42))</f>
        <v>0</v>
      </c>
      <c r="AO42">
        <f>AE42-AN42</f>
        <v>0</v>
      </c>
      <c r="AQ42">
        <f>IF(AT42&gt;0,0,W42)</f>
        <v>0</v>
      </c>
      <c r="AR42">
        <f>IF(ISERROR(W42*HdgNTilFordeling12/NnormIaltFordel12),0,W42*HdgNTilFordeling12/NnormIaltFordel12)</f>
        <v>0</v>
      </c>
      <c r="AS42">
        <f>IF(ISERROR($AR42/$M42),0,$AR42/$M42)</f>
        <v>0</v>
      </c>
      <c r="AT42">
        <f>IF(Mark!CO42&lt;&gt;"",Mark!CO42,0)</f>
        <v>0</v>
      </c>
      <c r="AU42">
        <f>$AT42*$M42</f>
        <v>0</v>
      </c>
      <c r="AV42" s="3">
        <f>IF(AT42&gt;0,AT42,AS42)</f>
        <v>0</v>
      </c>
      <c r="AW42" s="3">
        <f>AV42*M42</f>
        <v>0</v>
      </c>
      <c r="AY42">
        <f>UdnKrav*$AV42/100</f>
        <v>0</v>
      </c>
      <c r="BA42">
        <f>AV42*VLOOKUP($E42,Afgr,Data!$DJ$3)</f>
        <v>0</v>
      </c>
      <c r="BB42">
        <f>UdnKrav*$BA42/100</f>
        <v>0</v>
      </c>
      <c r="BD42">
        <f>VLOOKUP(E42,Afgr,NormudbKolonneNr1)</f>
        <v>0</v>
      </c>
      <c r="BE42">
        <f>VLOOKUP(B42,Afgr,Data!$AL$3)*VLOOKUP(E42,Afgr,MerudbKolonneNr1)</f>
        <v>0</v>
      </c>
      <c r="BF42">
        <f>VLOOKUP(C42,Efgr,(Data!$Y$53+EftervirkningUdb1))</f>
        <v>0</v>
      </c>
      <c r="BG42">
        <f>BD42+BE42+BF42</f>
        <v>0</v>
      </c>
      <c r="BH42">
        <f>IF(OR(V42&lt;&gt;S42,Nmodel12=2),AK42,BD42+BE42+BF42)</f>
        <v>0</v>
      </c>
      <c r="BI42" s="3">
        <f>IF(Mark!AK42&lt;&gt;"",Mark!AK42,BH42)</f>
        <v>0</v>
      </c>
      <c r="BJ42">
        <f>BI42*M42</f>
        <v>0</v>
      </c>
      <c r="BK42">
        <f>VLOOKUP(E42,Afgr,3)</f>
        <v>0</v>
      </c>
      <c r="BL42">
        <f>IF(BK42="FE",VLOOKUP($E42,Afgr,Data!$AV$3),0)</f>
        <v>0</v>
      </c>
      <c r="BN42">
        <f>VLOOKUP(E42,Afgr,4)</f>
        <v>0</v>
      </c>
      <c r="BO42" s="3">
        <f>IF(Mark!AW42&lt;&gt;"",Mark!AW42,Regn!BN42)</f>
        <v>0</v>
      </c>
      <c r="BP42" s="3">
        <f>BI42*BO42</f>
        <v>0</v>
      </c>
      <c r="BQ42" s="3">
        <f>BJ42*BO42</f>
        <v>0</v>
      </c>
      <c r="BS42">
        <f>VLOOKUP(E42,Afgr,Data!$AN$3)</f>
        <v>0</v>
      </c>
      <c r="BT42" s="3">
        <f>IF(Mark!BC42&lt;&gt;"",Mark!BC42,BS42)</f>
        <v>0</v>
      </c>
      <c r="BU42" s="3">
        <f>BT42*M42</f>
        <v>0</v>
      </c>
      <c r="BW42">
        <f>VLOOKUP(E42,Afgr,HalmudbKolonneNr1)</f>
        <v>0</v>
      </c>
      <c r="BX42">
        <f>IF(ISERROR(BW42*BI42/BG42),0,(BW42*BI42/BG42))</f>
        <v>0</v>
      </c>
      <c r="BY42" s="3">
        <f>IF(Mark!BI42&lt;&gt;"",Mark!BI42,BX42)</f>
        <v>0</v>
      </c>
      <c r="BZ42">
        <f>BY42*M42</f>
        <v>0</v>
      </c>
      <c r="CC42">
        <f>IF($F42=1,BY42,0)</f>
        <v>0</v>
      </c>
      <c r="CD42">
        <f>IF(F42=1,BZ42,0)</f>
        <v>0</v>
      </c>
      <c r="CE42">
        <f>VLOOKUP(E42,Afgr,Data!$AM$3)</f>
        <v>0</v>
      </c>
      <c r="CF42">
        <f>IF(Mark!BR42&lt;&gt;"",Mark!BR42,CE42)</f>
        <v>0</v>
      </c>
      <c r="CG42">
        <f>CC42*CF42</f>
        <v>0</v>
      </c>
      <c r="CH42">
        <f>CD42*CF42</f>
        <v>0</v>
      </c>
      <c r="CJ42">
        <f>VLOOKUP($G42,Efgr,NnormKolonneEfgr1)</f>
        <v>0</v>
      </c>
      <c r="CK42">
        <f t="shared" si="0"/>
        <v>0</v>
      </c>
      <c r="CL42">
        <f>CJ42*Nniveau12*0.01</f>
        <v>0</v>
      </c>
      <c r="CM42" s="3">
        <f>IF(Mark!DM42&lt;&gt;"",Mark!DM42,CL42)</f>
        <v>0</v>
      </c>
      <c r="CN42" s="3">
        <f>$CM42*$M42</f>
        <v>0</v>
      </c>
      <c r="CP42">
        <f>IF(CS42&gt;0,0,CN42)</f>
        <v>0</v>
      </c>
      <c r="CQ42">
        <f>IF(ISERROR(CN42*HdgNTilFordeling12/NnormIaltFordel12),0,CN42*HdgNTilFordeling12/NnormIaltFordel12)</f>
        <v>0</v>
      </c>
      <c r="CR42">
        <f>IF(ISERROR($CQ42/$M42),0,$CQ42/$M42)</f>
        <v>0</v>
      </c>
      <c r="CS42">
        <f>IF(Mark!DS42&lt;&gt;"",Mark!DS42,0)</f>
        <v>0</v>
      </c>
      <c r="CT42">
        <f>$CS42*$M42</f>
        <v>0</v>
      </c>
      <c r="CU42" s="3">
        <f>IF($CS42&gt;0,$CS42,$CR42)</f>
        <v>0</v>
      </c>
      <c r="CV42" s="3">
        <f>CU42*M42</f>
        <v>0</v>
      </c>
      <c r="CX42">
        <f>UdnKrav*$CU42/100</f>
        <v>0</v>
      </c>
      <c r="CZ42">
        <f>$CU42*VLOOKUP($G42,Efgr,Data!$BG$53)</f>
        <v>0</v>
      </c>
      <c r="DA42">
        <f>UdnKrav*$CZ42/100</f>
        <v>0</v>
      </c>
      <c r="DC42">
        <f>VLOOKUP(G42,Efgr,NormudbKolonneNrEfgr1)</f>
        <v>0</v>
      </c>
      <c r="DD42" s="3">
        <f>IF(Mark!DC42&lt;&gt;"",Mark!DC42,DC42)</f>
        <v>0</v>
      </c>
      <c r="DE42">
        <f>DD42*M42</f>
        <v>0</v>
      </c>
      <c r="DF42" t="s">
        <v>37</v>
      </c>
      <c r="DG42">
        <f>DD42*Efterslaetpris</f>
        <v>0</v>
      </c>
      <c r="DH42">
        <f>DE42*Efterslaetpris</f>
        <v>0</v>
      </c>
      <c r="DI42">
        <f>VLOOKUP(G42,Efgr,Data!$AG$53)</f>
        <v>0</v>
      </c>
      <c r="DJ42">
        <f>DD42*DI42</f>
        <v>0</v>
      </c>
      <c r="DL42">
        <f>VLOOKUP($E42,Afgr,Data!$AW$3)</f>
        <v>0</v>
      </c>
      <c r="DM42">
        <f>IF(BK42="FE",$BI42*$BL42*$DL42*0.01,$BI42*100*$DR42*0.01*$DL42*0.01)</f>
        <v>0</v>
      </c>
      <c r="DN42">
        <f>IF(VLOOKUP(E42,Afgr,Data!$BO$3)=1,DM42,0)*M42</f>
        <v>0</v>
      </c>
      <c r="DO42" s="12">
        <f>IF(Nmodel12=1,(V42-S42)*VLOOKUP($E42,Afgr,Data!$AX$3),(AO42-S42)*VLOOKUP(E42,Afgr,Data!$AX$3))</f>
        <v>0</v>
      </c>
      <c r="DP42">
        <f>DL42+DO42</f>
        <v>0</v>
      </c>
      <c r="DQ42">
        <f>IF(Mark!AQ42&lt;&gt;"",Mark!AQ42,DP42)</f>
        <v>0</v>
      </c>
      <c r="DR42">
        <f>VLOOKUP(E42,Afgr,Data!$AT$3)</f>
        <v>0</v>
      </c>
      <c r="DS42">
        <f>IF($BK42="FE",$BI42*$BL42*$DQ42*0.01,$BI42*100*$DR42*0.01*DQ42*0.01)</f>
        <v>0</v>
      </c>
      <c r="DT42">
        <f>IF(VLOOKUP(E42,Afgr,Data!$BO$3)=1,DS42,0)*M42</f>
        <v>0</v>
      </c>
      <c r="DU42">
        <f>IF(ISERROR(DS42/VLOOKUP(E42,Afgr,Data!$AY$3)),0,DS42/VLOOKUP(E42,Afgr,Data!$AY$3))</f>
        <v>0</v>
      </c>
      <c r="DV42">
        <f>DU42*M42</f>
        <v>0</v>
      </c>
      <c r="DX42">
        <f>IF($BK42="FE",$BI42*$BL42*VLOOKUP($E42,Afgr,Data!$BC$3)*0.001,$BI42*100*$DR42*0.01*VLOOKUP($E42,Afgr,Data!$BC$3)*0.001)</f>
        <v>0</v>
      </c>
      <c r="DY42">
        <f>DX42*M42</f>
        <v>0</v>
      </c>
      <c r="EA42">
        <f>IF($BK42="FE",$BI42*$BL42*VLOOKUP($E42,Afgr,Data!$BF$3)*0.001,$BI42*100*$DR42*0.01*VLOOKUP($E42,Afgr,Data!$BF$3)*0.001)</f>
        <v>0</v>
      </c>
      <c r="EB42">
        <f>EA42*M42</f>
        <v>0</v>
      </c>
      <c r="ED42">
        <f>IF(ISERROR(VLOOKUP(E42,Afgr,Data!$AZ$3)*DQ42/DL42),0,VLOOKUP(E42,Afgr,Data!$AZ$3)*DQ42/DL42)</f>
        <v>0</v>
      </c>
      <c r="EE42">
        <f>VLOOKUP(E42,Afgr,Data!$AU$3)</f>
        <v>0</v>
      </c>
      <c r="EF42">
        <f>IF($F42=1,$BY42*$EE42*0.01*ED42*0.01,0)</f>
        <v>0</v>
      </c>
      <c r="EG42">
        <f>EF42/6.25</f>
        <v>0</v>
      </c>
      <c r="EH42">
        <f>EG42*M42</f>
        <v>0</v>
      </c>
      <c r="EJ42">
        <f>IF($F42=1,$BY42*$EE42*0.01*VLOOKUP($E42,Afgr,Data!$BD$3)*0.001,0)</f>
        <v>0</v>
      </c>
      <c r="EK42">
        <f>EJ42*M42</f>
        <v>0</v>
      </c>
      <c r="EM42">
        <f>IF($F42=1,$BY42*$EE42*0.01*VLOOKUP($E42,Afgr,Data!$BG$3)*0.001,0)</f>
        <v>0</v>
      </c>
      <c r="EN42">
        <f>EM42*M42</f>
        <v>0</v>
      </c>
      <c r="EP42">
        <f>VLOOKUP(G42,Efgr,Data!$AI$53)</f>
        <v>0</v>
      </c>
      <c r="EQ42">
        <f>DJ42*EP42*0.01/6.25</f>
        <v>0</v>
      </c>
      <c r="ER42">
        <f>EQ42*M42</f>
        <v>0</v>
      </c>
      <c r="ET42">
        <f>$DJ42*VLOOKUP($G42,Efgr,Data!$AJ$53)*0.001</f>
        <v>0</v>
      </c>
      <c r="EU42">
        <f>ET42*M42</f>
        <v>0</v>
      </c>
      <c r="EW42">
        <f>$DJ42*VLOOKUP($G42,Efgr,Data!$AK$53)*0.001</f>
        <v>0</v>
      </c>
      <c r="EX42">
        <f>EW42*M42</f>
        <v>0</v>
      </c>
      <c r="EZ42">
        <f>IF(VLOOKUP(E42,Afgr,Data!$DS$3)=1,DU42*VLOOKUP(E42,Afgr,(Data!$DT$3+EftervirkningUdb1))*VLOOKUP(E42,Afgr,Data!$DV$3),0)</f>
        <v>0</v>
      </c>
      <c r="FA42">
        <f>IF(VLOOKUP(E42,Afgr,Data!$DS$3)=2,VLOOKUP(E42,Afgr,Data!$DX$3),0)</f>
        <v>0</v>
      </c>
      <c r="FB42">
        <f>IF(VLOOKUP(E42,Afgr,Data!$DS$3)=3,$DU42*VLOOKUP($E42,Afgr,IF(Jordtype1&lt;5,Data!$DT$3,Data!$DU$3))*VLOOKUP($E42,Afgr,Data!$DV$3),0)</f>
        <v>0</v>
      </c>
      <c r="FC42">
        <f>IF(VLOOKUP(E42,Afgr,Data!$DS$3)=4,(1.232+0.00469*BI42*100+(0.000256*BI42*100+0.089)*60),0)</f>
        <v>0</v>
      </c>
      <c r="FD42">
        <f>$V42+IF($AY42-$BB42&gt;$V42,$AY42-$V42,0)-$BB42</f>
        <v>0</v>
      </c>
      <c r="FE42">
        <f>IF(VLOOKUP($E42,Afgr,Data!$DS$3)=5,($BI42*0.02742-$BI42*0.0001*$FD42+$BI42*0.0000001111*$FD42*$FD42),0)</f>
        <v>0</v>
      </c>
      <c r="FF42">
        <f>$CM42+IF($CX42-$DA42&gt;$CM42,$CX42-$CM42,0)-$DA42</f>
        <v>0</v>
      </c>
      <c r="FG42">
        <f>IF(VLOOKUP($G42,Efgr,Data!$BH$53)=5,($DD42*0.02742-$DD42*0.0001*$FF42+$DD42*0.0000001111*$FF42*$FF42),0)</f>
        <v>0</v>
      </c>
      <c r="FH42" s="3">
        <f>EZ42+FA42+FB42+FC42+FE42+FG42</f>
        <v>0</v>
      </c>
      <c r="FI42" s="3">
        <f>FH42*M42</f>
        <v>0</v>
      </c>
      <c r="FK42">
        <f>$V42+$CM42</f>
        <v>0</v>
      </c>
      <c r="FL42">
        <f>($AV42-$AY42)+IF($AY42&gt;$V42,$AY42-$V42,0)+($CU42-$CX42)+IF($CX42&gt;$CM42,$CX42-$CM42,0)</f>
        <v>0</v>
      </c>
      <c r="FM42">
        <f>VLOOKUP($E42,Afgr,Data!$DK$3)*VLOOKUP($E42,Afgr,Data!$AT$3)*0.01*VLOOKUP($E42,Afgr,Data!$AW$3)*0.01/6.25</f>
        <v>0</v>
      </c>
      <c r="FN42" s="4">
        <f>IF(E42&gt;1,Deposition,0)</f>
        <v>0</v>
      </c>
      <c r="FO42">
        <f>FH42</f>
        <v>0</v>
      </c>
      <c r="FP42">
        <f>SUM(FK42:FO42)</f>
        <v>0</v>
      </c>
      <c r="FQ42">
        <f>DU42+EG42+EQ42</f>
        <v>0</v>
      </c>
      <c r="FR42" s="3">
        <f>FP42-FQ42</f>
        <v>0</v>
      </c>
      <c r="FS42" s="19">
        <f>FP42*M42</f>
        <v>0</v>
      </c>
      <c r="FT42" s="19">
        <f>FQ42*M42</f>
        <v>0</v>
      </c>
      <c r="FU42" s="3">
        <f>FR42*M42</f>
        <v>0</v>
      </c>
      <c r="FW42">
        <f>IL42+IM42+LP42+LQ42</f>
        <v>0</v>
      </c>
      <c r="FX42">
        <f>IK42+LO42</f>
        <v>0</v>
      </c>
      <c r="FY42">
        <f>FW42-FX42</f>
        <v>0</v>
      </c>
      <c r="FZ42">
        <f>FY42*M42</f>
        <v>0</v>
      </c>
      <c r="GB42">
        <f>IS42+IT42+LV42+LW42</f>
        <v>0</v>
      </c>
      <c r="GC42">
        <f>IR42+LU42</f>
        <v>0</v>
      </c>
      <c r="GD42">
        <f>GB42-GC42</f>
        <v>0</v>
      </c>
      <c r="GE42">
        <f>GD42*M42</f>
        <v>0</v>
      </c>
      <c r="GG42" s="149">
        <f>IF(OR(VLOOKUP(E42,Afgr,Data!$BV$3)=1,VLOOKUP(E42,Afgr,Data!$BW$3)=1),0,NniveauDelsaedsk1)</f>
        <v>194</v>
      </c>
      <c r="GH42" s="1">
        <v>0.32550000000000001</v>
      </c>
      <c r="GI42" s="6">
        <v>0</v>
      </c>
      <c r="GJ42" s="24">
        <f>IF(($V42-BB42+$CM42-DA42)&lt;0,0,$V42-BB42+$CM42-DA42)</f>
        <v>0</v>
      </c>
      <c r="GK42" s="6">
        <f>$FO42</f>
        <v>0</v>
      </c>
      <c r="GL42" s="1">
        <v>0.25280000000000002</v>
      </c>
      <c r="GM42">
        <f>$BA42+$CZ42</f>
        <v>0</v>
      </c>
      <c r="GN42" s="1">
        <v>0.376</v>
      </c>
      <c r="GO42" s="6">
        <v>0</v>
      </c>
      <c r="GP42" s="1">
        <f>IF(SandLer1&gt;1,0.3539,1.0749)</f>
        <v>0.35389999999999999</v>
      </c>
      <c r="GQ42" s="11">
        <f>$FQ42</f>
        <v>0</v>
      </c>
      <c r="GR42" s="1">
        <v>0.19359999999999999</v>
      </c>
      <c r="GS42" s="1">
        <f>VLOOKUP($E42,Afgr,Data!$DM$3)</f>
        <v>0</v>
      </c>
      <c r="GT42" s="24">
        <f>IF($GS42&gt;1,0,(VLOOKUP($K42,Afgr,Data!$DP$3)+IF(VLOOKUP($K42,Afgr,Data!$DP$3)=0,VLOOKUP($G42,Efgr,Data!$BI$53,0))))+IF(AND($GS42=7,VLOOKUP($K42,Afgr,Data!$DQ$3)=-2),-2,0)+IF(AND($GS42=6,VLOOKUP($G42,Efgr,Data!$BI$53)=2),8,0)</f>
        <v>0</v>
      </c>
      <c r="GU42" s="6" t="e">
        <f>VLOOKUP(SUM(GS42:GT42),Nlesafgr,3)</f>
        <v>#N/A</v>
      </c>
      <c r="GV42" s="7">
        <f>VLOOKUP($B42,Afgr,Data!$DN$3)</f>
        <v>0</v>
      </c>
      <c r="GW42" s="24">
        <f>IF(GV42&gt;1,0,VLOOKUP($E42,Afgr,Data!$DO$3)+IF(VLOOKUP($E42,Afgr,Data!$DO$3)=1,0,VLOOKUP($C42,Efgr,Data!$BJ$53)))</f>
        <v>0</v>
      </c>
      <c r="GX42" s="6" t="e">
        <f>VLOOKUP(SUM(GV42:GW42),Nlesforfrugt,3)</f>
        <v>#N/A</v>
      </c>
      <c r="GY42" s="1" t="e">
        <f>GH42*GG42+GL42*(GJ42+GK42)+GN42*GM42+GP42*GO42-GR42*GQ42+GU42+GX42</f>
        <v>#N/A</v>
      </c>
      <c r="GZ42" s="1">
        <f>Nlesafskaering</f>
        <v>59.6</v>
      </c>
      <c r="HA42" s="1">
        <f>Teknologi1</f>
        <v>2455</v>
      </c>
      <c r="HB42" s="6">
        <v>2001</v>
      </c>
      <c r="HC42" s="1">
        <f>Teknologi2</f>
        <v>1962.2</v>
      </c>
      <c r="HD42" s="1">
        <f>Tandel</f>
        <v>0.54659999999999997</v>
      </c>
      <c r="HE42" s="1" t="e">
        <f>IF(OR(GY42&gt;0,GY42=0),GZ42+HA42/(HB42-HC42),GZ42+HA42/(HB42-HC42)+HD42*GY42)</f>
        <v>#N/A</v>
      </c>
      <c r="HF42" s="1" t="e">
        <f>IF(GY42&gt;0,GY42,0.001)</f>
        <v>#N/A</v>
      </c>
      <c r="HG42" s="1">
        <v>1.5020000000000001E-3</v>
      </c>
      <c r="HH42" s="24">
        <f>IF(E42=1,0,VLOOKUP(Postnr,AfstromData,VLOOKUP($E42,Afgr,Data!$DL$3)+IF(Jordtype1&lt;7,Jordtype1,6),FALSE)-VLOOKUP(G42,Efgr,Data!$AA$53))</f>
        <v>0</v>
      </c>
      <c r="HI42" s="1">
        <v>5.5400000000000002E-4</v>
      </c>
      <c r="HJ42" s="24">
        <f>IF(E42=1,0,VLOOKUP(Postnr,AfstromData,VLOOKUP($B42,Afgr,Data!$DL$3)+IF(Jordtype1&lt;7,Jordtype1,6),FALSE)-VLOOKUP(C42,Efgr,Data!$AA$53))</f>
        <v>0</v>
      </c>
      <c r="HK42" s="1">
        <v>0.10639999999999999</v>
      </c>
      <c r="HL42" s="6">
        <f>VLOOKUP(Jordtype1,Jordtype,Data!$W$112)</f>
        <v>3</v>
      </c>
      <c r="HM42" s="1">
        <v>3.2500000000000001E-2</v>
      </c>
      <c r="HN42" s="6">
        <f>VLOOKUP(Jordtype1,Jordtype,Data!$X$112)</f>
        <v>12</v>
      </c>
      <c r="HO42" s="1">
        <v>1.2453000000000001</v>
      </c>
      <c r="HP42" s="1">
        <f>IF(VLOOKUP(G42,Efgr,Data!$AO$53)=1,MlafgrNUdvask,0)</f>
        <v>0</v>
      </c>
      <c r="HQ42" s="20">
        <f t="shared" ref="HQ42" si="1">IF(ISERROR((HE42+POWER(HF42,1.2))*(1-EXP(-HG42*HH42))*EXP(-HI42*HJ42)*EXP(-HK42*HL42)*EXP(-HM42*HN42)*HO42),0,(HE42+POWER(HF42,1.2))*(1-EXP(-HG42*HH42))*EXP(-HI42*HJ42)*EXP(-HK42*HL42)*EXP(-HM42*HN42)*HO42+HP42)</f>
        <v>0</v>
      </c>
      <c r="HR42">
        <f>HQ42*M42</f>
        <v>0</v>
      </c>
      <c r="HS42">
        <f>HQ42*(100-Retention1)*0.01</f>
        <v>0</v>
      </c>
      <c r="HT42">
        <f>HS42*M42</f>
        <v>0</v>
      </c>
      <c r="HU42" s="2">
        <f>HH42*10000</f>
        <v>0</v>
      </c>
      <c r="HV42" s="2">
        <f>HU42*M42</f>
        <v>0</v>
      </c>
      <c r="HW42">
        <f>IF(ISERROR(HQ42*1000*1000/HU42),0,HQ42*1000*1000/HU42)</f>
        <v>0</v>
      </c>
      <c r="HY42">
        <f>BP42+BT42+CG42+DG42</f>
        <v>0</v>
      </c>
      <c r="IB42">
        <f>VLOOKUP(E42,Afgr,Data!$AP$3)*UdsaedJust</f>
        <v>0</v>
      </c>
      <c r="IC42" s="3">
        <f>IF(Mark!EG42&lt;&gt;"",Mark!EG42,Regn!IB42)</f>
        <v>0</v>
      </c>
      <c r="ID42" s="3">
        <f>IC42*M42</f>
        <v>0</v>
      </c>
      <c r="IF42" s="3">
        <f>IF(HdgVaerdi=1,($V42-$AY42)*Npris,$V42*Npris)</f>
        <v>0</v>
      </c>
      <c r="IG42" s="3">
        <f>IF42*M42</f>
        <v>0</v>
      </c>
      <c r="II42">
        <f>VLOOKUP($E42,Afgr,Data!$BA$3)</f>
        <v>0</v>
      </c>
      <c r="IJ42">
        <f>VLOOKUP($E42,Afgr,Data!$BB$3)</f>
        <v>0</v>
      </c>
      <c r="IK42">
        <f>$DX42+$EJ42</f>
        <v>0</v>
      </c>
      <c r="IL42">
        <f>IF(HdgDyreart=2,$AV42*NPforholdSvin,$AV42*NPforholdKvaeg)</f>
        <v>0</v>
      </c>
      <c r="IM42">
        <f>II42+IF($IJ42+$IK42&gt;$IL42,($IJ42+$IK42-$IL42),0)</f>
        <v>0</v>
      </c>
      <c r="IN42" s="3">
        <f>IF(HdgVaerdi=1,($II42*Ppris+IF($IJ42+$IK42&gt;$IL42,($IJ42+$IK42-$IL42)*Ppris,0)),($II42+$IJ42+$IK42)*Ppris)</f>
        <v>0</v>
      </c>
      <c r="IO42" s="3">
        <f>IN42*M42</f>
        <v>0</v>
      </c>
      <c r="IQ42">
        <f>IF(AND(E42&gt;1,OR(Jordtype1=1,Jordtype1=3,Markvand1=2)),Kudvask,0)</f>
        <v>0</v>
      </c>
      <c r="IR42">
        <f>$EA42+$EM42</f>
        <v>0</v>
      </c>
      <c r="IS42">
        <f>IF(HdgDyreart=2,$AV42*NKforholdSvin,$AV42*NkforholdKvaeg)</f>
        <v>0</v>
      </c>
      <c r="IT42">
        <f>IF($IQ42+$IR42&gt;$IS42,($IQ42+$IR42-$IS42),0)</f>
        <v>0</v>
      </c>
      <c r="IU42" s="3">
        <f>IF(HdgVaerdi=1,IF($IQ42+$IR42&gt;$IS42,($IQ42+$IR42-$IS42)*Kpris,0),($IQ42+$IR42)*Kpris)</f>
        <v>0</v>
      </c>
      <c r="IV42" s="3">
        <f>IU42*M42</f>
        <v>0</v>
      </c>
      <c r="IX42">
        <f>IF42+IN42+IU42</f>
        <v>0</v>
      </c>
      <c r="IY42" s="3">
        <f>IF(Mark!EM42&lt;&gt;"",Mark!EM42,$IX42)</f>
        <v>0</v>
      </c>
      <c r="IZ42" s="3">
        <f>IY42*M42</f>
        <v>0</v>
      </c>
      <c r="JB42">
        <f>VLOOKUP(E42,Afgr,Data!$AQ$3)*PlantevJust</f>
        <v>0</v>
      </c>
      <c r="JC42" s="3">
        <f>IF(Mark!ES42&lt;&gt;"",Mark!ES42,JB42)</f>
        <v>0</v>
      </c>
      <c r="JD42" s="3">
        <f>JC42*M42</f>
        <v>0</v>
      </c>
      <c r="JF42">
        <f>VLOOKUP(E42,Afgr,Data!$AR$3)+BI42*VLOOKUP(E42,Afgr,Data!$BH$3)</f>
        <v>0</v>
      </c>
      <c r="JG42" s="3">
        <f>IF(Mark!EY42&lt;&gt;"",Mark!EY42,JF42)</f>
        <v>0</v>
      </c>
      <c r="JH42">
        <f>JG42*M42</f>
        <v>0</v>
      </c>
      <c r="JJ42">
        <f>IC42+IY42+JC42+JG42</f>
        <v>0</v>
      </c>
      <c r="JL42">
        <f>IF(VLOOKUP(E42,Afgr,Data!$BY$3)&gt;0,Data!$K$259*PlojJB1,0)</f>
        <v>0</v>
      </c>
      <c r="JM42">
        <f>IF(VLOOKUP(E42,Afgr,Data!$BZ$3)&gt;0,Data!$K$260*PlojJB1,0)</f>
        <v>0</v>
      </c>
      <c r="JN42">
        <f>(JL42+JM42)*MaskJust</f>
        <v>0</v>
      </c>
      <c r="JO42" s="3">
        <f>IF(Mark!FE42&lt;&gt;"",Mark!FE42,JN42)</f>
        <v>0</v>
      </c>
      <c r="JP42" s="3">
        <f>JO42*M42</f>
        <v>0</v>
      </c>
      <c r="JR42">
        <f>IF(VLOOKUP(E42,Afgr,Data!$CA$3)&gt;0,VLOOKUP(E42,Afgr,Data!$CA$3)*Data!$K$261*SaaJB1,0)</f>
        <v>0</v>
      </c>
      <c r="JS42">
        <f>IF(VLOOKUP(E42,Afgr,Data!$CC$3)&gt;0,Data!$K$262*SaaJB1,0)</f>
        <v>0</v>
      </c>
      <c r="JT42">
        <f>IF(VLOOKUP(E42,Afgr,Data!$CD$3)&gt;0,VLOOKUP(E42,Afgr,Data!$CD$3)*Data!$K$263*SaaJB1,0)</f>
        <v>0</v>
      </c>
      <c r="JU42">
        <f>IF(VLOOKUP(E42,Afgr,Data!$CE$3)&gt;0,Data!$K$264*SaaJB1,0)</f>
        <v>0</v>
      </c>
      <c r="JV42">
        <f>IF(VLOOKUP(E42,Afgr,Data!$CF$3)&gt;0,Data!$K$265*SaaJB1,0)</f>
        <v>0</v>
      </c>
      <c r="JW42">
        <f>IF(VLOOKUP(E42,Afgr,Data!$CV$3)&gt;0,Data!$K$266,0)</f>
        <v>0</v>
      </c>
      <c r="JX42">
        <f>IF(VLOOKUP(E42,Afgr,Data!$CG$3)&gt;0,Data!$K$267*SaaJB1,0)</f>
        <v>0</v>
      </c>
      <c r="JY42">
        <f>(JR42+JS42+JT42+JU42+JV42+JW42+JX42)*MaskJust</f>
        <v>0</v>
      </c>
      <c r="JZ42" s="3">
        <f>IF(Mark!FK42&lt;&gt;"",Mark!FK42,JY42)</f>
        <v>0</v>
      </c>
      <c r="KA42" s="3">
        <f>JZ42*M42</f>
        <v>0</v>
      </c>
      <c r="KC42">
        <f>IF(VLOOKUP(E42,Afgr,Data!$CJ$3)&gt;0,VLOOKUP(E42,Afgr,Data!$CJ$3)*Data!$K$268*SaaJB1,0)*MaskJust</f>
        <v>0</v>
      </c>
      <c r="KD42" s="3">
        <f>IF(Mark!FQ42&lt;&gt;"",Mark!FQ42,KC42)</f>
        <v>0</v>
      </c>
      <c r="KE42" s="3">
        <f>KD42*M42</f>
        <v>0</v>
      </c>
      <c r="KG42">
        <f>IF(VLOOKUP(E42,Afgr,Data!$CI$3)&gt;0,VLOOKUP(E42,Afgr,Data!$CI$3)*Data!$K$269,0)*MaskJust</f>
        <v>0</v>
      </c>
      <c r="KH42" s="3">
        <f>IF(Mark!FW42&lt;&gt;"",Mark!FW42,KG42)</f>
        <v>0</v>
      </c>
      <c r="KI42" s="3">
        <f>KH42*M42</f>
        <v>0</v>
      </c>
      <c r="KK42">
        <f>IF(Markvand1=2,VLOOKUP($E42,Afgr,Data!$CY$3),0)</f>
        <v>0</v>
      </c>
      <c r="KL42">
        <f>IF(Mark!GC42&lt;&gt;"",Mark!GC42,$KK42)</f>
        <v>0</v>
      </c>
      <c r="KM42">
        <f>IF(AND(E42&gt;1,Markvand1=2),Vandmaskin+$KL42*Flytning/mmprgang+$KL42*Prisprmm,0)</f>
        <v>0</v>
      </c>
      <c r="KN42" s="3">
        <f>IF(Mark!GI42&lt;&gt;"",Mark!GI42,$KM42)</f>
        <v>0</v>
      </c>
      <c r="KO42" s="3">
        <f>KN42*M42</f>
        <v>0</v>
      </c>
      <c r="KQ42">
        <f>IF(VLOOKUP($E42,Afgr,Data!$CK$3)&gt;0,((1+Regn!$BI42/VLOOKUP($E42,Afgr,Data!$CK$3))/2)*VLOOKUP($E42,Afgr,Data!$CL$3)*VLOOKUP($E42,Afgr,Data!$CN$3)+VLOOKUP($E42,Afgr,Data!$CM$3),0)</f>
        <v>0</v>
      </c>
      <c r="KR42">
        <f>IF(VLOOKUP($E42,Afgr,Data!$CK$3)&gt;0,IF(AND($F42=2,$BW42&gt;0),Data!$K$271,0),0)</f>
        <v>0</v>
      </c>
      <c r="KS42">
        <f>IF(VLOOKUP($E42,Afgr,Data!$CK$3)&gt;0,(Regn!$BI42/VLOOKUP($E42,Afgr,Data!$CK$3))*VLOOKUP($E42,Afgr,Data!$CO$3)*VLOOKUP($E42,Afgr,Data!$CN$3),0)</f>
        <v>0</v>
      </c>
      <c r="KT42">
        <f>(KQ42+KR42+KS42)*MaskJust</f>
        <v>0</v>
      </c>
      <c r="KU42" s="3">
        <f>IF(Mark!GO42&lt;&gt;"",Mark!GO42,KT42)</f>
        <v>0</v>
      </c>
      <c r="KV42" s="3">
        <f>KU42*M42</f>
        <v>0</v>
      </c>
      <c r="KW42" s="3"/>
      <c r="KX42">
        <f>IF(AND($F42=1,VLOOKUP($E42,Afgr,Data!$CP$3)&gt;0),((1+$BY42/VLOOKUP($E42,Afgr,Data!$CP$3))/2)*VLOOKUP($E42,Afgr,Data!$CQ$3),0)</f>
        <v>0</v>
      </c>
      <c r="KY42">
        <f>IF(AND($F42=1,VLOOKUP($E42,Afgr,Data!$CP$3)&gt;0),($BY42/VLOOKUP($E42,Afgr,Data!$CP$3))*VLOOKUP($E42,Afgr,Data!$CR$3),0)</f>
        <v>0</v>
      </c>
      <c r="KZ42">
        <f>(KX42+KY42)*MaskJust</f>
        <v>0</v>
      </c>
      <c r="LA42" s="3">
        <f>IF(Mark!GU42&lt;&gt;"",Mark!GU42,KZ42)</f>
        <v>0</v>
      </c>
      <c r="LB42" s="3">
        <f>LA42*M42</f>
        <v>0</v>
      </c>
      <c r="LD42">
        <f>$BI42*VLOOKUP($E42,Afgr,Data!$CS$3)*IF($I42=1,VLOOKUP($E42,Afgr,Data!$CT$3),IF($I42=2,VLOOKUP($E42,Afgr,Data!$CU$3),0))</f>
        <v>0</v>
      </c>
      <c r="LE42" s="3">
        <f>IF(Mark!HD42&lt;&gt;"",Mark!HD42,LD42)</f>
        <v>0</v>
      </c>
      <c r="LF42" s="3">
        <f>LE42*M42</f>
        <v>0</v>
      </c>
      <c r="LH42">
        <f>VLOOKUP($G42,Efgr,Data!$AC$53)*UdsaedJust</f>
        <v>0</v>
      </c>
      <c r="LI42" s="3">
        <f>IF(Mark!$HL42&lt;&gt;"",Mark!$HL42,LH42)</f>
        <v>0</v>
      </c>
      <c r="LJ42" s="3">
        <f>LI42*M42</f>
        <v>0</v>
      </c>
      <c r="LL42" s="3">
        <f>IF(HdgVaerdi=1,($CM42-$CX42)*Npris,$CM42*Npris)</f>
        <v>0</v>
      </c>
      <c r="LM42" s="3">
        <f>LL42*M42</f>
        <v>0</v>
      </c>
      <c r="LO42">
        <f>$ET42</f>
        <v>0</v>
      </c>
      <c r="LP42">
        <f>IF(HdgDyreart=2,$CU42*NPforholdSvin,$CU42*NPforholdKvaeg)</f>
        <v>0</v>
      </c>
      <c r="LQ42">
        <f>IF($LO42&gt;$LP42,($LO42-$LP42),0)</f>
        <v>0</v>
      </c>
      <c r="LR42" s="3">
        <f>IF(HdgVaerdi=1,IF($LO42&gt;$LP42,($LO42-$LP42)*Ppris,0),$LO42*Ppris)</f>
        <v>0</v>
      </c>
      <c r="LS42" s="3">
        <f>LR42*M42</f>
        <v>0</v>
      </c>
      <c r="LU42">
        <f>$EW42</f>
        <v>0</v>
      </c>
      <c r="LV42">
        <f>IF(HdgDyreart=2,$CU42*NKforholdSvin,$CU42*NkforholdKvaeg)</f>
        <v>0</v>
      </c>
      <c r="LW42">
        <f>IF($LU42&gt;$LV42,($LU42-$LV42),0)</f>
        <v>0</v>
      </c>
      <c r="LX42" s="3">
        <f>IF(HdgVaerdi=1,IF($LU42&gt;$LV42,($LU42-$LV42)*Ppris,0),$LU42*Ppris)</f>
        <v>0</v>
      </c>
      <c r="LY42" s="3">
        <f>LX42*M42</f>
        <v>0</v>
      </c>
      <c r="MA42">
        <f>LL42+LR42+LX42</f>
        <v>0</v>
      </c>
      <c r="MB42" s="3">
        <f>IF(Mark!HR42&lt;&gt;"",Mark!HR42,$MA42)</f>
        <v>0</v>
      </c>
      <c r="MC42" s="3">
        <f>MB42*M42</f>
        <v>0</v>
      </c>
      <c r="ME42">
        <f>VLOOKUP($G42,Efgr,Data!$AE$53)*PlantevJust</f>
        <v>0</v>
      </c>
      <c r="MF42" s="3">
        <f>IF(Mark!HX42&lt;&gt;"",Mark!HX42,ME42)</f>
        <v>0</v>
      </c>
      <c r="MG42" s="3">
        <f>MF42*M42</f>
        <v>0</v>
      </c>
      <c r="MI42">
        <f>VLOOKUP($G42,Efgr,Data!$AF$53)+$DD42*VLOOKUP($G42,Efgr,Data!$AL$53)</f>
        <v>0</v>
      </c>
      <c r="MJ42" s="3">
        <f>IF(Mark!ID42&lt;&gt;"",Mark!ID42,MI42)</f>
        <v>0</v>
      </c>
      <c r="MK42" s="3">
        <f>MJ42*M42</f>
        <v>0</v>
      </c>
      <c r="MM42">
        <f>LI42+MB42+MF42+MJ42</f>
        <v>0</v>
      </c>
      <c r="MO42">
        <f>VLOOKUP($G42,Efgr,Data!$AU$53)*SaaJB1*MaskJust</f>
        <v>0</v>
      </c>
      <c r="MP42" s="3">
        <f>IF(Mark!IJ42&lt;&gt;"",Mark!IJ42,MO42)</f>
        <v>0</v>
      </c>
      <c r="MQ42" s="3">
        <f>MP42*M42</f>
        <v>0</v>
      </c>
      <c r="MS42">
        <f>VLOOKUP($G42,Efgr,Data!$AW$53)*Data!$K$268*SaaJB1*MaskJust</f>
        <v>0</v>
      </c>
      <c r="MT42" s="3">
        <f>IF(Mark!IP42&lt;&gt;"",Mark!IP42,MS42)</f>
        <v>0</v>
      </c>
      <c r="MU42" s="3">
        <f>MT42*M42</f>
        <v>0</v>
      </c>
      <c r="MW42">
        <f>VLOOKUP($G42,Efgr,Data!$AV$53)*Data!$K$269*MaskJust</f>
        <v>0</v>
      </c>
      <c r="MX42" s="3">
        <f>IF(Mark!IV42&lt;&gt;"",Mark!IV42,MW42)</f>
        <v>0</v>
      </c>
      <c r="MY42" s="3">
        <f>MX42*M42</f>
        <v>0</v>
      </c>
      <c r="NA42">
        <f>IF(Markvand1=2,VLOOKUP($G42,Efgr,Data!$BC$53),0)</f>
        <v>0</v>
      </c>
      <c r="NB42">
        <f>IF(Mark!JB42&lt;&gt;"",Mark!JB42,$NA42)</f>
        <v>0</v>
      </c>
      <c r="NC42">
        <f>IF(Markvand1=2,$NB42*Flytning/mmprgang+$NB42*Prisprmm,0)</f>
        <v>0</v>
      </c>
      <c r="ND42" s="3">
        <f>IF(Mark!JH42&lt;&gt;"",Mark!JH42,$NC42)</f>
        <v>0</v>
      </c>
      <c r="NE42" s="3">
        <f>ND42*M42</f>
        <v>0</v>
      </c>
      <c r="NG42">
        <f>IF(VLOOKUP($G42,Efgr,Data!$AX$53)&gt;0,((1+Regn!DD42/VLOOKUP($G42,Efgr,Data!$AX$53))/2)*VLOOKUP($G42,Efgr,Data!$AY$53)*VLOOKUP($G42,Efgr,Data!$BA$53)+VLOOKUP($G42,Efgr,Data!$AZ$53),0)</f>
        <v>0</v>
      </c>
      <c r="NH42">
        <f>IF(VLOOKUP($G42,Efgr,Data!$AX$53)&gt;0,($DD42/VLOOKUP($G42,Efgr,Data!$AX$53))*VLOOKUP($G42,Efgr,Data!$BB$53)*VLOOKUP($G42,Efgr,Data!$BA$53),0)</f>
        <v>0</v>
      </c>
      <c r="NI42">
        <f>(NG42+NH42)*MaskJust</f>
        <v>0</v>
      </c>
      <c r="NJ42" s="3">
        <f>IF(Mark!JN42&lt;&gt;"",Mark!JN42,NI42)</f>
        <v>0</v>
      </c>
      <c r="NK42" s="3">
        <f>NJ42*M42</f>
        <v>0</v>
      </c>
      <c r="NM42">
        <f>IF($H42=2,Data!$K$304,IF($H42=3,Data!$K$305,0))*MaskJust</f>
        <v>0</v>
      </c>
      <c r="NN42" s="3">
        <f>IF(Mark!JT42&lt;&gt;"",Mark!JT42,NM42)</f>
        <v>0</v>
      </c>
      <c r="NO42" s="3">
        <f>NN42*M42</f>
        <v>0</v>
      </c>
      <c r="NQ42">
        <f>HY42</f>
        <v>0</v>
      </c>
      <c r="NR42">
        <f>JJ42+MM42</f>
        <v>0</v>
      </c>
      <c r="NS42">
        <f>NQ42-NR42</f>
        <v>0</v>
      </c>
      <c r="NT42">
        <f>NS42*M42</f>
        <v>0</v>
      </c>
      <c r="NW42">
        <f>VLOOKUP($B42,Afgr,Data!$BP$3)+VLOOKUP($C42,Efgr,Data!$AM$53)</f>
        <v>0</v>
      </c>
      <c r="NX42" s="3">
        <f>NW42*M42</f>
        <v>0</v>
      </c>
      <c r="NY42">
        <f>VLOOKUP($E42,Afgr,Data!$BP$3)+VLOOKUP($G42,Efgr,Data!$AM$53)</f>
        <v>0</v>
      </c>
      <c r="NZ42" s="3">
        <f>NY42*M42</f>
        <v>0</v>
      </c>
      <c r="OB42">
        <f>VLOOKUP($C42,Efgr,Data!$AN$53)</f>
        <v>0</v>
      </c>
      <c r="OC42">
        <f>VLOOKUP($B42,Afgr,Data!$BQ$3)</f>
        <v>0</v>
      </c>
      <c r="OD42">
        <f>VLOOKUP($E42,Afgr,Data!$BR$3)</f>
        <v>1</v>
      </c>
      <c r="OE42">
        <f>OB42*OC42*OD42</f>
        <v>0</v>
      </c>
      <c r="OF42" s="3">
        <f>OE42*M42</f>
        <v>0</v>
      </c>
      <c r="OG42" s="3">
        <f>IF(D42,1,0)*OF42</f>
        <v>0</v>
      </c>
      <c r="OI42">
        <f>VLOOKUP($G42,Efgr,Data!$AN$53)</f>
        <v>0</v>
      </c>
      <c r="OJ42">
        <f>VLOOKUP($E42,Afgr,Data!$BQ$3)</f>
        <v>0</v>
      </c>
      <c r="OK42">
        <f>VLOOKUP($K42,Afgr,Data!$BR$3)</f>
        <v>1</v>
      </c>
      <c r="OL42">
        <f>OI42*OJ42*OK42</f>
        <v>0</v>
      </c>
      <c r="OM42" s="3">
        <f>OL42*M42</f>
        <v>0</v>
      </c>
      <c r="OO42">
        <f>VLOOKUP($G42,Efgr,Data!$AO$53)</f>
        <v>0</v>
      </c>
      <c r="OP42">
        <f>VLOOKUP($B42,Afgr,Data!$BQ$3)</f>
        <v>0</v>
      </c>
      <c r="OQ42">
        <f>VLOOKUP($E42,Afgr,Data!$BS$3)</f>
        <v>0</v>
      </c>
      <c r="OR42" s="3">
        <f>OO42*OP42*OQ42*$M42</f>
        <v>0</v>
      </c>
      <c r="OT42">
        <f>VLOOKUP($G42,Efgr,Data!$AO$53)</f>
        <v>0</v>
      </c>
      <c r="OU42">
        <f>VLOOKUP($E42,Afgr,Data!$BQ$3)</f>
        <v>0</v>
      </c>
      <c r="OV42">
        <f>VLOOKUP($K42,Afgr,Data!$BS$3)</f>
        <v>0</v>
      </c>
      <c r="OW42" s="3">
        <f>OT42*OU42*OV42*$M42</f>
        <v>0</v>
      </c>
      <c r="OX42" s="3"/>
      <c r="OY42" s="3">
        <f>VLOOKUP($B42,Afgr,Data!$BU$3)</f>
        <v>0</v>
      </c>
      <c r="OZ42" s="3">
        <f>OY42*M42</f>
        <v>0</v>
      </c>
      <c r="PA42" s="3">
        <f>VLOOKUP($E42,Afgr,Data!$BU$3)</f>
        <v>0</v>
      </c>
      <c r="PB42" s="3">
        <f>PA42*M42</f>
        <v>0</v>
      </c>
      <c r="PD42">
        <f>VLOOKUP(E42,Afgr,Data!$BX$3)+VLOOKUP(G42,Efgr,Data!$AQ$53)</f>
        <v>0</v>
      </c>
      <c r="PE42">
        <f>IF(PD42&gt;0,M42,0)</f>
        <v>0</v>
      </c>
      <c r="PG42">
        <f>VLOOKUP($B42,Afgr,Data!$BT$3)</f>
        <v>0</v>
      </c>
      <c r="PH42" s="3">
        <f>PG42*M42</f>
        <v>0</v>
      </c>
      <c r="PI42">
        <f>VLOOKUP($E42,Afgr,Data!$BT$3)</f>
        <v>0</v>
      </c>
      <c r="PJ42" s="3">
        <f>PI42*M42</f>
        <v>0</v>
      </c>
      <c r="PL42">
        <f>VLOOKUP($E42,Afgr,Data!$BV$3)</f>
        <v>0</v>
      </c>
      <c r="PM42">
        <f>PL42*M42</f>
        <v>0</v>
      </c>
      <c r="PO42">
        <f>VLOOKUP($E42,Afgr,Data!$BW$3)</f>
        <v>0</v>
      </c>
      <c r="PP42">
        <f>PO42*M42</f>
        <v>0</v>
      </c>
      <c r="PR42">
        <f>BI42*IF(VLOOKUP($E42,Afgr,Data!$BJ$3)&gt;0,1,0)</f>
        <v>0</v>
      </c>
      <c r="PS42">
        <f>PR42*M42</f>
        <v>0</v>
      </c>
      <c r="PU42">
        <f>BI42*VLOOKUP(E42,Afgr,Data!$BK$3)</f>
        <v>0</v>
      </c>
      <c r="PV42">
        <f>M42*PU42</f>
        <v>0</v>
      </c>
      <c r="PW42">
        <f>$BI42*VLOOKUP($E42,Afgr,Data!$BL$3)+$DD42*VLOOKUP($G42,Efgr,Data!$AP$53)</f>
        <v>0</v>
      </c>
      <c r="PX42">
        <f>PW42*M42</f>
        <v>0</v>
      </c>
      <c r="PY42">
        <f>$BI42*VLOOKUP($E42,Afgr,Data!$BM$3)</f>
        <v>0</v>
      </c>
      <c r="PZ42">
        <f>PY42*M42</f>
        <v>0</v>
      </c>
      <c r="QA42">
        <f>$BI42*VLOOKUP($E42,Afgr,Data!$BN$3)</f>
        <v>0</v>
      </c>
      <c r="QB42">
        <f>QA42*M42</f>
        <v>0</v>
      </c>
      <c r="QE42">
        <f>IF(VLOOKUP($E42,Afgr,Data!$DA$3)="Vårbyg",$BJ42,0)*VLOOKUP($E42,Afgr,Data!$BJ$3)</f>
        <v>0</v>
      </c>
      <c r="QF42">
        <f>IF(VLOOKUP($E42,Afgr,Data!$DA$3)="Vinterbyg",$BJ42,0)*VLOOKUP($E42,Afgr,Data!$BJ$3)</f>
        <v>0</v>
      </c>
      <c r="QG42">
        <f>IF(VLOOKUP($E42,Afgr,Data!$DA$3)="Havre",$BJ42,0)*VLOOKUP($E42,Afgr,Data!$BJ$3)</f>
        <v>0</v>
      </c>
      <c r="QH42">
        <f>IF(VLOOKUP($E42,Afgr,Data!$DA$3)="Hvede",$BJ42,0)*VLOOKUP($E42,Afgr,Data!$BJ$3)</f>
        <v>0</v>
      </c>
      <c r="QI42">
        <f>IF(VLOOKUP($E42,Afgr,Data!$DA$3)="Triticale",$BJ42,0)*VLOOKUP($E42,Afgr,Data!$BJ$3)</f>
        <v>0</v>
      </c>
      <c r="QJ42">
        <f>IF(VLOOKUP($E42,Afgr,Data!$DA$3)="Rug",$BJ42,0)*VLOOKUP($E42,Afgr,Data!$BJ$3)</f>
        <v>0</v>
      </c>
      <c r="QK42">
        <f>IF(VLOOKUP($E42,Afgr,Data!$DA$3)="Majs",$BJ42,0)*VLOOKUP($E42,Afgr,Data!$BJ$3)</f>
        <v>0</v>
      </c>
      <c r="QN42">
        <f>IF(OI42+OO42&gt;0,1,0)</f>
        <v>0</v>
      </c>
      <c r="QO42">
        <f>QN42*LJ42</f>
        <v>0</v>
      </c>
      <c r="QP42">
        <f>QN42*MG42</f>
        <v>0</v>
      </c>
      <c r="QQ42">
        <f>MQ42</f>
        <v>0</v>
      </c>
      <c r="QR42">
        <f>QN42*NO42</f>
        <v>0</v>
      </c>
    </row>
    <row r="43" spans="1:460" x14ac:dyDescent="0.25">
      <c r="GG43" s="12"/>
      <c r="HP43" s="1"/>
      <c r="HQ43" s="20"/>
    </row>
    <row r="44" spans="1:460" x14ac:dyDescent="0.25">
      <c r="A44">
        <v>6</v>
      </c>
      <c r="B44">
        <v>1</v>
      </c>
      <c r="C44">
        <v>1</v>
      </c>
      <c r="D44" t="b">
        <v>0</v>
      </c>
      <c r="E44">
        <v>1</v>
      </c>
      <c r="F44">
        <v>1</v>
      </c>
      <c r="G44">
        <v>1</v>
      </c>
      <c r="H44">
        <v>1</v>
      </c>
      <c r="I44">
        <v>1</v>
      </c>
      <c r="K44">
        <v>1</v>
      </c>
      <c r="M44">
        <f>IF(ISERROR(N44*Areal1/$N$50),0,N44*Areal1/$N$50)</f>
        <v>0</v>
      </c>
      <c r="N44">
        <f>Mark!Z44</f>
        <v>0</v>
      </c>
      <c r="P44">
        <f>VLOOKUP($E44,Afgr,NnormKolonneNr1)</f>
        <v>0</v>
      </c>
      <c r="Q44">
        <f>VLOOKUP($B44,Afgr,Data!$AI$3)*VLOOKUP(E44,Afgr,Data!$AJ$3)</f>
        <v>0</v>
      </c>
      <c r="R44">
        <f>IF($D44,0,VLOOKUP($C44,Efgr,(Data!$W$53+$G$28-1)))</f>
        <v>0</v>
      </c>
      <c r="S44">
        <f>P44-Q44-R44</f>
        <v>0</v>
      </c>
      <c r="T44">
        <f>S44*M44</f>
        <v>0</v>
      </c>
      <c r="U44">
        <f>IF(Nmodel12=1,S44*Nniveau12*0.01,AO44)</f>
        <v>0</v>
      </c>
      <c r="V44" s="3">
        <f>IF(Mark!CI44&lt;&gt;"",Mark!CI44,U44)</f>
        <v>0</v>
      </c>
      <c r="W44" s="3">
        <f>V44*M44</f>
        <v>0</v>
      </c>
      <c r="Y44">
        <f>S44/NoptFaktor</f>
        <v>0</v>
      </c>
      <c r="Z44" s="3">
        <f>IF(Mark!BZ44&lt;&gt;"",Mark!BZ44,Y44)</f>
        <v>0</v>
      </c>
      <c r="AB44">
        <f>VLOOKUP($E44,Afgr,Data!$DE$3)</f>
        <v>0</v>
      </c>
      <c r="AC44">
        <f>VLOOKUP($E44,Afgr,Data!$DD$3)</f>
        <v>0</v>
      </c>
      <c r="AD44">
        <f>VLOOKUP($E44,Afgr,Data!$DC$3)</f>
        <v>0</v>
      </c>
      <c r="AE44">
        <f>IF(ISERROR($Z44+(-PrisN/$AD44-$AB44)/(2*$AC44)),0,($Z44+(-PrisN/$AD44-$AB44)/(2*$AC44)))</f>
        <v>0</v>
      </c>
      <c r="AF44">
        <f>($BD44+$BE44+$BF44)*1.03333</f>
        <v>0</v>
      </c>
      <c r="AG44">
        <f>$AF44-($AB44*($AE44-$Z44)+$AC44*($AE44-$Z44)^2)</f>
        <v>0</v>
      </c>
      <c r="AH44">
        <f>IF(Nmodel12=1,$AB44*($AE44-$S44)+$AC44*($AE44-$S44)^2,$AB44*($AE44-$AO44)+$AC44*($AE44-$AO44)^2)</f>
        <v>0</v>
      </c>
      <c r="AI44">
        <f>IF(Nmodel12=1,$AB44*($AE44-$V44)+$AC44*($AE44-$V44)^2,$AB44*($AE44-AO44)+$AC44*($AE44-AO44)^2)</f>
        <v>0</v>
      </c>
      <c r="AJ44">
        <f>AG44+AH44-BG44</f>
        <v>0</v>
      </c>
      <c r="AK44">
        <f>AG44+AI44-AJ44</f>
        <v>0</v>
      </c>
      <c r="AM44">
        <f>VLOOKUP(E44,Afgr,Data!$DF$3+SandLer1)</f>
        <v>0</v>
      </c>
      <c r="AN44">
        <f>IF(ISERROR(((-(PrisN+Pantafgift)+AM44*Pantfaktor*Pantafgift)/AD44-AB44)/(2*AC44)),0,((-(PrisN+Pantafgift)+AM44*Pantfaktor*Pantafgift)/AD44-AB44)/(2*AC44))</f>
        <v>0</v>
      </c>
      <c r="AO44">
        <f>AE44-AN44</f>
        <v>0</v>
      </c>
      <c r="AQ44">
        <f>IF(AT44&gt;0,0,W44)</f>
        <v>0</v>
      </c>
      <c r="AR44">
        <f>IF(ISERROR(W44*HdgNTilFordeling12/NnormIaltFordel12),0,W44*HdgNTilFordeling12/NnormIaltFordel12)</f>
        <v>0</v>
      </c>
      <c r="AS44">
        <f>IF(ISERROR($AR44/$M44),0,$AR44/$M44)</f>
        <v>0</v>
      </c>
      <c r="AT44">
        <f>IF(Mark!CO44&lt;&gt;"",Mark!CO44,0)</f>
        <v>0</v>
      </c>
      <c r="AU44">
        <f>$AT44*$M44</f>
        <v>0</v>
      </c>
      <c r="AV44" s="3">
        <f>IF(AT44&gt;0,AT44,AS44)</f>
        <v>0</v>
      </c>
      <c r="AW44" s="3">
        <f>AV44*M44</f>
        <v>0</v>
      </c>
      <c r="AY44">
        <f>UdnKrav*$AV44/100</f>
        <v>0</v>
      </c>
      <c r="BA44">
        <f>AV44*VLOOKUP($E44,Afgr,Data!$DJ$3)</f>
        <v>0</v>
      </c>
      <c r="BB44">
        <f>UdnKrav*$BA44/100</f>
        <v>0</v>
      </c>
      <c r="BD44">
        <f>VLOOKUP(E44,Afgr,NormudbKolonneNr1)</f>
        <v>0</v>
      </c>
      <c r="BE44">
        <f>VLOOKUP(B44,Afgr,Data!$AL$3)*VLOOKUP(E44,Afgr,MerudbKolonneNr1)</f>
        <v>0</v>
      </c>
      <c r="BF44">
        <f>VLOOKUP(C44,Efgr,(Data!$Y$53+EftervirkningUdb1))</f>
        <v>0</v>
      </c>
      <c r="BG44">
        <f>BD44+BE44+BF44</f>
        <v>0</v>
      </c>
      <c r="BH44">
        <f>IF(OR(V44&lt;&gt;S44,Nmodel12=2),AK44,BD44+BE44+BF44)</f>
        <v>0</v>
      </c>
      <c r="BI44" s="3">
        <f>IF(Mark!AK44&lt;&gt;"",Mark!AK44,BH44)</f>
        <v>0</v>
      </c>
      <c r="BJ44">
        <f>BI44*M44</f>
        <v>0</v>
      </c>
      <c r="BK44">
        <f>VLOOKUP(E44,Afgr,3)</f>
        <v>0</v>
      </c>
      <c r="BL44">
        <f>IF(BK44="FE",VLOOKUP($E44,Afgr,Data!$AV$3),0)</f>
        <v>0</v>
      </c>
      <c r="BN44">
        <f>VLOOKUP(E44,Afgr,4)</f>
        <v>0</v>
      </c>
      <c r="BO44" s="3">
        <f>IF(Mark!AW44&lt;&gt;"",Mark!AW44,Regn!BN44)</f>
        <v>0</v>
      </c>
      <c r="BP44" s="3">
        <f>BI44*BO44</f>
        <v>0</v>
      </c>
      <c r="BQ44" s="3">
        <f>BJ44*BO44</f>
        <v>0</v>
      </c>
      <c r="BS44">
        <f>VLOOKUP(E44,Afgr,Data!$AN$3)</f>
        <v>0</v>
      </c>
      <c r="BT44" s="3">
        <f>IF(Mark!BC44&lt;&gt;"",Mark!BC44,BS44)</f>
        <v>0</v>
      </c>
      <c r="BU44" s="3">
        <f>BT44*M44</f>
        <v>0</v>
      </c>
      <c r="BW44">
        <f>VLOOKUP(E44,Afgr,HalmudbKolonneNr1)</f>
        <v>0</v>
      </c>
      <c r="BX44">
        <f>IF(ISERROR(BW44*BI44/BG44),0,(BW44*BI44/BG44))</f>
        <v>0</v>
      </c>
      <c r="BY44" s="3">
        <f>IF(Mark!BI44&lt;&gt;"",Mark!BI44,BX44)</f>
        <v>0</v>
      </c>
      <c r="BZ44">
        <f>BY44*M44</f>
        <v>0</v>
      </c>
      <c r="CC44">
        <f>IF($F44=1,BY44,0)</f>
        <v>0</v>
      </c>
      <c r="CD44">
        <f>IF(F44=1,BZ44,0)</f>
        <v>0</v>
      </c>
      <c r="CE44">
        <f>VLOOKUP(E44,Afgr,Data!$AM$3)</f>
        <v>0</v>
      </c>
      <c r="CF44">
        <f>IF(Mark!BR44&lt;&gt;"",Mark!BR44,CE44)</f>
        <v>0</v>
      </c>
      <c r="CG44">
        <f>CC44*CF44</f>
        <v>0</v>
      </c>
      <c r="CH44">
        <f>CD44*CF44</f>
        <v>0</v>
      </c>
      <c r="CJ44">
        <f>VLOOKUP($G44,Efgr,NnormKolonneEfgr1)</f>
        <v>0</v>
      </c>
      <c r="CK44">
        <f t="shared" si="0"/>
        <v>0</v>
      </c>
      <c r="CL44">
        <f>CJ44*Nniveau12*0.01</f>
        <v>0</v>
      </c>
      <c r="CM44" s="3">
        <f>IF(Mark!DM44&lt;&gt;"",Mark!DM44,CL44)</f>
        <v>0</v>
      </c>
      <c r="CN44" s="3">
        <f>$CM44*$M44</f>
        <v>0</v>
      </c>
      <c r="CP44">
        <f>IF(CS44&gt;0,0,CN44)</f>
        <v>0</v>
      </c>
      <c r="CQ44">
        <f>IF(ISERROR(CN44*HdgNTilFordeling12/NnormIaltFordel12),0,CN44*HdgNTilFordeling12/NnormIaltFordel12)</f>
        <v>0</v>
      </c>
      <c r="CR44">
        <f>IF(ISERROR($CQ44/$M44),0,$CQ44/$M44)</f>
        <v>0</v>
      </c>
      <c r="CS44">
        <f>IF(Mark!DS44&lt;&gt;"",Mark!DS44,0)</f>
        <v>0</v>
      </c>
      <c r="CT44">
        <f>$CS44*$M44</f>
        <v>0</v>
      </c>
      <c r="CU44" s="3">
        <f>IF($CS44&gt;0,$CS44,$CR44)</f>
        <v>0</v>
      </c>
      <c r="CV44" s="3">
        <f>CU44*M44</f>
        <v>0</v>
      </c>
      <c r="CX44">
        <f>UdnKrav*$CU44/100</f>
        <v>0</v>
      </c>
      <c r="CZ44">
        <f>$CU44*VLOOKUP($G44,Efgr,Data!$BG$53)</f>
        <v>0</v>
      </c>
      <c r="DA44">
        <f>UdnKrav*$CZ44/100</f>
        <v>0</v>
      </c>
      <c r="DC44">
        <f>VLOOKUP(G44,Efgr,NormudbKolonneNrEfgr1)</f>
        <v>0</v>
      </c>
      <c r="DD44" s="3">
        <f>IF(Mark!DC44&lt;&gt;"",Mark!DC44,DC44)</f>
        <v>0</v>
      </c>
      <c r="DE44">
        <f>DD44*M44</f>
        <v>0</v>
      </c>
      <c r="DF44" t="s">
        <v>37</v>
      </c>
      <c r="DG44">
        <f>DD44*Efterslaetpris</f>
        <v>0</v>
      </c>
      <c r="DH44">
        <f>DE44*Efterslaetpris</f>
        <v>0</v>
      </c>
      <c r="DI44">
        <f>VLOOKUP(G44,Efgr,Data!$AG$53)</f>
        <v>0</v>
      </c>
      <c r="DJ44">
        <f>DD44*DI44</f>
        <v>0</v>
      </c>
      <c r="DL44">
        <f>VLOOKUP($E44,Afgr,Data!$AW$3)</f>
        <v>0</v>
      </c>
      <c r="DM44">
        <f>IF(BK44="FE",$BI44*$BL44*$DL44*0.01,$BI44*100*$DR44*0.01*$DL44*0.01)</f>
        <v>0</v>
      </c>
      <c r="DN44">
        <f>IF(VLOOKUP(E44,Afgr,Data!$BO$3)=1,DM44,0)*M44</f>
        <v>0</v>
      </c>
      <c r="DO44" s="12">
        <f>IF(Nmodel12=1,(V44-S44)*VLOOKUP($E44,Afgr,Data!$AX$3),(AO44-S44)*VLOOKUP(E44,Afgr,Data!$AX$3))</f>
        <v>0</v>
      </c>
      <c r="DP44">
        <f>DL44+DO44</f>
        <v>0</v>
      </c>
      <c r="DQ44">
        <f>IF(Mark!AQ44&lt;&gt;"",Mark!AQ44,DP44)</f>
        <v>0</v>
      </c>
      <c r="DR44">
        <f>VLOOKUP(E44,Afgr,Data!$AT$3)</f>
        <v>0</v>
      </c>
      <c r="DS44">
        <f>IF($BK44="FE",$BI44*$BL44*$DQ44*0.01,$BI44*100*$DR44*0.01*DQ44*0.01)</f>
        <v>0</v>
      </c>
      <c r="DT44">
        <f>IF(VLOOKUP(E44,Afgr,Data!$BO$3)=1,DS44,0)*M44</f>
        <v>0</v>
      </c>
      <c r="DU44">
        <f>IF(ISERROR(DS44/VLOOKUP(E44,Afgr,Data!$AY$3)),0,DS44/VLOOKUP(E44,Afgr,Data!$AY$3))</f>
        <v>0</v>
      </c>
      <c r="DV44">
        <f>DU44*M44</f>
        <v>0</v>
      </c>
      <c r="DX44">
        <f>IF($BK44="FE",$BI44*$BL44*VLOOKUP($E44,Afgr,Data!$BC$3)*0.001,$BI44*100*$DR44*0.01*VLOOKUP($E44,Afgr,Data!$BC$3)*0.001)</f>
        <v>0</v>
      </c>
      <c r="DY44">
        <f>DX44*M44</f>
        <v>0</v>
      </c>
      <c r="EA44">
        <f>IF($BK44="FE",$BI44*$BL44*VLOOKUP($E44,Afgr,Data!$BF$3)*0.001,$BI44*100*$DR44*0.01*VLOOKUP($E44,Afgr,Data!$BF$3)*0.001)</f>
        <v>0</v>
      </c>
      <c r="EB44">
        <f>EA44*M44</f>
        <v>0</v>
      </c>
      <c r="ED44">
        <f>IF(ISERROR(VLOOKUP(E44,Afgr,Data!$AZ$3)*DQ44/DL44),0,VLOOKUP(E44,Afgr,Data!$AZ$3)*DQ44/DL44)</f>
        <v>0</v>
      </c>
      <c r="EE44">
        <f>VLOOKUP(E44,Afgr,Data!$AU$3)</f>
        <v>0</v>
      </c>
      <c r="EF44">
        <f>IF($F44=1,$BY44*$EE44*0.01*ED44*0.01,0)</f>
        <v>0</v>
      </c>
      <c r="EG44">
        <f>EF44/6.25</f>
        <v>0</v>
      </c>
      <c r="EH44">
        <f>EG44*M44</f>
        <v>0</v>
      </c>
      <c r="EJ44">
        <f>IF($F44=1,$BY44*$EE44*0.01*VLOOKUP($E44,Afgr,Data!$BD$3)*0.001,0)</f>
        <v>0</v>
      </c>
      <c r="EK44">
        <f>EJ44*M44</f>
        <v>0</v>
      </c>
      <c r="EM44">
        <f>IF($F44=1,$BY44*$EE44*0.01*VLOOKUP($E44,Afgr,Data!$BG$3)*0.001,0)</f>
        <v>0</v>
      </c>
      <c r="EN44">
        <f>EM44*M44</f>
        <v>0</v>
      </c>
      <c r="EP44">
        <f>VLOOKUP(G44,Efgr,Data!$AI$53)</f>
        <v>0</v>
      </c>
      <c r="EQ44">
        <f>DJ44*EP44*0.01/6.25</f>
        <v>0</v>
      </c>
      <c r="ER44">
        <f>EQ44*M44</f>
        <v>0</v>
      </c>
      <c r="ET44">
        <f>$DJ44*VLOOKUP($G44,Efgr,Data!$AJ$53)*0.001</f>
        <v>0</v>
      </c>
      <c r="EU44">
        <f>ET44*M44</f>
        <v>0</v>
      </c>
      <c r="EW44">
        <f>$DJ44*VLOOKUP($G44,Efgr,Data!$AK$53)*0.001</f>
        <v>0</v>
      </c>
      <c r="EX44">
        <f>EW44*M44</f>
        <v>0</v>
      </c>
      <c r="EZ44">
        <f>IF(VLOOKUP(E44,Afgr,Data!$DS$3)=1,DU44*VLOOKUP(E44,Afgr,(Data!$DT$3+EftervirkningUdb1))*VLOOKUP(E44,Afgr,Data!$DV$3),0)</f>
        <v>0</v>
      </c>
      <c r="FA44">
        <f>IF(VLOOKUP(E44,Afgr,Data!$DS$3)=2,VLOOKUP(E44,Afgr,Data!$DX$3),0)</f>
        <v>0</v>
      </c>
      <c r="FB44">
        <f>IF(VLOOKUP(E44,Afgr,Data!$DS$3)=3,$DU44*VLOOKUP($E44,Afgr,IF(Jordtype1&lt;5,Data!$DT$3,Data!$DU$3))*VLOOKUP($E44,Afgr,Data!$DV$3),0)</f>
        <v>0</v>
      </c>
      <c r="FC44">
        <f>IF(VLOOKUP(E44,Afgr,Data!$DS$3)=4,(1.232+0.00469*BI44*100+(0.000256*BI44*100+0.089)*60),0)</f>
        <v>0</v>
      </c>
      <c r="FD44">
        <f>$V44+IF($AY44-$BB44&gt;$V44,$AY44-$V44,0)-$BB44</f>
        <v>0</v>
      </c>
      <c r="FE44">
        <f>IF(VLOOKUP($E44,Afgr,Data!$DS$3)=5,($BI44*0.02742-$BI44*0.0001*$FD44+$BI44*0.0000001111*$FD44*$FD44),0)</f>
        <v>0</v>
      </c>
      <c r="FF44">
        <f>$CM44+IF($CX44-$DA44&gt;$CM44,$CX44-$CM44,0)-$DA44</f>
        <v>0</v>
      </c>
      <c r="FG44">
        <f>IF(VLOOKUP($G44,Efgr,Data!$BH$53)=5,($DD44*0.02742-$DD44*0.0001*$FF44+$DD44*0.0000001111*$FF44*$FF44),0)</f>
        <v>0</v>
      </c>
      <c r="FH44" s="3">
        <f>EZ44+FA44+FB44+FC44+FE44+FG44</f>
        <v>0</v>
      </c>
      <c r="FI44" s="3">
        <f>FH44*M44</f>
        <v>0</v>
      </c>
      <c r="FK44">
        <f>$V44+$CM44</f>
        <v>0</v>
      </c>
      <c r="FL44">
        <f>($AV44-$AY44)+IF($AY44&gt;$V44,$AY44-$V44,0)+($CU44-$CX44)+IF($CX44&gt;$CM44,$CX44-$CM44,0)</f>
        <v>0</v>
      </c>
      <c r="FM44">
        <f>VLOOKUP($E44,Afgr,Data!$DK$3)*VLOOKUP($E44,Afgr,Data!$AT$3)*0.01*VLOOKUP($E44,Afgr,Data!$AW$3)*0.01/6.25</f>
        <v>0</v>
      </c>
      <c r="FN44" s="4">
        <f>IF(E44&gt;1,Deposition,0)</f>
        <v>0</v>
      </c>
      <c r="FO44">
        <f>FH44</f>
        <v>0</v>
      </c>
      <c r="FP44">
        <f>SUM(FK44:FO44)</f>
        <v>0</v>
      </c>
      <c r="FQ44">
        <f>DU44+EG44+EQ44</f>
        <v>0</v>
      </c>
      <c r="FR44" s="3">
        <f>FP44-FQ44</f>
        <v>0</v>
      </c>
      <c r="FS44" s="19">
        <f>FP44*M44</f>
        <v>0</v>
      </c>
      <c r="FT44" s="19">
        <f>FQ44*M44</f>
        <v>0</v>
      </c>
      <c r="FU44" s="3">
        <f>FR44*M44</f>
        <v>0</v>
      </c>
      <c r="FW44">
        <f>IL44+IM44+LP44+LQ44</f>
        <v>0</v>
      </c>
      <c r="FX44">
        <f>IK44+LO44</f>
        <v>0</v>
      </c>
      <c r="FY44">
        <f>FW44-FX44</f>
        <v>0</v>
      </c>
      <c r="FZ44">
        <f>FY44*M44</f>
        <v>0</v>
      </c>
      <c r="GB44">
        <f>IS44+IT44+LV44+LW44</f>
        <v>0</v>
      </c>
      <c r="GC44">
        <f>IR44+LU44</f>
        <v>0</v>
      </c>
      <c r="GD44">
        <f>GB44-GC44</f>
        <v>0</v>
      </c>
      <c r="GE44">
        <f>GD44*M44</f>
        <v>0</v>
      </c>
      <c r="GG44" s="149">
        <f>IF(OR(VLOOKUP(E44,Afgr,Data!$BV$3)=1,VLOOKUP(E44,Afgr,Data!$BW$3)=1),0,NniveauDelsaedsk1)</f>
        <v>194</v>
      </c>
      <c r="GH44" s="1">
        <v>0.32550000000000001</v>
      </c>
      <c r="GI44" s="6">
        <v>0</v>
      </c>
      <c r="GJ44" s="24">
        <f>IF(($V44-BB44+$CM44-DA44)&lt;0,0,$V44-BB44+$CM44-DA44)</f>
        <v>0</v>
      </c>
      <c r="GK44" s="6">
        <f>$FO44</f>
        <v>0</v>
      </c>
      <c r="GL44" s="1">
        <v>0.25280000000000002</v>
      </c>
      <c r="GM44">
        <f>$BA44+$CZ44</f>
        <v>0</v>
      </c>
      <c r="GN44" s="1">
        <v>0.376</v>
      </c>
      <c r="GO44" s="6">
        <v>0</v>
      </c>
      <c r="GP44" s="1">
        <f>IF(SandLer1&gt;1,0.3539,1.0749)</f>
        <v>0.35389999999999999</v>
      </c>
      <c r="GQ44" s="11">
        <f>$FQ44</f>
        <v>0</v>
      </c>
      <c r="GR44" s="1">
        <v>0.19359999999999999</v>
      </c>
      <c r="GS44" s="1">
        <f>VLOOKUP($E44,Afgr,Data!$DM$3)</f>
        <v>0</v>
      </c>
      <c r="GT44" s="24">
        <f>IF($GS44&gt;1,0,(VLOOKUP($K44,Afgr,Data!$DP$3)+IF(VLOOKUP($K44,Afgr,Data!$DP$3)=0,VLOOKUP($G44,Efgr,Data!$BI$53,0))))+IF(AND($GS44=7,VLOOKUP($K44,Afgr,Data!$DQ$3)=-2),-2,0)+IF(AND($GS44=6,VLOOKUP($G44,Efgr,Data!$BI$53)=2),8,0)</f>
        <v>0</v>
      </c>
      <c r="GU44" s="6" t="e">
        <f>VLOOKUP(SUM(GS44:GT44),Nlesafgr,3)</f>
        <v>#N/A</v>
      </c>
      <c r="GV44" s="7">
        <f>VLOOKUP($B44,Afgr,Data!$DN$3)</f>
        <v>0</v>
      </c>
      <c r="GW44" s="24">
        <f>IF(GV44&gt;1,0,VLOOKUP($E44,Afgr,Data!$DO$3)+IF(VLOOKUP($E44,Afgr,Data!$DO$3)=1,0,VLOOKUP($C44,Efgr,Data!$BJ$53)))</f>
        <v>0</v>
      </c>
      <c r="GX44" s="6" t="e">
        <f>VLOOKUP(SUM(GV44:GW44),Nlesforfrugt,3)</f>
        <v>#N/A</v>
      </c>
      <c r="GY44" s="1" t="e">
        <f>GH44*GG44+GL44*(GJ44+GK44)+GN44*GM44+GP44*GO44-GR44*GQ44+GU44+GX44</f>
        <v>#N/A</v>
      </c>
      <c r="GZ44" s="1">
        <f>Nlesafskaering</f>
        <v>59.6</v>
      </c>
      <c r="HA44" s="1">
        <f>Teknologi1</f>
        <v>2455</v>
      </c>
      <c r="HB44" s="6">
        <v>2001</v>
      </c>
      <c r="HC44" s="1">
        <f>Teknologi2</f>
        <v>1962.2</v>
      </c>
      <c r="HD44" s="1">
        <f>Tandel</f>
        <v>0.54659999999999997</v>
      </c>
      <c r="HE44" s="1" t="e">
        <f>IF(OR(GY44&gt;0,GY44=0),GZ44+HA44/(HB44-HC44),GZ44+HA44/(HB44-HC44)+HD44*GY44)</f>
        <v>#N/A</v>
      </c>
      <c r="HF44" s="1" t="e">
        <f>IF(GY44&gt;0,GY44,0.001)</f>
        <v>#N/A</v>
      </c>
      <c r="HG44" s="1">
        <v>1.5020000000000001E-3</v>
      </c>
      <c r="HH44" s="24">
        <f>IF(E44=1,0,VLOOKUP(Postnr,AfstromData,VLOOKUP($E44,Afgr,Data!$DL$3)+IF(Jordtype1&lt;7,Jordtype1,6),FALSE)-VLOOKUP(G44,Efgr,Data!$AA$53))</f>
        <v>0</v>
      </c>
      <c r="HI44" s="1">
        <v>5.5400000000000002E-4</v>
      </c>
      <c r="HJ44" s="24">
        <f>IF(E44=1,0,VLOOKUP(Postnr,AfstromData,VLOOKUP($B44,Afgr,Data!$DL$3)+IF(Jordtype1&lt;7,Jordtype1,6),FALSE)-VLOOKUP(C44,Efgr,Data!$AA$53))</f>
        <v>0</v>
      </c>
      <c r="HK44" s="1">
        <v>0.10639999999999999</v>
      </c>
      <c r="HL44" s="6">
        <f>VLOOKUP(Jordtype1,Jordtype,Data!$W$112)</f>
        <v>3</v>
      </c>
      <c r="HM44" s="1">
        <v>3.2500000000000001E-2</v>
      </c>
      <c r="HN44" s="6">
        <f>VLOOKUP(Jordtype1,Jordtype,Data!$X$112)</f>
        <v>12</v>
      </c>
      <c r="HO44" s="1">
        <v>1.2453000000000001</v>
      </c>
      <c r="HP44" s="1">
        <f>IF(VLOOKUP(G44,Efgr,Data!$AO$53)=1,MlafgrNUdvask,0)</f>
        <v>0</v>
      </c>
      <c r="HQ44" s="20">
        <f>IF(ISERROR((HE44+POWER(HF44,1.2))*(1-EXP(-HG44*HH44))*EXP(-HI44*HJ44)*EXP(-HK44*HL44)*EXP(-HM44*HN44)*HO44),0,(HE44+POWER(HF44,1.2))*(1-EXP(-HG44*HH44))*EXP(-HI44*HJ44)*EXP(-HK44*HL44)*EXP(-HM44*HN44)*HO44+HP44)</f>
        <v>0</v>
      </c>
      <c r="HR44">
        <f>HQ44*M44</f>
        <v>0</v>
      </c>
      <c r="HS44">
        <f>HQ44*(100-Retention1)*0.01</f>
        <v>0</v>
      </c>
      <c r="HT44">
        <f>HS44*M44</f>
        <v>0</v>
      </c>
      <c r="HU44" s="2">
        <f>HH44*10000</f>
        <v>0</v>
      </c>
      <c r="HV44" s="2">
        <f>HU44*M44</f>
        <v>0</v>
      </c>
      <c r="HW44">
        <f>IF(ISERROR(HQ44*1000*1000/HU44),0,HQ44*1000*1000/HU44)</f>
        <v>0</v>
      </c>
      <c r="HY44">
        <f>BP44+BT44+CG44+DG44</f>
        <v>0</v>
      </c>
      <c r="IB44">
        <f>VLOOKUP(E44,Afgr,Data!$AP$3)*UdsaedJust</f>
        <v>0</v>
      </c>
      <c r="IC44" s="3">
        <f>IF(Mark!EG44&lt;&gt;"",Mark!EG44,Regn!IB44)</f>
        <v>0</v>
      </c>
      <c r="ID44" s="3">
        <f>IC44*M44</f>
        <v>0</v>
      </c>
      <c r="IF44" s="3">
        <f>IF(HdgVaerdi=1,($V44-$AY44)*Npris,$V44*Npris)</f>
        <v>0</v>
      </c>
      <c r="IG44" s="3">
        <f>IF44*M44</f>
        <v>0</v>
      </c>
      <c r="II44">
        <f>VLOOKUP($E44,Afgr,Data!$BA$3)</f>
        <v>0</v>
      </c>
      <c r="IJ44">
        <f>VLOOKUP($E44,Afgr,Data!$BB$3)</f>
        <v>0</v>
      </c>
      <c r="IK44">
        <f>$DX44+$EJ44</f>
        <v>0</v>
      </c>
      <c r="IL44">
        <f>IF(HdgDyreart=2,$AV44*NPforholdSvin,$AV44*NPforholdKvaeg)</f>
        <v>0</v>
      </c>
      <c r="IM44">
        <f>II44+IF($IJ44+$IK44&gt;$IL44,($IJ44+$IK44-$IL44),0)</f>
        <v>0</v>
      </c>
      <c r="IN44" s="3">
        <f>IF(HdgVaerdi=1,($II44*Ppris+IF($IJ44+$IK44&gt;$IL44,($IJ44+$IK44-$IL44)*Ppris,0)),($II44+$IJ44+$IK44)*Ppris)</f>
        <v>0</v>
      </c>
      <c r="IO44" s="3">
        <f>IN44*M44</f>
        <v>0</v>
      </c>
      <c r="IQ44">
        <f>IF(AND(E44&gt;1,OR(Jordtype1=1,Jordtype1=3,Markvand1=2)),Kudvask,0)</f>
        <v>0</v>
      </c>
      <c r="IR44">
        <f>$EA44+$EM44</f>
        <v>0</v>
      </c>
      <c r="IS44">
        <f>IF(HdgDyreart=2,$AV44*NKforholdSvin,$AV44*NkforholdKvaeg)</f>
        <v>0</v>
      </c>
      <c r="IT44">
        <f>IF($IQ44+$IR44&gt;$IS44,($IQ44+$IR44-$IS44),0)</f>
        <v>0</v>
      </c>
      <c r="IU44" s="3">
        <f>IF(HdgVaerdi=1,IF($IQ44+$IR44&gt;$IS44,($IQ44+$IR44-$IS44)*Kpris,0),($IQ44+$IR44)*Kpris)</f>
        <v>0</v>
      </c>
      <c r="IV44" s="3">
        <f>IU44*M44</f>
        <v>0</v>
      </c>
      <c r="IX44">
        <f>IF44+IN44+IU44</f>
        <v>0</v>
      </c>
      <c r="IY44" s="3">
        <f>IF(Mark!EM44&lt;&gt;"",Mark!EM44,$IX44)</f>
        <v>0</v>
      </c>
      <c r="IZ44" s="3">
        <f>IY44*M44</f>
        <v>0</v>
      </c>
      <c r="JB44">
        <f>VLOOKUP(E44,Afgr,Data!$AQ$3)*PlantevJust</f>
        <v>0</v>
      </c>
      <c r="JC44" s="3">
        <f>IF(Mark!ES44&lt;&gt;"",Mark!ES44,JB44)</f>
        <v>0</v>
      </c>
      <c r="JD44" s="3">
        <f>JC44*M44</f>
        <v>0</v>
      </c>
      <c r="JF44">
        <f>VLOOKUP(E44,Afgr,Data!$AR$3)+BI44*VLOOKUP(E44,Afgr,Data!$BH$3)</f>
        <v>0</v>
      </c>
      <c r="JG44" s="3">
        <f>IF(Mark!EY44&lt;&gt;"",Mark!EY44,JF44)</f>
        <v>0</v>
      </c>
      <c r="JH44">
        <f>JG44*M44</f>
        <v>0</v>
      </c>
      <c r="JJ44">
        <f>IC44+IY44+JC44+JG44</f>
        <v>0</v>
      </c>
      <c r="JL44">
        <f>IF(VLOOKUP(E44,Afgr,Data!$BY$3)&gt;0,Data!$K$259*PlojJB1,0)</f>
        <v>0</v>
      </c>
      <c r="JM44">
        <f>IF(VLOOKUP(E44,Afgr,Data!$BZ$3)&gt;0,Data!$K$260*PlojJB1,0)</f>
        <v>0</v>
      </c>
      <c r="JN44">
        <f>(JL44+JM44)*MaskJust</f>
        <v>0</v>
      </c>
      <c r="JO44" s="3">
        <f>IF(Mark!FE44&lt;&gt;"",Mark!FE44,JN44)</f>
        <v>0</v>
      </c>
      <c r="JP44" s="3">
        <f>JO44*M44</f>
        <v>0</v>
      </c>
      <c r="JR44">
        <f>IF(VLOOKUP(E44,Afgr,Data!$CA$3)&gt;0,VLOOKUP(E44,Afgr,Data!$CA$3)*Data!$K$261*SaaJB1,0)</f>
        <v>0</v>
      </c>
      <c r="JS44">
        <f>IF(VLOOKUP(E44,Afgr,Data!$CC$3)&gt;0,Data!$K$262*SaaJB1,0)</f>
        <v>0</v>
      </c>
      <c r="JT44">
        <f>IF(VLOOKUP(E44,Afgr,Data!$CD$3)&gt;0,VLOOKUP(E44,Afgr,Data!$CD$3)*Data!$K$263*SaaJB1,0)</f>
        <v>0</v>
      </c>
      <c r="JU44">
        <f>IF(VLOOKUP(E44,Afgr,Data!$CE$3)&gt;0,Data!$K$264*SaaJB1,0)</f>
        <v>0</v>
      </c>
      <c r="JV44">
        <f>IF(VLOOKUP(E44,Afgr,Data!$CF$3)&gt;0,Data!$K$265*SaaJB1,0)</f>
        <v>0</v>
      </c>
      <c r="JW44">
        <f>IF(VLOOKUP(E44,Afgr,Data!$CV$3)&gt;0,Data!$K$266,0)</f>
        <v>0</v>
      </c>
      <c r="JX44">
        <f>IF(VLOOKUP(E44,Afgr,Data!$CG$3)&gt;0,Data!$K$267*SaaJB1,0)</f>
        <v>0</v>
      </c>
      <c r="JY44">
        <f>(JR44+JS44+JT44+JU44+JV44+JW44+JX44)*MaskJust</f>
        <v>0</v>
      </c>
      <c r="JZ44" s="3">
        <f>IF(Mark!FK44&lt;&gt;"",Mark!FK44,JY44)</f>
        <v>0</v>
      </c>
      <c r="KA44" s="3">
        <f>JZ44*M44</f>
        <v>0</v>
      </c>
      <c r="KC44">
        <f>IF(VLOOKUP(E44,Afgr,Data!$CJ$3)&gt;0,VLOOKUP(E44,Afgr,Data!$CJ$3)*Data!$K$268*SaaJB1,0)*MaskJust</f>
        <v>0</v>
      </c>
      <c r="KD44" s="3">
        <f>IF(Mark!FQ44&lt;&gt;"",Mark!FQ44,KC44)</f>
        <v>0</v>
      </c>
      <c r="KE44" s="3">
        <f>KD44*M44</f>
        <v>0</v>
      </c>
      <c r="KG44">
        <f>IF(VLOOKUP(E44,Afgr,Data!$CI$3)&gt;0,VLOOKUP(E44,Afgr,Data!$CI$3)*Data!$K$269,0)*MaskJust</f>
        <v>0</v>
      </c>
      <c r="KH44" s="3">
        <f>IF(Mark!FW44&lt;&gt;"",Mark!FW44,KG44)</f>
        <v>0</v>
      </c>
      <c r="KI44" s="3">
        <f>KH44*M44</f>
        <v>0</v>
      </c>
      <c r="KK44">
        <f>IF(Markvand1=2,VLOOKUP($E44,Afgr,Data!$CY$3),0)</f>
        <v>0</v>
      </c>
      <c r="KL44">
        <f>IF(Mark!GC44&lt;&gt;"",Mark!GC44,$KK44)</f>
        <v>0</v>
      </c>
      <c r="KM44">
        <f>IF(AND(E44&gt;1,Markvand1=2),Vandmaskin+$KL44*Flytning/mmprgang+$KL44*Prisprmm,0)</f>
        <v>0</v>
      </c>
      <c r="KN44" s="3">
        <f>IF(Mark!GI44&lt;&gt;"",Mark!GI44,$KM44)</f>
        <v>0</v>
      </c>
      <c r="KO44" s="3">
        <f>KN44*M44</f>
        <v>0</v>
      </c>
      <c r="KQ44">
        <f>IF(VLOOKUP($E44,Afgr,Data!$CK$3)&gt;0,((1+Regn!$BI44/VLOOKUP($E44,Afgr,Data!$CK$3))/2)*VLOOKUP($E44,Afgr,Data!$CL$3)*VLOOKUP($E44,Afgr,Data!$CN$3)+VLOOKUP($E44,Afgr,Data!$CM$3),0)</f>
        <v>0</v>
      </c>
      <c r="KR44">
        <f>IF(VLOOKUP($E44,Afgr,Data!$CK$3)&gt;0,IF(AND($F44=2,$BW44&gt;0),Data!$K$271,0),0)</f>
        <v>0</v>
      </c>
      <c r="KS44">
        <f>IF(VLOOKUP($E44,Afgr,Data!$CK$3)&gt;0,(Regn!$BI44/VLOOKUP($E44,Afgr,Data!$CK$3))*VLOOKUP($E44,Afgr,Data!$CO$3)*VLOOKUP($E44,Afgr,Data!$CN$3),0)</f>
        <v>0</v>
      </c>
      <c r="KT44">
        <f>(KQ44+KR44+KS44)*MaskJust</f>
        <v>0</v>
      </c>
      <c r="KU44" s="3">
        <f>IF(Mark!GO44&lt;&gt;"",Mark!GO44,KT44)</f>
        <v>0</v>
      </c>
      <c r="KV44" s="3">
        <f>KU44*M44</f>
        <v>0</v>
      </c>
      <c r="KW44" s="3"/>
      <c r="KX44">
        <f>IF(AND($F44=1,VLOOKUP($E44,Afgr,Data!$CP$3)&gt;0),((1+$BY44/VLOOKUP($E44,Afgr,Data!$CP$3))/2)*VLOOKUP($E44,Afgr,Data!$CQ$3),0)</f>
        <v>0</v>
      </c>
      <c r="KY44">
        <f>IF(AND($F44=1,VLOOKUP($E44,Afgr,Data!$CP$3)&gt;0),($BY44/VLOOKUP($E44,Afgr,Data!$CP$3))*VLOOKUP($E44,Afgr,Data!$CR$3),0)</f>
        <v>0</v>
      </c>
      <c r="KZ44">
        <f>(KX44+KY44)*MaskJust</f>
        <v>0</v>
      </c>
      <c r="LA44" s="3">
        <f>IF(Mark!GU44&lt;&gt;"",Mark!GU44,KZ44)</f>
        <v>0</v>
      </c>
      <c r="LB44" s="3">
        <f>LA44*M44</f>
        <v>0</v>
      </c>
      <c r="LD44">
        <f>$BI44*VLOOKUP($E44,Afgr,Data!$CS$3)*IF($I44=1,VLOOKUP($E44,Afgr,Data!$CT$3),IF($I44=2,VLOOKUP($E44,Afgr,Data!$CU$3),0))</f>
        <v>0</v>
      </c>
      <c r="LE44" s="3">
        <f>IF(Mark!HD44&lt;&gt;"",Mark!HD44,LD44)</f>
        <v>0</v>
      </c>
      <c r="LF44" s="3">
        <f>LE44*M44</f>
        <v>0</v>
      </c>
      <c r="LH44">
        <f>VLOOKUP($G44,Efgr,Data!$AC$53)*UdsaedJust</f>
        <v>0</v>
      </c>
      <c r="LI44" s="3">
        <f>IF(Mark!$HL44&lt;&gt;"",Mark!$HL44,LH44)</f>
        <v>0</v>
      </c>
      <c r="LJ44" s="3">
        <f>LI44*M44</f>
        <v>0</v>
      </c>
      <c r="LL44" s="3">
        <f>IF(HdgVaerdi=1,($CM44-$CX44)*Npris,$CM44*Npris)</f>
        <v>0</v>
      </c>
      <c r="LM44" s="3">
        <f>LL44*M44</f>
        <v>0</v>
      </c>
      <c r="LO44">
        <f>$ET44</f>
        <v>0</v>
      </c>
      <c r="LP44">
        <f>IF(HdgDyreart=2,$CU44*NPforholdSvin,$CU44*NPforholdKvaeg)</f>
        <v>0</v>
      </c>
      <c r="LQ44">
        <f>IF($LO44&gt;$LP44,($LO44-$LP44),0)</f>
        <v>0</v>
      </c>
      <c r="LR44" s="3">
        <f>IF(HdgVaerdi=1,IF($LO44&gt;$LP44,($LO44-$LP44)*Ppris,0),$LO44*Ppris)</f>
        <v>0</v>
      </c>
      <c r="LS44" s="3">
        <f>LR44*M44</f>
        <v>0</v>
      </c>
      <c r="LU44">
        <f>$EW44</f>
        <v>0</v>
      </c>
      <c r="LV44">
        <f>IF(HdgDyreart=2,$CU44*NKforholdSvin,$CU44*NkforholdKvaeg)</f>
        <v>0</v>
      </c>
      <c r="LW44">
        <f>IF($LU44&gt;$LV44,($LU44-$LV44),0)</f>
        <v>0</v>
      </c>
      <c r="LX44" s="3">
        <f>IF(HdgVaerdi=1,IF($LU44&gt;$LV44,($LU44-$LV44)*Ppris,0),$LU44*Ppris)</f>
        <v>0</v>
      </c>
      <c r="LY44" s="3">
        <f>LX44*M44</f>
        <v>0</v>
      </c>
      <c r="MA44">
        <f>LL44+LR44+LX44</f>
        <v>0</v>
      </c>
      <c r="MB44" s="3">
        <f>IF(Mark!HR44&lt;&gt;"",Mark!HR44,$MA44)</f>
        <v>0</v>
      </c>
      <c r="MC44" s="3">
        <f>MB44*M44</f>
        <v>0</v>
      </c>
      <c r="ME44">
        <f>VLOOKUP($G44,Efgr,Data!$AE$53)*PlantevJust</f>
        <v>0</v>
      </c>
      <c r="MF44" s="3">
        <f>IF(Mark!HX44&lt;&gt;"",Mark!HX44,ME44)</f>
        <v>0</v>
      </c>
      <c r="MG44" s="3">
        <f>MF44*M44</f>
        <v>0</v>
      </c>
      <c r="MI44">
        <f>VLOOKUP($G44,Efgr,Data!$AF$53)+$DD44*VLOOKUP($G44,Efgr,Data!$AL$53)</f>
        <v>0</v>
      </c>
      <c r="MJ44" s="3">
        <f>IF(Mark!ID44&lt;&gt;"",Mark!ID44,MI44)</f>
        <v>0</v>
      </c>
      <c r="MK44" s="3">
        <f>MJ44*M44</f>
        <v>0</v>
      </c>
      <c r="MM44">
        <f>LI44+MB44+MF44+MJ44</f>
        <v>0</v>
      </c>
      <c r="MO44">
        <f>VLOOKUP($G44,Efgr,Data!$AU$53)*SaaJB1*MaskJust</f>
        <v>0</v>
      </c>
      <c r="MP44" s="3">
        <f>IF(Mark!IJ44&lt;&gt;"",Mark!IJ44,MO44)</f>
        <v>0</v>
      </c>
      <c r="MQ44" s="3">
        <f>MP44*M44</f>
        <v>0</v>
      </c>
      <c r="MS44">
        <f>VLOOKUP($G44,Efgr,Data!$AW$53)*Data!$K$268*SaaJB1*MaskJust</f>
        <v>0</v>
      </c>
      <c r="MT44" s="3">
        <f>IF(Mark!IP44&lt;&gt;"",Mark!IP44,MS44)</f>
        <v>0</v>
      </c>
      <c r="MU44" s="3">
        <f>MT44*M44</f>
        <v>0</v>
      </c>
      <c r="MW44">
        <f>VLOOKUP($G44,Efgr,Data!$AV$53)*Data!$K$269*MaskJust</f>
        <v>0</v>
      </c>
      <c r="MX44" s="3">
        <f>IF(Mark!IV44&lt;&gt;"",Mark!IV44,MW44)</f>
        <v>0</v>
      </c>
      <c r="MY44" s="3">
        <f>MX44*M44</f>
        <v>0</v>
      </c>
      <c r="NA44">
        <f>IF(Markvand1=2,VLOOKUP($G44,Efgr,Data!$BC$53),0)</f>
        <v>0</v>
      </c>
      <c r="NB44">
        <f>IF(Mark!JB44&lt;&gt;"",Mark!JB44,$NA44)</f>
        <v>0</v>
      </c>
      <c r="NC44">
        <f>IF(Markvand1=2,$NB44*Flytning/mmprgang+$NB44*Prisprmm,0)</f>
        <v>0</v>
      </c>
      <c r="ND44" s="3">
        <f>IF(Mark!JH44&lt;&gt;"",Mark!JH44,$NC44)</f>
        <v>0</v>
      </c>
      <c r="NE44" s="3">
        <f>ND44*M44</f>
        <v>0</v>
      </c>
      <c r="NG44">
        <f>IF(VLOOKUP($G44,Efgr,Data!$AX$53)&gt;0,((1+Regn!DD44/VLOOKUP($G44,Efgr,Data!$AX$53))/2)*VLOOKUP($G44,Efgr,Data!$AY$53)*VLOOKUP($G44,Efgr,Data!$BA$53)+VLOOKUP($G44,Efgr,Data!$AZ$53),0)</f>
        <v>0</v>
      </c>
      <c r="NH44">
        <f>IF(VLOOKUP($G44,Efgr,Data!$AX$53)&gt;0,($DD44/VLOOKUP($G44,Efgr,Data!$AX$53))*VLOOKUP($G44,Efgr,Data!$BB$53)*VLOOKUP($G44,Efgr,Data!$BA$53),0)</f>
        <v>0</v>
      </c>
      <c r="NI44">
        <f>(NG44+NH44)*MaskJust</f>
        <v>0</v>
      </c>
      <c r="NJ44" s="3">
        <f>IF(Mark!JN44&lt;&gt;"",Mark!JN44,NI44)</f>
        <v>0</v>
      </c>
      <c r="NK44" s="3">
        <f>NJ44*M44</f>
        <v>0</v>
      </c>
      <c r="NM44">
        <f>IF($H44=2,Data!$K$304,IF($H44=3,Data!$K$305,0))*MaskJust</f>
        <v>0</v>
      </c>
      <c r="NN44" s="3">
        <f>IF(Mark!JT44&lt;&gt;"",Mark!JT44,NM44)</f>
        <v>0</v>
      </c>
      <c r="NO44" s="3">
        <f>NN44*M44</f>
        <v>0</v>
      </c>
      <c r="NQ44">
        <f>HY44</f>
        <v>0</v>
      </c>
      <c r="NR44">
        <f>JJ44+MM44</f>
        <v>0</v>
      </c>
      <c r="NS44">
        <f>NQ44-NR44</f>
        <v>0</v>
      </c>
      <c r="NT44">
        <f>NS44*M44</f>
        <v>0</v>
      </c>
      <c r="NW44">
        <f>VLOOKUP($B44,Afgr,Data!$BP$3)+VLOOKUP($C44,Efgr,Data!$AM$53)</f>
        <v>0</v>
      </c>
      <c r="NX44" s="3">
        <f>NW44*M44</f>
        <v>0</v>
      </c>
      <c r="NY44">
        <f>VLOOKUP($E44,Afgr,Data!$BP$3)+VLOOKUP($G44,Efgr,Data!$AM$53)</f>
        <v>0</v>
      </c>
      <c r="NZ44" s="3">
        <f>NY44*M44</f>
        <v>0</v>
      </c>
      <c r="OB44">
        <f>VLOOKUP($C44,Efgr,Data!$AN$53)</f>
        <v>0</v>
      </c>
      <c r="OC44">
        <f>VLOOKUP($B44,Afgr,Data!$BQ$3)</f>
        <v>0</v>
      </c>
      <c r="OD44">
        <f>VLOOKUP($E44,Afgr,Data!$BR$3)</f>
        <v>1</v>
      </c>
      <c r="OE44">
        <f>OB44*OC44*OD44</f>
        <v>0</v>
      </c>
      <c r="OF44" s="3">
        <f>OE44*M44</f>
        <v>0</v>
      </c>
      <c r="OG44" s="3">
        <f>IF(D44,1,0)*OF44</f>
        <v>0</v>
      </c>
      <c r="OI44">
        <f>VLOOKUP($G44,Efgr,Data!$AN$53)</f>
        <v>0</v>
      </c>
      <c r="OJ44">
        <f>VLOOKUP($E44,Afgr,Data!$BQ$3)</f>
        <v>0</v>
      </c>
      <c r="OK44">
        <f>VLOOKUP($K44,Afgr,Data!$BR$3)</f>
        <v>1</v>
      </c>
      <c r="OL44">
        <f>OI44*OJ44*OK44</f>
        <v>0</v>
      </c>
      <c r="OM44" s="3">
        <f>OL44*M44</f>
        <v>0</v>
      </c>
      <c r="OO44">
        <f>VLOOKUP($G44,Efgr,Data!$AO$53)</f>
        <v>0</v>
      </c>
      <c r="OP44">
        <f>VLOOKUP($B44,Afgr,Data!$BQ$3)</f>
        <v>0</v>
      </c>
      <c r="OQ44">
        <f>VLOOKUP($E44,Afgr,Data!$BS$3)</f>
        <v>0</v>
      </c>
      <c r="OR44" s="3">
        <f>OO44*OP44*OQ44*$M44</f>
        <v>0</v>
      </c>
      <c r="OT44">
        <f>VLOOKUP($G44,Efgr,Data!$AO$53)</f>
        <v>0</v>
      </c>
      <c r="OU44">
        <f>VLOOKUP($E44,Afgr,Data!$BQ$3)</f>
        <v>0</v>
      </c>
      <c r="OV44">
        <f>VLOOKUP($K44,Afgr,Data!$BS$3)</f>
        <v>0</v>
      </c>
      <c r="OW44" s="3">
        <f>OT44*OU44*OV44*$M44</f>
        <v>0</v>
      </c>
      <c r="OX44" s="3"/>
      <c r="OY44" s="3">
        <f>VLOOKUP($B44,Afgr,Data!$BU$3)</f>
        <v>0</v>
      </c>
      <c r="OZ44" s="3">
        <f>OY44*M44</f>
        <v>0</v>
      </c>
      <c r="PA44" s="3">
        <f>VLOOKUP($E44,Afgr,Data!$BU$3)</f>
        <v>0</v>
      </c>
      <c r="PB44" s="3">
        <f>PA44*M44</f>
        <v>0</v>
      </c>
      <c r="PD44">
        <f>VLOOKUP(E44,Afgr,Data!$BX$3)+VLOOKUP(G44,Efgr,Data!$AQ$53)</f>
        <v>0</v>
      </c>
      <c r="PE44">
        <f>IF(PD44&gt;0,M44,0)</f>
        <v>0</v>
      </c>
      <c r="PG44">
        <f>VLOOKUP($B44,Afgr,Data!$BT$3)</f>
        <v>0</v>
      </c>
      <c r="PH44" s="3">
        <f>PG44*M44</f>
        <v>0</v>
      </c>
      <c r="PI44">
        <f>VLOOKUP($E44,Afgr,Data!$BT$3)</f>
        <v>0</v>
      </c>
      <c r="PJ44" s="3">
        <f>PI44*M44</f>
        <v>0</v>
      </c>
      <c r="PL44">
        <f>VLOOKUP($E44,Afgr,Data!$BV$3)</f>
        <v>0</v>
      </c>
      <c r="PM44">
        <f>PL44*M44</f>
        <v>0</v>
      </c>
      <c r="PO44">
        <f>VLOOKUP($E44,Afgr,Data!$BW$3)</f>
        <v>0</v>
      </c>
      <c r="PP44">
        <f>PO44*M44</f>
        <v>0</v>
      </c>
      <c r="PR44">
        <f>BI44*IF(VLOOKUP($E44,Afgr,Data!$BJ$3)&gt;0,1,0)</f>
        <v>0</v>
      </c>
      <c r="PS44">
        <f>PR44*M44</f>
        <v>0</v>
      </c>
      <c r="PU44">
        <f>BI44*VLOOKUP(E44,Afgr,Data!$BK$3)</f>
        <v>0</v>
      </c>
      <c r="PV44">
        <f>M44*PU44</f>
        <v>0</v>
      </c>
      <c r="PW44">
        <f>$BI44*VLOOKUP($E44,Afgr,Data!$BL$3)+$DD44*VLOOKUP($G44,Efgr,Data!$AP$53)</f>
        <v>0</v>
      </c>
      <c r="PX44">
        <f>PW44*M44</f>
        <v>0</v>
      </c>
      <c r="PY44">
        <f>$BI44*VLOOKUP($E44,Afgr,Data!$BM$3)</f>
        <v>0</v>
      </c>
      <c r="PZ44">
        <f>PY44*M44</f>
        <v>0</v>
      </c>
      <c r="QA44">
        <f>$BI44*VLOOKUP($E44,Afgr,Data!$BN$3)</f>
        <v>0</v>
      </c>
      <c r="QB44">
        <f>QA44*M44</f>
        <v>0</v>
      </c>
      <c r="QE44">
        <f>IF(VLOOKUP($E44,Afgr,Data!$DA$3)="Vårbyg",$BJ44,0)*VLOOKUP($E44,Afgr,Data!$BJ$3)</f>
        <v>0</v>
      </c>
      <c r="QF44">
        <f>IF(VLOOKUP($E44,Afgr,Data!$DA$3)="Vinterbyg",$BJ44,0)*VLOOKUP($E44,Afgr,Data!$BJ$3)</f>
        <v>0</v>
      </c>
      <c r="QG44">
        <f>IF(VLOOKUP($E44,Afgr,Data!$DA$3)="Havre",$BJ44,0)*VLOOKUP($E44,Afgr,Data!$BJ$3)</f>
        <v>0</v>
      </c>
      <c r="QH44">
        <f>IF(VLOOKUP($E44,Afgr,Data!$DA$3)="Hvede",$BJ44,0)*VLOOKUP($E44,Afgr,Data!$BJ$3)</f>
        <v>0</v>
      </c>
      <c r="QI44">
        <f>IF(VLOOKUP($E44,Afgr,Data!$DA$3)="Triticale",$BJ44,0)*VLOOKUP($E44,Afgr,Data!$BJ$3)</f>
        <v>0</v>
      </c>
      <c r="QJ44">
        <f>IF(VLOOKUP($E44,Afgr,Data!$DA$3)="Rug",$BJ44,0)*VLOOKUP($E44,Afgr,Data!$BJ$3)</f>
        <v>0</v>
      </c>
      <c r="QK44">
        <f>IF(VLOOKUP($E44,Afgr,Data!$DA$3)="Majs",$BJ44,0)*VLOOKUP($E44,Afgr,Data!$BJ$3)</f>
        <v>0</v>
      </c>
      <c r="QN44">
        <f>IF(OI44+OO44&gt;0,1,0)</f>
        <v>0</v>
      </c>
      <c r="QO44">
        <f>QN44*LJ44</f>
        <v>0</v>
      </c>
      <c r="QP44">
        <f>QN44*MG44</f>
        <v>0</v>
      </c>
      <c r="QQ44">
        <f>MQ44</f>
        <v>0</v>
      </c>
      <c r="QR44">
        <f>QN44*NO44</f>
        <v>0</v>
      </c>
    </row>
    <row r="45" spans="1:460" x14ac:dyDescent="0.25">
      <c r="GG45" s="12"/>
    </row>
    <row r="46" spans="1:460" x14ac:dyDescent="0.25">
      <c r="A46">
        <v>7</v>
      </c>
      <c r="B46">
        <v>1</v>
      </c>
      <c r="C46">
        <v>1</v>
      </c>
      <c r="D46" t="b">
        <v>0</v>
      </c>
      <c r="E46">
        <v>1</v>
      </c>
      <c r="F46">
        <v>1</v>
      </c>
      <c r="G46">
        <v>1</v>
      </c>
      <c r="H46">
        <v>1</v>
      </c>
      <c r="I46">
        <v>1</v>
      </c>
      <c r="K46">
        <v>1</v>
      </c>
      <c r="M46">
        <f>IF(ISERROR(N46*Areal1/$N$50),0,N46*Areal1/$N$50)</f>
        <v>0</v>
      </c>
      <c r="N46">
        <f>Mark!Z46</f>
        <v>0</v>
      </c>
      <c r="P46">
        <f>VLOOKUP($E46,Afgr,NnormKolonneNr1)</f>
        <v>0</v>
      </c>
      <c r="Q46">
        <f>VLOOKUP($B46,Afgr,Data!$AI$3)*VLOOKUP(E46,Afgr,Data!$AJ$3)</f>
        <v>0</v>
      </c>
      <c r="R46">
        <f>IF($D46,0,VLOOKUP($C46,Efgr,(Data!$W$53+$G$28-1)))</f>
        <v>0</v>
      </c>
      <c r="S46">
        <f>P46-Q46-R46</f>
        <v>0</v>
      </c>
      <c r="T46">
        <f>S46*M46</f>
        <v>0</v>
      </c>
      <c r="U46">
        <f>IF(Nmodel12=1,S46*Nniveau12*0.01,AO46)</f>
        <v>0</v>
      </c>
      <c r="V46" s="3">
        <f>IF(Mark!CI46&lt;&gt;"",Mark!CI46,U46)</f>
        <v>0</v>
      </c>
      <c r="W46" s="3">
        <f>V46*M46</f>
        <v>0</v>
      </c>
      <c r="Y46">
        <f>S46/NoptFaktor</f>
        <v>0</v>
      </c>
      <c r="Z46" s="3">
        <f>IF(Mark!BZ46&lt;&gt;"",Mark!BZ46,Y46)</f>
        <v>0</v>
      </c>
      <c r="AB46">
        <f>VLOOKUP($E46,Afgr,Data!$DE$3)</f>
        <v>0</v>
      </c>
      <c r="AC46">
        <f>VLOOKUP($E46,Afgr,Data!$DD$3)</f>
        <v>0</v>
      </c>
      <c r="AD46">
        <f>VLOOKUP($E46,Afgr,Data!$DC$3)</f>
        <v>0</v>
      </c>
      <c r="AE46">
        <f>IF(ISERROR($Z46+(-PrisN/$AD46-$AB46)/(2*$AC46)),0,($Z46+(-PrisN/$AD46-$AB46)/(2*$AC46)))</f>
        <v>0</v>
      </c>
      <c r="AF46">
        <f>($BD46+$BE46+$BF46)*1.03333</f>
        <v>0</v>
      </c>
      <c r="AG46">
        <f>$AF46-($AB46*($AE46-$Z46)+$AC46*($AE46-$Z46)^2)</f>
        <v>0</v>
      </c>
      <c r="AH46">
        <f>IF(Nmodel12=1,$AB46*($AE46-$S46)+$AC46*($AE46-$S46)^2,$AB46*($AE46-$AO46)+$AC46*($AE46-$AO46)^2)</f>
        <v>0</v>
      </c>
      <c r="AI46">
        <f>IF(Nmodel12=1,$AB46*($AE46-$V46)+$AC46*($AE46-$V46)^2,$AB46*($AE46-AO46)+$AC46*($AE46-AO46)^2)</f>
        <v>0</v>
      </c>
      <c r="AJ46">
        <f>AG46+AH46-BG46</f>
        <v>0</v>
      </c>
      <c r="AK46">
        <f>AG46+AI46-AJ46</f>
        <v>0</v>
      </c>
      <c r="AM46">
        <f>VLOOKUP(E46,Afgr,Data!$DF$3+SandLer1)</f>
        <v>0</v>
      </c>
      <c r="AN46">
        <f>IF(ISERROR(((-(PrisN+Pantafgift)+AM46*Pantfaktor*Pantafgift)/AD46-AB46)/(2*AC46)),0,((-(PrisN+Pantafgift)+AM46*Pantfaktor*Pantafgift)/AD46-AB46)/(2*AC46))</f>
        <v>0</v>
      </c>
      <c r="AO46">
        <f>AE46-AN46</f>
        <v>0</v>
      </c>
      <c r="AQ46">
        <f>IF(AT46&gt;0,0,W46)</f>
        <v>0</v>
      </c>
      <c r="AR46">
        <f>IF(ISERROR(W46*HdgNTilFordeling12/NnormIaltFordel12),0,W46*HdgNTilFordeling12/NnormIaltFordel12)</f>
        <v>0</v>
      </c>
      <c r="AS46">
        <f>IF(ISERROR($AR46/$M46),0,$AR46/$M46)</f>
        <v>0</v>
      </c>
      <c r="AT46">
        <f>IF(Mark!CO46&lt;&gt;"",Mark!CO46,0)</f>
        <v>0</v>
      </c>
      <c r="AU46">
        <f>$AT46*$M46</f>
        <v>0</v>
      </c>
      <c r="AV46" s="3">
        <f>IF(AT46&gt;0,AT46,AS46)</f>
        <v>0</v>
      </c>
      <c r="AW46" s="3">
        <f>AV46*M46</f>
        <v>0</v>
      </c>
      <c r="AY46">
        <f>UdnKrav*$AV46/100</f>
        <v>0</v>
      </c>
      <c r="BA46">
        <f>AV46*VLOOKUP($E46,Afgr,Data!$DJ$3)</f>
        <v>0</v>
      </c>
      <c r="BB46">
        <f>UdnKrav*$BA46/100</f>
        <v>0</v>
      </c>
      <c r="BD46">
        <f>VLOOKUP(E46,Afgr,NormudbKolonneNr1)</f>
        <v>0</v>
      </c>
      <c r="BE46">
        <f>VLOOKUP(B46,Afgr,Data!$AL$3)*VLOOKUP(E46,Afgr,MerudbKolonneNr1)</f>
        <v>0</v>
      </c>
      <c r="BF46">
        <f>VLOOKUP(C46,Efgr,(Data!$Y$53+EftervirkningUdb1))</f>
        <v>0</v>
      </c>
      <c r="BG46">
        <f>BD46+BE46+BF46</f>
        <v>0</v>
      </c>
      <c r="BH46">
        <f>IF(OR(V46&lt;&gt;S46,Nmodel12=2),AK46,BD46+BE46+BF46)</f>
        <v>0</v>
      </c>
      <c r="BI46" s="3">
        <f>IF(Mark!AK46&lt;&gt;"",Mark!AK46,BH46)</f>
        <v>0</v>
      </c>
      <c r="BJ46">
        <f>BI46*M46</f>
        <v>0</v>
      </c>
      <c r="BK46">
        <f>VLOOKUP(E46,Afgr,3)</f>
        <v>0</v>
      </c>
      <c r="BL46">
        <f>IF(BK46="FE",VLOOKUP($E46,Afgr,Data!$AV$3),0)</f>
        <v>0</v>
      </c>
      <c r="BN46">
        <f>VLOOKUP(E46,Afgr,4)</f>
        <v>0</v>
      </c>
      <c r="BO46" s="3">
        <f>IF(Mark!AW46&lt;&gt;"",Mark!AW46,Regn!BN46)</f>
        <v>0</v>
      </c>
      <c r="BP46" s="3">
        <f>BI46*BO46</f>
        <v>0</v>
      </c>
      <c r="BQ46" s="3">
        <f>BJ46*BO46</f>
        <v>0</v>
      </c>
      <c r="BS46">
        <f>VLOOKUP(E46,Afgr,Data!$AN$3)</f>
        <v>0</v>
      </c>
      <c r="BT46" s="3">
        <f>IF(Mark!BC46&lt;&gt;"",Mark!BC46,BS46)</f>
        <v>0</v>
      </c>
      <c r="BU46" s="3">
        <f>BT46*M46</f>
        <v>0</v>
      </c>
      <c r="BW46">
        <f>VLOOKUP(E46,Afgr,HalmudbKolonneNr1)</f>
        <v>0</v>
      </c>
      <c r="BX46">
        <f>IF(ISERROR(BW46*BI46/BG46),0,(BW46*BI46/BG46))</f>
        <v>0</v>
      </c>
      <c r="BY46" s="3">
        <f>IF(Mark!BI46&lt;&gt;"",Mark!BI46,BX46)</f>
        <v>0</v>
      </c>
      <c r="BZ46">
        <f>BY46*M46</f>
        <v>0</v>
      </c>
      <c r="CC46">
        <f>IF($F46=1,BY46,0)</f>
        <v>0</v>
      </c>
      <c r="CD46">
        <f>IF(F46=1,BZ46,0)</f>
        <v>0</v>
      </c>
      <c r="CE46">
        <f>VLOOKUP(E46,Afgr,Data!$AM$3)</f>
        <v>0</v>
      </c>
      <c r="CF46">
        <f>IF(Mark!BR46&lt;&gt;"",Mark!BR46,CE46)</f>
        <v>0</v>
      </c>
      <c r="CG46">
        <f>CC46*CF46</f>
        <v>0</v>
      </c>
      <c r="CH46">
        <f>CD46*CF46</f>
        <v>0</v>
      </c>
      <c r="CJ46">
        <f>VLOOKUP($G46,Efgr,NnormKolonneEfgr1)</f>
        <v>0</v>
      </c>
      <c r="CK46">
        <f t="shared" si="0"/>
        <v>0</v>
      </c>
      <c r="CL46">
        <f>CJ46*Nniveau12*0.01</f>
        <v>0</v>
      </c>
      <c r="CM46" s="3">
        <f>IF(Mark!DM46&lt;&gt;"",Mark!DM46,CL46)</f>
        <v>0</v>
      </c>
      <c r="CN46" s="3">
        <f>$CM46*$M46</f>
        <v>0</v>
      </c>
      <c r="CP46">
        <f>IF(CS46&gt;0,0,CN46)</f>
        <v>0</v>
      </c>
      <c r="CQ46">
        <f>IF(ISERROR(CN46*HdgNTilFordeling12/NnormIaltFordel12),0,CN46*HdgNTilFordeling12/NnormIaltFordel12)</f>
        <v>0</v>
      </c>
      <c r="CR46">
        <f>IF(ISERROR($CQ46/$M46),0,$CQ46/$M46)</f>
        <v>0</v>
      </c>
      <c r="CS46">
        <f>IF(Mark!DS46&lt;&gt;"",Mark!DS46,0)</f>
        <v>0</v>
      </c>
      <c r="CT46">
        <f>$CS46*$M46</f>
        <v>0</v>
      </c>
      <c r="CU46" s="3">
        <f>IF($CS46&gt;0,$CS46,$CR46)</f>
        <v>0</v>
      </c>
      <c r="CV46" s="3">
        <f>CU46*M46</f>
        <v>0</v>
      </c>
      <c r="CX46">
        <f>UdnKrav*$CU46/100</f>
        <v>0</v>
      </c>
      <c r="CZ46">
        <f>$CU46*VLOOKUP($G46,Efgr,Data!$BG$53)</f>
        <v>0</v>
      </c>
      <c r="DA46">
        <f>UdnKrav*$CZ46/100</f>
        <v>0</v>
      </c>
      <c r="DC46">
        <f>VLOOKUP(G46,Efgr,NormudbKolonneNrEfgr1)</f>
        <v>0</v>
      </c>
      <c r="DD46" s="3">
        <f>IF(Mark!DC46&lt;&gt;"",Mark!DC46,DC46)</f>
        <v>0</v>
      </c>
      <c r="DE46">
        <f>DD46*M46</f>
        <v>0</v>
      </c>
      <c r="DF46" t="s">
        <v>37</v>
      </c>
      <c r="DG46">
        <f>DD46*Efterslaetpris</f>
        <v>0</v>
      </c>
      <c r="DH46">
        <f>DE46*Efterslaetpris</f>
        <v>0</v>
      </c>
      <c r="DI46">
        <f>VLOOKUP(G46,Efgr,Data!$AG$53)</f>
        <v>0</v>
      </c>
      <c r="DJ46">
        <f>DD46*DI46</f>
        <v>0</v>
      </c>
      <c r="DL46">
        <f>VLOOKUP($E46,Afgr,Data!$AW$3)</f>
        <v>0</v>
      </c>
      <c r="DM46">
        <f>IF(BK46="FE",$BI46*$BL46*$DL46*0.01,$BI46*100*$DR46*0.01*$DL46*0.01)</f>
        <v>0</v>
      </c>
      <c r="DN46">
        <f>IF(VLOOKUP(E46,Afgr,Data!$BO$3)=1,DM46,0)*M46</f>
        <v>0</v>
      </c>
      <c r="DO46" s="12">
        <f>IF(Nmodel12=1,(V46-S46)*VLOOKUP($E46,Afgr,Data!$AX$3),(AO46-S46)*VLOOKUP(E46,Afgr,Data!$AX$3))</f>
        <v>0</v>
      </c>
      <c r="DP46">
        <f>DL46+DO46</f>
        <v>0</v>
      </c>
      <c r="DQ46">
        <f>IF(Mark!AQ46&lt;&gt;"",Mark!AQ46,DP46)</f>
        <v>0</v>
      </c>
      <c r="DR46">
        <f>VLOOKUP(E46,Afgr,Data!$AT$3)</f>
        <v>0</v>
      </c>
      <c r="DS46">
        <f>IF($BK46="FE",$BI46*$BL46*$DQ46*0.01,$BI46*100*$DR46*0.01*DQ46*0.01)</f>
        <v>0</v>
      </c>
      <c r="DT46">
        <f>IF(VLOOKUP(E46,Afgr,Data!$BO$3)=1,DS46,0)*M46</f>
        <v>0</v>
      </c>
      <c r="DU46">
        <f>IF(ISERROR(DS46/VLOOKUP(E46,Afgr,Data!$AY$3)),0,DS46/VLOOKUP(E46,Afgr,Data!$AY$3))</f>
        <v>0</v>
      </c>
      <c r="DV46">
        <f>DU46*M46</f>
        <v>0</v>
      </c>
      <c r="DX46">
        <f>IF($BK46="FE",$BI46*$BL46*VLOOKUP($E46,Afgr,Data!$BC$3)*0.001,$BI46*100*$DR46*0.01*VLOOKUP($E46,Afgr,Data!$BC$3)*0.001)</f>
        <v>0</v>
      </c>
      <c r="DY46">
        <f>DX46*M46</f>
        <v>0</v>
      </c>
      <c r="EA46">
        <f>IF($BK46="FE",$BI46*$BL46*VLOOKUP($E46,Afgr,Data!$BF$3)*0.001,$BI46*100*$DR46*0.01*VLOOKUP($E46,Afgr,Data!$BF$3)*0.001)</f>
        <v>0</v>
      </c>
      <c r="EB46">
        <f>EA46*M46</f>
        <v>0</v>
      </c>
      <c r="ED46">
        <f>IF(ISERROR(VLOOKUP(E46,Afgr,Data!$AZ$3)*DQ46/DL46),0,VLOOKUP(E46,Afgr,Data!$AZ$3)*DQ46/DL46)</f>
        <v>0</v>
      </c>
      <c r="EE46">
        <f>VLOOKUP(E46,Afgr,Data!$AU$3)</f>
        <v>0</v>
      </c>
      <c r="EF46">
        <f>IF($F46=1,$BY46*$EE46*0.01*ED46*0.01,0)</f>
        <v>0</v>
      </c>
      <c r="EG46">
        <f>EF46/6.25</f>
        <v>0</v>
      </c>
      <c r="EH46">
        <f>EG46*M46</f>
        <v>0</v>
      </c>
      <c r="EJ46">
        <f>IF($F46=1,$BY46*$EE46*0.01*VLOOKUP($E46,Afgr,Data!$BD$3)*0.001,0)</f>
        <v>0</v>
      </c>
      <c r="EK46">
        <f>EJ46*M46</f>
        <v>0</v>
      </c>
      <c r="EM46">
        <f>IF($F46=1,$BY46*$EE46*0.01*VLOOKUP($E46,Afgr,Data!$BG$3)*0.001,0)</f>
        <v>0</v>
      </c>
      <c r="EN46">
        <f>EM46*M46</f>
        <v>0</v>
      </c>
      <c r="EP46">
        <f>VLOOKUP(G46,Efgr,Data!$AI$53)</f>
        <v>0</v>
      </c>
      <c r="EQ46">
        <f>DJ46*EP46*0.01/6.25</f>
        <v>0</v>
      </c>
      <c r="ER46">
        <f>EQ46*M46</f>
        <v>0</v>
      </c>
      <c r="ET46">
        <f>$DJ46*VLOOKUP($G46,Efgr,Data!$AJ$53)*0.001</f>
        <v>0</v>
      </c>
      <c r="EU46">
        <f>ET46*M46</f>
        <v>0</v>
      </c>
      <c r="EW46">
        <f>$DJ46*VLOOKUP($G46,Efgr,Data!$AK$53)*0.001</f>
        <v>0</v>
      </c>
      <c r="EX46">
        <f>EW46*M46</f>
        <v>0</v>
      </c>
      <c r="EZ46">
        <f>IF(VLOOKUP(E46,Afgr,Data!$DS$3)=1,DU46*VLOOKUP(E46,Afgr,(Data!$DT$3+EftervirkningUdb1))*VLOOKUP(E46,Afgr,Data!$DV$3),0)</f>
        <v>0</v>
      </c>
      <c r="FA46">
        <f>IF(VLOOKUP(E46,Afgr,Data!$DS$3)=2,VLOOKUP(E46,Afgr,Data!$DX$3),0)</f>
        <v>0</v>
      </c>
      <c r="FB46">
        <f>IF(VLOOKUP(E46,Afgr,Data!$DS$3)=3,$DU46*VLOOKUP($E46,Afgr,IF(Jordtype1&lt;5,Data!$DT$3,Data!$DU$3))*VLOOKUP($E46,Afgr,Data!$DV$3),0)</f>
        <v>0</v>
      </c>
      <c r="FC46">
        <f>IF(VLOOKUP(E46,Afgr,Data!$DS$3)=4,(1.232+0.00469*BI46*100+(0.000256*BI46*100+0.089)*60),0)</f>
        <v>0</v>
      </c>
      <c r="FD46">
        <f>$V46+IF($AY46-$BB46&gt;$V46,$AY46-$V46,0)-$BB46</f>
        <v>0</v>
      </c>
      <c r="FE46">
        <f>IF(VLOOKUP($E46,Afgr,Data!$DS$3)=5,($BI46*0.02742-$BI46*0.0001*$FD46+$BI46*0.0000001111*$FD46*$FD46),0)</f>
        <v>0</v>
      </c>
      <c r="FF46">
        <f>$CM46+IF($CX46-$DA46&gt;$CM46,$CX46-$CM46,0)-$DA46</f>
        <v>0</v>
      </c>
      <c r="FG46">
        <f>IF(VLOOKUP($G46,Efgr,Data!$BH$53)=5,($DD46*0.02742-$DD46*0.0001*$FF46+$DD46*0.0000001111*$FF46*$FF46),0)</f>
        <v>0</v>
      </c>
      <c r="FH46" s="3">
        <f>EZ46+FA46+FB46+FC46+FE46+FG46</f>
        <v>0</v>
      </c>
      <c r="FI46" s="3">
        <f>FH46*M46</f>
        <v>0</v>
      </c>
      <c r="FK46">
        <f>$V46+$CM46</f>
        <v>0</v>
      </c>
      <c r="FL46">
        <f>($AV46-$AY46)+IF($AY46&gt;$V46,$AY46-$V46,0)+($CU46-$CX46)+IF($CX46&gt;$CM46,$CX46-$CM46,0)</f>
        <v>0</v>
      </c>
      <c r="FM46">
        <f>VLOOKUP($E46,Afgr,Data!$DK$3)*VLOOKUP($E46,Afgr,Data!$AT$3)*0.01*VLOOKUP($E46,Afgr,Data!$AW$3)*0.01/6.25</f>
        <v>0</v>
      </c>
      <c r="FN46" s="4">
        <f>IF(E46&gt;1,Deposition,0)</f>
        <v>0</v>
      </c>
      <c r="FO46">
        <f>FH46</f>
        <v>0</v>
      </c>
      <c r="FP46">
        <f>SUM(FK46:FO46)</f>
        <v>0</v>
      </c>
      <c r="FQ46">
        <f>DU46+EG46+EQ46</f>
        <v>0</v>
      </c>
      <c r="FR46" s="3">
        <f>FP46-FQ46</f>
        <v>0</v>
      </c>
      <c r="FS46" s="19">
        <f>FP46*M46</f>
        <v>0</v>
      </c>
      <c r="FT46" s="19">
        <f>FQ46*M46</f>
        <v>0</v>
      </c>
      <c r="FU46" s="3">
        <f>FR46*M46</f>
        <v>0</v>
      </c>
      <c r="FW46">
        <f>IL46+IM46+LP46+LQ46</f>
        <v>0</v>
      </c>
      <c r="FX46">
        <f>IK46+LO46</f>
        <v>0</v>
      </c>
      <c r="FY46">
        <f>FW46-FX46</f>
        <v>0</v>
      </c>
      <c r="FZ46">
        <f>FY46*M46</f>
        <v>0</v>
      </c>
      <c r="GB46">
        <f>IS46+IT46+LV46+LW46</f>
        <v>0</v>
      </c>
      <c r="GC46">
        <f>IR46+LU46</f>
        <v>0</v>
      </c>
      <c r="GD46">
        <f>GB46-GC46</f>
        <v>0</v>
      </c>
      <c r="GE46">
        <f>GD46*M46</f>
        <v>0</v>
      </c>
      <c r="GG46" s="149">
        <f>IF(OR(VLOOKUP(E46,Afgr,Data!$BV$3)=1,VLOOKUP(E46,Afgr,Data!$BW$3)=1),0,NniveauDelsaedsk1)</f>
        <v>194</v>
      </c>
      <c r="GH46" s="1">
        <v>0.32550000000000001</v>
      </c>
      <c r="GI46" s="6">
        <v>0</v>
      </c>
      <c r="GJ46" s="24">
        <f>IF(($V46-BB46+$CM46-DA46)&lt;0,0,$V46-BB46+$CM46-DA46)</f>
        <v>0</v>
      </c>
      <c r="GK46" s="6">
        <f>$FO46</f>
        <v>0</v>
      </c>
      <c r="GL46" s="1">
        <v>0.25280000000000002</v>
      </c>
      <c r="GM46">
        <f>$BA46+$CZ46</f>
        <v>0</v>
      </c>
      <c r="GN46" s="1">
        <v>0.376</v>
      </c>
      <c r="GO46" s="6">
        <v>0</v>
      </c>
      <c r="GP46" s="1">
        <f>IF(SandLer1&gt;1,0.3539,1.0749)</f>
        <v>0.35389999999999999</v>
      </c>
      <c r="GQ46" s="11">
        <f>$FQ46</f>
        <v>0</v>
      </c>
      <c r="GR46" s="1">
        <v>0.19359999999999999</v>
      </c>
      <c r="GS46" s="1">
        <f>VLOOKUP($E46,Afgr,Data!$DM$3)</f>
        <v>0</v>
      </c>
      <c r="GT46" s="24">
        <f>IF($GS46&gt;1,0,(VLOOKUP($K46,Afgr,Data!$DP$3)+IF(VLOOKUP($K46,Afgr,Data!$DP$3)=0,VLOOKUP($G46,Efgr,Data!$BI$53,0))))+IF(AND($GS46=7,VLOOKUP($K46,Afgr,Data!$DQ$3)=-2),-2,0)+IF(AND($GS46=6,VLOOKUP($G46,Efgr,Data!$BI$53)=2),8,0)</f>
        <v>0</v>
      </c>
      <c r="GU46" s="6" t="e">
        <f>VLOOKUP(SUM(GS46:GT46),Nlesafgr,3)</f>
        <v>#N/A</v>
      </c>
      <c r="GV46" s="7">
        <f>VLOOKUP($B46,Afgr,Data!$DN$3)</f>
        <v>0</v>
      </c>
      <c r="GW46" s="24">
        <f>IF(GV46&gt;1,0,VLOOKUP($E46,Afgr,Data!$DO$3)+IF(VLOOKUP($E46,Afgr,Data!$DO$3)=1,0,VLOOKUP($C46,Efgr,Data!$BJ$53)))</f>
        <v>0</v>
      </c>
      <c r="GX46" s="6" t="e">
        <f>VLOOKUP(SUM(GV46:GW46),Nlesforfrugt,3)</f>
        <v>#N/A</v>
      </c>
      <c r="GY46" s="1" t="e">
        <f>GH46*GG46+GL46*(GJ46+GK46)+GN46*GM46+GP46*GO46-GR46*GQ46+GU46+GX46</f>
        <v>#N/A</v>
      </c>
      <c r="GZ46" s="1">
        <f>Nlesafskaering</f>
        <v>59.6</v>
      </c>
      <c r="HA46" s="1">
        <f>Teknologi1</f>
        <v>2455</v>
      </c>
      <c r="HB46" s="6">
        <v>2001</v>
      </c>
      <c r="HC46" s="1">
        <f>Teknologi2</f>
        <v>1962.2</v>
      </c>
      <c r="HD46" s="1">
        <f>Tandel</f>
        <v>0.54659999999999997</v>
      </c>
      <c r="HE46" s="1" t="e">
        <f>IF(OR(GY46&gt;0,GY46=0),GZ46+HA46/(HB46-HC46),GZ46+HA46/(HB46-HC46)+HD46*GY46)</f>
        <v>#N/A</v>
      </c>
      <c r="HF46" s="1" t="e">
        <f>IF(GY46&gt;0,GY46,0.001)</f>
        <v>#N/A</v>
      </c>
      <c r="HG46" s="1">
        <v>1.5020000000000001E-3</v>
      </c>
      <c r="HH46" s="24">
        <f>IF(E46=1,0,VLOOKUP(Postnr,AfstromData,VLOOKUP($E46,Afgr,Data!$DL$3)+IF(Jordtype1&lt;7,Jordtype1,6),FALSE)-VLOOKUP(G46,Efgr,Data!$AA$53))</f>
        <v>0</v>
      </c>
      <c r="HI46" s="1">
        <v>5.5400000000000002E-4</v>
      </c>
      <c r="HJ46" s="24">
        <f>IF(E46=1,0,VLOOKUP(Postnr,AfstromData,VLOOKUP($B46,Afgr,Data!$DL$3)+IF(Jordtype1&lt;7,Jordtype1,6),FALSE)-VLOOKUP(C46,Efgr,Data!$AA$53))</f>
        <v>0</v>
      </c>
      <c r="HK46" s="1">
        <v>0.10639999999999999</v>
      </c>
      <c r="HL46" s="6">
        <f>VLOOKUP(Jordtype1,Jordtype,Data!$W$112)</f>
        <v>3</v>
      </c>
      <c r="HM46" s="1">
        <v>3.2500000000000001E-2</v>
      </c>
      <c r="HN46" s="6">
        <f>VLOOKUP(Jordtype1,Jordtype,Data!$X$112)</f>
        <v>12</v>
      </c>
      <c r="HO46" s="1">
        <v>1.2453000000000001</v>
      </c>
      <c r="HP46" s="1">
        <f>IF(VLOOKUP(G46,Efgr,Data!$AO$53)=1,MlafgrNUdvask,0)</f>
        <v>0</v>
      </c>
      <c r="HQ46" s="20">
        <f>IF(ISERROR((HE46+POWER(HF46,1.2))*(1-EXP(-HG46*HH46))*EXP(-HI46*HJ46)*EXP(-HK46*HL46)*EXP(-HM46*HN46)*HO46),0,(HE46+POWER(HF46,1.2))*(1-EXP(-HG46*HH46))*EXP(-HI46*HJ46)*EXP(-HK46*HL46)*EXP(-HM46*HN46)*HO46+HP46)</f>
        <v>0</v>
      </c>
      <c r="HR46">
        <f>HQ46*M46</f>
        <v>0</v>
      </c>
      <c r="HS46">
        <f>HQ46*(100-Retention1)*0.01</f>
        <v>0</v>
      </c>
      <c r="HT46">
        <f>HS46*M46</f>
        <v>0</v>
      </c>
      <c r="HU46" s="2">
        <f>HH46*10000</f>
        <v>0</v>
      </c>
      <c r="HV46" s="2">
        <f>HU46*M46</f>
        <v>0</v>
      </c>
      <c r="HW46">
        <f>IF(ISERROR(HQ46*1000*1000/HU46),0,HQ46*1000*1000/HU46)</f>
        <v>0</v>
      </c>
      <c r="HY46">
        <f>BP46+BT46+CG46+DG46</f>
        <v>0</v>
      </c>
      <c r="IB46">
        <f>VLOOKUP(E46,Afgr,Data!$AP$3)*UdsaedJust</f>
        <v>0</v>
      </c>
      <c r="IC46" s="3">
        <f>IF(Mark!EG46&lt;&gt;"",Mark!EG46,Regn!IB46)</f>
        <v>0</v>
      </c>
      <c r="ID46" s="3">
        <f>IC46*M46</f>
        <v>0</v>
      </c>
      <c r="IF46" s="3">
        <f>IF(HdgVaerdi=1,($V46-$AY46)*Npris,$V46*Npris)</f>
        <v>0</v>
      </c>
      <c r="IG46" s="3">
        <f>IF46*M46</f>
        <v>0</v>
      </c>
      <c r="II46">
        <f>VLOOKUP($E46,Afgr,Data!$BA$3)</f>
        <v>0</v>
      </c>
      <c r="IJ46">
        <f>VLOOKUP($E46,Afgr,Data!$BB$3)</f>
        <v>0</v>
      </c>
      <c r="IK46">
        <f>$DX46+$EJ46</f>
        <v>0</v>
      </c>
      <c r="IL46">
        <f>IF(HdgDyreart=2,$AV46*NPforholdSvin,$AV46*NPforholdKvaeg)</f>
        <v>0</v>
      </c>
      <c r="IM46">
        <f>II46+IF($IJ46+$IK46&gt;$IL46,($IJ46+$IK46-$IL46),0)</f>
        <v>0</v>
      </c>
      <c r="IN46" s="3">
        <f>IF(HdgVaerdi=1,($II46*Ppris+IF($IJ46+$IK46&gt;$IL46,($IJ46+$IK46-$IL46)*Ppris,0)),($II46+$IJ46+$IK46)*Ppris)</f>
        <v>0</v>
      </c>
      <c r="IO46" s="3">
        <f>IN46*M46</f>
        <v>0</v>
      </c>
      <c r="IQ46">
        <f>IF(AND(E46&gt;1,OR(Jordtype1=1,Jordtype1=3,Markvand1=2)),Kudvask,0)</f>
        <v>0</v>
      </c>
      <c r="IR46">
        <f>$EA46+$EM46</f>
        <v>0</v>
      </c>
      <c r="IS46">
        <f>IF(HdgDyreart=2,$AV46*NKforholdSvin,$AV46*NkforholdKvaeg)</f>
        <v>0</v>
      </c>
      <c r="IT46">
        <f>IF($IQ46+$IR46&gt;$IS46,($IQ46+$IR46-$IS46),0)</f>
        <v>0</v>
      </c>
      <c r="IU46" s="3">
        <f>IF(HdgVaerdi=1,IF($IQ46+$IR46&gt;$IS46,($IQ46+$IR46-$IS46)*Kpris,0),($IQ46+$IR46)*Kpris)</f>
        <v>0</v>
      </c>
      <c r="IV46" s="3">
        <f>IU46*M46</f>
        <v>0</v>
      </c>
      <c r="IX46">
        <f>IF46+IN46+IU46</f>
        <v>0</v>
      </c>
      <c r="IY46" s="3">
        <f>IF(Mark!EM46&lt;&gt;"",Mark!EM46,$IX46)</f>
        <v>0</v>
      </c>
      <c r="IZ46" s="3">
        <f>IY46*M46</f>
        <v>0</v>
      </c>
      <c r="JB46">
        <f>VLOOKUP(E46,Afgr,Data!$AQ$3)*PlantevJust</f>
        <v>0</v>
      </c>
      <c r="JC46" s="3">
        <f>IF(Mark!ES46&lt;&gt;"",Mark!ES46,JB46)</f>
        <v>0</v>
      </c>
      <c r="JD46" s="3">
        <f>JC46*M46</f>
        <v>0</v>
      </c>
      <c r="JF46">
        <f>VLOOKUP(E46,Afgr,Data!$AR$3)+BI46*VLOOKUP(E46,Afgr,Data!$BH$3)</f>
        <v>0</v>
      </c>
      <c r="JG46" s="3">
        <f>IF(Mark!EY46&lt;&gt;"",Mark!EY46,JF46)</f>
        <v>0</v>
      </c>
      <c r="JH46">
        <f>JG46*M46</f>
        <v>0</v>
      </c>
      <c r="JJ46">
        <f>IC46+IY46+JC46+JG46</f>
        <v>0</v>
      </c>
      <c r="JL46">
        <f>IF(VLOOKUP(E46,Afgr,Data!$BY$3)&gt;0,Data!$K$259*PlojJB1,0)</f>
        <v>0</v>
      </c>
      <c r="JM46">
        <f>IF(VLOOKUP(E46,Afgr,Data!$BZ$3)&gt;0,Data!$K$260*PlojJB1,0)</f>
        <v>0</v>
      </c>
      <c r="JN46">
        <f>(JL46+JM46)*MaskJust</f>
        <v>0</v>
      </c>
      <c r="JO46" s="3">
        <f>IF(Mark!FE46&lt;&gt;"",Mark!FE46,JN46)</f>
        <v>0</v>
      </c>
      <c r="JP46" s="3">
        <f>JO46*M46</f>
        <v>0</v>
      </c>
      <c r="JR46">
        <f>IF(VLOOKUP(E46,Afgr,Data!$CA$3)&gt;0,VLOOKUP(E46,Afgr,Data!$CA$3)*Data!$K$261*SaaJB1,0)</f>
        <v>0</v>
      </c>
      <c r="JS46">
        <f>IF(VLOOKUP(E46,Afgr,Data!$CC$3)&gt;0,Data!$K$262*SaaJB1,0)</f>
        <v>0</v>
      </c>
      <c r="JT46">
        <f>IF(VLOOKUP(E46,Afgr,Data!$CD$3)&gt;0,VLOOKUP(E46,Afgr,Data!$CD$3)*Data!$K$263*SaaJB1,0)</f>
        <v>0</v>
      </c>
      <c r="JU46">
        <f>IF(VLOOKUP(E46,Afgr,Data!$CE$3)&gt;0,Data!$K$264*SaaJB1,0)</f>
        <v>0</v>
      </c>
      <c r="JV46">
        <f>IF(VLOOKUP(E46,Afgr,Data!$CF$3)&gt;0,Data!$K$265*SaaJB1,0)</f>
        <v>0</v>
      </c>
      <c r="JW46">
        <f>IF(VLOOKUP(E46,Afgr,Data!$CV$3)&gt;0,Data!$K$266,0)</f>
        <v>0</v>
      </c>
      <c r="JX46">
        <f>IF(VLOOKUP(E46,Afgr,Data!$CG$3)&gt;0,Data!$K$267*SaaJB1,0)</f>
        <v>0</v>
      </c>
      <c r="JY46">
        <f>(JR46+JS46+JT46+JU46+JV46+JW46+JX46)*MaskJust</f>
        <v>0</v>
      </c>
      <c r="JZ46" s="3">
        <f>IF(Mark!FK46&lt;&gt;"",Mark!FK46,JY46)</f>
        <v>0</v>
      </c>
      <c r="KA46" s="3">
        <f>JZ46*M46</f>
        <v>0</v>
      </c>
      <c r="KC46">
        <f>IF(VLOOKUP(E46,Afgr,Data!$CJ$3)&gt;0,VLOOKUP(E46,Afgr,Data!$CJ$3)*Data!$K$268*SaaJB1,0)*MaskJust</f>
        <v>0</v>
      </c>
      <c r="KD46" s="3">
        <f>IF(Mark!FQ46&lt;&gt;"",Mark!FQ46,KC46)</f>
        <v>0</v>
      </c>
      <c r="KE46" s="3">
        <f>KD46*M46</f>
        <v>0</v>
      </c>
      <c r="KG46">
        <f>IF(VLOOKUP(E46,Afgr,Data!$CI$3)&gt;0,VLOOKUP(E46,Afgr,Data!$CI$3)*Data!$K$269,0)*MaskJust</f>
        <v>0</v>
      </c>
      <c r="KH46" s="3">
        <f>IF(Mark!FW46&lt;&gt;"",Mark!FW46,KG46)</f>
        <v>0</v>
      </c>
      <c r="KI46" s="3">
        <f>KH46*M46</f>
        <v>0</v>
      </c>
      <c r="KK46">
        <f>IF(Markvand1=2,VLOOKUP($E46,Afgr,Data!$CY$3),0)</f>
        <v>0</v>
      </c>
      <c r="KL46">
        <f>IF(Mark!GC46&lt;&gt;"",Mark!GC46,$KK46)</f>
        <v>0</v>
      </c>
      <c r="KM46">
        <f>IF(AND(E46&gt;1,Markvand1=2),Vandmaskin+$KL46*Flytning/mmprgang+$KL46*Prisprmm,0)</f>
        <v>0</v>
      </c>
      <c r="KN46" s="3">
        <f>IF(Mark!GI46&lt;&gt;"",Mark!GI46,$KM46)</f>
        <v>0</v>
      </c>
      <c r="KO46" s="3">
        <f>KN46*M46</f>
        <v>0</v>
      </c>
      <c r="KQ46">
        <f>IF(VLOOKUP($E46,Afgr,Data!$CK$3)&gt;0,((1+Regn!$BI46/VLOOKUP($E46,Afgr,Data!$CK$3))/2)*VLOOKUP($E46,Afgr,Data!$CL$3)*VLOOKUP($E46,Afgr,Data!$CN$3)+VLOOKUP($E46,Afgr,Data!$CM$3),0)</f>
        <v>0</v>
      </c>
      <c r="KR46">
        <f>IF(VLOOKUP($E46,Afgr,Data!$CK$3)&gt;0,IF(AND($F46=2,$BW46&gt;0),Data!$K$271,0),0)</f>
        <v>0</v>
      </c>
      <c r="KS46">
        <f>IF(VLOOKUP($E46,Afgr,Data!$CK$3)&gt;0,(Regn!$BI46/VLOOKUP($E46,Afgr,Data!$CK$3))*VLOOKUP($E46,Afgr,Data!$CO$3)*VLOOKUP($E46,Afgr,Data!$CN$3),0)</f>
        <v>0</v>
      </c>
      <c r="KT46">
        <f>(KQ46+KR46+KS46)*MaskJust</f>
        <v>0</v>
      </c>
      <c r="KU46" s="3">
        <f>IF(Mark!GO46&lt;&gt;"",Mark!GO46,KT46)</f>
        <v>0</v>
      </c>
      <c r="KV46" s="3">
        <f>KU46*M46</f>
        <v>0</v>
      </c>
      <c r="KW46" s="3"/>
      <c r="KX46">
        <f>IF(AND($F46=1,VLOOKUP($E46,Afgr,Data!$CP$3)&gt;0),((1+$BY46/VLOOKUP($E46,Afgr,Data!$CP$3))/2)*VLOOKUP($E46,Afgr,Data!$CQ$3),0)</f>
        <v>0</v>
      </c>
      <c r="KY46">
        <f>IF(AND($F46=1,VLOOKUP($E46,Afgr,Data!$CP$3)&gt;0),($BY46/VLOOKUP($E46,Afgr,Data!$CP$3))*VLOOKUP($E46,Afgr,Data!$CR$3),0)</f>
        <v>0</v>
      </c>
      <c r="KZ46">
        <f>(KX46+KY46)*MaskJust</f>
        <v>0</v>
      </c>
      <c r="LA46" s="3">
        <f>IF(Mark!GU46&lt;&gt;"",Mark!GU46,KZ46)</f>
        <v>0</v>
      </c>
      <c r="LB46" s="3">
        <f>LA46*M46</f>
        <v>0</v>
      </c>
      <c r="LD46">
        <f>$BI46*VLOOKUP($E46,Afgr,Data!$CS$3)*IF($I46=1,VLOOKUP($E46,Afgr,Data!$CT$3),IF($I46=2,VLOOKUP($E46,Afgr,Data!$CU$3),0))</f>
        <v>0</v>
      </c>
      <c r="LE46" s="3">
        <f>IF(Mark!HD46&lt;&gt;"",Mark!HD46,LD46)</f>
        <v>0</v>
      </c>
      <c r="LF46" s="3">
        <f>LE46*M46</f>
        <v>0</v>
      </c>
      <c r="LH46">
        <f>VLOOKUP($G46,Efgr,Data!$AC$53)*UdsaedJust</f>
        <v>0</v>
      </c>
      <c r="LI46" s="3">
        <f>IF(Mark!$HL46&lt;&gt;"",Mark!$HL46,LH46)</f>
        <v>0</v>
      </c>
      <c r="LJ46" s="3">
        <f>LI46*M46</f>
        <v>0</v>
      </c>
      <c r="LL46" s="3">
        <f>IF(HdgVaerdi=1,($CM46-$CX46)*Npris,$CM46*Npris)</f>
        <v>0</v>
      </c>
      <c r="LM46" s="3">
        <f>LL46*M46</f>
        <v>0</v>
      </c>
      <c r="LO46">
        <f>$ET46</f>
        <v>0</v>
      </c>
      <c r="LP46">
        <f>IF(HdgDyreart=2,$CU46*NPforholdSvin,$CU46*NPforholdKvaeg)</f>
        <v>0</v>
      </c>
      <c r="LQ46">
        <f>IF($LO46&gt;$LP46,($LO46-$LP46),0)</f>
        <v>0</v>
      </c>
      <c r="LR46" s="3">
        <f>IF(HdgVaerdi=1,IF($LO46&gt;$LP46,($LO46-$LP46)*Ppris,0),$LO46*Ppris)</f>
        <v>0</v>
      </c>
      <c r="LS46" s="3">
        <f>LR46*M46</f>
        <v>0</v>
      </c>
      <c r="LU46">
        <f>$EW46</f>
        <v>0</v>
      </c>
      <c r="LV46">
        <f>IF(HdgDyreart=2,$CU46*NKforholdSvin,$CU46*NkforholdKvaeg)</f>
        <v>0</v>
      </c>
      <c r="LW46">
        <f>IF($LU46&gt;$LV46,($LU46-$LV46),0)</f>
        <v>0</v>
      </c>
      <c r="LX46" s="3">
        <f>IF(HdgVaerdi=1,IF($LU46&gt;$LV46,($LU46-$LV46)*Ppris,0),$LU46*Ppris)</f>
        <v>0</v>
      </c>
      <c r="LY46" s="3">
        <f>LX46*M46</f>
        <v>0</v>
      </c>
      <c r="MA46">
        <f>LL46+LR46+LX46</f>
        <v>0</v>
      </c>
      <c r="MB46" s="3">
        <f>IF(Mark!HR46&lt;&gt;"",Mark!HR46,$MA46)</f>
        <v>0</v>
      </c>
      <c r="MC46" s="3">
        <f>MB46*M46</f>
        <v>0</v>
      </c>
      <c r="ME46">
        <f>VLOOKUP($G46,Efgr,Data!$AE$53)*PlantevJust</f>
        <v>0</v>
      </c>
      <c r="MF46" s="3">
        <f>IF(Mark!HX46&lt;&gt;"",Mark!HX46,ME46)</f>
        <v>0</v>
      </c>
      <c r="MG46" s="3">
        <f>MF46*M46</f>
        <v>0</v>
      </c>
      <c r="MI46">
        <f>VLOOKUP($G46,Efgr,Data!$AF$53)+$DD46*VLOOKUP($G46,Efgr,Data!$AL$53)</f>
        <v>0</v>
      </c>
      <c r="MJ46" s="3">
        <f>IF(Mark!ID46&lt;&gt;"",Mark!ID46,MI46)</f>
        <v>0</v>
      </c>
      <c r="MK46" s="3">
        <f>MJ46*M46</f>
        <v>0</v>
      </c>
      <c r="MM46">
        <f>LI46+MB46+MF46+MJ46</f>
        <v>0</v>
      </c>
      <c r="MO46">
        <f>VLOOKUP($G46,Efgr,Data!$AU$53)*SaaJB1*MaskJust</f>
        <v>0</v>
      </c>
      <c r="MP46" s="3">
        <f>IF(Mark!IJ46&lt;&gt;"",Mark!IJ46,MO46)</f>
        <v>0</v>
      </c>
      <c r="MQ46" s="3">
        <f>MP46*M46</f>
        <v>0</v>
      </c>
      <c r="MS46">
        <f>VLOOKUP($G46,Efgr,Data!$AW$53)*Data!$K$268*SaaJB1*MaskJust</f>
        <v>0</v>
      </c>
      <c r="MT46" s="3">
        <f>IF(Mark!IP46&lt;&gt;"",Mark!IP46,MS46)</f>
        <v>0</v>
      </c>
      <c r="MU46" s="3">
        <f>MT46*M46</f>
        <v>0</v>
      </c>
      <c r="MW46">
        <f>VLOOKUP($G46,Efgr,Data!$AV$53)*Data!$K$269*MaskJust</f>
        <v>0</v>
      </c>
      <c r="MX46" s="3">
        <f>IF(Mark!IV46&lt;&gt;"",Mark!IV46,MW46)</f>
        <v>0</v>
      </c>
      <c r="MY46" s="3">
        <f>MX46*M46</f>
        <v>0</v>
      </c>
      <c r="NA46">
        <f>IF(Markvand1=2,VLOOKUP($G46,Efgr,Data!$BC$53),0)</f>
        <v>0</v>
      </c>
      <c r="NB46">
        <f>IF(Mark!JB46&lt;&gt;"",Mark!JB46,$NA46)</f>
        <v>0</v>
      </c>
      <c r="NC46">
        <f>IF(Markvand1=2,$NB46*Flytning/mmprgang+$NB46*Prisprmm,0)</f>
        <v>0</v>
      </c>
      <c r="ND46" s="3">
        <f>IF(Mark!JH46&lt;&gt;"",Mark!JH46,$NC46)</f>
        <v>0</v>
      </c>
      <c r="NE46" s="3">
        <f>ND46*M46</f>
        <v>0</v>
      </c>
      <c r="NG46">
        <f>IF(VLOOKUP($G46,Efgr,Data!$AX$53)&gt;0,((1+Regn!DD46/VLOOKUP($G46,Efgr,Data!$AX$53))/2)*VLOOKUP($G46,Efgr,Data!$AY$53)*VLOOKUP($G46,Efgr,Data!$BA$53)+VLOOKUP($G46,Efgr,Data!$AZ$53),0)</f>
        <v>0</v>
      </c>
      <c r="NH46">
        <f>IF(VLOOKUP($G46,Efgr,Data!$AX$53)&gt;0,($DD46/VLOOKUP($G46,Efgr,Data!$AX$53))*VLOOKUP($G46,Efgr,Data!$BB$53)*VLOOKUP($G46,Efgr,Data!$BA$53),0)</f>
        <v>0</v>
      </c>
      <c r="NI46">
        <f>(NG46+NH46)*MaskJust</f>
        <v>0</v>
      </c>
      <c r="NJ46" s="3">
        <f>IF(Mark!JN46&lt;&gt;"",Mark!JN46,NI46)</f>
        <v>0</v>
      </c>
      <c r="NK46" s="3">
        <f>NJ46*M46</f>
        <v>0</v>
      </c>
      <c r="NM46">
        <f>IF($H46=2,Data!$K$304,IF($H46=3,Data!$K$305,0))*MaskJust</f>
        <v>0</v>
      </c>
      <c r="NN46" s="3">
        <f>IF(Mark!JT46&lt;&gt;"",Mark!JT46,NM46)</f>
        <v>0</v>
      </c>
      <c r="NO46" s="3">
        <f>NN46*M46</f>
        <v>0</v>
      </c>
      <c r="NQ46">
        <f>HY46</f>
        <v>0</v>
      </c>
      <c r="NR46">
        <f>JJ46+MM46</f>
        <v>0</v>
      </c>
      <c r="NS46">
        <f>NQ46-NR46</f>
        <v>0</v>
      </c>
      <c r="NT46">
        <f>NS46*M46</f>
        <v>0</v>
      </c>
      <c r="NW46">
        <f>VLOOKUP($B46,Afgr,Data!$BP$3)+VLOOKUP($C46,Efgr,Data!$AM$53)</f>
        <v>0</v>
      </c>
      <c r="NX46" s="3">
        <f>NW46*M46</f>
        <v>0</v>
      </c>
      <c r="NY46">
        <f>VLOOKUP($E46,Afgr,Data!$BP$3)+VLOOKUP($G46,Efgr,Data!$AM$53)</f>
        <v>0</v>
      </c>
      <c r="NZ46" s="3">
        <f>NY46*M46</f>
        <v>0</v>
      </c>
      <c r="OB46">
        <f>VLOOKUP($C46,Efgr,Data!$AN$53)</f>
        <v>0</v>
      </c>
      <c r="OC46">
        <f>VLOOKUP($B46,Afgr,Data!$BQ$3)</f>
        <v>0</v>
      </c>
      <c r="OD46">
        <f>VLOOKUP($E46,Afgr,Data!$BR$3)</f>
        <v>1</v>
      </c>
      <c r="OE46">
        <f>OB46*OC46*OD46</f>
        <v>0</v>
      </c>
      <c r="OF46" s="3">
        <f>OE46*M46</f>
        <v>0</v>
      </c>
      <c r="OG46" s="3">
        <f>IF(D46,1,0)*OF46</f>
        <v>0</v>
      </c>
      <c r="OI46">
        <f>VLOOKUP($G46,Efgr,Data!$AN$53)</f>
        <v>0</v>
      </c>
      <c r="OJ46">
        <f>VLOOKUP($E46,Afgr,Data!$BQ$3)</f>
        <v>0</v>
      </c>
      <c r="OK46">
        <f>VLOOKUP($K46,Afgr,Data!$BR$3)</f>
        <v>1</v>
      </c>
      <c r="OL46">
        <f>OI46*OJ46*OK46</f>
        <v>0</v>
      </c>
      <c r="OM46" s="3">
        <f>OL46*M46</f>
        <v>0</v>
      </c>
      <c r="OO46">
        <f>VLOOKUP($G46,Efgr,Data!$AO$53)</f>
        <v>0</v>
      </c>
      <c r="OP46">
        <f>VLOOKUP($B46,Afgr,Data!$BQ$3)</f>
        <v>0</v>
      </c>
      <c r="OQ46">
        <f>VLOOKUP($E46,Afgr,Data!$BS$3)</f>
        <v>0</v>
      </c>
      <c r="OR46" s="3">
        <f>OO46*OP46*OQ46*$M46</f>
        <v>0</v>
      </c>
      <c r="OT46">
        <f>VLOOKUP($G46,Efgr,Data!$AO$53)</f>
        <v>0</v>
      </c>
      <c r="OU46">
        <f>VLOOKUP($E46,Afgr,Data!$BQ$3)</f>
        <v>0</v>
      </c>
      <c r="OV46">
        <f>VLOOKUP($K46,Afgr,Data!$BS$3)</f>
        <v>0</v>
      </c>
      <c r="OW46" s="3">
        <f>OT46*OU46*OV46*$M46</f>
        <v>0</v>
      </c>
      <c r="OX46" s="3"/>
      <c r="OY46" s="3">
        <f>VLOOKUP($B46,Afgr,Data!$BU$3)</f>
        <v>0</v>
      </c>
      <c r="OZ46" s="3">
        <f>OY46*M46</f>
        <v>0</v>
      </c>
      <c r="PA46" s="3">
        <f>VLOOKUP($E46,Afgr,Data!$BU$3)</f>
        <v>0</v>
      </c>
      <c r="PB46" s="3">
        <f>PA46*M46</f>
        <v>0</v>
      </c>
      <c r="PD46">
        <f>VLOOKUP(E46,Afgr,Data!$BX$3)+VLOOKUP(G46,Efgr,Data!$AQ$53)</f>
        <v>0</v>
      </c>
      <c r="PE46">
        <f>IF(PD46&gt;0,M46,0)</f>
        <v>0</v>
      </c>
      <c r="PG46">
        <f>VLOOKUP($B46,Afgr,Data!$BT$3)</f>
        <v>0</v>
      </c>
      <c r="PH46" s="3">
        <f>PG46*M46</f>
        <v>0</v>
      </c>
      <c r="PI46">
        <f>VLOOKUP($E46,Afgr,Data!$BT$3)</f>
        <v>0</v>
      </c>
      <c r="PJ46" s="3">
        <f>PI46*M46</f>
        <v>0</v>
      </c>
      <c r="PL46">
        <f>VLOOKUP($E46,Afgr,Data!$BV$3)</f>
        <v>0</v>
      </c>
      <c r="PM46">
        <f>PL46*M46</f>
        <v>0</v>
      </c>
      <c r="PO46">
        <f>VLOOKUP($E46,Afgr,Data!$BW$3)</f>
        <v>0</v>
      </c>
      <c r="PP46">
        <f>PO46*M46</f>
        <v>0</v>
      </c>
      <c r="PR46">
        <f>BI46*IF(VLOOKUP($E46,Afgr,Data!$BJ$3)&gt;0,1,0)</f>
        <v>0</v>
      </c>
      <c r="PS46">
        <f>PR46*M46</f>
        <v>0</v>
      </c>
      <c r="PU46">
        <f>BI46*VLOOKUP(E46,Afgr,Data!$BK$3)</f>
        <v>0</v>
      </c>
      <c r="PV46">
        <f>M46*PU46</f>
        <v>0</v>
      </c>
      <c r="PW46">
        <f>$BI46*VLOOKUP($E46,Afgr,Data!$BL$3)+$DD46*VLOOKUP($G46,Efgr,Data!$AP$53)</f>
        <v>0</v>
      </c>
      <c r="PX46">
        <f>PW46*M46</f>
        <v>0</v>
      </c>
      <c r="PY46">
        <f>$BI46*VLOOKUP($E46,Afgr,Data!$BM$3)</f>
        <v>0</v>
      </c>
      <c r="PZ46">
        <f>PY46*M46</f>
        <v>0</v>
      </c>
      <c r="QA46">
        <f>$BI46*VLOOKUP($E46,Afgr,Data!$BN$3)</f>
        <v>0</v>
      </c>
      <c r="QB46">
        <f>QA46*M46</f>
        <v>0</v>
      </c>
      <c r="QE46">
        <f>IF(VLOOKUP($E46,Afgr,Data!$DA$3)="Vårbyg",$BJ46,0)*VLOOKUP($E46,Afgr,Data!$BJ$3)</f>
        <v>0</v>
      </c>
      <c r="QF46">
        <f>IF(VLOOKUP($E46,Afgr,Data!$DA$3)="Vinterbyg",$BJ46,0)*VLOOKUP($E46,Afgr,Data!$BJ$3)</f>
        <v>0</v>
      </c>
      <c r="QG46">
        <f>IF(VLOOKUP($E46,Afgr,Data!$DA$3)="Havre",$BJ46,0)*VLOOKUP($E46,Afgr,Data!$BJ$3)</f>
        <v>0</v>
      </c>
      <c r="QH46">
        <f>IF(VLOOKUP($E46,Afgr,Data!$DA$3)="Hvede",$BJ46,0)*VLOOKUP($E46,Afgr,Data!$BJ$3)</f>
        <v>0</v>
      </c>
      <c r="QI46">
        <f>IF(VLOOKUP($E46,Afgr,Data!$DA$3)="Triticale",$BJ46,0)*VLOOKUP($E46,Afgr,Data!$BJ$3)</f>
        <v>0</v>
      </c>
      <c r="QJ46">
        <f>IF(VLOOKUP($E46,Afgr,Data!$DA$3)="Rug",$BJ46,0)*VLOOKUP($E46,Afgr,Data!$BJ$3)</f>
        <v>0</v>
      </c>
      <c r="QK46">
        <f>IF(VLOOKUP($E46,Afgr,Data!$DA$3)="Majs",$BJ46,0)*VLOOKUP($E46,Afgr,Data!$BJ$3)</f>
        <v>0</v>
      </c>
      <c r="QN46">
        <f>IF(OI46+OO46&gt;0,1,0)</f>
        <v>0</v>
      </c>
      <c r="QO46">
        <f>QN46*LJ46</f>
        <v>0</v>
      </c>
      <c r="QP46">
        <f>QN46*MG46</f>
        <v>0</v>
      </c>
      <c r="QQ46">
        <f>MQ46</f>
        <v>0</v>
      </c>
      <c r="QR46">
        <f>QN46*NO46</f>
        <v>0</v>
      </c>
    </row>
    <row r="47" spans="1:460" ht="15" customHeight="1" x14ac:dyDescent="0.25">
      <c r="GG47" s="12"/>
    </row>
    <row r="48" spans="1:460" ht="15" customHeight="1" x14ac:dyDescent="0.25">
      <c r="A48">
        <v>8</v>
      </c>
      <c r="B48">
        <v>1</v>
      </c>
      <c r="C48">
        <v>1</v>
      </c>
      <c r="D48" t="b">
        <v>0</v>
      </c>
      <c r="E48">
        <v>1</v>
      </c>
      <c r="F48">
        <v>1</v>
      </c>
      <c r="G48">
        <v>1</v>
      </c>
      <c r="H48">
        <v>1</v>
      </c>
      <c r="I48">
        <v>1</v>
      </c>
      <c r="K48">
        <v>1</v>
      </c>
      <c r="M48">
        <f>IF(ISERROR(N48*Areal1/$N$50),0,N48*Areal1/$N$50)</f>
        <v>0</v>
      </c>
      <c r="N48">
        <f>Mark!Z48</f>
        <v>0</v>
      </c>
      <c r="P48">
        <f>VLOOKUP($E48,Afgr,NnormKolonneNr1)</f>
        <v>0</v>
      </c>
      <c r="Q48">
        <f>VLOOKUP($B48,Afgr,Data!$AI$3)*VLOOKUP(E48,Afgr,Data!$AJ$3)</f>
        <v>0</v>
      </c>
      <c r="R48">
        <f>IF($D48,0,VLOOKUP($C48,Efgr,(Data!$W$53+$G$28-1)))</f>
        <v>0</v>
      </c>
      <c r="S48">
        <f>P48-Q48-R48</f>
        <v>0</v>
      </c>
      <c r="T48">
        <f>S48*M48</f>
        <v>0</v>
      </c>
      <c r="U48">
        <f>IF(Nmodel12=1,S48*Nniveau12*0.01,AO48)</f>
        <v>0</v>
      </c>
      <c r="V48" s="3">
        <f>IF(Mark!CI48&lt;&gt;"",Mark!CI48,U48)</f>
        <v>0</v>
      </c>
      <c r="W48" s="3">
        <f>V48*M48</f>
        <v>0</v>
      </c>
      <c r="Y48">
        <f>S48/NoptFaktor</f>
        <v>0</v>
      </c>
      <c r="Z48" s="3">
        <f>IF(Mark!BZ48&lt;&gt;"",Mark!BZ48,Y48)</f>
        <v>0</v>
      </c>
      <c r="AB48">
        <f>VLOOKUP($E48,Afgr,Data!$DE$3)</f>
        <v>0</v>
      </c>
      <c r="AC48">
        <f>VLOOKUP($E48,Afgr,Data!$DD$3)</f>
        <v>0</v>
      </c>
      <c r="AD48">
        <f>VLOOKUP($E48,Afgr,Data!$DC$3)</f>
        <v>0</v>
      </c>
      <c r="AE48">
        <f>IF(ISERROR($Z48+(-PrisN/$AD48-$AB48)/(2*$AC48)),0,($Z48+(-PrisN/$AD48-$AB48)/(2*$AC48)))</f>
        <v>0</v>
      </c>
      <c r="AF48">
        <f>($BD48+$BE48+$BF48)*1.03333</f>
        <v>0</v>
      </c>
      <c r="AG48">
        <f>$AF48-($AB48*($AE48-$Z48)+$AC48*($AE48-$Z48)^2)</f>
        <v>0</v>
      </c>
      <c r="AH48">
        <f>IF(Nmodel12=1,$AB48*($AE48-$S48)+$AC48*($AE48-$S48)^2,$AB48*($AE48-$AO48)+$AC48*($AE48-$AO48)^2)</f>
        <v>0</v>
      </c>
      <c r="AI48">
        <f>IF(Nmodel12=1,$AB48*($AE48-$V48)+$AC48*($AE48-$V48)^2,$AB48*($AE48-AO48)+$AC48*($AE48-AO48)^2)</f>
        <v>0</v>
      </c>
      <c r="AJ48">
        <f>AG48+AH48-BG48</f>
        <v>0</v>
      </c>
      <c r="AK48">
        <f>AG48+AI48-AJ48</f>
        <v>0</v>
      </c>
      <c r="AM48">
        <f>VLOOKUP(E48,Afgr,Data!$DF$3+SandLer1)</f>
        <v>0</v>
      </c>
      <c r="AN48">
        <f>IF(ISERROR(((-(PrisN+Pantafgift)+AM48*Pantfaktor*Pantafgift)/AD48-AB48)/(2*AC48)),0,((-(PrisN+Pantafgift)+AM48*Pantfaktor*Pantafgift)/AD48-AB48)/(2*AC48))</f>
        <v>0</v>
      </c>
      <c r="AO48">
        <f>AE48-AN48</f>
        <v>0</v>
      </c>
      <c r="AQ48">
        <f>IF(AT48&gt;0,0,W48)</f>
        <v>0</v>
      </c>
      <c r="AR48">
        <f>IF(ISERROR(W48*HdgNTilFordeling12/NnormIaltFordel12),0,W48*HdgNTilFordeling12/NnormIaltFordel12)</f>
        <v>0</v>
      </c>
      <c r="AS48">
        <f>IF(ISERROR($AR48/$M48),0,$AR48/$M48)</f>
        <v>0</v>
      </c>
      <c r="AT48">
        <f>IF(Mark!CO48&lt;&gt;"",Mark!CO48,0)</f>
        <v>0</v>
      </c>
      <c r="AU48">
        <f>$AT48*$M48</f>
        <v>0</v>
      </c>
      <c r="AV48" s="3">
        <f>IF(AT48&gt;0,AT48,AS48)</f>
        <v>0</v>
      </c>
      <c r="AW48" s="3">
        <f>AV48*M48</f>
        <v>0</v>
      </c>
      <c r="AY48">
        <f>UdnKrav*$AV48/100</f>
        <v>0</v>
      </c>
      <c r="BA48">
        <f>AV48*VLOOKUP($E48,Afgr,Data!$DJ$3)</f>
        <v>0</v>
      </c>
      <c r="BB48">
        <f>UdnKrav*$BA48/100</f>
        <v>0</v>
      </c>
      <c r="BD48">
        <f>VLOOKUP(E48,Afgr,NormudbKolonneNr1)</f>
        <v>0</v>
      </c>
      <c r="BE48">
        <f>VLOOKUP(B48,Afgr,Data!$AL$3)*VLOOKUP(E48,Afgr,MerudbKolonneNr1)</f>
        <v>0</v>
      </c>
      <c r="BF48">
        <f>VLOOKUP(C48,Efgr,(Data!$Y$53+EftervirkningUdb1))</f>
        <v>0</v>
      </c>
      <c r="BG48">
        <f>BD48+BE48+BF48</f>
        <v>0</v>
      </c>
      <c r="BH48">
        <f>IF(OR(V48&lt;&gt;S48,Nmodel12=2),AK48,BD48+BE48+BF48)</f>
        <v>0</v>
      </c>
      <c r="BI48" s="3">
        <f>IF(Mark!AK48&lt;&gt;"",Mark!AK48,BH48)</f>
        <v>0</v>
      </c>
      <c r="BJ48">
        <f>BI48*M48</f>
        <v>0</v>
      </c>
      <c r="BK48">
        <f>VLOOKUP(E48,Afgr,3)</f>
        <v>0</v>
      </c>
      <c r="BL48">
        <f>IF(BK48="FE",VLOOKUP($E48,Afgr,Data!$AV$3),0)</f>
        <v>0</v>
      </c>
      <c r="BN48">
        <f>VLOOKUP(E48,Afgr,4)</f>
        <v>0</v>
      </c>
      <c r="BO48" s="3">
        <f>IF(Mark!AW48&lt;&gt;"",Mark!AW48,Regn!BN48)</f>
        <v>0</v>
      </c>
      <c r="BP48" s="3">
        <f>BI48*BO48</f>
        <v>0</v>
      </c>
      <c r="BQ48" s="3">
        <f>BJ48*BO48</f>
        <v>0</v>
      </c>
      <c r="BS48">
        <f>VLOOKUP(E48,Afgr,Data!$AN$3)</f>
        <v>0</v>
      </c>
      <c r="BT48" s="3">
        <f>IF(Mark!BC48&lt;&gt;"",Mark!BC48,BS48)</f>
        <v>0</v>
      </c>
      <c r="BU48" s="3">
        <f>BT48*M48</f>
        <v>0</v>
      </c>
      <c r="BW48">
        <f>VLOOKUP(E48,Afgr,HalmudbKolonneNr1)</f>
        <v>0</v>
      </c>
      <c r="BX48">
        <f>IF(ISERROR(BW48*BI48/BG48),0,(BW48*BI48/BG48))</f>
        <v>0</v>
      </c>
      <c r="BY48" s="3">
        <f>IF(Mark!BI48&lt;&gt;"",Mark!BI48,BX48)</f>
        <v>0</v>
      </c>
      <c r="BZ48">
        <f>BY48*M48</f>
        <v>0</v>
      </c>
      <c r="CC48">
        <f>IF($F48=1,BY48,0)</f>
        <v>0</v>
      </c>
      <c r="CD48">
        <f>IF(F48=1,BZ48,0)</f>
        <v>0</v>
      </c>
      <c r="CE48">
        <f>VLOOKUP(E48,Afgr,Data!$AM$3)</f>
        <v>0</v>
      </c>
      <c r="CF48">
        <f>IF(Mark!BR48&lt;&gt;"",Mark!BR48,CE48)</f>
        <v>0</v>
      </c>
      <c r="CG48">
        <f>CC48*CF48</f>
        <v>0</v>
      </c>
      <c r="CH48">
        <f>CD48*CF48</f>
        <v>0</v>
      </c>
      <c r="CJ48">
        <f>VLOOKUP($G48,Efgr,NnormKolonneEfgr1)</f>
        <v>0</v>
      </c>
      <c r="CK48">
        <f t="shared" si="0"/>
        <v>0</v>
      </c>
      <c r="CL48">
        <f>CJ48*Nniveau12*0.01</f>
        <v>0</v>
      </c>
      <c r="CM48" s="3">
        <f>IF(Mark!DM48&lt;&gt;"",Mark!DM48,CL48)</f>
        <v>0</v>
      </c>
      <c r="CN48" s="3">
        <f>$CM48*$M48</f>
        <v>0</v>
      </c>
      <c r="CP48">
        <f>IF(CS48&gt;0,0,CN48)</f>
        <v>0</v>
      </c>
      <c r="CQ48">
        <f>IF(ISERROR(CN48*HdgNTilFordeling12/NnormIaltFordel12),0,CN48*HdgNTilFordeling12/NnormIaltFordel12)</f>
        <v>0</v>
      </c>
      <c r="CR48">
        <f>IF(ISERROR($CQ48/$M48),0,$CQ48/$M48)</f>
        <v>0</v>
      </c>
      <c r="CS48">
        <f>IF(Mark!DS48&lt;&gt;"",Mark!DS48,0)</f>
        <v>0</v>
      </c>
      <c r="CT48">
        <f>$CS48*$M48</f>
        <v>0</v>
      </c>
      <c r="CU48" s="3">
        <f>IF($CS48&gt;0,$CS48,$CR48)</f>
        <v>0</v>
      </c>
      <c r="CV48" s="3">
        <f>CU48*M48</f>
        <v>0</v>
      </c>
      <c r="CX48">
        <f>UdnKrav*$CU48/100</f>
        <v>0</v>
      </c>
      <c r="CZ48">
        <f>$CU48*VLOOKUP($G48,Efgr,Data!$BG$53)</f>
        <v>0</v>
      </c>
      <c r="DA48">
        <f>UdnKrav*$CZ48/100</f>
        <v>0</v>
      </c>
      <c r="DC48">
        <f>VLOOKUP(G48,Efgr,NormudbKolonneNrEfgr1)</f>
        <v>0</v>
      </c>
      <c r="DD48" s="3">
        <f>IF(Mark!DC48&lt;&gt;"",Mark!DC48,DC48)</f>
        <v>0</v>
      </c>
      <c r="DE48">
        <f>DD48*M48</f>
        <v>0</v>
      </c>
      <c r="DF48" t="s">
        <v>37</v>
      </c>
      <c r="DG48">
        <f>DD48*Efterslaetpris</f>
        <v>0</v>
      </c>
      <c r="DH48">
        <f>DE48*Efterslaetpris</f>
        <v>0</v>
      </c>
      <c r="DI48">
        <f>VLOOKUP(G48,Efgr,Data!$AG$53)</f>
        <v>0</v>
      </c>
      <c r="DJ48">
        <f>DD48*DI48</f>
        <v>0</v>
      </c>
      <c r="DL48">
        <f>VLOOKUP($E48,Afgr,Data!$AW$3)</f>
        <v>0</v>
      </c>
      <c r="DM48">
        <f>IF(BK48="FE",$BI48*$BL48*$DL48*0.01,$BI48*100*$DR48*0.01*$DL48*0.01)</f>
        <v>0</v>
      </c>
      <c r="DN48">
        <f>IF(VLOOKUP(E48,Afgr,Data!$BO$3)=1,DM48,0)*M48</f>
        <v>0</v>
      </c>
      <c r="DO48" s="12">
        <f>IF(Nmodel12=1,(V48-S48)*VLOOKUP($E48,Afgr,Data!$AX$3),(AO48-S48)*VLOOKUP(E48,Afgr,Data!$AX$3))</f>
        <v>0</v>
      </c>
      <c r="DP48">
        <f>DL48+DO48</f>
        <v>0</v>
      </c>
      <c r="DQ48">
        <f>IF(Mark!AQ48&lt;&gt;"",Mark!AQ48,DP48)</f>
        <v>0</v>
      </c>
      <c r="DR48">
        <f>VLOOKUP(E48,Afgr,Data!$AT$3)</f>
        <v>0</v>
      </c>
      <c r="DS48">
        <f>IF($BK48="FE",$BI48*$BL48*$DQ48*0.01,$BI48*100*$DR48*0.01*DQ48*0.01)</f>
        <v>0</v>
      </c>
      <c r="DT48">
        <f>IF(VLOOKUP(E48,Afgr,Data!$BO$3)=1,DS48,0)*M48</f>
        <v>0</v>
      </c>
      <c r="DU48">
        <f>IF(ISERROR(DS48/VLOOKUP(E48,Afgr,Data!$AY$3)),0,DS48/VLOOKUP(E48,Afgr,Data!$AY$3))</f>
        <v>0</v>
      </c>
      <c r="DV48">
        <f>DU48*M48</f>
        <v>0</v>
      </c>
      <c r="DX48">
        <f>IF($BK48="FE",$BI48*$BL48*VLOOKUP($E48,Afgr,Data!$BC$3)*0.001,$BI48*100*$DR48*0.01*VLOOKUP($E48,Afgr,Data!$BC$3)*0.001)</f>
        <v>0</v>
      </c>
      <c r="DY48">
        <f>DX48*M48</f>
        <v>0</v>
      </c>
      <c r="EA48">
        <f>IF($BK48="FE",$BI48*$BL48*VLOOKUP($E48,Afgr,Data!$BF$3)*0.001,$BI48*100*$DR48*0.01*VLOOKUP($E48,Afgr,Data!$BF$3)*0.001)</f>
        <v>0</v>
      </c>
      <c r="EB48">
        <f>EA48*M48</f>
        <v>0</v>
      </c>
      <c r="ED48">
        <f>IF(ISERROR(VLOOKUP(E48,Afgr,Data!$AZ$3)*DQ48/DL48),0,VLOOKUP(E48,Afgr,Data!$AZ$3)*DQ48/DL48)</f>
        <v>0</v>
      </c>
      <c r="EE48">
        <f>VLOOKUP(E48,Afgr,Data!$AU$3)</f>
        <v>0</v>
      </c>
      <c r="EF48">
        <f>IF($F48=1,$BY48*$EE48*0.01*ED48*0.01,0)</f>
        <v>0</v>
      </c>
      <c r="EG48">
        <f>EF48/6.25</f>
        <v>0</v>
      </c>
      <c r="EH48">
        <f>EG48*M48</f>
        <v>0</v>
      </c>
      <c r="EJ48">
        <f>IF($F48=1,$BY48*$EE48*0.01*VLOOKUP($E48,Afgr,Data!$BD$3)*0.001,0)</f>
        <v>0</v>
      </c>
      <c r="EK48">
        <f>EJ48*M48</f>
        <v>0</v>
      </c>
      <c r="EM48">
        <f>IF($F48=1,$BY48*$EE48*0.01*VLOOKUP($E48,Afgr,Data!$BG$3)*0.001,0)</f>
        <v>0</v>
      </c>
      <c r="EN48">
        <f>EM48*M48</f>
        <v>0</v>
      </c>
      <c r="EP48">
        <f>VLOOKUP(G48,Efgr,Data!$AI$53)</f>
        <v>0</v>
      </c>
      <c r="EQ48">
        <f>DJ48*EP48*0.01/6.25</f>
        <v>0</v>
      </c>
      <c r="ER48">
        <f>EQ48*M48</f>
        <v>0</v>
      </c>
      <c r="ET48">
        <f>$DJ48*VLOOKUP($G48,Efgr,Data!$AJ$53)*0.001</f>
        <v>0</v>
      </c>
      <c r="EU48">
        <f>ET48*M48</f>
        <v>0</v>
      </c>
      <c r="EW48">
        <f>$DJ48*VLOOKUP($G48,Efgr,Data!$AK$53)*0.001</f>
        <v>0</v>
      </c>
      <c r="EX48">
        <f>EW48*M48</f>
        <v>0</v>
      </c>
      <c r="EZ48">
        <f>IF(VLOOKUP(E48,Afgr,Data!$DS$3)=1,DU48*VLOOKUP(E48,Afgr,(Data!$DT$3+EftervirkningUdb1))*VLOOKUP(E48,Afgr,Data!$DV$3),0)</f>
        <v>0</v>
      </c>
      <c r="FA48">
        <f>IF(VLOOKUP(E48,Afgr,Data!$DS$3)=2,VLOOKUP(E48,Afgr,Data!$DX$3),0)</f>
        <v>0</v>
      </c>
      <c r="FB48">
        <f>IF(VLOOKUP(E48,Afgr,Data!$DS$3)=3,$DU48*VLOOKUP($E48,Afgr,IF(Jordtype1&lt;5,Data!$DT$3,Data!$DU$3))*VLOOKUP($E48,Afgr,Data!$DV$3),0)</f>
        <v>0</v>
      </c>
      <c r="FC48">
        <f>IF(VLOOKUP(E48,Afgr,Data!$DS$3)=4,(1.232+0.00469*BI48*100+(0.000256*BI48*100+0.089)*60),0)</f>
        <v>0</v>
      </c>
      <c r="FD48">
        <f>$V48+IF($AY48-$BB48&gt;$V48,$AY48-$V48,0)-$BB48</f>
        <v>0</v>
      </c>
      <c r="FE48">
        <f>IF(VLOOKUP($E48,Afgr,Data!$DS$3)=5,($BI48*0.02742-$BI48*0.0001*$FD48+$BI48*0.0000001111*$FD48*$FD48),0)</f>
        <v>0</v>
      </c>
      <c r="FF48">
        <f>$CM48+IF($CX48-$DA48&gt;$CM48,$CX48-$CM48,0)-$DA48</f>
        <v>0</v>
      </c>
      <c r="FG48">
        <f>IF(VLOOKUP($G48,Efgr,Data!$BH$53)=5,($DD48*0.02742-$DD48*0.0001*$FF48+$DD48*0.0000001111*$FF48*$FF48),0)</f>
        <v>0</v>
      </c>
      <c r="FH48" s="3">
        <f>EZ48+FA48+FB48+FC48+FE48+FG48</f>
        <v>0</v>
      </c>
      <c r="FI48" s="3">
        <f>FH48*M48</f>
        <v>0</v>
      </c>
      <c r="FK48">
        <f>$V48+$CM48</f>
        <v>0</v>
      </c>
      <c r="FL48">
        <f>($AV48-$AY48)+IF($AY48&gt;$V48,$AY48-$V48,0)+($CU48-$CX48)+IF($CX48&gt;$CM48,$CX48-$CM48,0)</f>
        <v>0</v>
      </c>
      <c r="FM48">
        <f>VLOOKUP($E48,Afgr,Data!$DK$3)*VLOOKUP($E48,Afgr,Data!$AT$3)*0.01*VLOOKUP($E48,Afgr,Data!$AW$3)*0.01/6.25</f>
        <v>0</v>
      </c>
      <c r="FN48" s="4">
        <f>IF(E48&gt;1,Deposition,0)</f>
        <v>0</v>
      </c>
      <c r="FO48">
        <f>FH48</f>
        <v>0</v>
      </c>
      <c r="FP48">
        <f>SUM(FK48:FO48)</f>
        <v>0</v>
      </c>
      <c r="FQ48">
        <f>DU48+EG48+EQ48</f>
        <v>0</v>
      </c>
      <c r="FR48" s="3">
        <f>FP48-FQ48</f>
        <v>0</v>
      </c>
      <c r="FS48" s="19">
        <f>FP48*M48</f>
        <v>0</v>
      </c>
      <c r="FT48" s="19">
        <f>FQ48*M48</f>
        <v>0</v>
      </c>
      <c r="FU48" s="3">
        <f>FR48*M48</f>
        <v>0</v>
      </c>
      <c r="FW48">
        <f>IL48+IM48+LP48+LQ48</f>
        <v>0</v>
      </c>
      <c r="FX48">
        <f>IK48+LO48</f>
        <v>0</v>
      </c>
      <c r="FY48">
        <f>FW48-FX48</f>
        <v>0</v>
      </c>
      <c r="FZ48">
        <f>FY48*M48</f>
        <v>0</v>
      </c>
      <c r="GB48">
        <f>IS48+IT48+LV48+LW48</f>
        <v>0</v>
      </c>
      <c r="GC48">
        <f>IR48+LU48</f>
        <v>0</v>
      </c>
      <c r="GD48">
        <f>GB48-GC48</f>
        <v>0</v>
      </c>
      <c r="GE48">
        <f>GD48*M48</f>
        <v>0</v>
      </c>
      <c r="GG48" s="149">
        <f>IF(OR(VLOOKUP(E48,Afgr,Data!$BV$3)=1,VLOOKUP(E48,Afgr,Data!$BW$3)=1),0,NniveauDelsaedsk1)</f>
        <v>194</v>
      </c>
      <c r="GH48" s="1">
        <v>0.32550000000000001</v>
      </c>
      <c r="GI48" s="6">
        <v>0</v>
      </c>
      <c r="GJ48" s="24">
        <f>IF(($V48-BB48+$CM48-DA48)&lt;0,0,$V48-BB48+$CM48-DA48)</f>
        <v>0</v>
      </c>
      <c r="GK48" s="6">
        <f>$FO48</f>
        <v>0</v>
      </c>
      <c r="GL48" s="1">
        <v>0.25280000000000002</v>
      </c>
      <c r="GM48">
        <f>$BA48+$CZ48</f>
        <v>0</v>
      </c>
      <c r="GN48" s="1">
        <v>0.376</v>
      </c>
      <c r="GO48" s="6">
        <v>0</v>
      </c>
      <c r="GP48" s="1">
        <f>IF(SandLer1&gt;1,0.3539,1.0749)</f>
        <v>0.35389999999999999</v>
      </c>
      <c r="GQ48" s="11">
        <f>$FQ48</f>
        <v>0</v>
      </c>
      <c r="GR48" s="1">
        <v>0.19359999999999999</v>
      </c>
      <c r="GS48" s="1">
        <f>VLOOKUP($E48,Afgr,Data!$DM$3)</f>
        <v>0</v>
      </c>
      <c r="GT48" s="24">
        <f>IF($GS48&gt;1,0,(VLOOKUP($K48,Afgr,Data!$DP$3)+IF(VLOOKUP($K48,Afgr,Data!$DP$3)=0,VLOOKUP($G48,Efgr,Data!$BI$53,0))))+IF(AND($GS48=7,VLOOKUP($K48,Afgr,Data!$DQ$3)=-2),-2,0)+IF(AND($GS48=6,VLOOKUP($G48,Efgr,Data!$BI$53)=2),8,0)</f>
        <v>0</v>
      </c>
      <c r="GU48" s="6" t="e">
        <f>VLOOKUP(SUM(GS48:GT48),Nlesafgr,3)</f>
        <v>#N/A</v>
      </c>
      <c r="GV48" s="7">
        <f>VLOOKUP($B48,Afgr,Data!$DN$3)</f>
        <v>0</v>
      </c>
      <c r="GW48" s="24">
        <f>IF(GV48&gt;1,0,VLOOKUP($E48,Afgr,Data!$DO$3)+IF(VLOOKUP($E48,Afgr,Data!$DO$3)=1,0,VLOOKUP($C48,Efgr,Data!$BJ$53)))</f>
        <v>0</v>
      </c>
      <c r="GX48" s="6" t="e">
        <f>VLOOKUP(SUM(GV48:GW48),Nlesforfrugt,3)</f>
        <v>#N/A</v>
      </c>
      <c r="GY48" s="1" t="e">
        <f>GH48*GG48+GL48*(GJ48+GK48)+GN48*GM48+GP48*GO48-GR48*GQ48+GU48+GX48</f>
        <v>#N/A</v>
      </c>
      <c r="GZ48" s="1">
        <f>Nlesafskaering</f>
        <v>59.6</v>
      </c>
      <c r="HA48" s="1">
        <f>Teknologi1</f>
        <v>2455</v>
      </c>
      <c r="HB48" s="6">
        <v>2001</v>
      </c>
      <c r="HC48" s="1">
        <f>Teknologi2</f>
        <v>1962.2</v>
      </c>
      <c r="HD48" s="1">
        <f>Tandel</f>
        <v>0.54659999999999997</v>
      </c>
      <c r="HE48" s="1" t="e">
        <f>IF(OR(GY48&gt;0,GY48=0),GZ48+HA48/(HB48-HC48),GZ48+HA48/(HB48-HC48)+HD48*GY48)</f>
        <v>#N/A</v>
      </c>
      <c r="HF48" s="1" t="e">
        <f>IF(GY48&gt;0,GY48,0.001)</f>
        <v>#N/A</v>
      </c>
      <c r="HG48" s="1">
        <v>1.5020000000000001E-3</v>
      </c>
      <c r="HH48" s="24">
        <f>IF(E48=1,0,VLOOKUP(Postnr,AfstromData,VLOOKUP($E48,Afgr,Data!$DL$3)+IF(Jordtype1&lt;7,Jordtype1,6),FALSE)-VLOOKUP(G48,Efgr,Data!$AA$53))</f>
        <v>0</v>
      </c>
      <c r="HI48" s="1">
        <v>5.5400000000000002E-4</v>
      </c>
      <c r="HJ48" s="24">
        <f>IF(E48=1,0,VLOOKUP(Postnr,AfstromData,VLOOKUP($B48,Afgr,Data!$DL$3)+IF(Jordtype1&lt;7,Jordtype1,6),FALSE)-VLOOKUP(C48,Efgr,Data!$AA$53))</f>
        <v>0</v>
      </c>
      <c r="HK48" s="1">
        <v>0.10639999999999999</v>
      </c>
      <c r="HL48" s="6">
        <f>VLOOKUP(Jordtype1,Jordtype,Data!$W$112)</f>
        <v>3</v>
      </c>
      <c r="HM48" s="1">
        <v>3.2500000000000001E-2</v>
      </c>
      <c r="HN48" s="6">
        <f>VLOOKUP(Jordtype1,Jordtype,Data!$X$112)</f>
        <v>12</v>
      </c>
      <c r="HO48" s="1">
        <v>1.2453000000000001</v>
      </c>
      <c r="HP48" s="1">
        <f>IF(VLOOKUP(G48,Efgr,Data!$AO$53)=1,MlafgrNUdvask,0)</f>
        <v>0</v>
      </c>
      <c r="HQ48" s="20">
        <f>IF(ISERROR((HE48+POWER(HF48,1.2))*(1-EXP(-HG48*HH48))*EXP(-HI48*HJ48)*EXP(-HK48*HL48)*EXP(-HM48*HN48)*HO48),0,(HE48+POWER(HF48,1.2))*(1-EXP(-HG48*HH48))*EXP(-HI48*HJ48)*EXP(-HK48*HL48)*EXP(-HM48*HN48)*HO48+HP48)</f>
        <v>0</v>
      </c>
      <c r="HR48">
        <f>HQ48*M48</f>
        <v>0</v>
      </c>
      <c r="HS48">
        <f>HQ48*(100-Retention1)*0.01</f>
        <v>0</v>
      </c>
      <c r="HT48">
        <f>HS48*M48</f>
        <v>0</v>
      </c>
      <c r="HU48" s="2">
        <f>HH48*10000</f>
        <v>0</v>
      </c>
      <c r="HV48" s="2">
        <f>HU48*M48</f>
        <v>0</v>
      </c>
      <c r="HW48">
        <f>IF(ISERROR(HQ48*1000*1000/HU48),0,HQ48*1000*1000/HU48)</f>
        <v>0</v>
      </c>
      <c r="HY48">
        <f>BP48+BT48+CG48+DG48</f>
        <v>0</v>
      </c>
      <c r="IB48">
        <f>VLOOKUP(E48,Afgr,Data!$AP$3)*UdsaedJust</f>
        <v>0</v>
      </c>
      <c r="IC48" s="3">
        <f>IF(Mark!EG48&lt;&gt;"",Mark!EG48,Regn!IB48)</f>
        <v>0</v>
      </c>
      <c r="ID48" s="3">
        <f>IC48*M48</f>
        <v>0</v>
      </c>
      <c r="IF48" s="3">
        <f>IF(HdgVaerdi=1,($V48-$AY48)*Npris,$V48*Npris)</f>
        <v>0</v>
      </c>
      <c r="IG48" s="3">
        <f>IF48*M48</f>
        <v>0</v>
      </c>
      <c r="II48">
        <f>VLOOKUP($E48,Afgr,Data!$BA$3)</f>
        <v>0</v>
      </c>
      <c r="IJ48">
        <f>VLOOKUP($E48,Afgr,Data!$BB$3)</f>
        <v>0</v>
      </c>
      <c r="IK48">
        <f>$DX48+$EJ48</f>
        <v>0</v>
      </c>
      <c r="IL48">
        <f>IF(HdgDyreart=2,$AV48*NPforholdSvin,$AV48*NPforholdKvaeg)</f>
        <v>0</v>
      </c>
      <c r="IM48">
        <f>II48+IF($IJ48+$IK48&gt;$IL48,($IJ48+$IK48-$IL48),0)</f>
        <v>0</v>
      </c>
      <c r="IN48" s="3">
        <f>IF(HdgVaerdi=1,($II48*Ppris+IF($IJ48+$IK48&gt;$IL48,($IJ48+$IK48-$IL48)*Ppris,0)),($II48+$IJ48+$IK48)*Ppris)</f>
        <v>0</v>
      </c>
      <c r="IO48" s="3">
        <f>IN48*M48</f>
        <v>0</v>
      </c>
      <c r="IQ48">
        <f>IF(AND(E48&gt;1,OR(Jordtype1=1,Jordtype1=3,Markvand1=2)),Kudvask,0)</f>
        <v>0</v>
      </c>
      <c r="IR48">
        <f>$EA48+$EM48</f>
        <v>0</v>
      </c>
      <c r="IS48">
        <f>IF(HdgDyreart=2,$AV48*NKforholdSvin,$AV48*NkforholdKvaeg)</f>
        <v>0</v>
      </c>
      <c r="IT48">
        <f>IF($IQ48+$IR48&gt;$IS48,($IQ48+$IR48-$IS48),0)</f>
        <v>0</v>
      </c>
      <c r="IU48" s="3">
        <f>IF(HdgVaerdi=1,IF($IQ48+$IR48&gt;$IS48,($IQ48+$IR48-$IS48)*Kpris,0),($IQ48+$IR48)*Kpris)</f>
        <v>0</v>
      </c>
      <c r="IV48" s="3">
        <f>IU48*M48</f>
        <v>0</v>
      </c>
      <c r="IX48">
        <f>IF48+IN48+IU48</f>
        <v>0</v>
      </c>
      <c r="IY48" s="3">
        <f>IF(Mark!EM48&lt;&gt;"",Mark!EM48,$IX48)</f>
        <v>0</v>
      </c>
      <c r="IZ48" s="3">
        <f>IY48*M48</f>
        <v>0</v>
      </c>
      <c r="JB48">
        <f>VLOOKUP(E48,Afgr,Data!$AQ$3)*PlantevJust</f>
        <v>0</v>
      </c>
      <c r="JC48" s="3">
        <f>IF(Mark!ES48&lt;&gt;"",Mark!ES48,JB48)</f>
        <v>0</v>
      </c>
      <c r="JD48" s="3">
        <f>JC48*M48</f>
        <v>0</v>
      </c>
      <c r="JF48">
        <f>VLOOKUP(E48,Afgr,Data!$AR$3)+BI48*VLOOKUP(E48,Afgr,Data!$BH$3)</f>
        <v>0</v>
      </c>
      <c r="JG48" s="3">
        <f>IF(Mark!EY48&lt;&gt;"",Mark!EY48,JF48)</f>
        <v>0</v>
      </c>
      <c r="JH48">
        <f>JG48*M48</f>
        <v>0</v>
      </c>
      <c r="JJ48">
        <f>IC48+IY48+JC48+JG48</f>
        <v>0</v>
      </c>
      <c r="JL48">
        <f>IF(VLOOKUP(E48,Afgr,Data!$BY$3)&gt;0,Data!$K$259*PlojJB1,0)</f>
        <v>0</v>
      </c>
      <c r="JM48">
        <f>IF(VLOOKUP(E48,Afgr,Data!$BZ$3)&gt;0,Data!$K$260*PlojJB1,0)</f>
        <v>0</v>
      </c>
      <c r="JN48">
        <f>(JL48+JM48)*MaskJust</f>
        <v>0</v>
      </c>
      <c r="JO48" s="3">
        <f>IF(Mark!FE48&lt;&gt;"",Mark!FE48,JN48)</f>
        <v>0</v>
      </c>
      <c r="JP48" s="3">
        <f>JO48*M48</f>
        <v>0</v>
      </c>
      <c r="JR48">
        <f>IF(VLOOKUP(E48,Afgr,Data!$CA$3)&gt;0,VLOOKUP(E48,Afgr,Data!$CA$3)*Data!$K$261*SaaJB1,0)</f>
        <v>0</v>
      </c>
      <c r="JS48">
        <f>IF(VLOOKUP(E48,Afgr,Data!$CC$3)&gt;0,Data!$K$262*SaaJB1,0)</f>
        <v>0</v>
      </c>
      <c r="JT48">
        <f>IF(VLOOKUP(E48,Afgr,Data!$CD$3)&gt;0,VLOOKUP(E48,Afgr,Data!$CD$3)*Data!$K$263*SaaJB1,0)</f>
        <v>0</v>
      </c>
      <c r="JU48">
        <f>IF(VLOOKUP(E48,Afgr,Data!$CE$3)&gt;0,Data!$K$264*SaaJB1,0)</f>
        <v>0</v>
      </c>
      <c r="JV48">
        <f>IF(VLOOKUP(E48,Afgr,Data!$CF$3)&gt;0,Data!$K$265*SaaJB1,0)</f>
        <v>0</v>
      </c>
      <c r="JW48">
        <f>IF(VLOOKUP(E48,Afgr,Data!$CV$3)&gt;0,Data!$K$266,0)</f>
        <v>0</v>
      </c>
      <c r="JX48">
        <f>IF(VLOOKUP(E48,Afgr,Data!$CG$3)&gt;0,Data!$K$267*SaaJB1,0)</f>
        <v>0</v>
      </c>
      <c r="JY48">
        <f>(JR48+JS48+JT48+JU48+JV48+JW48+JX48)*MaskJust</f>
        <v>0</v>
      </c>
      <c r="JZ48" s="3">
        <f>IF(Mark!FK48&lt;&gt;"",Mark!FK48,JY48)</f>
        <v>0</v>
      </c>
      <c r="KA48" s="3">
        <f>JZ48*M48</f>
        <v>0</v>
      </c>
      <c r="KC48">
        <f>IF(VLOOKUP(E48,Afgr,Data!$CJ$3)&gt;0,VLOOKUP(E48,Afgr,Data!$CJ$3)*Data!$K$268*SaaJB1,0)*MaskJust</f>
        <v>0</v>
      </c>
      <c r="KD48" s="3">
        <f>IF(Mark!FQ48&lt;&gt;"",Mark!FQ48,KC48)</f>
        <v>0</v>
      </c>
      <c r="KE48" s="3">
        <f>KD48*M48</f>
        <v>0</v>
      </c>
      <c r="KG48">
        <f>IF(VLOOKUP(E48,Afgr,Data!$CI$3)&gt;0,VLOOKUP(E48,Afgr,Data!$CI$3)*Data!$K$269,0)*MaskJust</f>
        <v>0</v>
      </c>
      <c r="KH48" s="3">
        <f>IF(Mark!FW48&lt;&gt;"",Mark!FW48,KG48)</f>
        <v>0</v>
      </c>
      <c r="KI48" s="3">
        <f>KH48*M48</f>
        <v>0</v>
      </c>
      <c r="KK48">
        <f>IF(Markvand1=2,VLOOKUP($E48,Afgr,Data!$CY$3),0)</f>
        <v>0</v>
      </c>
      <c r="KL48">
        <f>IF(Mark!GC48&lt;&gt;"",Mark!GC48,$KK48)</f>
        <v>0</v>
      </c>
      <c r="KM48">
        <f>IF(AND(E48&gt;1,Markvand1=2),Vandmaskin+$KL48*Flytning/mmprgang+$KL48*Prisprmm,0)</f>
        <v>0</v>
      </c>
      <c r="KN48" s="3">
        <f>IF(Mark!GI48&lt;&gt;"",Mark!GI48,$KM48)</f>
        <v>0</v>
      </c>
      <c r="KO48" s="3">
        <f>KN48*M48</f>
        <v>0</v>
      </c>
      <c r="KQ48">
        <f>IF(VLOOKUP($E48,Afgr,Data!$CK$3)&gt;0,((1+Regn!$BI48/VLOOKUP($E48,Afgr,Data!$CK$3))/2)*VLOOKUP($E48,Afgr,Data!$CL$3)*VLOOKUP($E48,Afgr,Data!$CN$3)+VLOOKUP($E48,Afgr,Data!$CM$3),0)</f>
        <v>0</v>
      </c>
      <c r="KR48">
        <f>IF(VLOOKUP($E48,Afgr,Data!$CK$3)&gt;0,IF(AND($F48=2,$BW48&gt;0),Data!$K$271,0),0)</f>
        <v>0</v>
      </c>
      <c r="KS48">
        <f>IF(VLOOKUP($E48,Afgr,Data!$CK$3)&gt;0,(Regn!$BI48/VLOOKUP($E48,Afgr,Data!$CK$3))*VLOOKUP($E48,Afgr,Data!$CO$3)*VLOOKUP($E48,Afgr,Data!$CN$3),0)</f>
        <v>0</v>
      </c>
      <c r="KT48">
        <f>(KQ48+KR48+KS48)*MaskJust</f>
        <v>0</v>
      </c>
      <c r="KU48" s="3">
        <f>IF(Mark!GO48&lt;&gt;"",Mark!GO48,KT48)</f>
        <v>0</v>
      </c>
      <c r="KV48" s="3">
        <f>KU48*M48</f>
        <v>0</v>
      </c>
      <c r="KW48" s="3"/>
      <c r="KX48">
        <f>IF(AND($F48=1,VLOOKUP($E48,Afgr,Data!$CP$3)&gt;0),((1+$BY48/VLOOKUP($E48,Afgr,Data!$CP$3))/2)*VLOOKUP($E48,Afgr,Data!$CQ$3),0)</f>
        <v>0</v>
      </c>
      <c r="KY48">
        <f>IF(AND($F48=1,VLOOKUP($E48,Afgr,Data!$CP$3)&gt;0),($BY48/VLOOKUP($E48,Afgr,Data!$CP$3))*VLOOKUP($E48,Afgr,Data!$CR$3),0)</f>
        <v>0</v>
      </c>
      <c r="KZ48">
        <f>(KX48+KY48)*MaskJust</f>
        <v>0</v>
      </c>
      <c r="LA48" s="3">
        <f>IF(Mark!GU48&lt;&gt;"",Mark!GU48,KZ48)</f>
        <v>0</v>
      </c>
      <c r="LB48" s="3">
        <f>LA48*M48</f>
        <v>0</v>
      </c>
      <c r="LD48">
        <f>$BI48*VLOOKUP($E48,Afgr,Data!$CS$3)*IF($I48=1,VLOOKUP($E48,Afgr,Data!$CT$3),IF($I48=2,VLOOKUP($E48,Afgr,Data!$CU$3),0))</f>
        <v>0</v>
      </c>
      <c r="LE48" s="3">
        <f>IF(Mark!HD48&lt;&gt;"",Mark!HD48,LD48)</f>
        <v>0</v>
      </c>
      <c r="LF48" s="3">
        <f>LE48*M48</f>
        <v>0</v>
      </c>
      <c r="LH48">
        <f>VLOOKUP($G48,Efgr,Data!$AC$53)*UdsaedJust</f>
        <v>0</v>
      </c>
      <c r="LI48" s="3">
        <f>IF(Mark!$HL48&lt;&gt;"",Mark!$HL48,LH48)</f>
        <v>0</v>
      </c>
      <c r="LJ48" s="3">
        <f>LI48*M48</f>
        <v>0</v>
      </c>
      <c r="LL48" s="3">
        <f>IF(HdgVaerdi=1,($CM48-$CX48)*Npris,$CM48*Npris)</f>
        <v>0</v>
      </c>
      <c r="LM48" s="3">
        <f>LL48*M48</f>
        <v>0</v>
      </c>
      <c r="LO48">
        <f>$ET48</f>
        <v>0</v>
      </c>
      <c r="LP48">
        <f>IF(HdgDyreart=2,$CU48*NPforholdSvin,$CU48*NPforholdKvaeg)</f>
        <v>0</v>
      </c>
      <c r="LQ48">
        <f>IF($LO48&gt;$LP48,($LO48-$LP48),0)</f>
        <v>0</v>
      </c>
      <c r="LR48" s="3">
        <f>IF(HdgVaerdi=1,IF($LO48&gt;$LP48,($LO48-$LP48)*Ppris,0),$LO48*Ppris)</f>
        <v>0</v>
      </c>
      <c r="LS48" s="3">
        <f>LR48*M48</f>
        <v>0</v>
      </c>
      <c r="LU48">
        <f>$EW48</f>
        <v>0</v>
      </c>
      <c r="LV48">
        <f>IF(HdgDyreart=2,$CU48*NKforholdSvin,$CU48*NkforholdKvaeg)</f>
        <v>0</v>
      </c>
      <c r="LW48">
        <f>IF($LU48&gt;$LV48,($LU48-$LV48),0)</f>
        <v>0</v>
      </c>
      <c r="LX48" s="3">
        <f>IF(HdgVaerdi=1,IF($LU48&gt;$LV48,($LU48-$LV48)*Ppris,0),$LU48*Ppris)</f>
        <v>0</v>
      </c>
      <c r="LY48" s="3">
        <f>LX48*M48</f>
        <v>0</v>
      </c>
      <c r="MA48">
        <f>LL48+LR48+LX48</f>
        <v>0</v>
      </c>
      <c r="MB48" s="3">
        <f>IF(Mark!HR48&lt;&gt;"",Mark!HR48,$MA48)</f>
        <v>0</v>
      </c>
      <c r="MC48" s="3">
        <f>MB48*M48</f>
        <v>0</v>
      </c>
      <c r="ME48">
        <f>VLOOKUP($G48,Efgr,Data!$AE$53)*PlantevJust</f>
        <v>0</v>
      </c>
      <c r="MF48" s="3">
        <f>IF(Mark!HX48&lt;&gt;"",Mark!HX48,ME48)</f>
        <v>0</v>
      </c>
      <c r="MG48" s="3">
        <f>MF48*M48</f>
        <v>0</v>
      </c>
      <c r="MI48">
        <f>VLOOKUP($G48,Efgr,Data!$AF$53)+$DD48*VLOOKUP($G48,Efgr,Data!$AL$53)</f>
        <v>0</v>
      </c>
      <c r="MJ48" s="3">
        <f>IF(Mark!ID48&lt;&gt;"",Mark!ID48,MI48)</f>
        <v>0</v>
      </c>
      <c r="MK48" s="3">
        <f>MJ48*M48</f>
        <v>0</v>
      </c>
      <c r="MM48">
        <f>LI48+MB48+MF48+MJ48</f>
        <v>0</v>
      </c>
      <c r="MO48">
        <f>VLOOKUP($G48,Efgr,Data!$AU$53)*SaaJB1*MaskJust</f>
        <v>0</v>
      </c>
      <c r="MP48" s="3">
        <f>IF(Mark!IJ48&lt;&gt;"",Mark!IJ48,MO48)</f>
        <v>0</v>
      </c>
      <c r="MQ48" s="3">
        <f>MP48*M48</f>
        <v>0</v>
      </c>
      <c r="MS48">
        <f>VLOOKUP($G48,Efgr,Data!$AW$53)*Data!$K$268*SaaJB1*MaskJust</f>
        <v>0</v>
      </c>
      <c r="MT48" s="3">
        <f>IF(Mark!IP48&lt;&gt;"",Mark!IP48,MS48)</f>
        <v>0</v>
      </c>
      <c r="MU48" s="3">
        <f>MT48*M48</f>
        <v>0</v>
      </c>
      <c r="MW48">
        <f>VLOOKUP($G48,Efgr,Data!$AV$53)*Data!$K$269*MaskJust</f>
        <v>0</v>
      </c>
      <c r="MX48" s="3">
        <f>IF(Mark!IV48&lt;&gt;"",Mark!IV48,MW48)</f>
        <v>0</v>
      </c>
      <c r="MY48" s="3">
        <f>MX48*M48</f>
        <v>0</v>
      </c>
      <c r="NA48">
        <f>IF(Markvand1=2,VLOOKUP($G48,Efgr,Data!$BC$53),0)</f>
        <v>0</v>
      </c>
      <c r="NB48">
        <f>IF(Mark!JB48&lt;&gt;"",Mark!JB48,$NA48)</f>
        <v>0</v>
      </c>
      <c r="NC48">
        <f>IF(Markvand1=2,$NB48*Flytning/mmprgang+$NB48*Prisprmm,0)</f>
        <v>0</v>
      </c>
      <c r="ND48" s="3">
        <f>IF(Mark!JH48&lt;&gt;"",Mark!JH48,$NC48)</f>
        <v>0</v>
      </c>
      <c r="NE48" s="3">
        <f>ND48*M48</f>
        <v>0</v>
      </c>
      <c r="NG48">
        <f>IF(VLOOKUP($G48,Efgr,Data!$AX$53)&gt;0,((1+Regn!DD48/VLOOKUP($G48,Efgr,Data!$AX$53))/2)*VLOOKUP($G48,Efgr,Data!$AY$53)*VLOOKUP($G48,Efgr,Data!$BA$53)+VLOOKUP($G48,Efgr,Data!$AZ$53),0)</f>
        <v>0</v>
      </c>
      <c r="NH48">
        <f>IF(VLOOKUP($G48,Efgr,Data!$AX$53)&gt;0,($DD48/VLOOKUP($G48,Efgr,Data!$AX$53))*VLOOKUP($G48,Efgr,Data!$BB$53)*VLOOKUP($G48,Efgr,Data!$BA$53),0)</f>
        <v>0</v>
      </c>
      <c r="NI48">
        <f>(NG48+NH48)*MaskJust</f>
        <v>0</v>
      </c>
      <c r="NJ48" s="3">
        <f>IF(Mark!JN48&lt;&gt;"",Mark!JN48,NI48)</f>
        <v>0</v>
      </c>
      <c r="NK48" s="3">
        <f>NJ48*M48</f>
        <v>0</v>
      </c>
      <c r="NM48">
        <f>IF($H48=2,Data!$K$304,IF($H48=3,Data!$K$305,0))*MaskJust</f>
        <v>0</v>
      </c>
      <c r="NN48" s="3">
        <f>IF(Mark!JT48&lt;&gt;"",Mark!JT48,NM48)</f>
        <v>0</v>
      </c>
      <c r="NO48" s="3">
        <f>NN48*M48</f>
        <v>0</v>
      </c>
      <c r="NQ48">
        <f>HY48</f>
        <v>0</v>
      </c>
      <c r="NR48">
        <f>JJ48+MM48</f>
        <v>0</v>
      </c>
      <c r="NS48">
        <f>NQ48-NR48</f>
        <v>0</v>
      </c>
      <c r="NT48">
        <f>NS48*M48</f>
        <v>0</v>
      </c>
      <c r="NW48">
        <f>VLOOKUP($B48,Afgr,Data!$BP$3)+VLOOKUP($C48,Efgr,Data!$AM$53)</f>
        <v>0</v>
      </c>
      <c r="NX48" s="3">
        <f>NW48*M48</f>
        <v>0</v>
      </c>
      <c r="NY48">
        <f>VLOOKUP($E48,Afgr,Data!$BP$3)+VLOOKUP($G48,Efgr,Data!$AM$53)</f>
        <v>0</v>
      </c>
      <c r="NZ48" s="3">
        <f>NY48*M48</f>
        <v>0</v>
      </c>
      <c r="OB48">
        <f>VLOOKUP($C48,Efgr,Data!$AN$53)</f>
        <v>0</v>
      </c>
      <c r="OC48">
        <f>VLOOKUP($B48,Afgr,Data!$BQ$3)</f>
        <v>0</v>
      </c>
      <c r="OD48">
        <f>VLOOKUP($E48,Afgr,Data!$BR$3)</f>
        <v>1</v>
      </c>
      <c r="OE48">
        <f>OB48*OC48*OD48</f>
        <v>0</v>
      </c>
      <c r="OF48" s="3">
        <f>OE48*M48</f>
        <v>0</v>
      </c>
      <c r="OG48" s="3">
        <f>IF(D48,1,0)*OF48</f>
        <v>0</v>
      </c>
      <c r="OI48">
        <f>VLOOKUP($G48,Efgr,Data!$AN$53)</f>
        <v>0</v>
      </c>
      <c r="OJ48">
        <f>VLOOKUP($E48,Afgr,Data!$BQ$3)</f>
        <v>0</v>
      </c>
      <c r="OK48">
        <f>VLOOKUP($K48,Afgr,Data!$BR$3)</f>
        <v>1</v>
      </c>
      <c r="OL48">
        <f>OI48*OJ48*OK48</f>
        <v>0</v>
      </c>
      <c r="OM48" s="3">
        <f>OL48*M48</f>
        <v>0</v>
      </c>
      <c r="OO48">
        <f>VLOOKUP($G48,Efgr,Data!$AO$53)</f>
        <v>0</v>
      </c>
      <c r="OP48">
        <f>VLOOKUP($B48,Afgr,Data!$BQ$3)</f>
        <v>0</v>
      </c>
      <c r="OQ48">
        <f>VLOOKUP($E48,Afgr,Data!$BS$3)</f>
        <v>0</v>
      </c>
      <c r="OR48" s="3">
        <f>OO48*OP48*OQ48*$M48</f>
        <v>0</v>
      </c>
      <c r="OT48">
        <f>VLOOKUP($G48,Efgr,Data!$AO$53)</f>
        <v>0</v>
      </c>
      <c r="OU48">
        <f>VLOOKUP($E48,Afgr,Data!$BQ$3)</f>
        <v>0</v>
      </c>
      <c r="OV48">
        <f>VLOOKUP($K48,Afgr,Data!$BS$3)</f>
        <v>0</v>
      </c>
      <c r="OW48" s="3">
        <f>OT48*OU48*OV48*$M48</f>
        <v>0</v>
      </c>
      <c r="OX48" s="3"/>
      <c r="OY48" s="3">
        <f>VLOOKUP($B48,Afgr,Data!$BU$3)</f>
        <v>0</v>
      </c>
      <c r="OZ48" s="3">
        <f>OY48*M48</f>
        <v>0</v>
      </c>
      <c r="PA48" s="3">
        <f>VLOOKUP($E48,Afgr,Data!$BU$3)</f>
        <v>0</v>
      </c>
      <c r="PB48" s="3">
        <f>PA48*M48</f>
        <v>0</v>
      </c>
      <c r="PD48">
        <f>VLOOKUP(E48,Afgr,Data!$BX$3)+VLOOKUP(G48,Efgr,Data!$AQ$53)</f>
        <v>0</v>
      </c>
      <c r="PE48">
        <f>IF(PD48&gt;0,M48,0)</f>
        <v>0</v>
      </c>
      <c r="PG48">
        <f>VLOOKUP($B48,Afgr,Data!$BT$3)</f>
        <v>0</v>
      </c>
      <c r="PH48" s="3">
        <f>PG48*M48</f>
        <v>0</v>
      </c>
      <c r="PI48">
        <f>VLOOKUP($E48,Afgr,Data!$BT$3)</f>
        <v>0</v>
      </c>
      <c r="PJ48" s="3">
        <f>PI48*M48</f>
        <v>0</v>
      </c>
      <c r="PL48">
        <f>VLOOKUP($E48,Afgr,Data!$BV$3)</f>
        <v>0</v>
      </c>
      <c r="PM48">
        <f>PL48*M48</f>
        <v>0</v>
      </c>
      <c r="PO48">
        <f>VLOOKUP($E48,Afgr,Data!$BW$3)</f>
        <v>0</v>
      </c>
      <c r="PP48">
        <f>PO48*M48</f>
        <v>0</v>
      </c>
      <c r="PR48">
        <f>BI48*IF(VLOOKUP($E48,Afgr,Data!$BJ$3)&gt;0,1,0)</f>
        <v>0</v>
      </c>
      <c r="PS48">
        <f>PR48*M48</f>
        <v>0</v>
      </c>
      <c r="PU48">
        <f>BI48*VLOOKUP(E48,Afgr,Data!$BK$3)</f>
        <v>0</v>
      </c>
      <c r="PV48">
        <f>M48*PU48</f>
        <v>0</v>
      </c>
      <c r="PW48">
        <f>$BI48*VLOOKUP($E48,Afgr,Data!$BL$3)+$DD48*VLOOKUP($G48,Efgr,Data!$AP$53)</f>
        <v>0</v>
      </c>
      <c r="PX48">
        <f>PW48*M48</f>
        <v>0</v>
      </c>
      <c r="PY48">
        <f>$BI48*VLOOKUP($E48,Afgr,Data!$BM$3)</f>
        <v>0</v>
      </c>
      <c r="PZ48">
        <f>PY48*M48</f>
        <v>0</v>
      </c>
      <c r="QA48">
        <f>$BI48*VLOOKUP($E48,Afgr,Data!$BN$3)</f>
        <v>0</v>
      </c>
      <c r="QB48">
        <f>QA48*M48</f>
        <v>0</v>
      </c>
      <c r="QE48">
        <f>IF(VLOOKUP($E48,Afgr,Data!$DA$3)="Vårbyg",$BJ48,0)*VLOOKUP($E48,Afgr,Data!$BJ$3)</f>
        <v>0</v>
      </c>
      <c r="QF48">
        <f>IF(VLOOKUP($E48,Afgr,Data!$DA$3)="Vinterbyg",$BJ48,0)*VLOOKUP($E48,Afgr,Data!$BJ$3)</f>
        <v>0</v>
      </c>
      <c r="QG48">
        <f>IF(VLOOKUP($E48,Afgr,Data!$DA$3)="Havre",$BJ48,0)*VLOOKUP($E48,Afgr,Data!$BJ$3)</f>
        <v>0</v>
      </c>
      <c r="QH48">
        <f>IF(VLOOKUP($E48,Afgr,Data!$DA$3)="Hvede",$BJ48,0)*VLOOKUP($E48,Afgr,Data!$BJ$3)</f>
        <v>0</v>
      </c>
      <c r="QI48">
        <f>IF(VLOOKUP($E48,Afgr,Data!$DA$3)="Triticale",$BJ48,0)*VLOOKUP($E48,Afgr,Data!$BJ$3)</f>
        <v>0</v>
      </c>
      <c r="QJ48">
        <f>IF(VLOOKUP($E48,Afgr,Data!$DA$3)="Rug",$BJ48,0)*VLOOKUP($E48,Afgr,Data!$BJ$3)</f>
        <v>0</v>
      </c>
      <c r="QK48">
        <f>IF(VLOOKUP($E48,Afgr,Data!$DA$3)="Majs",$BJ48,0)*VLOOKUP($E48,Afgr,Data!$BJ$3)</f>
        <v>0</v>
      </c>
      <c r="QN48">
        <f>IF(OI48+OO48&gt;0,1,0)</f>
        <v>0</v>
      </c>
      <c r="QO48">
        <f>QN48*LJ48</f>
        <v>0</v>
      </c>
      <c r="QP48">
        <f>QN48*MG48</f>
        <v>0</v>
      </c>
      <c r="QQ48">
        <f>MQ48</f>
        <v>0</v>
      </c>
      <c r="QR48">
        <f>QN48*NO48</f>
        <v>0</v>
      </c>
    </row>
    <row r="49" spans="1:460" x14ac:dyDescent="0.25">
      <c r="M49" t="s">
        <v>1511</v>
      </c>
      <c r="GG49" t="s">
        <v>1279</v>
      </c>
      <c r="NT49" t="s">
        <v>1871</v>
      </c>
      <c r="NU49" t="s">
        <v>1872</v>
      </c>
    </row>
    <row r="50" spans="1:460" x14ac:dyDescent="0.25">
      <c r="A50" s="3" t="s">
        <v>1280</v>
      </c>
      <c r="M50" s="3">
        <f>SUM(M34,M36,M38,M40,M42,M44,M46,M48)</f>
        <v>1</v>
      </c>
      <c r="N50" s="3">
        <f>SUM(N34,N36,N38,N40,N42,N44,N46,N48)</f>
        <v>1</v>
      </c>
      <c r="O50" s="3"/>
      <c r="W50" s="3">
        <f>SUM(W34,W36,W38,W40,W42,W44,W46,W48)</f>
        <v>194</v>
      </c>
      <c r="AW50" s="3">
        <f>SUM(AW34,AW36,AW38,AW40,AW42,AW44,AW46,AW48)</f>
        <v>0</v>
      </c>
      <c r="FI50" s="3">
        <f>SUM(FI34,FI36,FI38,FI40,FI42,FI44,FI46,FI48)</f>
        <v>0</v>
      </c>
      <c r="GG50" s="3">
        <f>IF(ISERROR((W50+AW50*(100-UdnKrav)*0.01+FI50)/M50),0,(W50+AW50*(100-UdnKrav)*0.01+FI50)/M50)</f>
        <v>194</v>
      </c>
      <c r="NT50" s="3">
        <f>NT34+NT36+NT38+NT40+NT42+NT44+NT46+NT48</f>
        <v>10215.25</v>
      </c>
      <c r="NU50">
        <f>IF(ISERROR(DBIalt1/DyrkAreal1),0,DBIalt1/DyrkAreal1)</f>
        <v>10215.25</v>
      </c>
    </row>
    <row r="51" spans="1:460" x14ac:dyDescent="0.25">
      <c r="B51" t="s">
        <v>1258</v>
      </c>
      <c r="C51" t="s">
        <v>1261</v>
      </c>
      <c r="F51" t="s">
        <v>1270</v>
      </c>
      <c r="G51" t="s">
        <v>1327</v>
      </c>
      <c r="H51" t="s">
        <v>1271</v>
      </c>
      <c r="I51" t="s">
        <v>1272</v>
      </c>
      <c r="J51" t="s">
        <v>1273</v>
      </c>
      <c r="K51" t="s">
        <v>1274</v>
      </c>
      <c r="L51" t="s">
        <v>1275</v>
      </c>
      <c r="N51" t="s">
        <v>1900</v>
      </c>
      <c r="P51" t="s">
        <v>1276</v>
      </c>
      <c r="Q51" t="s">
        <v>1277</v>
      </c>
      <c r="CP51" s="12"/>
      <c r="CQ51" s="12"/>
      <c r="CR51" s="12"/>
      <c r="CS51" s="12"/>
      <c r="CT51" s="12"/>
      <c r="CU51" s="12"/>
      <c r="CV51" s="12"/>
      <c r="CW51" s="12"/>
      <c r="CX51" s="12"/>
      <c r="CY51" s="12"/>
      <c r="CZ51" s="12"/>
      <c r="DA51" t="s">
        <v>527</v>
      </c>
      <c r="DC51" s="12"/>
      <c r="FO51" s="4" t="s">
        <v>262</v>
      </c>
    </row>
    <row r="52" spans="1:460" ht="18" customHeight="1" x14ac:dyDescent="0.25">
      <c r="B52">
        <v>6</v>
      </c>
      <c r="C52">
        <v>1</v>
      </c>
      <c r="F52">
        <f>IF(Markvand1=1,VLOOKUP(Jordtype2,Jordtype,Data!$K$112),VLOOKUP(Jordtype2,Jordtype,Data!$L$112))</f>
        <v>9</v>
      </c>
      <c r="G52">
        <f>IF(Markvand2=1,VLOOKUP(Jordtype2,Jordtype,Data!$M$112),VLOOKUP(Jordtype2,Jordtype,Data!$N$112))</f>
        <v>14</v>
      </c>
      <c r="H52">
        <f>IF(Markvand2=1,VLOOKUP(Jordtype2,Jordtype,Data!$Q$112),VLOOKUP(Jordtype2,Jordtype,Data!$R$112))</f>
        <v>25</v>
      </c>
      <c r="I52">
        <f>IF(Markvand2=1,VLOOKUP(Jordtype2,Jordtype,Data!$O$112),VLOOKUP(Jordtype2,Jordtype,Data!$P$112))</f>
        <v>19</v>
      </c>
      <c r="J52">
        <f>IF(Jordtype2&lt;5,0,1)</f>
        <v>1</v>
      </c>
      <c r="K52">
        <f>IF(Jordtype2&lt;5,PlojJB,1)</f>
        <v>1</v>
      </c>
      <c r="L52">
        <f>IF(Jordtype2&lt;5,SaaJB,1)</f>
        <v>1</v>
      </c>
      <c r="N52">
        <f>IF(OR(Jordtype2=1,Jordtype2=3),0,IF(OR(Jordtype2=2,Jordtype2=4),1,IF(OR(Jordtype2=5,Jordtype2=6),2,3)))</f>
        <v>2</v>
      </c>
      <c r="P52">
        <f>IF(Markvand2=1,VLOOKUP(Jordtype2,Jordtype,Data!$S$112),VLOOKUP(Jordtype2,Jordtype,Data!$T$112))</f>
        <v>8</v>
      </c>
      <c r="Q52">
        <f>IF(Markvand2=1,VLOOKUP(Jordtype2,Jordtype,Data!$U$112),VLOOKUP(Jordtype2,Jordtype,Data!$V$112))</f>
        <v>13</v>
      </c>
      <c r="AM52" s="3" t="s">
        <v>1895</v>
      </c>
      <c r="BB52" t="s">
        <v>527</v>
      </c>
      <c r="GH52" s="6" t="s">
        <v>266</v>
      </c>
      <c r="GI52" s="6" t="s">
        <v>267</v>
      </c>
      <c r="GJ52" s="6" t="s">
        <v>268</v>
      </c>
      <c r="GK52" s="6" t="s">
        <v>269</v>
      </c>
      <c r="GL52" s="6" t="s">
        <v>232</v>
      </c>
      <c r="GM52" s="6" t="s">
        <v>270</v>
      </c>
      <c r="GN52" s="6" t="s">
        <v>271</v>
      </c>
      <c r="GO52" s="6" t="s">
        <v>272</v>
      </c>
      <c r="GP52" s="6" t="s">
        <v>273</v>
      </c>
      <c r="GQ52" s="7" t="s">
        <v>273</v>
      </c>
      <c r="GR52" s="6" t="s">
        <v>274</v>
      </c>
      <c r="GS52" s="6" t="s">
        <v>275</v>
      </c>
      <c r="GT52" s="6"/>
      <c r="GU52" s="6"/>
      <c r="GV52" s="6" t="s">
        <v>276</v>
      </c>
      <c r="GW52" s="6"/>
      <c r="GX52" s="6" t="s">
        <v>277</v>
      </c>
      <c r="GY52" s="6" t="s">
        <v>278</v>
      </c>
      <c r="GZ52" s="6" t="s">
        <v>279</v>
      </c>
      <c r="HA52" s="6" t="s">
        <v>280</v>
      </c>
      <c r="HB52" s="6" t="s">
        <v>281</v>
      </c>
      <c r="HC52" s="6" t="s">
        <v>282</v>
      </c>
      <c r="HD52" s="6" t="s">
        <v>283</v>
      </c>
      <c r="HE52" s="6" t="s">
        <v>284</v>
      </c>
      <c r="HF52" s="6" t="s">
        <v>285</v>
      </c>
      <c r="HG52" s="6" t="s">
        <v>286</v>
      </c>
      <c r="HH52" s="6" t="s">
        <v>287</v>
      </c>
      <c r="HI52" s="6"/>
      <c r="HJ52" s="6" t="s">
        <v>288</v>
      </c>
      <c r="HK52" s="6"/>
      <c r="HL52" s="6" t="s">
        <v>110</v>
      </c>
      <c r="HM52" s="6"/>
      <c r="HN52" s="6" t="s">
        <v>111</v>
      </c>
      <c r="HO52" s="6" t="s">
        <v>1949</v>
      </c>
      <c r="HP52" s="8" t="s">
        <v>290</v>
      </c>
      <c r="HQ52" s="8" t="s">
        <v>290</v>
      </c>
      <c r="HR52" s="6" t="s">
        <v>1234</v>
      </c>
      <c r="HS52" s="6" t="s">
        <v>1242</v>
      </c>
      <c r="HT52" s="6" t="s">
        <v>1243</v>
      </c>
      <c r="HU52" s="6" t="s">
        <v>1250</v>
      </c>
      <c r="HV52" s="6" t="s">
        <v>1252</v>
      </c>
      <c r="HW52" s="6" t="s">
        <v>1253</v>
      </c>
      <c r="HX52" s="6"/>
      <c r="HY52" s="6"/>
      <c r="HZ52" s="6"/>
      <c r="IA52" s="6"/>
      <c r="IB52" s="3" t="s">
        <v>330</v>
      </c>
      <c r="JL52" s="3" t="s">
        <v>348</v>
      </c>
      <c r="LH52" s="3" t="s">
        <v>331</v>
      </c>
      <c r="MO52" s="3" t="s">
        <v>417</v>
      </c>
      <c r="NW52" s="3" t="s">
        <v>1144</v>
      </c>
      <c r="NX52" s="3"/>
      <c r="OB52" s="3" t="s">
        <v>1149</v>
      </c>
      <c r="OO52" s="3" t="s">
        <v>1161</v>
      </c>
      <c r="PG52" s="3" t="s">
        <v>473</v>
      </c>
      <c r="PH52" s="3"/>
      <c r="PR52" s="3" t="s">
        <v>1173</v>
      </c>
      <c r="PS52" s="3"/>
    </row>
    <row r="53" spans="1:460" ht="48.75" customHeight="1" x14ac:dyDescent="0.25">
      <c r="P53" s="3" t="s">
        <v>132</v>
      </c>
      <c r="Y53" s="3" t="s">
        <v>437</v>
      </c>
      <c r="AB53" s="3" t="s">
        <v>450</v>
      </c>
      <c r="AC53" s="3" t="s">
        <v>451</v>
      </c>
      <c r="AD53" s="3" t="s">
        <v>184</v>
      </c>
      <c r="AE53" s="3" t="s">
        <v>446</v>
      </c>
      <c r="AF53" s="3" t="s">
        <v>448</v>
      </c>
      <c r="AG53" s="3" t="s">
        <v>449</v>
      </c>
      <c r="AH53" s="3" t="s">
        <v>1983</v>
      </c>
      <c r="AI53" s="3" t="s">
        <v>1984</v>
      </c>
      <c r="AJ53" s="3" t="s">
        <v>1985</v>
      </c>
      <c r="AK53" s="3" t="s">
        <v>455</v>
      </c>
      <c r="AL53" s="3"/>
      <c r="AM53" s="3" t="s">
        <v>1892</v>
      </c>
      <c r="AN53" s="3" t="s">
        <v>1891</v>
      </c>
      <c r="AO53" s="3" t="s">
        <v>1893</v>
      </c>
      <c r="AP53" s="3"/>
      <c r="AQ53" s="3" t="s">
        <v>138</v>
      </c>
      <c r="AS53" s="3"/>
      <c r="AT53" s="3"/>
      <c r="AU53" s="3"/>
      <c r="AV53" s="3"/>
      <c r="AW53" s="3"/>
      <c r="AX53" s="3"/>
      <c r="AY53" s="3"/>
      <c r="AZ53" s="3"/>
      <c r="BA53" s="3" t="s">
        <v>1257</v>
      </c>
      <c r="BB53" s="3"/>
      <c r="BC53" s="3"/>
      <c r="BD53" s="3" t="s">
        <v>216</v>
      </c>
      <c r="BE53" s="3"/>
      <c r="BN53" s="3" t="s">
        <v>185</v>
      </c>
      <c r="BW53" s="3" t="s">
        <v>190</v>
      </c>
      <c r="BX53" s="3"/>
      <c r="CD53" s="3" t="s">
        <v>217</v>
      </c>
      <c r="CJ53" s="3" t="s">
        <v>86</v>
      </c>
      <c r="CK53" s="3"/>
      <c r="CL53" s="3"/>
      <c r="CP53" s="3" t="s">
        <v>138</v>
      </c>
      <c r="DC53" s="3" t="s">
        <v>218</v>
      </c>
      <c r="DL53" t="s">
        <v>489</v>
      </c>
      <c r="DX53" t="s">
        <v>492</v>
      </c>
      <c r="EA53" t="s">
        <v>502</v>
      </c>
      <c r="ED53" t="s">
        <v>490</v>
      </c>
      <c r="EJ53" t="s">
        <v>494</v>
      </c>
      <c r="EM53" t="s">
        <v>504</v>
      </c>
      <c r="EP53" t="s">
        <v>491</v>
      </c>
      <c r="ET53" t="s">
        <v>500</v>
      </c>
      <c r="EW53" t="s">
        <v>505</v>
      </c>
      <c r="EZ53" t="s">
        <v>256</v>
      </c>
      <c r="FG53" t="s">
        <v>78</v>
      </c>
      <c r="FH53" t="s">
        <v>545</v>
      </c>
      <c r="FW53" t="s">
        <v>1493</v>
      </c>
      <c r="GB53" t="s">
        <v>1499</v>
      </c>
      <c r="GG53" s="6"/>
      <c r="GH53" s="6"/>
      <c r="GI53" s="6"/>
      <c r="GJ53" s="6"/>
      <c r="GK53" s="6"/>
      <c r="GL53" s="6"/>
      <c r="GM53" s="6"/>
      <c r="GN53" s="6"/>
      <c r="GO53" s="6"/>
      <c r="GP53" s="6"/>
      <c r="GQ53" s="6"/>
      <c r="GR53" s="6"/>
      <c r="GS53" s="6"/>
      <c r="GT53" s="6"/>
      <c r="GU53" s="9"/>
      <c r="GV53" s="6"/>
      <c r="GW53" s="6"/>
      <c r="GX53" s="6"/>
      <c r="GY53" s="6"/>
      <c r="GZ53" s="6"/>
      <c r="HA53" s="6"/>
      <c r="HB53" s="6"/>
      <c r="HC53" s="6"/>
      <c r="HD53" s="6"/>
      <c r="HE53" s="6"/>
      <c r="HF53" s="6"/>
      <c r="HG53" s="6"/>
      <c r="HH53" s="6"/>
      <c r="HI53" s="6"/>
      <c r="HJ53" s="6"/>
      <c r="HK53" s="6"/>
      <c r="HL53" s="6"/>
      <c r="HM53" s="6"/>
      <c r="HN53" s="6"/>
      <c r="HO53" s="6"/>
      <c r="HP53" s="6" t="s">
        <v>1949</v>
      </c>
      <c r="HQ53" s="8" t="s">
        <v>290</v>
      </c>
    </row>
    <row r="54" spans="1:460" ht="51" customHeight="1" x14ac:dyDescent="0.25">
      <c r="A54">
        <v>0</v>
      </c>
      <c r="B54" t="s">
        <v>76</v>
      </c>
      <c r="C54" t="s">
        <v>80</v>
      </c>
      <c r="D54" t="s">
        <v>81</v>
      </c>
      <c r="E54" t="s">
        <v>28</v>
      </c>
      <c r="F54" t="s">
        <v>194</v>
      </c>
      <c r="G54" t="s">
        <v>78</v>
      </c>
      <c r="H54" t="s">
        <v>426</v>
      </c>
      <c r="I54" t="s">
        <v>15</v>
      </c>
      <c r="K54" t="s">
        <v>83</v>
      </c>
      <c r="M54" t="s">
        <v>1887</v>
      </c>
      <c r="N54" s="1" t="s">
        <v>1888</v>
      </c>
      <c r="O54" s="1"/>
      <c r="P54" t="s">
        <v>133</v>
      </c>
      <c r="Q54" t="s">
        <v>134</v>
      </c>
      <c r="R54" t="s">
        <v>135</v>
      </c>
      <c r="S54" t="s">
        <v>86</v>
      </c>
      <c r="T54" t="s">
        <v>1315</v>
      </c>
      <c r="U54" t="s">
        <v>1217</v>
      </c>
      <c r="V54" s="1" t="s">
        <v>453</v>
      </c>
      <c r="W54" s="1" t="s">
        <v>474</v>
      </c>
      <c r="Y54" t="s">
        <v>438</v>
      </c>
      <c r="Z54" t="s">
        <v>447</v>
      </c>
      <c r="AB54" t="s">
        <v>443</v>
      </c>
      <c r="AC54" t="s">
        <v>444</v>
      </c>
      <c r="AD54" t="s">
        <v>452</v>
      </c>
      <c r="AQ54" t="s">
        <v>483</v>
      </c>
      <c r="AR54" s="1" t="s">
        <v>479</v>
      </c>
      <c r="AS54" s="1" t="s">
        <v>480</v>
      </c>
      <c r="AT54" s="1" t="s">
        <v>477</v>
      </c>
      <c r="AU54" s="1" t="s">
        <v>478</v>
      </c>
      <c r="AV54" s="1" t="s">
        <v>481</v>
      </c>
      <c r="AW54" t="s">
        <v>1218</v>
      </c>
      <c r="AX54" s="1"/>
      <c r="AY54" s="1" t="s">
        <v>485</v>
      </c>
      <c r="AZ54" s="1"/>
      <c r="BA54" s="1" t="s">
        <v>543</v>
      </c>
      <c r="BB54" s="1" t="s">
        <v>544</v>
      </c>
      <c r="BC54" s="1"/>
      <c r="BD54" t="s">
        <v>133</v>
      </c>
      <c r="BE54" s="1" t="s">
        <v>76</v>
      </c>
      <c r="BF54" t="s">
        <v>78</v>
      </c>
      <c r="BG54" s="1" t="s">
        <v>1913</v>
      </c>
      <c r="BH54" t="s">
        <v>183</v>
      </c>
      <c r="BI54" s="1" t="s">
        <v>454</v>
      </c>
      <c r="BJ54" s="1" t="s">
        <v>1219</v>
      </c>
      <c r="BK54" t="s">
        <v>29</v>
      </c>
      <c r="BL54" t="s">
        <v>1748</v>
      </c>
      <c r="BN54" t="s">
        <v>186</v>
      </c>
      <c r="BO54" t="s">
        <v>187</v>
      </c>
      <c r="BP54" t="s">
        <v>1856</v>
      </c>
      <c r="BQ54" t="s">
        <v>1358</v>
      </c>
      <c r="BS54" t="s">
        <v>1342</v>
      </c>
      <c r="BT54" t="s">
        <v>1343</v>
      </c>
      <c r="BU54" t="s">
        <v>1344</v>
      </c>
      <c r="BW54" t="s">
        <v>191</v>
      </c>
      <c r="BX54" t="s">
        <v>1914</v>
      </c>
      <c r="BY54" t="s">
        <v>193</v>
      </c>
      <c r="BZ54" t="s">
        <v>1220</v>
      </c>
      <c r="CC54" t="s">
        <v>1860</v>
      </c>
      <c r="CD54" t="s">
        <v>197</v>
      </c>
      <c r="CE54" t="s">
        <v>198</v>
      </c>
      <c r="CF54" t="s">
        <v>199</v>
      </c>
      <c r="CG54" t="s">
        <v>1858</v>
      </c>
      <c r="CH54" t="s">
        <v>1857</v>
      </c>
      <c r="CJ54" t="s">
        <v>133</v>
      </c>
      <c r="CK54" s="1" t="s">
        <v>2023</v>
      </c>
      <c r="CL54" t="s">
        <v>1217</v>
      </c>
      <c r="CM54" s="1" t="s">
        <v>525</v>
      </c>
      <c r="CN54" s="1" t="s">
        <v>526</v>
      </c>
      <c r="CP54" t="s">
        <v>483</v>
      </c>
      <c r="CQ54" s="1" t="s">
        <v>479</v>
      </c>
      <c r="CR54" s="1" t="s">
        <v>480</v>
      </c>
      <c r="CS54" s="1" t="s">
        <v>477</v>
      </c>
      <c r="CT54" s="1" t="s">
        <v>478</v>
      </c>
      <c r="CU54" s="1" t="s">
        <v>481</v>
      </c>
      <c r="CV54" s="1" t="s">
        <v>1218</v>
      </c>
      <c r="CW54" s="1"/>
      <c r="CX54" s="1" t="s">
        <v>485</v>
      </c>
      <c r="CY54" s="1"/>
      <c r="CZ54" s="1" t="s">
        <v>543</v>
      </c>
      <c r="DA54" s="1" t="s">
        <v>544</v>
      </c>
      <c r="DC54" t="s">
        <v>253</v>
      </c>
      <c r="DD54" t="s">
        <v>254</v>
      </c>
      <c r="DE54" t="s">
        <v>1221</v>
      </c>
      <c r="DF54" t="s">
        <v>29</v>
      </c>
      <c r="DG54" t="s">
        <v>1862</v>
      </c>
      <c r="DH54" t="s">
        <v>1861</v>
      </c>
      <c r="DI54" t="s">
        <v>209</v>
      </c>
      <c r="DJ54" t="s">
        <v>255</v>
      </c>
      <c r="DL54" t="s">
        <v>202</v>
      </c>
      <c r="DM54" t="s">
        <v>1449</v>
      </c>
      <c r="DN54" t="s">
        <v>1450</v>
      </c>
      <c r="DO54" t="s">
        <v>1222</v>
      </c>
      <c r="DP54" t="s">
        <v>1141</v>
      </c>
      <c r="DQ54" t="s">
        <v>1142</v>
      </c>
      <c r="DR54" t="s">
        <v>212</v>
      </c>
      <c r="DS54" t="s">
        <v>214</v>
      </c>
      <c r="DU54" t="s">
        <v>258</v>
      </c>
      <c r="DV54" t="s">
        <v>1223</v>
      </c>
      <c r="DX54" t="s">
        <v>493</v>
      </c>
      <c r="DY54" t="s">
        <v>1224</v>
      </c>
      <c r="EA54" t="s">
        <v>503</v>
      </c>
      <c r="EB54" t="s">
        <v>1225</v>
      </c>
      <c r="ED54" t="s">
        <v>206</v>
      </c>
      <c r="EE54" t="s">
        <v>213</v>
      </c>
      <c r="EF54" t="s">
        <v>215</v>
      </c>
      <c r="EG54" t="s">
        <v>259</v>
      </c>
      <c r="EH54" t="s">
        <v>1226</v>
      </c>
      <c r="EJ54" t="s">
        <v>493</v>
      </c>
      <c r="EK54" t="s">
        <v>1227</v>
      </c>
      <c r="EM54" t="s">
        <v>503</v>
      </c>
      <c r="EN54" t="s">
        <v>1228</v>
      </c>
      <c r="EP54" t="s">
        <v>257</v>
      </c>
      <c r="EQ54" t="s">
        <v>260</v>
      </c>
      <c r="ER54" t="s">
        <v>1229</v>
      </c>
      <c r="ET54" t="s">
        <v>529</v>
      </c>
      <c r="EU54" t="s">
        <v>1224</v>
      </c>
      <c r="EW54" t="s">
        <v>529</v>
      </c>
      <c r="EX54" t="s">
        <v>1225</v>
      </c>
      <c r="EZ54" s="6" t="s">
        <v>221</v>
      </c>
      <c r="FA54" s="6" t="s">
        <v>222</v>
      </c>
      <c r="FB54" s="6" t="s">
        <v>223</v>
      </c>
      <c r="FC54" s="1" t="s">
        <v>224</v>
      </c>
      <c r="FD54" s="1" t="s">
        <v>542</v>
      </c>
      <c r="FE54" s="1" t="s">
        <v>225</v>
      </c>
      <c r="FF54" s="1" t="s">
        <v>542</v>
      </c>
      <c r="FG54" s="1" t="s">
        <v>539</v>
      </c>
      <c r="FH54" s="1" t="s">
        <v>546</v>
      </c>
      <c r="FI54" s="1" t="s">
        <v>545</v>
      </c>
      <c r="FK54" s="1" t="s">
        <v>548</v>
      </c>
      <c r="FL54" s="1" t="s">
        <v>488</v>
      </c>
      <c r="FM54" s="1" t="s">
        <v>2</v>
      </c>
      <c r="FN54" s="1" t="s">
        <v>261</v>
      </c>
      <c r="FO54" s="1" t="s">
        <v>236</v>
      </c>
      <c r="FP54" s="1" t="s">
        <v>1230</v>
      </c>
      <c r="FQ54" s="1" t="s">
        <v>1232</v>
      </c>
      <c r="FR54" s="1" t="s">
        <v>1231</v>
      </c>
      <c r="FS54" s="1" t="s">
        <v>263</v>
      </c>
      <c r="FT54" s="1" t="s">
        <v>264</v>
      </c>
      <c r="FU54" s="1" t="s">
        <v>1233</v>
      </c>
      <c r="FW54" s="1" t="s">
        <v>1494</v>
      </c>
      <c r="FX54" s="1" t="s">
        <v>1495</v>
      </c>
      <c r="FY54" s="1" t="s">
        <v>1496</v>
      </c>
      <c r="FZ54" s="1" t="s">
        <v>1497</v>
      </c>
      <c r="GB54" s="1" t="s">
        <v>1494</v>
      </c>
      <c r="GC54" s="1" t="s">
        <v>1495</v>
      </c>
      <c r="GD54" s="1" t="s">
        <v>1500</v>
      </c>
      <c r="GE54" s="1" t="s">
        <v>1501</v>
      </c>
      <c r="GG54" s="6"/>
      <c r="GH54" s="6" t="s">
        <v>299</v>
      </c>
      <c r="GI54" s="6"/>
      <c r="GJ54" s="6" t="s">
        <v>300</v>
      </c>
      <c r="GK54" s="6" t="s">
        <v>300</v>
      </c>
      <c r="GL54" s="6" t="s">
        <v>299</v>
      </c>
      <c r="GM54" s="6"/>
      <c r="GN54" s="6"/>
      <c r="GO54" s="6" t="s">
        <v>300</v>
      </c>
      <c r="GP54" s="10" t="s">
        <v>301</v>
      </c>
      <c r="GQ54" s="6" t="s">
        <v>300</v>
      </c>
      <c r="GR54" s="6" t="s">
        <v>299</v>
      </c>
      <c r="GS54" s="10" t="s">
        <v>302</v>
      </c>
      <c r="GT54" s="10" t="s">
        <v>303</v>
      </c>
      <c r="GU54" s="7" t="s">
        <v>304</v>
      </c>
      <c r="GV54" s="7" t="s">
        <v>305</v>
      </c>
      <c r="GW54" s="7" t="s">
        <v>549</v>
      </c>
      <c r="GX54" s="6"/>
      <c r="GY54" s="6"/>
      <c r="GZ54" s="6" t="s">
        <v>306</v>
      </c>
      <c r="HA54" s="6" t="s">
        <v>306</v>
      </c>
      <c r="HB54" s="6"/>
      <c r="HC54" s="6"/>
      <c r="HD54" s="6" t="s">
        <v>306</v>
      </c>
      <c r="HE54" s="6"/>
      <c r="HF54" s="6"/>
      <c r="HG54" s="6" t="s">
        <v>306</v>
      </c>
      <c r="HH54" s="6" t="s">
        <v>307</v>
      </c>
      <c r="HI54" s="6" t="s">
        <v>306</v>
      </c>
      <c r="HJ54" s="6" t="s">
        <v>307</v>
      </c>
      <c r="HK54" s="6" t="s">
        <v>306</v>
      </c>
      <c r="HL54" s="6" t="s">
        <v>308</v>
      </c>
      <c r="HM54" s="6" t="s">
        <v>306</v>
      </c>
      <c r="HN54" s="6" t="s">
        <v>308</v>
      </c>
      <c r="HO54" s="6" t="s">
        <v>306</v>
      </c>
      <c r="HP54" s="6"/>
      <c r="HQ54" s="6" t="s">
        <v>298</v>
      </c>
      <c r="HU54" t="s">
        <v>1251</v>
      </c>
      <c r="HW54" t="s">
        <v>1254</v>
      </c>
      <c r="HY54" s="6" t="s">
        <v>1863</v>
      </c>
      <c r="IB54" t="s">
        <v>2</v>
      </c>
      <c r="ID54" t="s">
        <v>1211</v>
      </c>
      <c r="IF54" t="s">
        <v>506</v>
      </c>
      <c r="IG54" t="s">
        <v>1211</v>
      </c>
      <c r="II54" t="s">
        <v>6</v>
      </c>
      <c r="IJ54" t="s">
        <v>7</v>
      </c>
      <c r="IK54" t="s">
        <v>510</v>
      </c>
      <c r="IL54" t="s">
        <v>511</v>
      </c>
      <c r="IN54" t="s">
        <v>516</v>
      </c>
      <c r="IO54" t="s">
        <v>1211</v>
      </c>
      <c r="IQ54" t="s">
        <v>518</v>
      </c>
      <c r="IR54" t="s">
        <v>519</v>
      </c>
      <c r="IS54" t="s">
        <v>520</v>
      </c>
      <c r="IU54" t="s">
        <v>521</v>
      </c>
      <c r="IV54" t="s">
        <v>1235</v>
      </c>
      <c r="IX54" t="s">
        <v>522</v>
      </c>
      <c r="IZ54" t="s">
        <v>1211</v>
      </c>
      <c r="JB54" t="s">
        <v>3</v>
      </c>
      <c r="JD54" t="s">
        <v>1211</v>
      </c>
      <c r="JF54" t="s">
        <v>332</v>
      </c>
      <c r="JH54" t="s">
        <v>1211</v>
      </c>
      <c r="JJ54" t="s">
        <v>1865</v>
      </c>
      <c r="JL54" t="s">
        <v>17</v>
      </c>
      <c r="JM54" t="s">
        <v>353</v>
      </c>
      <c r="JN54" t="s">
        <v>361</v>
      </c>
      <c r="JP54" t="s">
        <v>1211</v>
      </c>
      <c r="JR54" t="s">
        <v>338</v>
      </c>
      <c r="JS54" t="s">
        <v>354</v>
      </c>
      <c r="JT54" t="s">
        <v>356</v>
      </c>
      <c r="JU54" t="s">
        <v>357</v>
      </c>
      <c r="JV54" t="s">
        <v>358</v>
      </c>
      <c r="JX54" t="s">
        <v>343</v>
      </c>
      <c r="JY54" t="s">
        <v>359</v>
      </c>
      <c r="KA54" t="s">
        <v>1211</v>
      </c>
      <c r="KC54" t="s">
        <v>364</v>
      </c>
      <c r="KE54" t="s">
        <v>1211</v>
      </c>
      <c r="KG54" t="s">
        <v>365</v>
      </c>
      <c r="KI54" t="s">
        <v>1211</v>
      </c>
      <c r="KK54" t="s">
        <v>104</v>
      </c>
      <c r="KN54" t="s">
        <v>1236</v>
      </c>
      <c r="KO54" t="s">
        <v>1211</v>
      </c>
      <c r="KQ54" t="s">
        <v>388</v>
      </c>
      <c r="KR54" t="s">
        <v>389</v>
      </c>
      <c r="KS54" t="s">
        <v>390</v>
      </c>
      <c r="KT54" t="s">
        <v>402</v>
      </c>
      <c r="KU54" s="3" t="s">
        <v>404</v>
      </c>
      <c r="KV54" s="3" t="s">
        <v>1211</v>
      </c>
      <c r="KW54" s="3"/>
      <c r="KX54" t="s">
        <v>396</v>
      </c>
      <c r="KY54" t="s">
        <v>397</v>
      </c>
      <c r="KZ54" t="s">
        <v>403</v>
      </c>
      <c r="LA54" s="3" t="s">
        <v>406</v>
      </c>
      <c r="LB54" s="3" t="s">
        <v>1211</v>
      </c>
      <c r="LD54" t="s">
        <v>15</v>
      </c>
      <c r="LE54" s="3" t="s">
        <v>413</v>
      </c>
      <c r="LF54" s="3" t="s">
        <v>1211</v>
      </c>
      <c r="LH54" t="s">
        <v>414</v>
      </c>
      <c r="LJ54" t="s">
        <v>1211</v>
      </c>
      <c r="LL54" t="s">
        <v>524</v>
      </c>
      <c r="LM54" t="s">
        <v>1211</v>
      </c>
      <c r="LO54" t="s">
        <v>510</v>
      </c>
      <c r="LP54" t="s">
        <v>511</v>
      </c>
      <c r="LQ54" t="s">
        <v>1491</v>
      </c>
      <c r="LR54" t="s">
        <v>516</v>
      </c>
      <c r="LS54" t="s">
        <v>1211</v>
      </c>
      <c r="LU54" t="s">
        <v>519</v>
      </c>
      <c r="LV54" t="s">
        <v>530</v>
      </c>
      <c r="LW54" t="s">
        <v>1492</v>
      </c>
      <c r="LX54" t="s">
        <v>521</v>
      </c>
      <c r="LY54" t="s">
        <v>1211</v>
      </c>
      <c r="MA54" t="s">
        <v>522</v>
      </c>
      <c r="MC54" t="s">
        <v>1211</v>
      </c>
      <c r="ME54" t="s">
        <v>3</v>
      </c>
      <c r="MG54" t="s">
        <v>1211</v>
      </c>
      <c r="MI54" t="s">
        <v>332</v>
      </c>
      <c r="MK54" t="s">
        <v>1211</v>
      </c>
      <c r="MM54" t="s">
        <v>1866</v>
      </c>
      <c r="MO54" t="s">
        <v>20</v>
      </c>
      <c r="MQ54" t="s">
        <v>1211</v>
      </c>
      <c r="MS54" t="s">
        <v>364</v>
      </c>
      <c r="MU54" t="s">
        <v>1211</v>
      </c>
      <c r="MW54" t="s">
        <v>365</v>
      </c>
      <c r="MY54" t="s">
        <v>1211</v>
      </c>
      <c r="NA54" t="s">
        <v>104</v>
      </c>
      <c r="NE54" t="s">
        <v>1211</v>
      </c>
      <c r="NG54" t="s">
        <v>388</v>
      </c>
      <c r="NH54" t="s">
        <v>390</v>
      </c>
      <c r="NI54" t="s">
        <v>402</v>
      </c>
      <c r="NJ54" s="3" t="s">
        <v>404</v>
      </c>
      <c r="NK54" s="3" t="s">
        <v>1211</v>
      </c>
      <c r="NM54" t="s">
        <v>429</v>
      </c>
      <c r="NO54" t="s">
        <v>1211</v>
      </c>
      <c r="NQ54" t="s">
        <v>1863</v>
      </c>
      <c r="NR54" t="s">
        <v>1865</v>
      </c>
      <c r="NT54" t="s">
        <v>1869</v>
      </c>
      <c r="NU54" t="s">
        <v>1870</v>
      </c>
      <c r="NW54" t="s">
        <v>1146</v>
      </c>
      <c r="NX54" t="s">
        <v>1147</v>
      </c>
      <c r="NY54" t="s">
        <v>1146</v>
      </c>
      <c r="NZ54" t="s">
        <v>1147</v>
      </c>
      <c r="OB54" t="s">
        <v>1153</v>
      </c>
      <c r="OC54" t="s">
        <v>1154</v>
      </c>
      <c r="OD54" t="s">
        <v>1155</v>
      </c>
      <c r="OE54" t="s">
        <v>1156</v>
      </c>
      <c r="OF54" t="s">
        <v>1157</v>
      </c>
      <c r="OG54" t="s">
        <v>1160</v>
      </c>
      <c r="OI54" t="s">
        <v>1153</v>
      </c>
      <c r="OJ54" t="s">
        <v>1154</v>
      </c>
      <c r="OK54" t="s">
        <v>1155</v>
      </c>
      <c r="OL54" t="s">
        <v>1156</v>
      </c>
      <c r="OM54" t="s">
        <v>1157</v>
      </c>
      <c r="OO54" t="s">
        <v>1165</v>
      </c>
      <c r="OP54" t="s">
        <v>1154</v>
      </c>
      <c r="OQ54" t="s">
        <v>1155</v>
      </c>
      <c r="OR54" t="s">
        <v>1166</v>
      </c>
      <c r="OT54" t="s">
        <v>1165</v>
      </c>
      <c r="OU54" t="s">
        <v>1154</v>
      </c>
      <c r="OV54" t="s">
        <v>1155</v>
      </c>
      <c r="OW54" t="s">
        <v>1166</v>
      </c>
      <c r="PG54" s="1" t="s">
        <v>1171</v>
      </c>
      <c r="PH54" s="1" t="s">
        <v>1147</v>
      </c>
      <c r="PI54" s="1" t="s">
        <v>1172</v>
      </c>
      <c r="PJ54" s="1" t="s">
        <v>1147</v>
      </c>
      <c r="PR54" s="1" t="s">
        <v>1720</v>
      </c>
      <c r="PS54" s="1" t="s">
        <v>1211</v>
      </c>
      <c r="PV54" t="s">
        <v>1211</v>
      </c>
      <c r="PX54" t="s">
        <v>1211</v>
      </c>
      <c r="PZ54" t="s">
        <v>1211</v>
      </c>
      <c r="QB54" t="s">
        <v>1211</v>
      </c>
      <c r="QE54" t="s">
        <v>1256</v>
      </c>
      <c r="QF54" t="s">
        <v>1448</v>
      </c>
      <c r="QG54" t="s">
        <v>1256</v>
      </c>
      <c r="QH54" t="s">
        <v>1256</v>
      </c>
      <c r="QI54" t="s">
        <v>1256</v>
      </c>
      <c r="QJ54" t="s">
        <v>1256</v>
      </c>
      <c r="QK54" t="s">
        <v>1256</v>
      </c>
    </row>
    <row r="55" spans="1:460" x14ac:dyDescent="0.25">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6"/>
      <c r="HI55" s="1"/>
      <c r="HJ55" s="1"/>
      <c r="HK55" s="1"/>
      <c r="HL55" s="1"/>
      <c r="HM55" s="1"/>
      <c r="HN55" s="1"/>
      <c r="HO55" s="1"/>
      <c r="HP55" s="1"/>
      <c r="HQ55" s="1"/>
      <c r="LE55" s="3"/>
      <c r="LF55" s="3"/>
    </row>
    <row r="56" spans="1:460" x14ac:dyDescent="0.25">
      <c r="A56">
        <f>A54+1</f>
        <v>1</v>
      </c>
      <c r="B56">
        <v>1</v>
      </c>
      <c r="C56">
        <v>1</v>
      </c>
      <c r="D56" t="b">
        <v>0</v>
      </c>
      <c r="E56">
        <v>1</v>
      </c>
      <c r="F56">
        <v>1</v>
      </c>
      <c r="G56">
        <v>1</v>
      </c>
      <c r="H56">
        <v>1</v>
      </c>
      <c r="I56">
        <v>1</v>
      </c>
      <c r="K56">
        <v>1</v>
      </c>
      <c r="M56">
        <f>IF(ISERROR(N56*Areal2/$N$72),0,N56*Areal2/$N$72)</f>
        <v>0</v>
      </c>
      <c r="N56">
        <f>Mark!Z56</f>
        <v>0</v>
      </c>
      <c r="P56">
        <f>VLOOKUP($E56,Afgr,NnormKolonneNr2)</f>
        <v>0</v>
      </c>
      <c r="Q56">
        <f>VLOOKUP($B56,Afgr,Data!$AI$3)*VLOOKUP(E56,Afgr,Data!$AJ$3)</f>
        <v>0</v>
      </c>
      <c r="R56">
        <f>IF($D56,0,VLOOKUP($C56,Efgr,(Data!$W$53+$G$28-1)))</f>
        <v>0</v>
      </c>
      <c r="S56">
        <f>P56-Q56-R56</f>
        <v>0</v>
      </c>
      <c r="T56">
        <f>S56*M56</f>
        <v>0</v>
      </c>
      <c r="U56">
        <f>IF(Nmodel12=1,S56*Nniveau12*0.01,AO56)</f>
        <v>0</v>
      </c>
      <c r="V56" s="3">
        <f>IF(Mark!CI56&lt;&gt;"",Mark!CI56,U56)</f>
        <v>0</v>
      </c>
      <c r="W56" s="3">
        <f>V56*M56</f>
        <v>0</v>
      </c>
      <c r="Y56">
        <f>S56/NoptFaktor</f>
        <v>0</v>
      </c>
      <c r="Z56" s="3">
        <f>IF(Mark!BZ56&lt;&gt;"",Mark!BZ56,Y56)</f>
        <v>0</v>
      </c>
      <c r="AB56">
        <f>VLOOKUP($E56,Afgr,Data!$DE$3)</f>
        <v>0</v>
      </c>
      <c r="AC56">
        <f>VLOOKUP($E56,Afgr,Data!$DD$3)</f>
        <v>0</v>
      </c>
      <c r="AD56">
        <f>VLOOKUP($E56,Afgr,Data!$DC$3)</f>
        <v>0</v>
      </c>
      <c r="AE56">
        <f>IF(ISERROR($Z56+(-PrisN/$AD56-$AB56)/(2*$AC56)),0,($Z56+(-PrisN/$AD56-$AB56)/(2*$AC56)))</f>
        <v>0</v>
      </c>
      <c r="AF56">
        <f>($BD56+$BE56+$BF56)*1.03333</f>
        <v>0</v>
      </c>
      <c r="AG56">
        <f>$AF56-($AB56*($AE56-$Z56)+$AC56*($AE56-$Z56)^2)</f>
        <v>0</v>
      </c>
      <c r="AH56">
        <f>IF(Nmodel12=1,$AB56*($AE56-$S56)+$AC56*($AE56-$S56)^2,$AB56*($AE56-$AO56)+$AC56*($AE56-$AO56)^2)</f>
        <v>0</v>
      </c>
      <c r="AI56">
        <f>IF(Nmodel12=1,$AB56*($AE56-$V56)+$AC56*($AE56-$V56)^2,$AB56*($AE56-AO56)+$AC56*($AE56-AO56)^2)</f>
        <v>0</v>
      </c>
      <c r="AJ56">
        <f>AG56+AH56-BG56</f>
        <v>0</v>
      </c>
      <c r="AK56">
        <f>AG56+AI56-AJ56</f>
        <v>0</v>
      </c>
      <c r="AM56">
        <f>VLOOKUP(E56,Afgr,Data!$DF$3+SandLer2)</f>
        <v>0</v>
      </c>
      <c r="AN56">
        <f>IF(ISERROR(((-(PrisN+Pantafgift)+AM56*Pantfaktor*Pantafgift)/AD56-AB56)/(2*AC56)),0,((-(PrisN+Pantafgift)+AM56*Pantfaktor*Pantafgift)/AD56-AB56)/(2*AC56))</f>
        <v>0</v>
      </c>
      <c r="AO56">
        <f>AE56-AN56</f>
        <v>0</v>
      </c>
      <c r="AQ56">
        <f>IF(AT56&gt;0,0,W56)</f>
        <v>0</v>
      </c>
      <c r="AR56">
        <f>IF(ISERROR(W56*HdgNTilFordeling12/NnormIaltFordel12),0,W56*HdgNTilFordeling12/NnormIaltFordel12)</f>
        <v>0</v>
      </c>
      <c r="AS56">
        <f>IF(ISERROR($AR56/$M56),0,$AR56/$M56)</f>
        <v>0</v>
      </c>
      <c r="AT56">
        <f>IF(Mark!CO56&lt;&gt;"",Mark!CO56,0)</f>
        <v>0</v>
      </c>
      <c r="AU56">
        <f>$AT56*$M56</f>
        <v>0</v>
      </c>
      <c r="AV56" s="3">
        <f>IF(AT56&gt;0,AT56,AS56)</f>
        <v>0</v>
      </c>
      <c r="AW56" s="3">
        <f>AV56*M56</f>
        <v>0</v>
      </c>
      <c r="AY56">
        <f>UdnKrav*$AV56/100</f>
        <v>0</v>
      </c>
      <c r="BA56">
        <f>AV56*VLOOKUP($E56,Afgr,Data!$DJ$3)</f>
        <v>0</v>
      </c>
      <c r="BB56">
        <f>UdnKrav*$BA56/100</f>
        <v>0</v>
      </c>
      <c r="BD56">
        <f>VLOOKUP(E56,Afgr,NormudbKolonneNr2)</f>
        <v>0</v>
      </c>
      <c r="BE56">
        <f>VLOOKUP(B56,Afgr,Data!$AL$3)*VLOOKUP(E56,Afgr,MerudbKolonneNr2)</f>
        <v>0</v>
      </c>
      <c r="BF56">
        <f>VLOOKUP(C56,Efgr,(Data!$Y$53+EftervirkningUdb2))</f>
        <v>0</v>
      </c>
      <c r="BG56">
        <f>BD56+BE56+BF56</f>
        <v>0</v>
      </c>
      <c r="BH56">
        <f>IF(OR(V56&lt;&gt;S56,Nmodel12=2),AK56,BD56+BE56+BF56)</f>
        <v>0</v>
      </c>
      <c r="BI56" s="3">
        <f>IF(Mark!AK56&lt;&gt;"",Mark!AK56,BH56)</f>
        <v>0</v>
      </c>
      <c r="BJ56">
        <f>BI56*M56</f>
        <v>0</v>
      </c>
      <c r="BK56">
        <f>VLOOKUP(E56,Afgr,3)</f>
        <v>0</v>
      </c>
      <c r="BL56">
        <f>IF(BK56="FE",VLOOKUP($E56,Afgr,Data!$AV$3),0)</f>
        <v>0</v>
      </c>
      <c r="BN56">
        <f>VLOOKUP(E56,Afgr,4)</f>
        <v>0</v>
      </c>
      <c r="BO56" s="3">
        <f>IF(Mark!AW56&lt;&gt;"",Mark!AW56,Regn!BN56)</f>
        <v>0</v>
      </c>
      <c r="BP56" s="3">
        <f>BI56*BO56</f>
        <v>0</v>
      </c>
      <c r="BQ56" s="3">
        <f>BJ56*BO56</f>
        <v>0</v>
      </c>
      <c r="BS56">
        <f>VLOOKUP(E56,Afgr,Data!$AN$3)</f>
        <v>0</v>
      </c>
      <c r="BT56" s="3">
        <f>IF(Mark!BC56&lt;&gt;"",Mark!BC56,BS56)</f>
        <v>0</v>
      </c>
      <c r="BU56" s="3">
        <f>BT56*M56</f>
        <v>0</v>
      </c>
      <c r="BW56">
        <f>VLOOKUP(E56,Afgr,HalmudbKolonneNr2)</f>
        <v>0</v>
      </c>
      <c r="BX56">
        <f>IF(ISERROR(BW56*BI56/BG56),0,(BW56*BI56/BG56))</f>
        <v>0</v>
      </c>
      <c r="BY56" s="3">
        <f>IF(Mark!BI56&lt;&gt;"",Mark!BI56,BX56)</f>
        <v>0</v>
      </c>
      <c r="BZ56">
        <f>BY56*M56</f>
        <v>0</v>
      </c>
      <c r="CC56">
        <f>IF($F56=1,BY56,0)</f>
        <v>0</v>
      </c>
      <c r="CD56">
        <f>IF(F56=1,BZ56,0)</f>
        <v>0</v>
      </c>
      <c r="CE56">
        <f>VLOOKUP(E56,Afgr,Data!$AM$3)</f>
        <v>0</v>
      </c>
      <c r="CF56">
        <f>IF(Mark!BR56&lt;&gt;"",Mark!BR56,CE56)</f>
        <v>0</v>
      </c>
      <c r="CG56">
        <f>CC56*CF56</f>
        <v>0</v>
      </c>
      <c r="CH56">
        <f>CD56*CF56</f>
        <v>0</v>
      </c>
      <c r="CJ56">
        <f>VLOOKUP($G56,Efgr,NnormKolonneEfgr2)</f>
        <v>0</v>
      </c>
      <c r="CK56">
        <f>CJ56*M56</f>
        <v>0</v>
      </c>
      <c r="CL56">
        <f>CJ56*Nniveau12*0.01</f>
        <v>0</v>
      </c>
      <c r="CM56" s="3">
        <f>IF(Mark!DM56&lt;&gt;"",Mark!DM56,CL56)</f>
        <v>0</v>
      </c>
      <c r="CN56" s="3">
        <f>$CM56*$M56</f>
        <v>0</v>
      </c>
      <c r="CP56">
        <f>IF(CS56&gt;0,0,CN56)</f>
        <v>0</v>
      </c>
      <c r="CQ56">
        <f>IF(ISERROR(CN56*HdgNTilFordeling12/NnormIaltFordel12),0,CN56*HdgNTilFordeling12/NnormIaltFordel12)</f>
        <v>0</v>
      </c>
      <c r="CR56">
        <f>IF(ISERROR($CQ56/$M56),0,$CQ56/$M56)</f>
        <v>0</v>
      </c>
      <c r="CS56">
        <f>IF(Mark!DS56&lt;&gt;"",Mark!DS56,0)</f>
        <v>0</v>
      </c>
      <c r="CT56">
        <f>$CS56*$M56</f>
        <v>0</v>
      </c>
      <c r="CU56" s="3">
        <f>IF($CS56&gt;0,$CS56,$CR56)</f>
        <v>0</v>
      </c>
      <c r="CV56" s="3">
        <f>CU56*M56</f>
        <v>0</v>
      </c>
      <c r="CX56">
        <f>UdnKrav*$CU56/100</f>
        <v>0</v>
      </c>
      <c r="CZ56">
        <f>$CU56*VLOOKUP($G56,Efgr,Data!$BG$53)</f>
        <v>0</v>
      </c>
      <c r="DA56">
        <f>UdnKrav*$CZ56/100</f>
        <v>0</v>
      </c>
      <c r="DC56">
        <f>VLOOKUP(G56,Efgr,NormudbKolonneNrEfgr2)</f>
        <v>0</v>
      </c>
      <c r="DD56" s="3">
        <f>IF(Mark!DC56&lt;&gt;"",Mark!DC56,DC56)</f>
        <v>0</v>
      </c>
      <c r="DE56">
        <f>DD56*M56</f>
        <v>0</v>
      </c>
      <c r="DF56" t="s">
        <v>37</v>
      </c>
      <c r="DG56">
        <f>DD56*Efterslaetpris</f>
        <v>0</v>
      </c>
      <c r="DH56">
        <f>DE56*Efterslaetpris</f>
        <v>0</v>
      </c>
      <c r="DI56">
        <f>VLOOKUP(G56,Efgr,Data!$AG$53)</f>
        <v>0</v>
      </c>
      <c r="DJ56">
        <f>DD56*DI56</f>
        <v>0</v>
      </c>
      <c r="DL56">
        <f>VLOOKUP($E56,Afgr,Data!$AW$3)</f>
        <v>0</v>
      </c>
      <c r="DM56">
        <f>IF(BK56="FE",$BI56*$BL56*$DL56*0.01,$BI56*100*$DR56*0.01*$DL56*0.01)</f>
        <v>0</v>
      </c>
      <c r="DN56">
        <f>IF(VLOOKUP(E56,Afgr,Data!$BO$3)=1,DM56,0)*M56</f>
        <v>0</v>
      </c>
      <c r="DO56" s="12">
        <f>IF(Nmodel12=1,(V56-S56)*VLOOKUP($E56,Afgr,Data!$AX$3),(AO56-S56)*VLOOKUP(E56,Afgr,Data!$AX$3))</f>
        <v>0</v>
      </c>
      <c r="DP56">
        <f>DL56+DO56</f>
        <v>0</v>
      </c>
      <c r="DQ56">
        <f>IF(Mark!AQ56&lt;&gt;"",Mark!AQ56,DP56)</f>
        <v>0</v>
      </c>
      <c r="DR56">
        <f>VLOOKUP(E56,Afgr,Data!$AT$3)</f>
        <v>0</v>
      </c>
      <c r="DS56">
        <f>IF($BK56="FE",$BI56*$BL56*$DQ56*0.01,$BI56*100*$DR56*0.01*DQ56*0.01)</f>
        <v>0</v>
      </c>
      <c r="DT56">
        <f>IF(VLOOKUP(E56,Afgr,Data!$BO$3)=1,DS56,0)*M56</f>
        <v>0</v>
      </c>
      <c r="DU56">
        <f>IF(ISERROR(DS56/VLOOKUP(E56,Afgr,Data!$AY$3)),0,DS56/VLOOKUP(E56,Afgr,Data!$AY$3))</f>
        <v>0</v>
      </c>
      <c r="DV56">
        <f>DU56*M56</f>
        <v>0</v>
      </c>
      <c r="DX56">
        <f>IF($BK56="FE",$BI56*$BL56*VLOOKUP($E56,Afgr,Data!$BC$3)*0.001,$BI56*100*$DR56*0.01*VLOOKUP($E56,Afgr,Data!$BC$3)*0.001)</f>
        <v>0</v>
      </c>
      <c r="DY56">
        <f>DX56*M56</f>
        <v>0</v>
      </c>
      <c r="EA56">
        <f>IF($BK56="FE",$BI56*$BL56*VLOOKUP($E56,Afgr,Data!$BF$3)*0.001,$BI56*100*$DR56*0.01*VLOOKUP($E56,Afgr,Data!$BF$3)*0.001)</f>
        <v>0</v>
      </c>
      <c r="EB56">
        <f>EA56*M56</f>
        <v>0</v>
      </c>
      <c r="ED56">
        <f>IF(ISERROR(VLOOKUP(E56,Afgr,Data!$AZ$3)*DQ56/DL56),0,VLOOKUP(E56,Afgr,Data!$AZ$3)*DQ56/DL56)</f>
        <v>0</v>
      </c>
      <c r="EE56">
        <f>VLOOKUP(E56,Afgr,Data!$AU$3)</f>
        <v>0</v>
      </c>
      <c r="EF56">
        <f>IF($F56=1,$BY56*$EE56*0.01*ED56*0.01,0)</f>
        <v>0</v>
      </c>
      <c r="EG56">
        <f>EF56/6.25</f>
        <v>0</v>
      </c>
      <c r="EH56">
        <f>EG56*M56</f>
        <v>0</v>
      </c>
      <c r="EJ56">
        <f>IF($F56=1,$BY56*$EE56*0.01*VLOOKUP($E56,Afgr,Data!$BD$3)*0.001,0)</f>
        <v>0</v>
      </c>
      <c r="EK56">
        <f>EJ56*M56</f>
        <v>0</v>
      </c>
      <c r="EM56">
        <f>IF($F56=1,$BY56*$EE56*0.01*VLOOKUP($E56,Afgr,Data!$BG$3)*0.001,0)</f>
        <v>0</v>
      </c>
      <c r="EN56">
        <f>EM56*M56</f>
        <v>0</v>
      </c>
      <c r="EP56">
        <f>VLOOKUP(G56,Efgr,Data!$AI$53)</f>
        <v>0</v>
      </c>
      <c r="EQ56">
        <f>DJ56*EP56*0.01/6.25</f>
        <v>0</v>
      </c>
      <c r="ER56">
        <f>EQ56*M56</f>
        <v>0</v>
      </c>
      <c r="ET56">
        <f>$DJ56*VLOOKUP($G56,Efgr,Data!$AJ$53)*0.001</f>
        <v>0</v>
      </c>
      <c r="EU56">
        <f>ET56*M56</f>
        <v>0</v>
      </c>
      <c r="EW56">
        <f>$DJ56*VLOOKUP($G56,Efgr,Data!$AK$53)*0.001</f>
        <v>0</v>
      </c>
      <c r="EX56">
        <f>EW56*M56</f>
        <v>0</v>
      </c>
      <c r="EZ56">
        <f>IF(VLOOKUP(E56,Afgr,Data!$DS$3)=1,DU56*VLOOKUP(E56,Afgr,(Data!$DT$3+EftervirkningUdb2))*VLOOKUP(E56,Afgr,Data!$DV$3),0)</f>
        <v>0</v>
      </c>
      <c r="FA56">
        <f>IF(VLOOKUP(E56,Afgr,Data!$DS$3)=2,VLOOKUP(E56,Afgr,Data!$DX$3),0)</f>
        <v>0</v>
      </c>
      <c r="FB56">
        <f>IF(VLOOKUP(E56,Afgr,Data!$DS$3)=3,$DU56*VLOOKUP($E56,Afgr,IF(Jordtype2&lt;5,Data!$DT$3,Data!$DU$3))*VLOOKUP($E56,Afgr,Data!$DV$3),0)</f>
        <v>0</v>
      </c>
      <c r="FC56">
        <f>IF(VLOOKUP(E56,Afgr,Data!$DS$3)=4,(1.232+0.00469*BI56*100+(0.000256*BI56*100+0.089)*60),0)</f>
        <v>0</v>
      </c>
      <c r="FD56">
        <f>$V56+IF($AY56-$BB56&gt;$V56,$AY56-$V56,0)-$BB56</f>
        <v>0</v>
      </c>
      <c r="FE56">
        <f>IF(VLOOKUP($E56,Afgr,Data!$DS$3)=5,($BI56*0.02742-$BI56*0.0001*$FD56+$BI56*0.0000001111*$FD56*$FD56),0)</f>
        <v>0</v>
      </c>
      <c r="FF56">
        <f>$CM56+IF($CX56-$DA56&gt;$CM56,$CX56-$CM56,0)-$DA56</f>
        <v>0</v>
      </c>
      <c r="FG56">
        <f>IF(VLOOKUP($G56,Efgr,Data!$BH$53)=5,($DD56*0.02742-$DD56*0.0001*$FF56+$DD56*0.0000001111*$FF56*$FF56),0)</f>
        <v>0</v>
      </c>
      <c r="FH56" s="3">
        <f>EZ56+FA56+FB56+FC56+FE56+FG56</f>
        <v>0</v>
      </c>
      <c r="FI56" s="3">
        <f>FH56*M56</f>
        <v>0</v>
      </c>
      <c r="FK56">
        <f>$V56+$CM56</f>
        <v>0</v>
      </c>
      <c r="FL56">
        <f>($AV56-$AY56)+IF($AY56&gt;$V56,$AY56-$V56,0)+($CU56-$CX56)+IF($CX56&gt;$CM56,$CX56-$CM56,0)</f>
        <v>0</v>
      </c>
      <c r="FM56">
        <f>VLOOKUP($E56,Afgr,Data!$DK$3)*VLOOKUP($E56,Afgr,Data!$AT$3)*0.01*VLOOKUP($E56,Afgr,Data!$AW$3)*0.01/6.25</f>
        <v>0</v>
      </c>
      <c r="FN56" s="4">
        <f>IF(E56&gt;1,Deposition,0)</f>
        <v>0</v>
      </c>
      <c r="FO56">
        <f>FH56</f>
        <v>0</v>
      </c>
      <c r="FP56">
        <f>SUM(FK56:FO56)</f>
        <v>0</v>
      </c>
      <c r="FQ56">
        <f>DU56+EG56+EQ56</f>
        <v>0</v>
      </c>
      <c r="FR56" s="3">
        <f>FP56-FQ56</f>
        <v>0</v>
      </c>
      <c r="FS56" s="19">
        <f>FP56*M56</f>
        <v>0</v>
      </c>
      <c r="FT56" s="19">
        <f>FQ56*M56</f>
        <v>0</v>
      </c>
      <c r="FU56" s="3">
        <f>FR56*M56</f>
        <v>0</v>
      </c>
      <c r="FW56">
        <f>IL56+IM56+LP56+LQ56</f>
        <v>0</v>
      </c>
      <c r="FX56">
        <f>IK56+LO56</f>
        <v>0</v>
      </c>
      <c r="FY56">
        <f>FW56-FX56</f>
        <v>0</v>
      </c>
      <c r="FZ56">
        <f>FY56*M56</f>
        <v>0</v>
      </c>
      <c r="GB56">
        <f>IS56+IT56+LV56+LW56</f>
        <v>0</v>
      </c>
      <c r="GC56">
        <f>IR56+LU56</f>
        <v>0</v>
      </c>
      <c r="GD56">
        <f>GB56-GC56</f>
        <v>0</v>
      </c>
      <c r="GE56">
        <f>GD56*M56</f>
        <v>0</v>
      </c>
      <c r="GG56" s="149">
        <f>IF(OR(VLOOKUP(E56,Afgr,Data!$BV$3)=1,VLOOKUP(E56,Afgr,Data!$BW$3)=1),0,NniveauDelsaedsk2)</f>
        <v>0</v>
      </c>
      <c r="GH56" s="1">
        <v>0.32550000000000001</v>
      </c>
      <c r="GI56" s="6">
        <v>0</v>
      </c>
      <c r="GJ56" s="24">
        <f>IF(($V56-BB56+$CM56-DA56)&lt;0,0,$V56-BB56+$CM56-DA56)</f>
        <v>0</v>
      </c>
      <c r="GK56" s="6">
        <f>$FO56</f>
        <v>0</v>
      </c>
      <c r="GL56" s="1">
        <v>0.25280000000000002</v>
      </c>
      <c r="GM56">
        <f>$BA56+$CZ56</f>
        <v>0</v>
      </c>
      <c r="GN56" s="1">
        <v>0.376</v>
      </c>
      <c r="GO56" s="6">
        <v>0</v>
      </c>
      <c r="GP56" s="1">
        <f>IF(SandLer2&gt;1,0.3539,1.0749)</f>
        <v>0.35389999999999999</v>
      </c>
      <c r="GQ56" s="11">
        <f>$FQ56</f>
        <v>0</v>
      </c>
      <c r="GR56" s="1">
        <v>0.19359999999999999</v>
      </c>
      <c r="GS56" s="1">
        <f>VLOOKUP($E56,Afgr,Data!$DM$3)</f>
        <v>0</v>
      </c>
      <c r="GT56" s="24">
        <f>IF($GS56&gt;1,0,(VLOOKUP($K56,Afgr,Data!$DP$3)+IF(VLOOKUP($K56,Afgr,Data!$DP$3)=0,VLOOKUP($G56,Efgr,Data!$BI$53,0))))+IF(AND($GS56=7,VLOOKUP($K56,Afgr,Data!$DQ$3)=-2),-2,0)+IF(AND($GS56=6,VLOOKUP($G56,Efgr,Data!$BI$53)=2),8,0)</f>
        <v>0</v>
      </c>
      <c r="GU56" s="6" t="e">
        <f>VLOOKUP(SUM(GS56:GT56),Nlesafgr,3)</f>
        <v>#N/A</v>
      </c>
      <c r="GV56" s="7">
        <f>VLOOKUP($B56,Afgr,Data!$DN$3)</f>
        <v>0</v>
      </c>
      <c r="GW56" s="24">
        <f>IF(GV56&gt;1,0,VLOOKUP($E56,Afgr,Data!$DO$3)+IF(VLOOKUP($E56,Afgr,Data!$DO$3)=1,0,VLOOKUP($C56,Efgr,Data!$BJ$53)))</f>
        <v>0</v>
      </c>
      <c r="GX56" s="6" t="e">
        <f>VLOOKUP(SUM(GV56:GW56),Nlesforfrugt,3)</f>
        <v>#N/A</v>
      </c>
      <c r="GY56" s="1" t="e">
        <f>GH56*GG56+GL56*(GJ56+GK56)+GN56*GM56+GP56*GO56-GR56*GQ56+GU56+GX56</f>
        <v>#N/A</v>
      </c>
      <c r="GZ56" s="1">
        <f>Nlesafskaering</f>
        <v>59.6</v>
      </c>
      <c r="HA56" s="1">
        <f>Teknologi1</f>
        <v>2455</v>
      </c>
      <c r="HB56" s="6">
        <v>2001</v>
      </c>
      <c r="HC56" s="1">
        <f>Teknologi2</f>
        <v>1962.2</v>
      </c>
      <c r="HD56" s="1">
        <f>Tandel</f>
        <v>0.54659999999999997</v>
      </c>
      <c r="HE56" s="1" t="e">
        <f>IF(OR(GY56&gt;0,GY56=0),GZ56+HA56/(HB56-HC56),GZ56+HA56/(HB56-HC56)+HD56*GY56)</f>
        <v>#N/A</v>
      </c>
      <c r="HF56" s="1" t="e">
        <f>IF(GY56&gt;0,GY56,0.001)</f>
        <v>#N/A</v>
      </c>
      <c r="HG56" s="1">
        <v>1.5020000000000001E-3</v>
      </c>
      <c r="HH56" s="24">
        <f>IF(E56=1,0,VLOOKUP(Postnr,AfstromData,VLOOKUP($E56,Afgr,Data!$DL$3)+IF(Jordtype1&lt;7,Jordtype1,6),FALSE)-VLOOKUP(G56,Efgr,Data!$AA$53))</f>
        <v>0</v>
      </c>
      <c r="HI56" s="1">
        <v>5.5400000000000002E-4</v>
      </c>
      <c r="HJ56" s="24">
        <f>IF(E56=1,0,VLOOKUP(Postnr,AfstromData,VLOOKUP($B56,Afgr,Data!$DL$3)+IF(Jordtype1&lt;7,Jordtype1,6),FALSE)-VLOOKUP(C56,Efgr,Data!$AA$53))</f>
        <v>0</v>
      </c>
      <c r="HK56" s="1">
        <v>0.10639999999999999</v>
      </c>
      <c r="HL56" s="6">
        <f>VLOOKUP(Jordtype2,Jordtype,Data!$W$112)</f>
        <v>3</v>
      </c>
      <c r="HM56" s="1">
        <v>3.2500000000000001E-2</v>
      </c>
      <c r="HN56" s="6">
        <f>VLOOKUP(Jordtype2,Jordtype,Data!$X$112)</f>
        <v>12</v>
      </c>
      <c r="HO56" s="1">
        <v>1.2453000000000001</v>
      </c>
      <c r="HP56" s="1">
        <f>IF(VLOOKUP(G56,Efgr,Data!$AO$53)=1,MlafgrNUdvask,0)</f>
        <v>0</v>
      </c>
      <c r="HQ56" s="20">
        <f>IF(ISERROR((HE56+POWER(HF56,1.2))*(1-EXP(-HG56*HH56))*EXP(-HI56*HJ56)*EXP(-HK56*HL56)*EXP(-HM56*HN56)*HO56),0,(HE56+POWER(HF56,1.2))*(1-EXP(-HG56*HH56))*EXP(-HI56*HJ56)*EXP(-HK56*HL56)*EXP(-HM56*HN56)*HO56+HP56)</f>
        <v>0</v>
      </c>
      <c r="HR56">
        <f>HQ56*M56</f>
        <v>0</v>
      </c>
      <c r="HS56">
        <f>HQ56*(100-Retention2)*0.01</f>
        <v>0</v>
      </c>
      <c r="HT56">
        <f>HS56*M56</f>
        <v>0</v>
      </c>
      <c r="HU56" s="2">
        <f>HH56*10000</f>
        <v>0</v>
      </c>
      <c r="HV56" s="2">
        <f>HU56*M56</f>
        <v>0</v>
      </c>
      <c r="HW56">
        <f>IF(ISERROR(HQ56*1000*1000/HU56),0,HQ56*1000*1000/HU56)</f>
        <v>0</v>
      </c>
      <c r="HY56">
        <f>BP56+BT56+CG56+DG56</f>
        <v>0</v>
      </c>
      <c r="IB56">
        <f>VLOOKUP(E56,Afgr,Data!$AP$3)*UdsaedJust</f>
        <v>0</v>
      </c>
      <c r="IC56" s="3">
        <f>IF(Mark!EG56&lt;&gt;"",Mark!EG56,Regn!IB56)</f>
        <v>0</v>
      </c>
      <c r="ID56" s="3">
        <f>IC56*M56</f>
        <v>0</v>
      </c>
      <c r="IF56" s="3">
        <f>IF(HdgVaerdi=1,($V56-$AY56)*Npris,$V56*Npris)</f>
        <v>0</v>
      </c>
      <c r="IG56" s="3">
        <f>IF56*M56</f>
        <v>0</v>
      </c>
      <c r="II56">
        <f>VLOOKUP($E56,Afgr,Data!$BA$3)</f>
        <v>0</v>
      </c>
      <c r="IJ56">
        <f>VLOOKUP($E56,Afgr,Data!$BB$3)</f>
        <v>0</v>
      </c>
      <c r="IK56">
        <f>$DX56+$EJ56</f>
        <v>0</v>
      </c>
      <c r="IL56">
        <f>IF(HdgDyreart=2,$AV56*NPforholdSvin,$AV56*NPforholdKvaeg)</f>
        <v>0</v>
      </c>
      <c r="IM56">
        <f>II56+IF($IJ56+$IK56&gt;$IL56,($IJ56+$IK56-$IL56),0)</f>
        <v>0</v>
      </c>
      <c r="IN56" s="3">
        <f>IF(HdgVaerdi=1,($II56*Ppris+IF($IJ56+$IK56&gt;$IL56,($IJ56+$IK56-$IL56)*Ppris,0)),($II56+$IJ56+$IK56)*Ppris)</f>
        <v>0</v>
      </c>
      <c r="IO56" s="3">
        <f>IN56*M56</f>
        <v>0</v>
      </c>
      <c r="IQ56">
        <f>IF(AND(E56&gt;1,OR(Jordtype2=1,Jordtype2=3,Markvand2=2)),Kudvask,0)</f>
        <v>0</v>
      </c>
      <c r="IR56">
        <f>$EA56+$EM56</f>
        <v>0</v>
      </c>
      <c r="IS56">
        <f>IF(HdgDyreart=2,$AV56*NKforholdSvin,$AV56*NkforholdKvaeg)</f>
        <v>0</v>
      </c>
      <c r="IT56">
        <f>IF($IQ56+$IR56&gt;$IS56,($IQ56+$IR56-$IS56),0)</f>
        <v>0</v>
      </c>
      <c r="IU56" s="3">
        <f>IF(HdgVaerdi=1,IF($IQ56+$IR56&gt;$IS56,($IQ56+$IR56-$IS56)*Kpris,0),($IQ56+$IR56)*Kpris)</f>
        <v>0</v>
      </c>
      <c r="IV56" s="3">
        <f>IU56*M56</f>
        <v>0</v>
      </c>
      <c r="IX56">
        <f>IF56+IN56+IU56</f>
        <v>0</v>
      </c>
      <c r="IY56" s="3">
        <f>IF(Mark!EM56&lt;&gt;"",Mark!EM56,$IX56)</f>
        <v>0</v>
      </c>
      <c r="IZ56" s="3">
        <f>IY56*M56</f>
        <v>0</v>
      </c>
      <c r="JB56">
        <f>VLOOKUP(E56,Afgr,Data!$AQ$3)*PlantevJust</f>
        <v>0</v>
      </c>
      <c r="JC56" s="3">
        <f>IF(Mark!ES56&lt;&gt;"",Mark!ES56,JB56)</f>
        <v>0</v>
      </c>
      <c r="JD56" s="3">
        <f>JC56*M56</f>
        <v>0</v>
      </c>
      <c r="JF56">
        <f>VLOOKUP(E56,Afgr,Data!$AR$3)+BI56*VLOOKUP(E56,Afgr,Data!$BH$3)</f>
        <v>0</v>
      </c>
      <c r="JG56" s="3">
        <f>IF(Mark!EY56&lt;&gt;"",Mark!EY56,JF56)</f>
        <v>0</v>
      </c>
      <c r="JH56">
        <f>JG56*M56</f>
        <v>0</v>
      </c>
      <c r="JJ56">
        <f>IC56+IY56+JC56+JG56</f>
        <v>0</v>
      </c>
      <c r="JL56">
        <f>IF(VLOOKUP(E56,Afgr,Data!$BY$3)&gt;0,Data!$K$259*PlojJB2,0)</f>
        <v>0</v>
      </c>
      <c r="JM56">
        <f>IF(VLOOKUP(E56,Afgr,Data!$BZ$3)&gt;0,Data!$K$260*PlojJB2,0)</f>
        <v>0</v>
      </c>
      <c r="JN56">
        <f>(JL56+JM56)*MaskJust</f>
        <v>0</v>
      </c>
      <c r="JO56" s="3">
        <f>IF(Mark!FE56&lt;&gt;"",Mark!FE56,JN56)</f>
        <v>0</v>
      </c>
      <c r="JP56" s="3">
        <f>JO56*M56</f>
        <v>0</v>
      </c>
      <c r="JR56">
        <f>IF(VLOOKUP(E56,Afgr,Data!$CA$3)&gt;0,VLOOKUP(E56,Afgr,Data!$CA$3)*Data!$K$261*SaaJB2,0)</f>
        <v>0</v>
      </c>
      <c r="JS56">
        <f>IF(VLOOKUP(E56,Afgr,Data!$CC$3)&gt;0,Data!$K$262*SaaJB2,0)</f>
        <v>0</v>
      </c>
      <c r="JT56">
        <f>IF(VLOOKUP(E56,Afgr,Data!$CD$3)&gt;0,VLOOKUP(E56,Afgr,Data!$CD$3)*Data!$K$263*SaaJB2,0)</f>
        <v>0</v>
      </c>
      <c r="JU56">
        <f>IF(VLOOKUP(E56,Afgr,Data!$CE$3)&gt;0,Data!$K$264*SaaJB2,0)</f>
        <v>0</v>
      </c>
      <c r="JV56">
        <f>IF(VLOOKUP(E56,Afgr,Data!$CF$3)&gt;0,Data!$K$265*SaaJB2,0)</f>
        <v>0</v>
      </c>
      <c r="JW56">
        <f>IF(VLOOKUP(E56,Afgr,Data!$CV$3)&gt;0,Data!$K$266,0)</f>
        <v>0</v>
      </c>
      <c r="JX56">
        <f>IF(VLOOKUP(E56,Afgr,Data!$CG$3)&gt;0,Data!$K$267*SaaJB2,0)</f>
        <v>0</v>
      </c>
      <c r="JY56">
        <f>(JR56+JS56+JT56+JU56+JV56+JW56+JX56)*MaskJust</f>
        <v>0</v>
      </c>
      <c r="JZ56" s="3">
        <f>IF(Mark!FK56&lt;&gt;"",Mark!FK56,JY56)</f>
        <v>0</v>
      </c>
      <c r="KA56" s="3">
        <f>JZ56*M56</f>
        <v>0</v>
      </c>
      <c r="KC56">
        <f>IF(VLOOKUP(E56,Afgr,Data!$CJ$3)&gt;0,VLOOKUP(E56,Afgr,Data!$CJ$3)*Data!$K$268*SaaJB2,0)*MaskJust</f>
        <v>0</v>
      </c>
      <c r="KD56" s="3">
        <f>IF(Mark!FQ56&lt;&gt;"",Mark!FQ56,KC56)</f>
        <v>0</v>
      </c>
      <c r="KE56" s="3">
        <f>KD56*M56</f>
        <v>0</v>
      </c>
      <c r="KG56">
        <f>IF(VLOOKUP(E56,Afgr,Data!$CI$3)&gt;0,VLOOKUP(E56,Afgr,Data!$CI$3)*Data!$K$269,0)*MaskJust</f>
        <v>0</v>
      </c>
      <c r="KH56" s="3">
        <f>IF(Mark!FW56&lt;&gt;"",Mark!FW56,KG56)</f>
        <v>0</v>
      </c>
      <c r="KI56" s="3">
        <f>KH56*M56</f>
        <v>0</v>
      </c>
      <c r="KK56">
        <f>IF(Markvand2=2,VLOOKUP($E56,Afgr,Data!$CY$3),0)</f>
        <v>0</v>
      </c>
      <c r="KL56">
        <f>IF(Mark!GC56&lt;&gt;"",Mark!GC56,$KK56)</f>
        <v>0</v>
      </c>
      <c r="KM56">
        <f>IF(AND(E56&gt;1,Markvand2=2),Vandmaskin+$KL56*Flytning/mmprgang+$KL56*Prisprmm,0)</f>
        <v>0</v>
      </c>
      <c r="KN56" s="3">
        <f>IF(Mark!GI56&lt;&gt;"",Mark!GI56,$KM56)</f>
        <v>0</v>
      </c>
      <c r="KO56" s="3">
        <f>KN56*M56</f>
        <v>0</v>
      </c>
      <c r="KQ56">
        <f>IF(VLOOKUP($E56,Afgr,Data!$CK$3)&gt;0,((1+Regn!$BI56/VLOOKUP($E56,Afgr,Data!$CK$3))/2)*VLOOKUP($E56,Afgr,Data!$CL$3)*VLOOKUP($E56,Afgr,Data!$CN$3)+VLOOKUP($E56,Afgr,Data!$CM$3),0)</f>
        <v>0</v>
      </c>
      <c r="KR56">
        <f>IF(VLOOKUP($E56,Afgr,Data!$CK$3)&gt;0,IF(AND($F56=2,$BW56&gt;0),Data!$K$271,0),0)</f>
        <v>0</v>
      </c>
      <c r="KS56">
        <f>IF(VLOOKUP($E56,Afgr,Data!$CK$3)&gt;0,(Regn!$BI56/VLOOKUP($E56,Afgr,Data!$CK$3))*VLOOKUP($E56,Afgr,Data!$CO$3)*VLOOKUP($E56,Afgr,Data!$CN$3),0)</f>
        <v>0</v>
      </c>
      <c r="KT56">
        <f>(KQ56+KR56+KS56)*MaskJust</f>
        <v>0</v>
      </c>
      <c r="KU56" s="3">
        <f>IF(Mark!GO56&lt;&gt;"",Mark!GO56,KT56)</f>
        <v>0</v>
      </c>
      <c r="KV56" s="3">
        <f>KU56*M56</f>
        <v>0</v>
      </c>
      <c r="KW56" s="3"/>
      <c r="KX56">
        <f>IF(AND($F56=1,VLOOKUP($E56,Afgr,Data!$CP$3)&gt;0),((1+$BY56/VLOOKUP($E56,Afgr,Data!$CP$3))/2)*VLOOKUP($E56,Afgr,Data!$CQ$3),0)</f>
        <v>0</v>
      </c>
      <c r="KY56">
        <f>IF(AND($F56=1,VLOOKUP($E56,Afgr,Data!$CP$3)&gt;0),($BY56/VLOOKUP($E56,Afgr,Data!$CP$3))*VLOOKUP($E56,Afgr,Data!$CR$3),0)</f>
        <v>0</v>
      </c>
      <c r="KZ56">
        <f>(KX56+KY56)*MaskJust</f>
        <v>0</v>
      </c>
      <c r="LA56" s="3">
        <f>IF(Mark!GU56&lt;&gt;"",Mark!GU56,KZ56)</f>
        <v>0</v>
      </c>
      <c r="LB56" s="3">
        <f>LA56*M56</f>
        <v>0</v>
      </c>
      <c r="LD56">
        <f>$BI56*VLOOKUP($E56,Afgr,Data!$CS$3)*IF($I56=1,VLOOKUP($E56,Afgr,Data!$CT$3),IF($I56=2,VLOOKUP($E56,Afgr,Data!$CU$3),0))</f>
        <v>0</v>
      </c>
      <c r="LE56" s="3">
        <f>IF(Mark!HD56&lt;&gt;"",Mark!HD56,LD56)</f>
        <v>0</v>
      </c>
      <c r="LF56" s="3">
        <f>LE56*M56</f>
        <v>0</v>
      </c>
      <c r="LH56">
        <f>VLOOKUP($G56,Efgr,Data!$AC$53)*UdsaedJust</f>
        <v>0</v>
      </c>
      <c r="LI56" s="3">
        <f>IF(Mark!$HL56&lt;&gt;"",Mark!$HL56,LH56)</f>
        <v>0</v>
      </c>
      <c r="LJ56" s="3">
        <f>LI56*M56</f>
        <v>0</v>
      </c>
      <c r="LL56" s="3">
        <f>IF(HdgVaerdi=1,($CM56-$CX56)*Npris,$CM56*Npris)</f>
        <v>0</v>
      </c>
      <c r="LM56" s="3">
        <f>LL56*M56</f>
        <v>0</v>
      </c>
      <c r="LO56">
        <f>$ET56</f>
        <v>0</v>
      </c>
      <c r="LP56">
        <f>IF(HdgDyreart=2,$CU56*NPforholdSvin,$CU56*NPforholdKvaeg)</f>
        <v>0</v>
      </c>
      <c r="LQ56">
        <f>IF($LO56&gt;$LP56,($LO56-$LP56),0)</f>
        <v>0</v>
      </c>
      <c r="LR56" s="3">
        <f>IF(HdgVaerdi=1,IF($LO56&gt;$LP56,($LO56-$LP56)*Ppris,0),$LO56*Ppris)</f>
        <v>0</v>
      </c>
      <c r="LS56" s="3">
        <f>LR56*M56</f>
        <v>0</v>
      </c>
      <c r="LU56">
        <f>$EW56</f>
        <v>0</v>
      </c>
      <c r="LV56">
        <f>IF(HdgDyreart=2,$CU56*NKforholdSvin,$CU56*NkforholdKvaeg)</f>
        <v>0</v>
      </c>
      <c r="LW56">
        <f>IF($LU56&gt;$LV56,($LU56-$LV56),0)</f>
        <v>0</v>
      </c>
      <c r="LX56" s="3">
        <f>IF(HdgVaerdi=1,IF($LU56&gt;$LV56,($LU56-$LV56)*Ppris,0),$LU56*Ppris)</f>
        <v>0</v>
      </c>
      <c r="LY56" s="3">
        <f>LX56*M56</f>
        <v>0</v>
      </c>
      <c r="MA56">
        <f>LL56+LR56+LX56</f>
        <v>0</v>
      </c>
      <c r="MB56" s="3">
        <f>IF(Mark!HR56&lt;&gt;"",Mark!HR56,$MA56)</f>
        <v>0</v>
      </c>
      <c r="MC56" s="3">
        <f>MB56*M56</f>
        <v>0</v>
      </c>
      <c r="ME56">
        <f>VLOOKUP($G56,Efgr,Data!$AE$53)*PlantevJust</f>
        <v>0</v>
      </c>
      <c r="MF56" s="3">
        <f>IF(Mark!HX56&lt;&gt;"",Mark!HX56,ME56)</f>
        <v>0</v>
      </c>
      <c r="MG56" s="3">
        <f>MF56*M56</f>
        <v>0</v>
      </c>
      <c r="MI56">
        <f>VLOOKUP($G56,Efgr,Data!$AF$53)+$DD56*VLOOKUP($G56,Efgr,Data!$AL$53)</f>
        <v>0</v>
      </c>
      <c r="MJ56" s="3">
        <f>IF(Mark!ID56&lt;&gt;"",Mark!ID56,MI56)</f>
        <v>0</v>
      </c>
      <c r="MK56" s="3">
        <f>MJ56*M56</f>
        <v>0</v>
      </c>
      <c r="MM56">
        <f>LI56+MB56+MF56+MJ56</f>
        <v>0</v>
      </c>
      <c r="MO56">
        <f>VLOOKUP($G56,Efgr,Data!$AU$53)*SaaJB2*MaskJust</f>
        <v>0</v>
      </c>
      <c r="MP56" s="3">
        <f>IF(Mark!IJ56&lt;&gt;"",Mark!IJ56,MO56)</f>
        <v>0</v>
      </c>
      <c r="MQ56" s="3">
        <f>MP56*M56</f>
        <v>0</v>
      </c>
      <c r="MS56">
        <f>VLOOKUP($G56,Efgr,Data!$AW$53)*Data!$K$268*SaaJB2*MaskJust</f>
        <v>0</v>
      </c>
      <c r="MT56" s="3">
        <f>IF(Mark!IP56&lt;&gt;"",Mark!IP56,MS56)</f>
        <v>0</v>
      </c>
      <c r="MU56" s="3">
        <f>MT56*M56</f>
        <v>0</v>
      </c>
      <c r="MW56">
        <f>VLOOKUP($G56,Efgr,Data!$AV$53)*Data!$K$269*MaskJust</f>
        <v>0</v>
      </c>
      <c r="MX56" s="3">
        <f>IF(Mark!IV56&lt;&gt;"",Mark!IV56,MW56)</f>
        <v>0</v>
      </c>
      <c r="MY56" s="3">
        <f>MX56*M56</f>
        <v>0</v>
      </c>
      <c r="NA56">
        <f>IF(Markvand2=2,VLOOKUP($G56,Efgr,Data!$BC$53),0)</f>
        <v>0</v>
      </c>
      <c r="NB56">
        <f>IF(Mark!JB56&lt;&gt;"",Mark!JB56,$NA56)</f>
        <v>0</v>
      </c>
      <c r="NC56">
        <f>IF(Markvand2=2,$NB56*Flytning/mmprgang+$NB56*Prisprmm,0)</f>
        <v>0</v>
      </c>
      <c r="ND56" s="3">
        <f>IF(Mark!JH56&lt;&gt;"",Mark!JH56,$NC56)</f>
        <v>0</v>
      </c>
      <c r="NE56" s="3">
        <f>ND56*M56</f>
        <v>0</v>
      </c>
      <c r="NG56">
        <f>IF(VLOOKUP($G56,Efgr,Data!$AX$53)&gt;0,((1+Regn!DD56/VLOOKUP($G56,Efgr,Data!$AX$53))/2)*VLOOKUP($G56,Efgr,Data!$AY$53)*VLOOKUP($G56,Efgr,Data!$BA$53)+VLOOKUP($G56,Efgr,Data!$AZ$53),0)</f>
        <v>0</v>
      </c>
      <c r="NH56">
        <f>IF(VLOOKUP($G56,Efgr,Data!$AX$53)&gt;0,($DD56/VLOOKUP($G56,Efgr,Data!$AX$53))*VLOOKUP($G56,Efgr,Data!$BB$53)*VLOOKUP($G56,Efgr,Data!$BA$53),0)</f>
        <v>0</v>
      </c>
      <c r="NI56">
        <f>(NG56+NH56)*MaskJust</f>
        <v>0</v>
      </c>
      <c r="NJ56" s="3">
        <f>IF(Mark!JN56&lt;&gt;"",Mark!JN56,NI56)</f>
        <v>0</v>
      </c>
      <c r="NK56" s="3">
        <f>NJ56*M56</f>
        <v>0</v>
      </c>
      <c r="NM56">
        <f>IF($H56=2,Data!$K$304,IF($H56=3,Data!$K$305,0))*MaskJust</f>
        <v>0</v>
      </c>
      <c r="NN56" s="3">
        <f>IF(Mark!JT56&lt;&gt;"",Mark!JT56,NM56)</f>
        <v>0</v>
      </c>
      <c r="NO56" s="3">
        <f>NN56*M56</f>
        <v>0</v>
      </c>
      <c r="NQ56">
        <f>HY56</f>
        <v>0</v>
      </c>
      <c r="NR56">
        <f>JJ56+MM56</f>
        <v>0</v>
      </c>
      <c r="NS56">
        <f>NQ56-NR56</f>
        <v>0</v>
      </c>
      <c r="NT56">
        <f>NS56*M56</f>
        <v>0</v>
      </c>
      <c r="NW56">
        <f>VLOOKUP($B56,Afgr,Data!$BP$3)+VLOOKUP($C56,Efgr,Data!$AM$53)</f>
        <v>0</v>
      </c>
      <c r="NX56" s="3">
        <f>NW56*M56</f>
        <v>0</v>
      </c>
      <c r="NY56">
        <f>VLOOKUP($E56,Afgr,Data!$BP$3)+VLOOKUP($G56,Efgr,Data!$AM$53)</f>
        <v>0</v>
      </c>
      <c r="NZ56" s="3">
        <f>NY56*M56</f>
        <v>0</v>
      </c>
      <c r="OB56">
        <f>VLOOKUP($C56,Efgr,Data!$AN$53)</f>
        <v>0</v>
      </c>
      <c r="OC56">
        <f>VLOOKUP($B56,Afgr,Data!$BQ$3)</f>
        <v>0</v>
      </c>
      <c r="OD56">
        <f>VLOOKUP($E56,Afgr,Data!$BR$3)</f>
        <v>1</v>
      </c>
      <c r="OE56">
        <f>OB56*OC56*OD56</f>
        <v>0</v>
      </c>
      <c r="OF56" s="3">
        <f>OE56*M56</f>
        <v>0</v>
      </c>
      <c r="OG56" s="3">
        <f>IF(D56,1,0)*OF56</f>
        <v>0</v>
      </c>
      <c r="OI56">
        <f>VLOOKUP($G56,Efgr,Data!$AN$53)</f>
        <v>0</v>
      </c>
      <c r="OJ56">
        <f>VLOOKUP($E56,Afgr,Data!$BQ$3)</f>
        <v>0</v>
      </c>
      <c r="OK56">
        <f>VLOOKUP($K56,Afgr,Data!$BR$3)</f>
        <v>1</v>
      </c>
      <c r="OL56">
        <f>OI56*OJ56*OK56</f>
        <v>0</v>
      </c>
      <c r="OM56" s="3">
        <f>OL56*M56</f>
        <v>0</v>
      </c>
      <c r="OO56">
        <f>VLOOKUP($G56,Efgr,Data!$AO$53)</f>
        <v>0</v>
      </c>
      <c r="OP56">
        <f>VLOOKUP($B56,Afgr,Data!$BQ$3)</f>
        <v>0</v>
      </c>
      <c r="OQ56">
        <f>VLOOKUP($E56,Afgr,Data!$BS$3)</f>
        <v>0</v>
      </c>
      <c r="OR56" s="3">
        <f>OO56*OP56*OQ56*$M56</f>
        <v>0</v>
      </c>
      <c r="OT56">
        <f>VLOOKUP($G56,Efgr,Data!$AO$53)</f>
        <v>0</v>
      </c>
      <c r="OU56">
        <f>VLOOKUP($E56,Afgr,Data!$BQ$3)</f>
        <v>0</v>
      </c>
      <c r="OV56">
        <f>VLOOKUP($K56,Afgr,Data!$BS$3)</f>
        <v>0</v>
      </c>
      <c r="OW56" s="3">
        <f>OT56*OU56*OV56*$M56</f>
        <v>0</v>
      </c>
      <c r="OX56" s="3"/>
      <c r="OY56" s="3">
        <f>VLOOKUP($B56,Afgr,Data!$BU$3)</f>
        <v>0</v>
      </c>
      <c r="OZ56" s="3">
        <f>OY56*M56</f>
        <v>0</v>
      </c>
      <c r="PA56" s="3">
        <f>VLOOKUP($E56,Afgr,Data!$BU$3)</f>
        <v>0</v>
      </c>
      <c r="PB56" s="3">
        <f>PA56*M56</f>
        <v>0</v>
      </c>
      <c r="PD56">
        <f>VLOOKUP(E56,Afgr,Data!$BX$3)+VLOOKUP(G56,Efgr,Data!$AQ$53)</f>
        <v>0</v>
      </c>
      <c r="PE56">
        <f>IF(PD56&gt;0,M56,0)</f>
        <v>0</v>
      </c>
      <c r="PG56">
        <f>VLOOKUP($B56,Afgr,Data!$BT$3)</f>
        <v>0</v>
      </c>
      <c r="PH56" s="3">
        <f>PG56*M56</f>
        <v>0</v>
      </c>
      <c r="PI56">
        <f>VLOOKUP($E56,Afgr,Data!$BT$3)</f>
        <v>0</v>
      </c>
      <c r="PJ56" s="3">
        <f>PI56*M56</f>
        <v>0</v>
      </c>
      <c r="PL56">
        <f>VLOOKUP($E56,Afgr,Data!$BV$3)</f>
        <v>0</v>
      </c>
      <c r="PM56">
        <f>PL56*M56</f>
        <v>0</v>
      </c>
      <c r="PO56">
        <f>VLOOKUP($E56,Afgr,Data!$BW$3)</f>
        <v>0</v>
      </c>
      <c r="PP56">
        <f>PO56*M56</f>
        <v>0</v>
      </c>
      <c r="PR56">
        <f>BI56*IF(VLOOKUP($E56,Afgr,Data!$BJ$3)&gt;0,1,0)</f>
        <v>0</v>
      </c>
      <c r="PS56">
        <f>PR56*M56</f>
        <v>0</v>
      </c>
      <c r="PU56">
        <f>BI56*VLOOKUP(E56,Afgr,Data!$BK$3)</f>
        <v>0</v>
      </c>
      <c r="PV56">
        <f>M56*PU56</f>
        <v>0</v>
      </c>
      <c r="PW56">
        <f>$BI56*VLOOKUP($E56,Afgr,Data!$BL$3)+$DD56*VLOOKUP($G56,Efgr,Data!$AP$53)</f>
        <v>0</v>
      </c>
      <c r="PX56">
        <f>PW56*M56</f>
        <v>0</v>
      </c>
      <c r="PY56">
        <f>$BI56*VLOOKUP($E56,Afgr,Data!$BM$3)</f>
        <v>0</v>
      </c>
      <c r="PZ56">
        <f>PY56*M56</f>
        <v>0</v>
      </c>
      <c r="QA56">
        <f>$BI56*VLOOKUP($E56,Afgr,Data!$BN$3)</f>
        <v>0</v>
      </c>
      <c r="QB56">
        <f>QA56*M56</f>
        <v>0</v>
      </c>
      <c r="QE56">
        <f>IF(VLOOKUP($E56,Afgr,Data!$DA$3)="Vårbyg",$BJ56,0)*VLOOKUP($E56,Afgr,Data!$BJ$3)</f>
        <v>0</v>
      </c>
      <c r="QF56">
        <f>IF(VLOOKUP($E56,Afgr,Data!$DA$3)="Vinterbyg",$BJ56,0)*VLOOKUP($E56,Afgr,Data!$BJ$3)</f>
        <v>0</v>
      </c>
      <c r="QG56">
        <f>IF(VLOOKUP($E56,Afgr,Data!$DA$3)="Havre",$BJ56,0)*VLOOKUP($E56,Afgr,Data!$BJ$3)</f>
        <v>0</v>
      </c>
      <c r="QH56">
        <f>IF(VLOOKUP($E56,Afgr,Data!$DA$3)="Hvede",$BJ56,0)*VLOOKUP($E56,Afgr,Data!$BJ$3)</f>
        <v>0</v>
      </c>
      <c r="QI56">
        <f>IF(VLOOKUP($E56,Afgr,Data!$DA$3)="Triticale",$BJ56,0)*VLOOKUP($E56,Afgr,Data!$BJ$3)</f>
        <v>0</v>
      </c>
      <c r="QJ56">
        <f>IF(VLOOKUP($E56,Afgr,Data!$DA$3)="Rug",$BJ56,0)*VLOOKUP($E56,Afgr,Data!$BJ$3)</f>
        <v>0</v>
      </c>
      <c r="QK56">
        <f>IF(VLOOKUP($E56,Afgr,Data!$DA$3)="Majs",$BJ56,0)*VLOOKUP($E56,Afgr,Data!$BJ$3)</f>
        <v>0</v>
      </c>
      <c r="QN56">
        <f>IF(OI56+OO56&gt;0,1,0)</f>
        <v>0</v>
      </c>
      <c r="QO56">
        <f>QN56*LJ56</f>
        <v>0</v>
      </c>
      <c r="QP56">
        <f>QN56*MG56</f>
        <v>0</v>
      </c>
      <c r="QQ56">
        <f>MQ56</f>
        <v>0</v>
      </c>
      <c r="QR56">
        <f>QN56*NO56</f>
        <v>0</v>
      </c>
    </row>
    <row r="57" spans="1:460" x14ac:dyDescent="0.25">
      <c r="GG57" s="12"/>
    </row>
    <row r="58" spans="1:460" x14ac:dyDescent="0.25">
      <c r="A58">
        <f>A56+1</f>
        <v>2</v>
      </c>
      <c r="B58">
        <v>1</v>
      </c>
      <c r="C58">
        <v>1</v>
      </c>
      <c r="D58" t="b">
        <v>0</v>
      </c>
      <c r="E58">
        <v>1</v>
      </c>
      <c r="F58">
        <v>1</v>
      </c>
      <c r="G58">
        <v>1</v>
      </c>
      <c r="H58">
        <v>1</v>
      </c>
      <c r="I58">
        <v>1</v>
      </c>
      <c r="K58">
        <v>1</v>
      </c>
      <c r="M58">
        <f>IF(ISERROR(N58*Areal2/$N$72),0,N58*Areal2/$N$72)</f>
        <v>0</v>
      </c>
      <c r="N58">
        <f>Mark!Z58</f>
        <v>0</v>
      </c>
      <c r="P58">
        <f>VLOOKUP($E58,Afgr,NnormKolonneNr2)</f>
        <v>0</v>
      </c>
      <c r="Q58">
        <f>VLOOKUP($B58,Afgr,Data!$AI$3)*VLOOKUP(E58,Afgr,Data!$AJ$3)</f>
        <v>0</v>
      </c>
      <c r="R58">
        <f>IF($D58,0,VLOOKUP($C58,Efgr,(Data!$W$53+$G$28-1)))</f>
        <v>0</v>
      </c>
      <c r="S58">
        <f>P58-Q58-R58</f>
        <v>0</v>
      </c>
      <c r="T58">
        <f>S58*M58</f>
        <v>0</v>
      </c>
      <c r="U58">
        <f>IF(Nmodel12=1,S58*Nniveau12*0.01,AO58)</f>
        <v>0</v>
      </c>
      <c r="V58" s="3">
        <f>IF(Mark!CI58&lt;&gt;"",Mark!CI58,U58)</f>
        <v>0</v>
      </c>
      <c r="W58" s="3">
        <f>V58*M58</f>
        <v>0</v>
      </c>
      <c r="Y58">
        <f>S58/NoptFaktor</f>
        <v>0</v>
      </c>
      <c r="Z58" s="3">
        <f>IF(Mark!BZ58&lt;&gt;"",Mark!BZ58,Y58)</f>
        <v>0</v>
      </c>
      <c r="AB58">
        <f>VLOOKUP($E58,Afgr,Data!$DE$3)</f>
        <v>0</v>
      </c>
      <c r="AC58">
        <f>VLOOKUP($E58,Afgr,Data!$DD$3)</f>
        <v>0</v>
      </c>
      <c r="AD58">
        <f>VLOOKUP($E58,Afgr,Data!$DC$3)</f>
        <v>0</v>
      </c>
      <c r="AE58">
        <f>IF(ISERROR($Z58+(-PrisN/$AD58-$AB58)/(2*$AC58)),0,($Z58+(-PrisN/$AD58-$AB58)/(2*$AC58)))</f>
        <v>0</v>
      </c>
      <c r="AF58">
        <f>($BD58+$BE58+$BF58)*1.03333</f>
        <v>0</v>
      </c>
      <c r="AG58">
        <f>$AF58-($AB58*($AE58-$Z58)+$AC58*($AE58-$Z58)^2)</f>
        <v>0</v>
      </c>
      <c r="AH58">
        <f>IF(Nmodel12=1,$AB58*($AE58-$S58)+$AC58*($AE58-$S58)^2,$AB58*($AE58-$AO58)+$AC58*($AE58-$AO58)^2)</f>
        <v>0</v>
      </c>
      <c r="AI58">
        <f>IF(Nmodel12=1,$AB58*($AE58-$V58)+$AC58*($AE58-$V58)^2,$AB58*($AE58-AO58)+$AC58*($AE58-AO58)^2)</f>
        <v>0</v>
      </c>
      <c r="AJ58">
        <f>AG58+AH58-BG58</f>
        <v>0</v>
      </c>
      <c r="AK58">
        <f>AG58+AI58-AJ58</f>
        <v>0</v>
      </c>
      <c r="AM58">
        <f>VLOOKUP(E58,Afgr,Data!$DF$3+SandLer2)</f>
        <v>0</v>
      </c>
      <c r="AN58">
        <f>IF(ISERROR(((-(PrisN+Pantafgift)+AM58*Pantfaktor*Pantafgift)/AD58-AB58)/(2*AC58)),0,((-(PrisN+Pantafgift)+AM58*Pantfaktor*Pantafgift)/AD58-AB58)/(2*AC58))</f>
        <v>0</v>
      </c>
      <c r="AO58">
        <f>AE58-AN58</f>
        <v>0</v>
      </c>
      <c r="AQ58">
        <f>IF(AT58&gt;0,0,W58)</f>
        <v>0</v>
      </c>
      <c r="AR58">
        <f>IF(ISERROR(W58*HdgNTilFordeling12/NnormIaltFordel12),0,W58*HdgNTilFordeling12/NnormIaltFordel12)</f>
        <v>0</v>
      </c>
      <c r="AS58">
        <f>IF(ISERROR($AR58/$M58),0,$AR58/$M58)</f>
        <v>0</v>
      </c>
      <c r="AT58">
        <f>IF(Mark!CO58&lt;&gt;"",Mark!CO58,0)</f>
        <v>0</v>
      </c>
      <c r="AU58">
        <f>$AT58*$M58</f>
        <v>0</v>
      </c>
      <c r="AV58" s="3">
        <f>IF(AT58&gt;0,AT58,AS58)</f>
        <v>0</v>
      </c>
      <c r="AW58" s="3">
        <f>AV58*M58</f>
        <v>0</v>
      </c>
      <c r="AY58">
        <f>UdnKrav*$AV58/100</f>
        <v>0</v>
      </c>
      <c r="BA58">
        <f>AV58*VLOOKUP($E58,Afgr,Data!$DJ$3)</f>
        <v>0</v>
      </c>
      <c r="BB58">
        <f>UdnKrav*$BA58/100</f>
        <v>0</v>
      </c>
      <c r="BD58">
        <f>VLOOKUP(E58,Afgr,NormudbKolonneNr2)</f>
        <v>0</v>
      </c>
      <c r="BE58">
        <f>VLOOKUP(B58,Afgr,Data!$AL$3)*VLOOKUP(E58,Afgr,MerudbKolonneNr2)</f>
        <v>0</v>
      </c>
      <c r="BF58">
        <f>VLOOKUP(C58,Efgr,(Data!$Y$53+EftervirkningUdb2))</f>
        <v>0</v>
      </c>
      <c r="BG58">
        <f>BD58+BE58+BF58</f>
        <v>0</v>
      </c>
      <c r="BH58">
        <f>IF(OR(V58&lt;&gt;S58,Nmodel12=2),AK58,BD58+BE58+BF58)</f>
        <v>0</v>
      </c>
      <c r="BI58" s="3">
        <f>IF(Mark!AK58&lt;&gt;"",Mark!AK58,BH58)</f>
        <v>0</v>
      </c>
      <c r="BJ58">
        <f>BI58*M58</f>
        <v>0</v>
      </c>
      <c r="BK58">
        <f>VLOOKUP(E58,Afgr,3)</f>
        <v>0</v>
      </c>
      <c r="BL58">
        <f>IF(BK58="FE",VLOOKUP($E58,Afgr,Data!$AV$3),0)</f>
        <v>0</v>
      </c>
      <c r="BN58">
        <f>VLOOKUP(E58,Afgr,4)</f>
        <v>0</v>
      </c>
      <c r="BO58" s="3">
        <f>IF(Mark!AW58&lt;&gt;"",Mark!AW58,Regn!BN58)</f>
        <v>0</v>
      </c>
      <c r="BP58" s="3">
        <f>BI58*BO58</f>
        <v>0</v>
      </c>
      <c r="BQ58" s="3">
        <f>BJ58*BO58</f>
        <v>0</v>
      </c>
      <c r="BS58">
        <f>VLOOKUP(E58,Afgr,Data!$AN$3)</f>
        <v>0</v>
      </c>
      <c r="BT58" s="3">
        <f>IF(Mark!BC58&lt;&gt;"",Mark!BC58,BS58)</f>
        <v>0</v>
      </c>
      <c r="BU58" s="3">
        <f>BT58*M58</f>
        <v>0</v>
      </c>
      <c r="BW58">
        <f>VLOOKUP(E58,Afgr,HalmudbKolonneNr2)</f>
        <v>0</v>
      </c>
      <c r="BX58">
        <f>IF(ISERROR(BW58*BI58/BG58),0,(BW58*BI58/BG58))</f>
        <v>0</v>
      </c>
      <c r="BY58" s="3">
        <f>IF(Mark!BI58&lt;&gt;"",Mark!BI58,BX58)</f>
        <v>0</v>
      </c>
      <c r="BZ58">
        <f>BY58*M58</f>
        <v>0</v>
      </c>
      <c r="CC58">
        <f>IF($F58=1,BY58,0)</f>
        <v>0</v>
      </c>
      <c r="CD58">
        <f>IF(F58=1,BZ58,0)</f>
        <v>0</v>
      </c>
      <c r="CE58">
        <f>VLOOKUP(E58,Afgr,Data!$AM$3)</f>
        <v>0</v>
      </c>
      <c r="CF58">
        <f>IF(Mark!BR58&lt;&gt;"",Mark!BR58,CE58)</f>
        <v>0</v>
      </c>
      <c r="CG58">
        <f>CC58*CF58</f>
        <v>0</v>
      </c>
      <c r="CH58">
        <f>CD58*CF58</f>
        <v>0</v>
      </c>
      <c r="CJ58">
        <f>VLOOKUP($G58,Efgr,NnormKolonneEfgr2)</f>
        <v>0</v>
      </c>
      <c r="CK58">
        <f>CJ58*M58</f>
        <v>0</v>
      </c>
      <c r="CL58">
        <f>CJ58*Nniveau12*0.01</f>
        <v>0</v>
      </c>
      <c r="CM58" s="3">
        <f>IF(Mark!DM58&lt;&gt;"",Mark!DM58,CL58)</f>
        <v>0</v>
      </c>
      <c r="CN58" s="3">
        <f>$CM58*$M58</f>
        <v>0</v>
      </c>
      <c r="CP58">
        <f>IF(CS58&gt;0,0,CN58)</f>
        <v>0</v>
      </c>
      <c r="CQ58">
        <f>IF(ISERROR(CN58*HdgNTilFordeling12/NnormIaltFordel12),0,CN58*HdgNTilFordeling12/NnormIaltFordel12)</f>
        <v>0</v>
      </c>
      <c r="CR58">
        <f>IF(ISERROR($CQ58/$M58),0,$CQ58/$M58)</f>
        <v>0</v>
      </c>
      <c r="CS58">
        <f>IF(Mark!DS58&lt;&gt;"",Mark!DS58,0)</f>
        <v>0</v>
      </c>
      <c r="CT58">
        <f>$CS58*$M58</f>
        <v>0</v>
      </c>
      <c r="CU58" s="3">
        <f>IF($CS58&gt;0,$CS58,$CR58)</f>
        <v>0</v>
      </c>
      <c r="CV58" s="3">
        <f>CU58*M58</f>
        <v>0</v>
      </c>
      <c r="CX58">
        <f>UdnKrav*$CU58/100</f>
        <v>0</v>
      </c>
      <c r="CZ58">
        <f>$CU58*VLOOKUP($G58,Efgr,Data!$BG$53)</f>
        <v>0</v>
      </c>
      <c r="DA58">
        <f>UdnKrav*$CZ58/100</f>
        <v>0</v>
      </c>
      <c r="DC58">
        <f>VLOOKUP(G58,Efgr,NormudbKolonneNrEfgr2)</f>
        <v>0</v>
      </c>
      <c r="DD58" s="3">
        <f>IF(Mark!DC58&lt;&gt;"",Mark!DC58,DC58)</f>
        <v>0</v>
      </c>
      <c r="DE58">
        <f>DD58*M58</f>
        <v>0</v>
      </c>
      <c r="DF58" t="s">
        <v>37</v>
      </c>
      <c r="DG58">
        <f>DD58*Efterslaetpris</f>
        <v>0</v>
      </c>
      <c r="DH58">
        <f>DE58*Efterslaetpris</f>
        <v>0</v>
      </c>
      <c r="DI58">
        <f>VLOOKUP(G58,Efgr,Data!$AG$53)</f>
        <v>0</v>
      </c>
      <c r="DJ58">
        <f>DD58*DI58</f>
        <v>0</v>
      </c>
      <c r="DL58">
        <f>VLOOKUP($E58,Afgr,Data!$AW$3)</f>
        <v>0</v>
      </c>
      <c r="DM58">
        <f>IF(BK58="FE",$BI58*$BL58*$DL58*0.01,$BI58*100*$DR58*0.01*$DL58*0.01)</f>
        <v>0</v>
      </c>
      <c r="DN58">
        <f>IF(VLOOKUP(E58,Afgr,Data!$BO$3)=1,DM58,0)*M58</f>
        <v>0</v>
      </c>
      <c r="DO58" s="12">
        <f>IF(Nmodel12=1,(V58-S58)*VLOOKUP($E58,Afgr,Data!$AX$3),(AO58-S58)*VLOOKUP(E58,Afgr,Data!$AX$3))</f>
        <v>0</v>
      </c>
      <c r="DP58">
        <f>DL58+DO58</f>
        <v>0</v>
      </c>
      <c r="DQ58">
        <f>IF(Mark!AQ58&lt;&gt;"",Mark!AQ58,DP58)</f>
        <v>0</v>
      </c>
      <c r="DR58">
        <f>VLOOKUP(E58,Afgr,Data!$AT$3)</f>
        <v>0</v>
      </c>
      <c r="DS58">
        <f>IF($BK58="FE",$BI58*$BL58*$DQ58*0.01,$BI58*100*$DR58*0.01*DQ58*0.01)</f>
        <v>0</v>
      </c>
      <c r="DT58">
        <f>IF(VLOOKUP(E58,Afgr,Data!$BO$3)=1,DS58,0)*M58</f>
        <v>0</v>
      </c>
      <c r="DU58">
        <f>IF(ISERROR(DS58/VLOOKUP(E58,Afgr,Data!$AY$3)),0,DS58/VLOOKUP(E58,Afgr,Data!$AY$3))</f>
        <v>0</v>
      </c>
      <c r="DV58">
        <f>DU58*M58</f>
        <v>0</v>
      </c>
      <c r="DX58">
        <f>IF($BK58="FE",$BI58*$BL58*VLOOKUP($E58,Afgr,Data!$BC$3)*0.001,$BI58*100*$DR58*0.01*VLOOKUP($E58,Afgr,Data!$BC$3)*0.001)</f>
        <v>0</v>
      </c>
      <c r="DY58">
        <f>DX58*M58</f>
        <v>0</v>
      </c>
      <c r="EA58">
        <f>IF($BK58="FE",$BI58*$BL58*VLOOKUP($E58,Afgr,Data!$BF$3)*0.001,$BI58*100*$DR58*0.01*VLOOKUP($E58,Afgr,Data!$BF$3)*0.001)</f>
        <v>0</v>
      </c>
      <c r="EB58">
        <f>EA58*M58</f>
        <v>0</v>
      </c>
      <c r="ED58">
        <f>IF(ISERROR(VLOOKUP(E58,Afgr,Data!$AZ$3)*DQ58/DL58),0,VLOOKUP(E58,Afgr,Data!$AZ$3)*DQ58/DL58)</f>
        <v>0</v>
      </c>
      <c r="EE58">
        <f>VLOOKUP(E58,Afgr,Data!$AU$3)</f>
        <v>0</v>
      </c>
      <c r="EF58">
        <f>IF($F58=1,$BY58*$EE58*0.01*ED58*0.01,0)</f>
        <v>0</v>
      </c>
      <c r="EG58">
        <f>EF58/6.25</f>
        <v>0</v>
      </c>
      <c r="EH58">
        <f>EG58*M58</f>
        <v>0</v>
      </c>
      <c r="EJ58">
        <f>IF($F58=1,$BY58*$EE58*0.01*VLOOKUP($E58,Afgr,Data!$BD$3)*0.001,0)</f>
        <v>0</v>
      </c>
      <c r="EK58">
        <f>EJ58*M58</f>
        <v>0</v>
      </c>
      <c r="EM58">
        <f>IF($F58=1,$BY58*$EE58*0.01*VLOOKUP($E58,Afgr,Data!$BG$3)*0.001,0)</f>
        <v>0</v>
      </c>
      <c r="EN58">
        <f>EM58*M58</f>
        <v>0</v>
      </c>
      <c r="EP58">
        <f>VLOOKUP(G58,Efgr,Data!$AI$53)</f>
        <v>0</v>
      </c>
      <c r="EQ58">
        <f>DJ58*EP58*0.01/6.25</f>
        <v>0</v>
      </c>
      <c r="ER58">
        <f>EQ58*M58</f>
        <v>0</v>
      </c>
      <c r="ET58">
        <f>$DJ58*VLOOKUP($G58,Efgr,Data!$AJ$53)*0.001</f>
        <v>0</v>
      </c>
      <c r="EU58">
        <f>ET58*M58</f>
        <v>0</v>
      </c>
      <c r="EW58">
        <f>$DJ58*VLOOKUP($G58,Efgr,Data!$AK$53)*0.001</f>
        <v>0</v>
      </c>
      <c r="EX58">
        <f>EW58*M58</f>
        <v>0</v>
      </c>
      <c r="EZ58">
        <f>IF(VLOOKUP(E58,Afgr,Data!$DS$3)=1,DU58*VLOOKUP(E58,Afgr,(Data!$DT$3+EftervirkningUdb2))*VLOOKUP(E58,Afgr,Data!$DV$3),0)</f>
        <v>0</v>
      </c>
      <c r="FA58">
        <f>IF(VLOOKUP(E58,Afgr,Data!$DS$3)=2,VLOOKUP(E58,Afgr,Data!$DX$3),0)</f>
        <v>0</v>
      </c>
      <c r="FB58">
        <f>IF(VLOOKUP(E58,Afgr,Data!$DS$3)=3,$DU58*VLOOKUP($E58,Afgr,IF(Jordtype2&lt;5,Data!$DT$3,Data!$DU$3))*VLOOKUP($E58,Afgr,Data!$DV$3),0)</f>
        <v>0</v>
      </c>
      <c r="FC58">
        <f>IF(VLOOKUP(E58,Afgr,Data!$DS$3)=4,(1.232+0.00469*BI58*100+(0.000256*BI58*100+0.089)*60),0)</f>
        <v>0</v>
      </c>
      <c r="FD58">
        <f>$V58+IF($AY58-$BB58&gt;$V58,$AY58-$V58,0)-$BB58</f>
        <v>0</v>
      </c>
      <c r="FE58">
        <f>IF(VLOOKUP($E58,Afgr,Data!$DS$3)=5,($BI58*0.02742-$BI58*0.0001*$FD58+$BI58*0.0000001111*$FD58*$FD58),0)</f>
        <v>0</v>
      </c>
      <c r="FF58">
        <f>$CM58+IF($CX58-$DA58&gt;$CM58,$CX58-$CM58,0)-$DA58</f>
        <v>0</v>
      </c>
      <c r="FG58">
        <f>IF(VLOOKUP($G58,Efgr,Data!$BH$53)=5,($DD58*0.02742-$DD58*0.0001*$FF58+$DD58*0.0000001111*$FF58*$FF58),0)</f>
        <v>0</v>
      </c>
      <c r="FH58" s="3">
        <f>EZ58+FA58+FB58+FC58+FE58+FG58</f>
        <v>0</v>
      </c>
      <c r="FI58" s="3">
        <f>FH58*M58</f>
        <v>0</v>
      </c>
      <c r="FK58">
        <f>$V58+$CM58</f>
        <v>0</v>
      </c>
      <c r="FL58">
        <f>($AV58-$AY58)+IF($AY58&gt;$V58,$AY58-$V58,0)+($CU58-$CX58)+IF($CX58&gt;$CM58,$CX58-$CM58,0)</f>
        <v>0</v>
      </c>
      <c r="FM58">
        <f>VLOOKUP($E58,Afgr,Data!$DK$3)*VLOOKUP($E58,Afgr,Data!$AT$3)*0.01*VLOOKUP($E58,Afgr,Data!$AW$3)*0.01/6.25</f>
        <v>0</v>
      </c>
      <c r="FN58" s="4">
        <f>IF(E58&gt;1,Deposition,0)</f>
        <v>0</v>
      </c>
      <c r="FO58">
        <f>FH58</f>
        <v>0</v>
      </c>
      <c r="FP58">
        <f>SUM(FK58:FO58)</f>
        <v>0</v>
      </c>
      <c r="FQ58">
        <f>DU58+EG58+EQ58</f>
        <v>0</v>
      </c>
      <c r="FR58" s="3">
        <f>FP58-FQ58</f>
        <v>0</v>
      </c>
      <c r="FS58" s="19">
        <f>FP58*M58</f>
        <v>0</v>
      </c>
      <c r="FT58" s="19">
        <f>FQ58*M58</f>
        <v>0</v>
      </c>
      <c r="FU58" s="3">
        <f>FR58*M58</f>
        <v>0</v>
      </c>
      <c r="FW58">
        <f>IL58+IM58+LP58+LQ58</f>
        <v>0</v>
      </c>
      <c r="FX58">
        <f>IK58+LO58</f>
        <v>0</v>
      </c>
      <c r="FY58">
        <f>FW58-FX58</f>
        <v>0</v>
      </c>
      <c r="FZ58">
        <f>FY58*M58</f>
        <v>0</v>
      </c>
      <c r="GB58">
        <f>IS58+IT58+LV58+LW58</f>
        <v>0</v>
      </c>
      <c r="GC58">
        <f>IR58+LU58</f>
        <v>0</v>
      </c>
      <c r="GD58">
        <f>GB58-GC58</f>
        <v>0</v>
      </c>
      <c r="GE58">
        <f>GD58*M58</f>
        <v>0</v>
      </c>
      <c r="GG58" s="149">
        <f>IF(OR(VLOOKUP(E58,Afgr,Data!$BV$3)=1,VLOOKUP(E58,Afgr,Data!$BW$3)=1),0,NniveauDelsaedsk2)</f>
        <v>0</v>
      </c>
      <c r="GH58" s="1">
        <v>0.32550000000000001</v>
      </c>
      <c r="GI58" s="6">
        <v>0</v>
      </c>
      <c r="GJ58" s="24">
        <f>IF(($V58-BB58+$CM58-DA58)&lt;0,0,$V58-BB58+$CM58-DA58)</f>
        <v>0</v>
      </c>
      <c r="GK58" s="6">
        <f>$FO58</f>
        <v>0</v>
      </c>
      <c r="GL58" s="1">
        <v>0.25280000000000002</v>
      </c>
      <c r="GM58">
        <f>$BA58+$CZ58</f>
        <v>0</v>
      </c>
      <c r="GN58" s="1">
        <v>0.376</v>
      </c>
      <c r="GO58" s="6">
        <v>0</v>
      </c>
      <c r="GP58" s="1">
        <f>IF(SandLer2&gt;1,0.3539,1.0749)</f>
        <v>0.35389999999999999</v>
      </c>
      <c r="GQ58" s="11">
        <f>$FQ58</f>
        <v>0</v>
      </c>
      <c r="GR58" s="1">
        <v>0.19359999999999999</v>
      </c>
      <c r="GS58" s="1">
        <f>VLOOKUP($E58,Afgr,Data!$DM$3)</f>
        <v>0</v>
      </c>
      <c r="GT58" s="24">
        <f>IF($GS58&gt;1,0,(VLOOKUP($K58,Afgr,Data!$DP$3)+IF(VLOOKUP($K58,Afgr,Data!$DP$3)=0,VLOOKUP($G58,Efgr,Data!$BI$53,0))))+IF(AND($GS58=7,VLOOKUP($K58,Afgr,Data!$DQ$3)=-2),-2,0)+IF(AND($GS58=6,VLOOKUP($G58,Efgr,Data!$BI$53)=2),8,0)</f>
        <v>0</v>
      </c>
      <c r="GU58" s="6" t="e">
        <f>VLOOKUP(SUM(GS58:GT58),Nlesafgr,3)</f>
        <v>#N/A</v>
      </c>
      <c r="GV58" s="7">
        <f>VLOOKUP($B58,Afgr,Data!$DN$3)</f>
        <v>0</v>
      </c>
      <c r="GW58" s="24">
        <f>IF(GV58&gt;1,0,VLOOKUP($E58,Afgr,Data!$DO$3)+IF(VLOOKUP($E58,Afgr,Data!$DO$3)=1,0,VLOOKUP($C58,Efgr,Data!$BJ$53)))</f>
        <v>0</v>
      </c>
      <c r="GX58" s="6" t="e">
        <f>VLOOKUP(SUM(GV58:GW58),Nlesforfrugt,3)</f>
        <v>#N/A</v>
      </c>
      <c r="GY58" s="1" t="e">
        <f>GH58*GG58+GL58*(GJ58+GK58)+GN58*GM58+GP58*GO58-GR58*GQ58+GU58+GX58</f>
        <v>#N/A</v>
      </c>
      <c r="GZ58" s="1">
        <f>Nlesafskaering</f>
        <v>59.6</v>
      </c>
      <c r="HA58" s="1">
        <f>Teknologi1</f>
        <v>2455</v>
      </c>
      <c r="HB58" s="6">
        <v>2001</v>
      </c>
      <c r="HC58" s="1">
        <f>Teknologi2</f>
        <v>1962.2</v>
      </c>
      <c r="HD58" s="1">
        <f>Tandel</f>
        <v>0.54659999999999997</v>
      </c>
      <c r="HE58" s="1" t="e">
        <f>IF(OR(GY58&gt;0,GY58=0),GZ58+HA58/(HB58-HC58),GZ58+HA58/(HB58-HC58)+HD58*GY58)</f>
        <v>#N/A</v>
      </c>
      <c r="HF58" s="1" t="e">
        <f>IF(GY58&gt;0,GY58,0.001)</f>
        <v>#N/A</v>
      </c>
      <c r="HG58" s="1">
        <v>1.5020000000000001E-3</v>
      </c>
      <c r="HH58" s="24">
        <f>IF(E58=1,0,VLOOKUP(Postnr,AfstromData,VLOOKUP($E58,Afgr,Data!$DL$3)+IF(Jordtype1&lt;7,Jordtype1,6),FALSE)-VLOOKUP(G58,Efgr,Data!$AA$53))</f>
        <v>0</v>
      </c>
      <c r="HI58" s="1">
        <v>5.5400000000000002E-4</v>
      </c>
      <c r="HJ58" s="24">
        <f>IF(E58=1,0,VLOOKUP(Postnr,AfstromData,VLOOKUP($B58,Afgr,Data!$DL$3)+IF(Jordtype1&lt;7,Jordtype1,6),FALSE)-VLOOKUP(C58,Efgr,Data!$AA$53))</f>
        <v>0</v>
      </c>
      <c r="HK58" s="1">
        <v>0.10639999999999999</v>
      </c>
      <c r="HL58" s="6">
        <f>VLOOKUP(Jordtype2,Jordtype,Data!$W$112)</f>
        <v>3</v>
      </c>
      <c r="HM58" s="1">
        <v>3.2500000000000001E-2</v>
      </c>
      <c r="HN58" s="6">
        <f>VLOOKUP(Jordtype2,Jordtype,Data!$X$112)</f>
        <v>12</v>
      </c>
      <c r="HO58" s="1">
        <v>1.2453000000000001</v>
      </c>
      <c r="HP58" s="1">
        <f>IF(VLOOKUP(G58,Efgr,Data!$AO$53)=1,MlafgrNUdvask,0)</f>
        <v>0</v>
      </c>
      <c r="HQ58" s="20">
        <f>IF(ISERROR((HE58+POWER(HF58,1.2))*(1-EXP(-HG58*HH58))*EXP(-HI58*HJ58)*EXP(-HK58*HL58)*EXP(-HM58*HN58)*HO58),0,(HE58+POWER(HF58,1.2))*(1-EXP(-HG58*HH58))*EXP(-HI58*HJ58)*EXP(-HK58*HL58)*EXP(-HM58*HN58)*HO58+HP58)</f>
        <v>0</v>
      </c>
      <c r="HR58">
        <f>HQ58*M58</f>
        <v>0</v>
      </c>
      <c r="HS58">
        <f>HQ58*(100-Retention2)*0.01</f>
        <v>0</v>
      </c>
      <c r="HT58">
        <f>HS58*M58</f>
        <v>0</v>
      </c>
      <c r="HU58" s="2">
        <f>HH58*10000</f>
        <v>0</v>
      </c>
      <c r="HV58" s="2">
        <f>HU58*M58</f>
        <v>0</v>
      </c>
      <c r="HW58">
        <f>IF(ISERROR(HQ58*1000*1000/HU58),0,HQ58*1000*1000/HU58)</f>
        <v>0</v>
      </c>
      <c r="HY58">
        <f>BP58+BT58+CG58+DG58</f>
        <v>0</v>
      </c>
      <c r="IB58">
        <f>VLOOKUP(E58,Afgr,Data!$AP$3)*UdsaedJust</f>
        <v>0</v>
      </c>
      <c r="IC58" s="3">
        <f>IF(Mark!EG58&lt;&gt;"",Mark!EG58,Regn!IB58)</f>
        <v>0</v>
      </c>
      <c r="ID58" s="3">
        <f>IC58*M58</f>
        <v>0</v>
      </c>
      <c r="IF58" s="3">
        <f>IF(HdgVaerdi=1,($V58-$AY58)*Npris,$V58*Npris)</f>
        <v>0</v>
      </c>
      <c r="IG58" s="3">
        <f>IF58*M58</f>
        <v>0</v>
      </c>
      <c r="II58">
        <f>VLOOKUP($E58,Afgr,Data!$BA$3)</f>
        <v>0</v>
      </c>
      <c r="IJ58">
        <f>VLOOKUP($E58,Afgr,Data!$BB$3)</f>
        <v>0</v>
      </c>
      <c r="IK58">
        <f>$DX58+$EJ58</f>
        <v>0</v>
      </c>
      <c r="IL58">
        <f>IF(HdgDyreart=2,$AV58*NPforholdSvin,$AV58*NPforholdKvaeg)</f>
        <v>0</v>
      </c>
      <c r="IM58">
        <f>II58+IF($IJ58+$IK58&gt;$IL58,($IJ58+$IK58-$IL58),0)</f>
        <v>0</v>
      </c>
      <c r="IN58" s="3">
        <f>IF(HdgVaerdi=1,($II58*Ppris+IF($IJ58+$IK58&gt;$IL58,($IJ58+$IK58-$IL58)*Ppris,0)),($II58+$IJ58+$IK58)*Ppris)</f>
        <v>0</v>
      </c>
      <c r="IO58" s="3">
        <f>IN58*M58</f>
        <v>0</v>
      </c>
      <c r="IQ58">
        <f>IF(AND(E58&gt;1,OR(Jordtype2=1,Jordtype2=3,Markvand2=2)),Kudvask,0)</f>
        <v>0</v>
      </c>
      <c r="IR58">
        <f>$EA58+$EM58</f>
        <v>0</v>
      </c>
      <c r="IS58">
        <f>IF(HdgDyreart=2,$AV58*NKforholdSvin,$AV58*NkforholdKvaeg)</f>
        <v>0</v>
      </c>
      <c r="IT58">
        <f>IF($IQ58+$IR58&gt;$IS58,($IQ58+$IR58-$IS58),0)</f>
        <v>0</v>
      </c>
      <c r="IU58" s="3">
        <f>IF(HdgVaerdi=1,IF($IQ58+$IR58&gt;$IS58,($IQ58+$IR58-$IS58)*Kpris,0),($IQ58+$IR58)*Kpris)</f>
        <v>0</v>
      </c>
      <c r="IV58" s="3">
        <f>IU58*M58</f>
        <v>0</v>
      </c>
      <c r="IX58">
        <f>IF58+IN58+IU58</f>
        <v>0</v>
      </c>
      <c r="IY58" s="3">
        <f>IF(Mark!EM58&lt;&gt;"",Mark!EM58,$IX58)</f>
        <v>0</v>
      </c>
      <c r="IZ58" s="3">
        <f>IY58*M58</f>
        <v>0</v>
      </c>
      <c r="JB58">
        <f>VLOOKUP(E58,Afgr,Data!$AQ$3)*PlantevJust</f>
        <v>0</v>
      </c>
      <c r="JC58" s="3">
        <f>IF(Mark!ES58&lt;&gt;"",Mark!ES58,JB58)</f>
        <v>0</v>
      </c>
      <c r="JD58" s="3">
        <f>JC58*M58</f>
        <v>0</v>
      </c>
      <c r="JF58">
        <f>VLOOKUP(E58,Afgr,Data!$AR$3)+BI58*VLOOKUP(E58,Afgr,Data!$BH$3)</f>
        <v>0</v>
      </c>
      <c r="JG58" s="3">
        <f>IF(Mark!EY58&lt;&gt;"",Mark!EY58,JF58)</f>
        <v>0</v>
      </c>
      <c r="JH58">
        <f>JG58*M58</f>
        <v>0</v>
      </c>
      <c r="JJ58">
        <f>IC58+IY58+JC58+JG58</f>
        <v>0</v>
      </c>
      <c r="JL58">
        <f>IF(VLOOKUP(E58,Afgr,Data!$BY$3)&gt;0,Data!$K$259*PlojJB2,0)</f>
        <v>0</v>
      </c>
      <c r="JM58">
        <f>IF(VLOOKUP(E58,Afgr,Data!$BZ$3)&gt;0,Data!$K$260*PlojJB2,0)</f>
        <v>0</v>
      </c>
      <c r="JN58">
        <f>(JL58+JM58)*MaskJust</f>
        <v>0</v>
      </c>
      <c r="JO58" s="3">
        <f>IF(Mark!FE58&lt;&gt;"",Mark!FE58,JN58)</f>
        <v>0</v>
      </c>
      <c r="JP58" s="3">
        <f>JO58*M58</f>
        <v>0</v>
      </c>
      <c r="JR58">
        <f>IF(VLOOKUP(E58,Afgr,Data!$CA$3)&gt;0,VLOOKUP(E58,Afgr,Data!$CA$3)*Data!$K$261*SaaJB2,0)</f>
        <v>0</v>
      </c>
      <c r="JS58">
        <f>IF(VLOOKUP(E58,Afgr,Data!$CC$3)&gt;0,Data!$K$262*SaaJB2,0)</f>
        <v>0</v>
      </c>
      <c r="JT58">
        <f>IF(VLOOKUP(E58,Afgr,Data!$CD$3)&gt;0,VLOOKUP(E58,Afgr,Data!$CD$3)*Data!$K$263*SaaJB2,0)</f>
        <v>0</v>
      </c>
      <c r="JU58">
        <f>IF(VLOOKUP(E58,Afgr,Data!$CE$3)&gt;0,Data!$K$264*SaaJB2,0)</f>
        <v>0</v>
      </c>
      <c r="JV58">
        <f>IF(VLOOKUP(E58,Afgr,Data!$CF$3)&gt;0,Data!$K$265*SaaJB2,0)</f>
        <v>0</v>
      </c>
      <c r="JW58">
        <f>IF(VLOOKUP(E58,Afgr,Data!$CV$3)&gt;0,Data!$K$266,0)</f>
        <v>0</v>
      </c>
      <c r="JX58">
        <f>IF(VLOOKUP(E58,Afgr,Data!$CG$3)&gt;0,Data!$K$267*SaaJB2,0)</f>
        <v>0</v>
      </c>
      <c r="JY58">
        <f>(JR58+JS58+JT58+JU58+JV58+JW58+JX58)*MaskJust</f>
        <v>0</v>
      </c>
      <c r="JZ58" s="3">
        <f>IF(Mark!FK58&lt;&gt;"",Mark!FK58,JY58)</f>
        <v>0</v>
      </c>
      <c r="KA58" s="3">
        <f>JZ58*M58</f>
        <v>0</v>
      </c>
      <c r="KC58">
        <f>IF(VLOOKUP(E58,Afgr,Data!$CJ$3)&gt;0,VLOOKUP(E58,Afgr,Data!$CJ$3)*Data!$K$268*SaaJB2,0)*MaskJust</f>
        <v>0</v>
      </c>
      <c r="KD58" s="3">
        <f>IF(Mark!FQ58&lt;&gt;"",Mark!FQ58,KC58)</f>
        <v>0</v>
      </c>
      <c r="KE58" s="3">
        <f>KD58*M58</f>
        <v>0</v>
      </c>
      <c r="KG58">
        <f>IF(VLOOKUP(E58,Afgr,Data!$CI$3)&gt;0,VLOOKUP(E58,Afgr,Data!$CI$3)*Data!$K$269,0)*MaskJust</f>
        <v>0</v>
      </c>
      <c r="KH58" s="3">
        <f>IF(Mark!FW58&lt;&gt;"",Mark!FW58,KG58)</f>
        <v>0</v>
      </c>
      <c r="KI58" s="3">
        <f>KH58*M58</f>
        <v>0</v>
      </c>
      <c r="KK58">
        <f>IF(Markvand2=2,VLOOKUP($E58,Afgr,Data!$CY$3),0)</f>
        <v>0</v>
      </c>
      <c r="KL58">
        <f>IF(Mark!GC58&lt;&gt;"",Mark!GC58,$KK58)</f>
        <v>0</v>
      </c>
      <c r="KM58">
        <f>IF(AND(E58&gt;1,Markvand2=2),Vandmaskin+$KL58*Flytning/mmprgang+$KL58*Prisprmm,0)</f>
        <v>0</v>
      </c>
      <c r="KN58" s="3">
        <f>IF(Mark!GI58&lt;&gt;"",Mark!GI58,$KM58)</f>
        <v>0</v>
      </c>
      <c r="KO58" s="3">
        <f>KN58*M58</f>
        <v>0</v>
      </c>
      <c r="KQ58">
        <f>IF(VLOOKUP($E58,Afgr,Data!$CK$3)&gt;0,((1+Regn!$BI58/VLOOKUP($E58,Afgr,Data!$CK$3))/2)*VLOOKUP($E58,Afgr,Data!$CL$3)*VLOOKUP($E58,Afgr,Data!$CN$3)+VLOOKUP($E58,Afgr,Data!$CM$3),0)</f>
        <v>0</v>
      </c>
      <c r="KR58">
        <f>IF(VLOOKUP($E58,Afgr,Data!$CK$3)&gt;0,IF(AND($F58=2,$BW58&gt;0),Data!$K$271,0),0)</f>
        <v>0</v>
      </c>
      <c r="KS58">
        <f>IF(VLOOKUP($E58,Afgr,Data!$CK$3)&gt;0,(Regn!$BI58/VLOOKUP($E58,Afgr,Data!$CK$3))*VLOOKUP($E58,Afgr,Data!$CO$3)*VLOOKUP($E58,Afgr,Data!$CN$3),0)</f>
        <v>0</v>
      </c>
      <c r="KT58">
        <f>(KQ58+KR58+KS58)*MaskJust</f>
        <v>0</v>
      </c>
      <c r="KU58" s="3">
        <f>IF(Mark!GO58&lt;&gt;"",Mark!GO58,KT58)</f>
        <v>0</v>
      </c>
      <c r="KV58" s="3">
        <f>KU58*M58</f>
        <v>0</v>
      </c>
      <c r="KW58" s="3"/>
      <c r="KX58">
        <f>IF(AND($F58=1,VLOOKUP($E58,Afgr,Data!$CP$3)&gt;0),((1+$BY58/VLOOKUP($E58,Afgr,Data!$CP$3))/2)*VLOOKUP($E58,Afgr,Data!$CQ$3),0)</f>
        <v>0</v>
      </c>
      <c r="KY58">
        <f>IF(AND($F58=1,VLOOKUP($E58,Afgr,Data!$CP$3)&gt;0),($BY58/VLOOKUP($E58,Afgr,Data!$CP$3))*VLOOKUP($E58,Afgr,Data!$CR$3),0)</f>
        <v>0</v>
      </c>
      <c r="KZ58">
        <f>(KX58+KY58)*MaskJust</f>
        <v>0</v>
      </c>
      <c r="LA58" s="3">
        <f>IF(Mark!GU58&lt;&gt;"",Mark!GU58,KZ58)</f>
        <v>0</v>
      </c>
      <c r="LB58" s="3">
        <f>LA58*M58</f>
        <v>0</v>
      </c>
      <c r="LD58">
        <f>$BI58*VLOOKUP($E58,Afgr,Data!$CS$3)*IF($I58=1,VLOOKUP($E58,Afgr,Data!$CT$3),IF($I58=2,VLOOKUP($E58,Afgr,Data!$CU$3),0))</f>
        <v>0</v>
      </c>
      <c r="LE58" s="3">
        <f>IF(Mark!HD58&lt;&gt;"",Mark!HD58,LD58)</f>
        <v>0</v>
      </c>
      <c r="LF58" s="3">
        <f>LE58*M58</f>
        <v>0</v>
      </c>
      <c r="LH58">
        <f>VLOOKUP($G58,Efgr,Data!$AC$53)*UdsaedJust</f>
        <v>0</v>
      </c>
      <c r="LI58" s="3">
        <f>IF(Mark!$HL58&lt;&gt;"",Mark!$HL58,LH58)</f>
        <v>0</v>
      </c>
      <c r="LJ58" s="3">
        <f>LI58*M58</f>
        <v>0</v>
      </c>
      <c r="LL58" s="3">
        <f>IF(HdgVaerdi=1,($CM58-$CX58)*Npris,$CM58*Npris)</f>
        <v>0</v>
      </c>
      <c r="LM58" s="3">
        <f>LL58*M58</f>
        <v>0</v>
      </c>
      <c r="LO58">
        <f>$ET58</f>
        <v>0</v>
      </c>
      <c r="LP58">
        <f>IF(HdgDyreart=2,$CU58*NPforholdSvin,$CU58*NPforholdKvaeg)</f>
        <v>0</v>
      </c>
      <c r="LQ58">
        <f>IF($LO58&gt;$LP58,($LO58-$LP58),0)</f>
        <v>0</v>
      </c>
      <c r="LR58" s="3">
        <f>IF(HdgVaerdi=1,IF($LO58&gt;$LP58,($LO58-$LP58)*Ppris,0),$LO58*Ppris)</f>
        <v>0</v>
      </c>
      <c r="LS58" s="3">
        <f>LR58*M58</f>
        <v>0</v>
      </c>
      <c r="LU58">
        <f>$EW58</f>
        <v>0</v>
      </c>
      <c r="LV58">
        <f>IF(HdgDyreart=2,$CU58*NKforholdSvin,$CU58*NkforholdKvaeg)</f>
        <v>0</v>
      </c>
      <c r="LW58">
        <f>IF($LU58&gt;$LV58,($LU58-$LV58),0)</f>
        <v>0</v>
      </c>
      <c r="LX58" s="3">
        <f>IF(HdgVaerdi=1,IF($LU58&gt;$LV58,($LU58-$LV58)*Ppris,0),$LU58*Ppris)</f>
        <v>0</v>
      </c>
      <c r="LY58" s="3">
        <f>LX58*M58</f>
        <v>0</v>
      </c>
      <c r="MA58">
        <f>LL58+LR58+LX58</f>
        <v>0</v>
      </c>
      <c r="MB58" s="3">
        <f>IF(Mark!HR58&lt;&gt;"",Mark!HR58,$MA58)</f>
        <v>0</v>
      </c>
      <c r="MC58" s="3">
        <f>MB58*M58</f>
        <v>0</v>
      </c>
      <c r="ME58">
        <f>VLOOKUP($G58,Efgr,Data!$AE$53)*PlantevJust</f>
        <v>0</v>
      </c>
      <c r="MF58" s="3">
        <f>IF(Mark!HX58&lt;&gt;"",Mark!HX58,ME58)</f>
        <v>0</v>
      </c>
      <c r="MG58" s="3">
        <f>MF58*M58</f>
        <v>0</v>
      </c>
      <c r="MI58">
        <f>VLOOKUP($G58,Efgr,Data!$AF$53)+$DD58*VLOOKUP($G58,Efgr,Data!$AL$53)</f>
        <v>0</v>
      </c>
      <c r="MJ58" s="3">
        <f>IF(Mark!ID58&lt;&gt;"",Mark!ID58,MI58)</f>
        <v>0</v>
      </c>
      <c r="MK58" s="3">
        <f>MJ58*M58</f>
        <v>0</v>
      </c>
      <c r="MM58">
        <f>LI58+MB58+MF58+MJ58</f>
        <v>0</v>
      </c>
      <c r="MO58">
        <f>VLOOKUP($G58,Efgr,Data!$AU$53)*SaaJB2*MaskJust</f>
        <v>0</v>
      </c>
      <c r="MP58" s="3">
        <f>IF(Mark!IJ58&lt;&gt;"",Mark!IJ58,MO58)</f>
        <v>0</v>
      </c>
      <c r="MQ58" s="3">
        <f>MP58*M58</f>
        <v>0</v>
      </c>
      <c r="MS58">
        <f>VLOOKUP($G58,Efgr,Data!$AW$53)*Data!$K$268*SaaJB2*MaskJust</f>
        <v>0</v>
      </c>
      <c r="MT58" s="3">
        <f>IF(Mark!IP58&lt;&gt;"",Mark!IP58,MS58)</f>
        <v>0</v>
      </c>
      <c r="MU58" s="3">
        <f>MT58*M58</f>
        <v>0</v>
      </c>
      <c r="MW58">
        <f>VLOOKUP($G58,Efgr,Data!$AV$53)*Data!$K$269*MaskJust</f>
        <v>0</v>
      </c>
      <c r="MX58" s="3">
        <f>IF(Mark!IV58&lt;&gt;"",Mark!IV58,MW58)</f>
        <v>0</v>
      </c>
      <c r="MY58" s="3">
        <f>MX58*M58</f>
        <v>0</v>
      </c>
      <c r="NA58">
        <f>IF(Markvand2=2,VLOOKUP($G58,Efgr,Data!$BC$53),0)</f>
        <v>0</v>
      </c>
      <c r="NB58">
        <f>IF(Mark!JB58&lt;&gt;"",Mark!JB58,$NA58)</f>
        <v>0</v>
      </c>
      <c r="NC58">
        <f>IF(Markvand2=2,$NB58*Flytning/mmprgang+$NB58*Prisprmm,0)</f>
        <v>0</v>
      </c>
      <c r="ND58" s="3">
        <f>IF(Mark!JH58&lt;&gt;"",Mark!JH58,$NC58)</f>
        <v>0</v>
      </c>
      <c r="NE58" s="3">
        <f>ND58*M58</f>
        <v>0</v>
      </c>
      <c r="NG58">
        <f>IF(VLOOKUP($G58,Efgr,Data!$AX$53)&gt;0,((1+Regn!DD58/VLOOKUP($G58,Efgr,Data!$AX$53))/2)*VLOOKUP($G58,Efgr,Data!$AY$53)*VLOOKUP($G58,Efgr,Data!$BA$53)+VLOOKUP($G58,Efgr,Data!$AZ$53),0)</f>
        <v>0</v>
      </c>
      <c r="NH58">
        <f>IF(VLOOKUP($G58,Efgr,Data!$AX$53)&gt;0,($DD58/VLOOKUP($G58,Efgr,Data!$AX$53))*VLOOKUP($G58,Efgr,Data!$BB$53)*VLOOKUP($G58,Efgr,Data!$BA$53),0)</f>
        <v>0</v>
      </c>
      <c r="NI58">
        <f>(NG58+NH58)*MaskJust</f>
        <v>0</v>
      </c>
      <c r="NJ58" s="3">
        <f>IF(Mark!JN58&lt;&gt;"",Mark!JN58,NI58)</f>
        <v>0</v>
      </c>
      <c r="NK58" s="3">
        <f>NJ58*M58</f>
        <v>0</v>
      </c>
      <c r="NM58">
        <f>IF($H58=2,Data!$K$304,IF($H58=3,Data!$K$305,0))*MaskJust</f>
        <v>0</v>
      </c>
      <c r="NN58" s="3">
        <f>IF(Mark!JT58&lt;&gt;"",Mark!JT58,NM58)</f>
        <v>0</v>
      </c>
      <c r="NO58" s="3">
        <f>NN58*M58</f>
        <v>0</v>
      </c>
      <c r="NQ58">
        <f>HY58</f>
        <v>0</v>
      </c>
      <c r="NR58">
        <f>JJ58+MM58</f>
        <v>0</v>
      </c>
      <c r="NS58">
        <f>NQ58-NR58</f>
        <v>0</v>
      </c>
      <c r="NT58">
        <f>NS58*M58</f>
        <v>0</v>
      </c>
      <c r="NW58">
        <f>VLOOKUP($B58,Afgr,Data!$BP$3)+VLOOKUP($C58,Efgr,Data!$AM$53)</f>
        <v>0</v>
      </c>
      <c r="NX58" s="3">
        <f>NW58*M58</f>
        <v>0</v>
      </c>
      <c r="NY58">
        <f>VLOOKUP($E58,Afgr,Data!$BP$3)+VLOOKUP($G58,Efgr,Data!$AM$53)</f>
        <v>0</v>
      </c>
      <c r="NZ58" s="3">
        <f>NY58*M58</f>
        <v>0</v>
      </c>
      <c r="OB58">
        <f>VLOOKUP($C58,Efgr,Data!$AN$53)</f>
        <v>0</v>
      </c>
      <c r="OC58">
        <f>VLOOKUP($B58,Afgr,Data!$BQ$3)</f>
        <v>0</v>
      </c>
      <c r="OD58">
        <f>VLOOKUP($E58,Afgr,Data!$BR$3)</f>
        <v>1</v>
      </c>
      <c r="OE58">
        <f>OB58*OC58*OD58</f>
        <v>0</v>
      </c>
      <c r="OF58" s="3">
        <f>OE58*M58</f>
        <v>0</v>
      </c>
      <c r="OG58" s="3">
        <f>IF(D58,1,0)*OF58</f>
        <v>0</v>
      </c>
      <c r="OI58">
        <f>VLOOKUP($G58,Efgr,Data!$AN$53)</f>
        <v>0</v>
      </c>
      <c r="OJ58">
        <f>VLOOKUP($E58,Afgr,Data!$BQ$3)</f>
        <v>0</v>
      </c>
      <c r="OK58">
        <f>VLOOKUP($K58,Afgr,Data!$BR$3)</f>
        <v>1</v>
      </c>
      <c r="OL58">
        <f>OI58*OJ58*OK58</f>
        <v>0</v>
      </c>
      <c r="OM58" s="3">
        <f>OL58*M58</f>
        <v>0</v>
      </c>
      <c r="OO58">
        <f>VLOOKUP($G58,Efgr,Data!$AO$53)</f>
        <v>0</v>
      </c>
      <c r="OP58">
        <f>VLOOKUP($B58,Afgr,Data!$BQ$3)</f>
        <v>0</v>
      </c>
      <c r="OQ58">
        <f>VLOOKUP($E58,Afgr,Data!$BS$3)</f>
        <v>0</v>
      </c>
      <c r="OR58" s="3">
        <f>OO58*OP58*OQ58*$M58</f>
        <v>0</v>
      </c>
      <c r="OT58">
        <f>VLOOKUP($G58,Efgr,Data!$AO$53)</f>
        <v>0</v>
      </c>
      <c r="OU58">
        <f>VLOOKUP($E58,Afgr,Data!$BQ$3)</f>
        <v>0</v>
      </c>
      <c r="OV58">
        <f>VLOOKUP($K58,Afgr,Data!$BS$3)</f>
        <v>0</v>
      </c>
      <c r="OW58" s="3">
        <f>OT58*OU58*OV58*$M58</f>
        <v>0</v>
      </c>
      <c r="OX58" s="3"/>
      <c r="OY58" s="3">
        <f>VLOOKUP($B58,Afgr,Data!$BU$3)</f>
        <v>0</v>
      </c>
      <c r="OZ58" s="3">
        <f>OY58*M58</f>
        <v>0</v>
      </c>
      <c r="PA58" s="3">
        <f>VLOOKUP($E58,Afgr,Data!$BU$3)</f>
        <v>0</v>
      </c>
      <c r="PB58" s="3">
        <f>PA58*M58</f>
        <v>0</v>
      </c>
      <c r="PD58">
        <f>VLOOKUP(E58,Afgr,Data!$BX$3)+VLOOKUP(G58,Efgr,Data!$AQ$53)</f>
        <v>0</v>
      </c>
      <c r="PE58">
        <f>IF(PD58&gt;0,M58,0)</f>
        <v>0</v>
      </c>
      <c r="PG58">
        <f>VLOOKUP($B58,Afgr,Data!$BT$3)</f>
        <v>0</v>
      </c>
      <c r="PH58" s="3">
        <f>PG58*M58</f>
        <v>0</v>
      </c>
      <c r="PI58">
        <f>VLOOKUP($E58,Afgr,Data!$BT$3)</f>
        <v>0</v>
      </c>
      <c r="PJ58" s="3">
        <f>PI58*M58</f>
        <v>0</v>
      </c>
      <c r="PL58">
        <f>VLOOKUP($E58,Afgr,Data!$BV$3)</f>
        <v>0</v>
      </c>
      <c r="PM58">
        <f>PL58*M58</f>
        <v>0</v>
      </c>
      <c r="PO58">
        <f>VLOOKUP($E58,Afgr,Data!$BW$3)</f>
        <v>0</v>
      </c>
      <c r="PP58">
        <f>PO58*M58</f>
        <v>0</v>
      </c>
      <c r="PR58">
        <f>BI58*IF(VLOOKUP($E58,Afgr,Data!$BJ$3)&gt;0,1,0)</f>
        <v>0</v>
      </c>
      <c r="PS58">
        <f>PR58*M58</f>
        <v>0</v>
      </c>
      <c r="PU58">
        <f>BI58*VLOOKUP(E58,Afgr,Data!$BK$3)</f>
        <v>0</v>
      </c>
      <c r="PV58">
        <f>M58*PU58</f>
        <v>0</v>
      </c>
      <c r="PW58">
        <f>$BI58*VLOOKUP($E58,Afgr,Data!$BL$3)+$DD58*VLOOKUP($G58,Efgr,Data!$AP$53)</f>
        <v>0</v>
      </c>
      <c r="PX58">
        <f>PW58*M58</f>
        <v>0</v>
      </c>
      <c r="PY58">
        <f>$BI58*VLOOKUP($E58,Afgr,Data!$BM$3)</f>
        <v>0</v>
      </c>
      <c r="PZ58">
        <f>PY58*M58</f>
        <v>0</v>
      </c>
      <c r="QA58">
        <f>$BI58*VLOOKUP($E58,Afgr,Data!$BN$3)</f>
        <v>0</v>
      </c>
      <c r="QB58">
        <f>QA58*M58</f>
        <v>0</v>
      </c>
      <c r="QE58">
        <f>IF(VLOOKUP($E58,Afgr,Data!$DA$3)="Vårbyg",$BJ58,0)*VLOOKUP($E58,Afgr,Data!$BJ$3)</f>
        <v>0</v>
      </c>
      <c r="QF58">
        <f>IF(VLOOKUP($E58,Afgr,Data!$DA$3)="Vinterbyg",$BJ58,0)*VLOOKUP($E58,Afgr,Data!$BJ$3)</f>
        <v>0</v>
      </c>
      <c r="QG58">
        <f>IF(VLOOKUP($E58,Afgr,Data!$DA$3)="Havre",$BJ58,0)*VLOOKUP($E58,Afgr,Data!$BJ$3)</f>
        <v>0</v>
      </c>
      <c r="QH58">
        <f>IF(VLOOKUP($E58,Afgr,Data!$DA$3)="Hvede",$BJ58,0)*VLOOKUP($E58,Afgr,Data!$BJ$3)</f>
        <v>0</v>
      </c>
      <c r="QI58">
        <f>IF(VLOOKUP($E58,Afgr,Data!$DA$3)="Triticale",$BJ58,0)*VLOOKUP($E58,Afgr,Data!$BJ$3)</f>
        <v>0</v>
      </c>
      <c r="QJ58">
        <f>IF(VLOOKUP($E58,Afgr,Data!$DA$3)="Rug",$BJ58,0)*VLOOKUP($E58,Afgr,Data!$BJ$3)</f>
        <v>0</v>
      </c>
      <c r="QK58">
        <f>IF(VLOOKUP($E58,Afgr,Data!$DA$3)="Majs",$BJ58,0)*VLOOKUP($E58,Afgr,Data!$BJ$3)</f>
        <v>0</v>
      </c>
      <c r="QN58">
        <f>IF(OI58+OO58&gt;0,1,0)</f>
        <v>0</v>
      </c>
      <c r="QO58">
        <f>QN58*LJ58</f>
        <v>0</v>
      </c>
      <c r="QP58">
        <f>QN58*MG58</f>
        <v>0</v>
      </c>
      <c r="QQ58">
        <f>MQ58</f>
        <v>0</v>
      </c>
      <c r="QR58">
        <f>QN58*NO58</f>
        <v>0</v>
      </c>
    </row>
    <row r="59" spans="1:460" x14ac:dyDescent="0.25">
      <c r="GG59" s="12"/>
    </row>
    <row r="60" spans="1:460" x14ac:dyDescent="0.25">
      <c r="A60">
        <f>A58+1</f>
        <v>3</v>
      </c>
      <c r="B60">
        <v>1</v>
      </c>
      <c r="C60">
        <v>1</v>
      </c>
      <c r="D60" t="b">
        <v>0</v>
      </c>
      <c r="E60">
        <v>1</v>
      </c>
      <c r="F60">
        <v>1</v>
      </c>
      <c r="G60">
        <v>1</v>
      </c>
      <c r="H60">
        <v>1</v>
      </c>
      <c r="I60">
        <v>1</v>
      </c>
      <c r="K60">
        <v>1</v>
      </c>
      <c r="M60">
        <f>IF(ISERROR(N60*Areal2/$N$72),0,N60*Areal2/$N$72)</f>
        <v>0</v>
      </c>
      <c r="N60">
        <f>Mark!Z60</f>
        <v>0</v>
      </c>
      <c r="P60">
        <f>VLOOKUP($E60,Afgr,NnormKolonneNr2)</f>
        <v>0</v>
      </c>
      <c r="Q60">
        <f>VLOOKUP($B60,Afgr,Data!$AI$3)*VLOOKUP(E60,Afgr,Data!$AJ$3)</f>
        <v>0</v>
      </c>
      <c r="R60">
        <f>IF($D60,0,VLOOKUP($C60,Efgr,(Data!$W$53+$G$28-1)))</f>
        <v>0</v>
      </c>
      <c r="S60">
        <f>P60-Q60-R60</f>
        <v>0</v>
      </c>
      <c r="T60">
        <f>S60*M60</f>
        <v>0</v>
      </c>
      <c r="U60">
        <f>IF(Nmodel12=1,S60*Nniveau12*0.01,AO60)</f>
        <v>0</v>
      </c>
      <c r="V60" s="3">
        <f>IF(Mark!CI60&lt;&gt;"",Mark!CI60,U60)</f>
        <v>0</v>
      </c>
      <c r="W60" s="3">
        <f>V60*M60</f>
        <v>0</v>
      </c>
      <c r="Y60">
        <f>S60/NoptFaktor</f>
        <v>0</v>
      </c>
      <c r="Z60" s="3">
        <f>IF(Mark!BZ60&lt;&gt;"",Mark!BZ60,Y60)</f>
        <v>0</v>
      </c>
      <c r="AB60">
        <f>VLOOKUP($E60,Afgr,Data!$DE$3)</f>
        <v>0</v>
      </c>
      <c r="AC60">
        <f>VLOOKUP($E60,Afgr,Data!$DD$3)</f>
        <v>0</v>
      </c>
      <c r="AD60">
        <f>VLOOKUP($E60,Afgr,Data!$DC$3)</f>
        <v>0</v>
      </c>
      <c r="AE60">
        <f>IF(ISERROR($Z60+(-PrisN/$AD60-$AB60)/(2*$AC60)),0,($Z60+(-PrisN/$AD60-$AB60)/(2*$AC60)))</f>
        <v>0</v>
      </c>
      <c r="AF60">
        <f>($BD60+$BE60+$BF60)*1.03333</f>
        <v>0</v>
      </c>
      <c r="AG60">
        <f>$AF60-($AB60*($AE60-$Z60)+$AC60*($AE60-$Z60)^2)</f>
        <v>0</v>
      </c>
      <c r="AH60">
        <f>IF(Nmodel12=1,$AB60*($AE60-$S60)+$AC60*($AE60-$S60)^2,$AB60*($AE60-$AO60)+$AC60*($AE60-$AO60)^2)</f>
        <v>0</v>
      </c>
      <c r="AI60">
        <f>IF(Nmodel12=1,$AB60*($AE60-$V60)+$AC60*($AE60-$V60)^2,$AB60*($AE60-AO60)+$AC60*($AE60-AO60)^2)</f>
        <v>0</v>
      </c>
      <c r="AJ60">
        <f>AG60+AH60-BG60</f>
        <v>0</v>
      </c>
      <c r="AK60">
        <f>AG60+AI60-AJ60</f>
        <v>0</v>
      </c>
      <c r="AM60">
        <f>VLOOKUP(E60,Afgr,Data!$DF$3+SandLer2)</f>
        <v>0</v>
      </c>
      <c r="AN60">
        <f>IF(ISERROR(((-(PrisN+Pantafgift)+AM60*Pantfaktor*Pantafgift)/AD60-AB60)/(2*AC60)),0,((-(PrisN+Pantafgift)+AM60*Pantfaktor*Pantafgift)/AD60-AB60)/(2*AC60))</f>
        <v>0</v>
      </c>
      <c r="AO60">
        <f>AE60-AN60</f>
        <v>0</v>
      </c>
      <c r="AQ60">
        <f>IF(AT60&gt;0,0,W60)</f>
        <v>0</v>
      </c>
      <c r="AR60">
        <f>IF(ISERROR(W60*HdgNTilFordeling12/NnormIaltFordel12),0,W60*HdgNTilFordeling12/NnormIaltFordel12)</f>
        <v>0</v>
      </c>
      <c r="AS60">
        <f>IF(ISERROR($AR60/$M60),0,$AR60/$M60)</f>
        <v>0</v>
      </c>
      <c r="AT60">
        <f>IF(Mark!CO60&lt;&gt;"",Mark!CO60,0)</f>
        <v>0</v>
      </c>
      <c r="AU60">
        <f>$AT60*$M60</f>
        <v>0</v>
      </c>
      <c r="AV60" s="3">
        <f>IF(AT60&gt;0,AT60,AS60)</f>
        <v>0</v>
      </c>
      <c r="AW60" s="3">
        <f>AV60*M60</f>
        <v>0</v>
      </c>
      <c r="AY60">
        <f>UdnKrav*$AV60/100</f>
        <v>0</v>
      </c>
      <c r="BA60">
        <f>AV60*VLOOKUP($E60,Afgr,Data!$DJ$3)</f>
        <v>0</v>
      </c>
      <c r="BB60">
        <f>UdnKrav*$BA60/100</f>
        <v>0</v>
      </c>
      <c r="BD60">
        <f>VLOOKUP(E60,Afgr,NormudbKolonneNr2)</f>
        <v>0</v>
      </c>
      <c r="BE60">
        <f>VLOOKUP(B60,Afgr,Data!$AL$3)*VLOOKUP(E60,Afgr,MerudbKolonneNr2)</f>
        <v>0</v>
      </c>
      <c r="BF60">
        <f>VLOOKUP(C60,Efgr,(Data!$Y$53+EftervirkningUdb2))</f>
        <v>0</v>
      </c>
      <c r="BG60">
        <f>BD60+BE60+BF60</f>
        <v>0</v>
      </c>
      <c r="BH60">
        <f>IF(OR(V60&lt;&gt;S60,Nmodel12=2),AK60,BD60+BE60+BF60)</f>
        <v>0</v>
      </c>
      <c r="BI60" s="3">
        <f>IF(Mark!AK60&lt;&gt;"",Mark!AK60,BH60)</f>
        <v>0</v>
      </c>
      <c r="BJ60">
        <f>BI60*M60</f>
        <v>0</v>
      </c>
      <c r="BK60">
        <f>VLOOKUP(E60,Afgr,3)</f>
        <v>0</v>
      </c>
      <c r="BL60">
        <f>IF(BK60="FE",VLOOKUP($E60,Afgr,Data!$AV$3),0)</f>
        <v>0</v>
      </c>
      <c r="BN60">
        <f>VLOOKUP(E60,Afgr,4)</f>
        <v>0</v>
      </c>
      <c r="BO60" s="3">
        <f>IF(Mark!AW60&lt;&gt;"",Mark!AW60,Regn!BN60)</f>
        <v>0</v>
      </c>
      <c r="BP60" s="3">
        <f>BI60*BO60</f>
        <v>0</v>
      </c>
      <c r="BQ60" s="3">
        <f>BJ60*BO60</f>
        <v>0</v>
      </c>
      <c r="BS60">
        <f>VLOOKUP(E60,Afgr,Data!$AN$3)</f>
        <v>0</v>
      </c>
      <c r="BT60" s="3">
        <f>IF(Mark!BC60&lt;&gt;"",Mark!BC60,BS60)</f>
        <v>0</v>
      </c>
      <c r="BU60" s="3">
        <f>BT60*M60</f>
        <v>0</v>
      </c>
      <c r="BW60">
        <f>VLOOKUP(E60,Afgr,HalmudbKolonneNr2)</f>
        <v>0</v>
      </c>
      <c r="BX60">
        <f>IF(ISERROR(BW60*BI60/BG60),0,(BW60*BI60/BG60))</f>
        <v>0</v>
      </c>
      <c r="BY60" s="3">
        <f>IF(Mark!BI60&lt;&gt;"",Mark!BI60,BX60)</f>
        <v>0</v>
      </c>
      <c r="BZ60">
        <f>BY60*M60</f>
        <v>0</v>
      </c>
      <c r="CC60">
        <f>IF($F60=1,BY60,0)</f>
        <v>0</v>
      </c>
      <c r="CD60">
        <f>IF(F60=1,BZ60,0)</f>
        <v>0</v>
      </c>
      <c r="CE60">
        <f>VLOOKUP(E60,Afgr,Data!$AM$3)</f>
        <v>0</v>
      </c>
      <c r="CF60">
        <f>IF(Mark!BR60&lt;&gt;"",Mark!BR60,CE60)</f>
        <v>0</v>
      </c>
      <c r="CG60">
        <f>CC60*CF60</f>
        <v>0</v>
      </c>
      <c r="CH60">
        <f>CD60*CF60</f>
        <v>0</v>
      </c>
      <c r="CJ60">
        <f>VLOOKUP($G60,Efgr,NnormKolonneEfgr2)</f>
        <v>0</v>
      </c>
      <c r="CK60">
        <f>CJ60*M60</f>
        <v>0</v>
      </c>
      <c r="CL60">
        <f>CJ60*Nniveau12*0.01</f>
        <v>0</v>
      </c>
      <c r="CM60" s="3">
        <f>IF(Mark!DM60&lt;&gt;"",Mark!DM60,CL60)</f>
        <v>0</v>
      </c>
      <c r="CN60" s="3">
        <f>$CM60*$M60</f>
        <v>0</v>
      </c>
      <c r="CP60">
        <f>IF(CS60&gt;0,0,CN60)</f>
        <v>0</v>
      </c>
      <c r="CQ60">
        <f>IF(ISERROR(CN60*HdgNTilFordeling12/NnormIaltFordel12),0,CN60*HdgNTilFordeling12/NnormIaltFordel12)</f>
        <v>0</v>
      </c>
      <c r="CR60">
        <f>IF(ISERROR($CQ60/$M60),0,$CQ60/$M60)</f>
        <v>0</v>
      </c>
      <c r="CS60">
        <f>IF(Mark!DS60&lt;&gt;"",Mark!DS60,0)</f>
        <v>0</v>
      </c>
      <c r="CT60">
        <f>$CS60*$M60</f>
        <v>0</v>
      </c>
      <c r="CU60" s="3">
        <f>IF($CS60&gt;0,$CS60,$CR60)</f>
        <v>0</v>
      </c>
      <c r="CV60" s="3">
        <f>CU60*M60</f>
        <v>0</v>
      </c>
      <c r="CX60">
        <f>UdnKrav*$CU60/100</f>
        <v>0</v>
      </c>
      <c r="CZ60">
        <f>$CU60*VLOOKUP($G60,Efgr,Data!$BG$53)</f>
        <v>0</v>
      </c>
      <c r="DA60">
        <f>UdnKrav*$CZ60/100</f>
        <v>0</v>
      </c>
      <c r="DC60">
        <f>VLOOKUP(G60,Efgr,NormudbKolonneNrEfgr2)</f>
        <v>0</v>
      </c>
      <c r="DD60" s="3">
        <f>IF(Mark!DC60&lt;&gt;"",Mark!DC60,DC60)</f>
        <v>0</v>
      </c>
      <c r="DE60">
        <f>DD60*M60</f>
        <v>0</v>
      </c>
      <c r="DF60" t="s">
        <v>37</v>
      </c>
      <c r="DG60">
        <f>DD60*Efterslaetpris</f>
        <v>0</v>
      </c>
      <c r="DH60">
        <f>DE60*Efterslaetpris</f>
        <v>0</v>
      </c>
      <c r="DI60">
        <f>VLOOKUP(G60,Efgr,Data!$AG$53)</f>
        <v>0</v>
      </c>
      <c r="DJ60">
        <f>DD60*DI60</f>
        <v>0</v>
      </c>
      <c r="DL60">
        <f>VLOOKUP($E60,Afgr,Data!$AW$3)</f>
        <v>0</v>
      </c>
      <c r="DM60">
        <f>IF(BK60="FE",$BI60*$BL60*$DL60*0.01,$BI60*100*$DR60*0.01*$DL60*0.01)</f>
        <v>0</v>
      </c>
      <c r="DN60">
        <f>IF(VLOOKUP(E60,Afgr,Data!$BO$3)=1,DM60,0)*M60</f>
        <v>0</v>
      </c>
      <c r="DO60" s="12">
        <f>IF(Nmodel12=1,(V60-S60)*VLOOKUP($E60,Afgr,Data!$AX$3),(AO60-S60)*VLOOKUP(E60,Afgr,Data!$AX$3))</f>
        <v>0</v>
      </c>
      <c r="DP60">
        <f>DL60+DO60</f>
        <v>0</v>
      </c>
      <c r="DQ60">
        <f>IF(Mark!AQ60&lt;&gt;"",Mark!AQ60,DP60)</f>
        <v>0</v>
      </c>
      <c r="DR60">
        <f>VLOOKUP(E60,Afgr,Data!$AT$3)</f>
        <v>0</v>
      </c>
      <c r="DS60">
        <f>IF($BK60="FE",$BI60*$BL60*$DQ60*0.01,$BI60*100*$DR60*0.01*DQ60*0.01)</f>
        <v>0</v>
      </c>
      <c r="DT60">
        <f>IF(VLOOKUP(E60,Afgr,Data!$BO$3)=1,DS60,0)*M60</f>
        <v>0</v>
      </c>
      <c r="DU60">
        <f>IF(ISERROR(DS60/VLOOKUP(E60,Afgr,Data!$AY$3)),0,DS60/VLOOKUP(E60,Afgr,Data!$AY$3))</f>
        <v>0</v>
      </c>
      <c r="DV60">
        <f>DU60*M60</f>
        <v>0</v>
      </c>
      <c r="DX60">
        <f>IF($BK60="FE",$BI60*$BL60*VLOOKUP($E60,Afgr,Data!$BC$3)*0.001,$BI60*100*$DR60*0.01*VLOOKUP($E60,Afgr,Data!$BC$3)*0.001)</f>
        <v>0</v>
      </c>
      <c r="DY60">
        <f>DX60*M60</f>
        <v>0</v>
      </c>
      <c r="EA60">
        <f>IF($BK60="FE",$BI60*$BL60*VLOOKUP($E60,Afgr,Data!$BF$3)*0.001,$BI60*100*$DR60*0.01*VLOOKUP($E60,Afgr,Data!$BF$3)*0.001)</f>
        <v>0</v>
      </c>
      <c r="EB60">
        <f>EA60*M60</f>
        <v>0</v>
      </c>
      <c r="ED60">
        <f>IF(ISERROR(VLOOKUP(E60,Afgr,Data!$AZ$3)*DQ60/DL60),0,VLOOKUP(E60,Afgr,Data!$AZ$3)*DQ60/DL60)</f>
        <v>0</v>
      </c>
      <c r="EE60">
        <f>VLOOKUP(E60,Afgr,Data!$AU$3)</f>
        <v>0</v>
      </c>
      <c r="EF60">
        <f>IF($F60=1,$BY60*$EE60*0.01*ED60*0.01,0)</f>
        <v>0</v>
      </c>
      <c r="EG60">
        <f>EF60/6.25</f>
        <v>0</v>
      </c>
      <c r="EH60">
        <f>EG60*M60</f>
        <v>0</v>
      </c>
      <c r="EJ60">
        <f>IF($F60=1,$BY60*$EE60*0.01*VLOOKUP($E60,Afgr,Data!$BD$3)*0.001,0)</f>
        <v>0</v>
      </c>
      <c r="EK60">
        <f>EJ60*M60</f>
        <v>0</v>
      </c>
      <c r="EM60">
        <f>IF($F60=1,$BY60*$EE60*0.01*VLOOKUP($E60,Afgr,Data!$BG$3)*0.001,0)</f>
        <v>0</v>
      </c>
      <c r="EN60">
        <f>EM60*M60</f>
        <v>0</v>
      </c>
      <c r="EP60">
        <f>VLOOKUP(G60,Efgr,Data!$AI$53)</f>
        <v>0</v>
      </c>
      <c r="EQ60">
        <f>DJ60*EP60*0.01/6.25</f>
        <v>0</v>
      </c>
      <c r="ER60">
        <f>EQ60*M60</f>
        <v>0</v>
      </c>
      <c r="ET60">
        <f>$DJ60*VLOOKUP($G60,Efgr,Data!$AJ$53)*0.001</f>
        <v>0</v>
      </c>
      <c r="EU60">
        <f>ET60*M60</f>
        <v>0</v>
      </c>
      <c r="EW60">
        <f>$DJ60*VLOOKUP($G60,Efgr,Data!$AK$53)*0.001</f>
        <v>0</v>
      </c>
      <c r="EX60">
        <f>EW60*M60</f>
        <v>0</v>
      </c>
      <c r="EZ60">
        <f>IF(VLOOKUP(E60,Afgr,Data!$DS$3)=1,DU60*VLOOKUP(E60,Afgr,(Data!$DT$3+EftervirkningUdb2))*VLOOKUP(E60,Afgr,Data!$DV$3),0)</f>
        <v>0</v>
      </c>
      <c r="FA60">
        <f>IF(VLOOKUP(E60,Afgr,Data!$DS$3)=2,VLOOKUP(E60,Afgr,Data!$DX$3),0)</f>
        <v>0</v>
      </c>
      <c r="FB60">
        <f>IF(VLOOKUP(E60,Afgr,Data!$DS$3)=3,$DU60*VLOOKUP($E60,Afgr,IF(Jordtype2&lt;5,Data!$DT$3,Data!$DU$3))*VLOOKUP($E60,Afgr,Data!$DV$3),0)</f>
        <v>0</v>
      </c>
      <c r="FC60">
        <f>IF(VLOOKUP(E60,Afgr,Data!$DS$3)=4,(1.232+0.00469*BI60*100+(0.000256*BI60*100+0.089)*60),0)</f>
        <v>0</v>
      </c>
      <c r="FD60">
        <f>$V60+IF($AY60-$BB60&gt;$V60,$AY60-$V60,0)-$BB60</f>
        <v>0</v>
      </c>
      <c r="FE60">
        <f>IF(VLOOKUP($E60,Afgr,Data!$DS$3)=5,($BI60*0.02742-$BI60*0.0001*$FD60+$BI60*0.0000001111*$FD60*$FD60),0)</f>
        <v>0</v>
      </c>
      <c r="FF60">
        <f>$CM60+IF($CX60-$DA60&gt;$CM60,$CX60-$CM60,0)-$DA60</f>
        <v>0</v>
      </c>
      <c r="FG60">
        <f>IF(VLOOKUP($G60,Efgr,Data!$BH$53)=5,($DD60*0.02742-$DD60*0.0001*$FF60+$DD60*0.0000001111*$FF60*$FF60),0)</f>
        <v>0</v>
      </c>
      <c r="FH60" s="3">
        <f>EZ60+FA60+FB60+FC60+FE60+FG60</f>
        <v>0</v>
      </c>
      <c r="FI60" s="3">
        <f>FH60*M60</f>
        <v>0</v>
      </c>
      <c r="FK60">
        <f>$V60+$CM60</f>
        <v>0</v>
      </c>
      <c r="FL60">
        <f>($AV60-$AY60)+IF($AY60&gt;$V60,$AY60-$V60,0)+($CU60-$CX60)+IF($CX60&gt;$CM60,$CX60-$CM60,0)</f>
        <v>0</v>
      </c>
      <c r="FM60">
        <f>VLOOKUP($E60,Afgr,Data!$DK$3)*VLOOKUP($E60,Afgr,Data!$AT$3)*0.01*VLOOKUP($E60,Afgr,Data!$AW$3)*0.01/6.25</f>
        <v>0</v>
      </c>
      <c r="FN60" s="4">
        <f>IF(E60&gt;1,Deposition,0)</f>
        <v>0</v>
      </c>
      <c r="FO60">
        <f>FH60</f>
        <v>0</v>
      </c>
      <c r="FP60">
        <f>SUM(FK60:FO60)</f>
        <v>0</v>
      </c>
      <c r="FQ60">
        <f>DU60+EG60+EQ60</f>
        <v>0</v>
      </c>
      <c r="FR60" s="3">
        <f>FP60-FQ60</f>
        <v>0</v>
      </c>
      <c r="FS60" s="19">
        <f>FP60*M60</f>
        <v>0</v>
      </c>
      <c r="FT60" s="19">
        <f>FQ60*M60</f>
        <v>0</v>
      </c>
      <c r="FU60" s="3">
        <f>FR60*M60</f>
        <v>0</v>
      </c>
      <c r="FW60">
        <f>IL60+IM60+LP60+LQ60</f>
        <v>0</v>
      </c>
      <c r="FX60">
        <f>IK60+LO60</f>
        <v>0</v>
      </c>
      <c r="FY60">
        <f>FW60-FX60</f>
        <v>0</v>
      </c>
      <c r="FZ60">
        <f>FY60*M60</f>
        <v>0</v>
      </c>
      <c r="GB60">
        <f>IS60+IT60+LV60+LW60</f>
        <v>0</v>
      </c>
      <c r="GC60">
        <f>IR60+LU60</f>
        <v>0</v>
      </c>
      <c r="GD60">
        <f>GB60-GC60</f>
        <v>0</v>
      </c>
      <c r="GE60">
        <f>GD60*M60</f>
        <v>0</v>
      </c>
      <c r="GG60" s="149">
        <f>IF(OR(VLOOKUP(E60,Afgr,Data!$BV$3)=1,VLOOKUP(E60,Afgr,Data!$BW$3)=1),0,NniveauDelsaedsk2)</f>
        <v>0</v>
      </c>
      <c r="GH60" s="1">
        <v>0.32550000000000001</v>
      </c>
      <c r="GI60" s="6">
        <v>0</v>
      </c>
      <c r="GJ60" s="24">
        <f>IF(($V60-BB60+$CM60-DA60)&lt;0,0,$V60-BB60+$CM60-DA60)</f>
        <v>0</v>
      </c>
      <c r="GK60" s="6">
        <f>$FO60</f>
        <v>0</v>
      </c>
      <c r="GL60" s="1">
        <v>0.25280000000000002</v>
      </c>
      <c r="GM60">
        <f>$BA60+$CZ60</f>
        <v>0</v>
      </c>
      <c r="GN60" s="1">
        <v>0.376</v>
      </c>
      <c r="GO60" s="6">
        <v>0</v>
      </c>
      <c r="GP60" s="1">
        <f>IF(SandLer2&gt;1,0.3539,1.0749)</f>
        <v>0.35389999999999999</v>
      </c>
      <c r="GQ60" s="11">
        <f>$FQ60</f>
        <v>0</v>
      </c>
      <c r="GR60" s="1">
        <v>0.19359999999999999</v>
      </c>
      <c r="GS60" s="1">
        <f>VLOOKUP($E60,Afgr,Data!$DM$3)</f>
        <v>0</v>
      </c>
      <c r="GT60" s="24">
        <f>IF($GS60&gt;1,0,(VLOOKUP($K60,Afgr,Data!$DP$3)+IF(VLOOKUP($K60,Afgr,Data!$DP$3)=0,VLOOKUP($G60,Efgr,Data!$BI$53,0))))+IF(AND($GS60=7,VLOOKUP($K60,Afgr,Data!$DQ$3)=-2),-2,0)+IF(AND($GS60=6,VLOOKUP($G60,Efgr,Data!$BI$53)=2),8,0)</f>
        <v>0</v>
      </c>
      <c r="GU60" s="6" t="e">
        <f>VLOOKUP(SUM(GS60:GT60),Nlesafgr,3)</f>
        <v>#N/A</v>
      </c>
      <c r="GV60" s="7">
        <f>VLOOKUP($B60,Afgr,Data!$DN$3)</f>
        <v>0</v>
      </c>
      <c r="GW60" s="24">
        <f>IF(GV60&gt;1,0,VLOOKUP($E60,Afgr,Data!$DO$3)+IF(VLOOKUP($E60,Afgr,Data!$DO$3)=1,0,VLOOKUP($C60,Efgr,Data!$BJ$53)))</f>
        <v>0</v>
      </c>
      <c r="GX60" s="6" t="e">
        <f>VLOOKUP(SUM(GV60:GW60),Nlesforfrugt,3)</f>
        <v>#N/A</v>
      </c>
      <c r="GY60" s="1" t="e">
        <f>GH60*GG60+GL60*(GJ60+GK60)+GN60*GM60+GP60*GO60-GR60*GQ60+GU60+GX60</f>
        <v>#N/A</v>
      </c>
      <c r="GZ60" s="1">
        <f>Nlesafskaering</f>
        <v>59.6</v>
      </c>
      <c r="HA60" s="1">
        <f>Teknologi1</f>
        <v>2455</v>
      </c>
      <c r="HB60" s="6">
        <v>2001</v>
      </c>
      <c r="HC60" s="1">
        <f>Teknologi2</f>
        <v>1962.2</v>
      </c>
      <c r="HD60" s="1">
        <f>Tandel</f>
        <v>0.54659999999999997</v>
      </c>
      <c r="HE60" s="1" t="e">
        <f>IF(OR(GY60&gt;0,GY60=0),GZ60+HA60/(HB60-HC60),GZ60+HA60/(HB60-HC60)+HD60*GY60)</f>
        <v>#N/A</v>
      </c>
      <c r="HF60" s="1" t="e">
        <f>IF(GY60&gt;0,GY60,0.001)</f>
        <v>#N/A</v>
      </c>
      <c r="HG60" s="1">
        <v>1.5020000000000001E-3</v>
      </c>
      <c r="HH60" s="24">
        <f>IF(E60=1,0,VLOOKUP(Postnr,AfstromData,VLOOKUP($E60,Afgr,Data!$DL$3)+IF(Jordtype1&lt;7,Jordtype1,6),FALSE)-VLOOKUP(G60,Efgr,Data!$AA$53))</f>
        <v>0</v>
      </c>
      <c r="HI60" s="1">
        <v>5.5400000000000002E-4</v>
      </c>
      <c r="HJ60" s="24">
        <f>IF(E60=1,0,VLOOKUP(Postnr,AfstromData,VLOOKUP($B60,Afgr,Data!$DL$3)+IF(Jordtype1&lt;7,Jordtype1,6),FALSE)-VLOOKUP(C60,Efgr,Data!$AA$53))</f>
        <v>0</v>
      </c>
      <c r="HK60" s="1">
        <v>0.10639999999999999</v>
      </c>
      <c r="HL60" s="6">
        <f>VLOOKUP(Jordtype2,Jordtype,Data!$W$112)</f>
        <v>3</v>
      </c>
      <c r="HM60" s="1">
        <v>3.2500000000000001E-2</v>
      </c>
      <c r="HN60" s="6">
        <f>VLOOKUP(Jordtype2,Jordtype,Data!$X$112)</f>
        <v>12</v>
      </c>
      <c r="HO60" s="1">
        <v>1.2453000000000001</v>
      </c>
      <c r="HP60" s="1">
        <f>IF(VLOOKUP(G60,Efgr,Data!$AO$53)=1,MlafgrNUdvask,0)</f>
        <v>0</v>
      </c>
      <c r="HQ60" s="20">
        <f>IF(ISERROR((HE60+POWER(HF60,1.2))*(1-EXP(-HG60*HH60))*EXP(-HI60*HJ60)*EXP(-HK60*HL60)*EXP(-HM60*HN60)*HO60),0,(HE60+POWER(HF60,1.2))*(1-EXP(-HG60*HH60))*EXP(-HI60*HJ60)*EXP(-HK60*HL60)*EXP(-HM60*HN60)*HO60+HP60)</f>
        <v>0</v>
      </c>
      <c r="HR60">
        <f>HQ60*M60</f>
        <v>0</v>
      </c>
      <c r="HS60">
        <f>HQ60*(100-Retention2)*0.01</f>
        <v>0</v>
      </c>
      <c r="HT60">
        <f>HS60*M60</f>
        <v>0</v>
      </c>
      <c r="HU60" s="2">
        <f>HH60*10000</f>
        <v>0</v>
      </c>
      <c r="HV60" s="2">
        <f>HU60*M60</f>
        <v>0</v>
      </c>
      <c r="HW60">
        <f>IF(ISERROR(HQ60*1000*1000/HU60),0,HQ60*1000*1000/HU60)</f>
        <v>0</v>
      </c>
      <c r="HY60">
        <f>BP60+BT60+CG60+DG60</f>
        <v>0</v>
      </c>
      <c r="IB60">
        <f>VLOOKUP(E60,Afgr,Data!$AP$3)*UdsaedJust</f>
        <v>0</v>
      </c>
      <c r="IC60" s="3">
        <f>IF(Mark!EG60&lt;&gt;"",Mark!EG60,Regn!IB60)</f>
        <v>0</v>
      </c>
      <c r="ID60" s="3">
        <f>IC60*M60</f>
        <v>0</v>
      </c>
      <c r="IF60" s="3">
        <f>IF(HdgVaerdi=1,($V60-$AY60)*Npris,$V60*Npris)</f>
        <v>0</v>
      </c>
      <c r="IG60" s="3">
        <f>IF60*M60</f>
        <v>0</v>
      </c>
      <c r="II60">
        <f>VLOOKUP($E60,Afgr,Data!$BA$3)</f>
        <v>0</v>
      </c>
      <c r="IJ60">
        <f>VLOOKUP($E60,Afgr,Data!$BB$3)</f>
        <v>0</v>
      </c>
      <c r="IK60">
        <f>$DX60+$EJ60</f>
        <v>0</v>
      </c>
      <c r="IL60">
        <f>IF(HdgDyreart=2,$AV60*NPforholdSvin,$AV60*NPforholdKvaeg)</f>
        <v>0</v>
      </c>
      <c r="IM60">
        <f>II60+IF($IJ60+$IK60&gt;$IL60,($IJ60+$IK60-$IL60),0)</f>
        <v>0</v>
      </c>
      <c r="IN60" s="3">
        <f>IF(HdgVaerdi=1,($II60*Ppris+IF($IJ60+$IK60&gt;$IL60,($IJ60+$IK60-$IL60)*Ppris,0)),($II60+$IJ60+$IK60)*Ppris)</f>
        <v>0</v>
      </c>
      <c r="IO60" s="3">
        <f>IN60*M60</f>
        <v>0</v>
      </c>
      <c r="IQ60">
        <f>IF(AND(E60&gt;1,OR(Jordtype2=1,Jordtype2=3,Markvand2=2)),Kudvask,0)</f>
        <v>0</v>
      </c>
      <c r="IR60">
        <f>$EA60+$EM60</f>
        <v>0</v>
      </c>
      <c r="IS60">
        <f>IF(HdgDyreart=2,$AV60*NKforholdSvin,$AV60*NkforholdKvaeg)</f>
        <v>0</v>
      </c>
      <c r="IT60">
        <f>IF($IQ60+$IR60&gt;$IS60,($IQ60+$IR60-$IS60),0)</f>
        <v>0</v>
      </c>
      <c r="IU60" s="3">
        <f>IF(HdgVaerdi=1,IF($IQ60+$IR60&gt;$IS60,($IQ60+$IR60-$IS60)*Kpris,0),($IQ60+$IR60)*Kpris)</f>
        <v>0</v>
      </c>
      <c r="IV60" s="3">
        <f>IU60*M60</f>
        <v>0</v>
      </c>
      <c r="IX60">
        <f>IF60+IN60+IU60</f>
        <v>0</v>
      </c>
      <c r="IY60" s="3">
        <f>IF(Mark!EM60&lt;&gt;"",Mark!EM60,$IX60)</f>
        <v>0</v>
      </c>
      <c r="IZ60" s="3">
        <f>IY60*M60</f>
        <v>0</v>
      </c>
      <c r="JB60">
        <f>VLOOKUP(E60,Afgr,Data!$AQ$3)*PlantevJust</f>
        <v>0</v>
      </c>
      <c r="JC60" s="3">
        <f>IF(Mark!ES60&lt;&gt;"",Mark!ES60,JB60)</f>
        <v>0</v>
      </c>
      <c r="JD60" s="3">
        <f>JC60*M60</f>
        <v>0</v>
      </c>
      <c r="JF60">
        <f>VLOOKUP(E60,Afgr,Data!$AR$3)+BI60*VLOOKUP(E60,Afgr,Data!$BH$3)</f>
        <v>0</v>
      </c>
      <c r="JG60" s="3">
        <f>IF(Mark!EY60&lt;&gt;"",Mark!EY60,JF60)</f>
        <v>0</v>
      </c>
      <c r="JH60">
        <f>JG60*M60</f>
        <v>0</v>
      </c>
      <c r="JJ60">
        <f>IC60+IY60+JC60+JG60</f>
        <v>0</v>
      </c>
      <c r="JL60">
        <f>IF(VLOOKUP(E60,Afgr,Data!$BY$3)&gt;0,Data!$K$259*PlojJB2,0)</f>
        <v>0</v>
      </c>
      <c r="JM60">
        <f>IF(VLOOKUP(E60,Afgr,Data!$BZ$3)&gt;0,Data!$K$260*PlojJB2,0)</f>
        <v>0</v>
      </c>
      <c r="JN60">
        <f>(JL60+JM60)*MaskJust</f>
        <v>0</v>
      </c>
      <c r="JO60" s="3">
        <f>IF(Mark!FE60&lt;&gt;"",Mark!FE60,JN60)</f>
        <v>0</v>
      </c>
      <c r="JP60" s="3">
        <f>JO60*M60</f>
        <v>0</v>
      </c>
      <c r="JR60">
        <f>IF(VLOOKUP(E60,Afgr,Data!$CA$3)&gt;0,VLOOKUP(E60,Afgr,Data!$CA$3)*Data!$K$261*SaaJB2,0)</f>
        <v>0</v>
      </c>
      <c r="JS60">
        <f>IF(VLOOKUP(E60,Afgr,Data!$CC$3)&gt;0,Data!$K$262*SaaJB2,0)</f>
        <v>0</v>
      </c>
      <c r="JT60">
        <f>IF(VLOOKUP(E60,Afgr,Data!$CD$3)&gt;0,VLOOKUP(E60,Afgr,Data!$CD$3)*Data!$K$263*SaaJB2,0)</f>
        <v>0</v>
      </c>
      <c r="JU60">
        <f>IF(VLOOKUP(E60,Afgr,Data!$CE$3)&gt;0,Data!$K$264*SaaJB2,0)</f>
        <v>0</v>
      </c>
      <c r="JV60">
        <f>IF(VLOOKUP(E60,Afgr,Data!$CF$3)&gt;0,Data!$K$265*SaaJB2,0)</f>
        <v>0</v>
      </c>
      <c r="JW60">
        <f>IF(VLOOKUP(E60,Afgr,Data!$CV$3)&gt;0,Data!$K$266,0)</f>
        <v>0</v>
      </c>
      <c r="JX60">
        <f>IF(VLOOKUP(E60,Afgr,Data!$CG$3)&gt;0,Data!$K$267*SaaJB2,0)</f>
        <v>0</v>
      </c>
      <c r="JY60">
        <f>(JR60+JS60+JT60+JU60+JV60+JW60+JX60)*MaskJust</f>
        <v>0</v>
      </c>
      <c r="JZ60" s="3">
        <f>IF(Mark!FK60&lt;&gt;"",Mark!FK60,JY60)</f>
        <v>0</v>
      </c>
      <c r="KA60" s="3">
        <f>JZ60*M60</f>
        <v>0</v>
      </c>
      <c r="KC60">
        <f>IF(VLOOKUP(E60,Afgr,Data!$CJ$3)&gt;0,VLOOKUP(E60,Afgr,Data!$CJ$3)*Data!$K$268*SaaJB2,0)*MaskJust</f>
        <v>0</v>
      </c>
      <c r="KD60" s="3">
        <f>IF(Mark!FQ60&lt;&gt;"",Mark!FQ60,KC60)</f>
        <v>0</v>
      </c>
      <c r="KE60" s="3">
        <f>KD60*M60</f>
        <v>0</v>
      </c>
      <c r="KG60">
        <f>IF(VLOOKUP(E60,Afgr,Data!$CI$3)&gt;0,VLOOKUP(E60,Afgr,Data!$CI$3)*Data!$K$269,0)*MaskJust</f>
        <v>0</v>
      </c>
      <c r="KH60" s="3">
        <f>IF(Mark!FW60&lt;&gt;"",Mark!FW60,KG60)</f>
        <v>0</v>
      </c>
      <c r="KI60" s="3">
        <f>KH60*M60</f>
        <v>0</v>
      </c>
      <c r="KK60">
        <f>IF(Markvand2=2,VLOOKUP($E60,Afgr,Data!$CY$3),0)</f>
        <v>0</v>
      </c>
      <c r="KL60">
        <f>IF(Mark!GC60&lt;&gt;"",Mark!GC60,$KK60)</f>
        <v>0</v>
      </c>
      <c r="KM60">
        <f>IF(AND(E60&gt;1,Markvand2=2),Vandmaskin+$KL60*Flytning/mmprgang+$KL60*Prisprmm,0)</f>
        <v>0</v>
      </c>
      <c r="KN60" s="3">
        <f>IF(Mark!GI60&lt;&gt;"",Mark!GI60,$KM60)</f>
        <v>0</v>
      </c>
      <c r="KO60" s="3">
        <f>KN60*M60</f>
        <v>0</v>
      </c>
      <c r="KQ60">
        <f>IF(VLOOKUP($E60,Afgr,Data!$CK$3)&gt;0,((1+Regn!$BI60/VLOOKUP($E60,Afgr,Data!$CK$3))/2)*VLOOKUP($E60,Afgr,Data!$CL$3)*VLOOKUP($E60,Afgr,Data!$CN$3)+VLOOKUP($E60,Afgr,Data!$CM$3),0)</f>
        <v>0</v>
      </c>
      <c r="KR60">
        <f>IF(VLOOKUP($E60,Afgr,Data!$CK$3)&gt;0,IF(AND($F60=2,$BW60&gt;0),Data!$K$271,0),0)</f>
        <v>0</v>
      </c>
      <c r="KS60">
        <f>IF(VLOOKUP($E60,Afgr,Data!$CK$3)&gt;0,(Regn!$BI60/VLOOKUP($E60,Afgr,Data!$CK$3))*VLOOKUP($E60,Afgr,Data!$CO$3)*VLOOKUP($E60,Afgr,Data!$CN$3),0)</f>
        <v>0</v>
      </c>
      <c r="KT60">
        <f>(KQ60+KR60+KS60)*MaskJust</f>
        <v>0</v>
      </c>
      <c r="KU60" s="3">
        <f>IF(Mark!GO60&lt;&gt;"",Mark!GO60,KT60)</f>
        <v>0</v>
      </c>
      <c r="KV60" s="3">
        <f>KU60*M60</f>
        <v>0</v>
      </c>
      <c r="KW60" s="3"/>
      <c r="KX60">
        <f>IF(AND($F60=1,VLOOKUP($E60,Afgr,Data!$CP$3)&gt;0),((1+$BY60/VLOOKUP($E60,Afgr,Data!$CP$3))/2)*VLOOKUP($E60,Afgr,Data!$CQ$3),0)</f>
        <v>0</v>
      </c>
      <c r="KY60">
        <f>IF(AND($F60=1,VLOOKUP($E60,Afgr,Data!$CP$3)&gt;0),($BY60/VLOOKUP($E60,Afgr,Data!$CP$3))*VLOOKUP($E60,Afgr,Data!$CR$3),0)</f>
        <v>0</v>
      </c>
      <c r="KZ60">
        <f>(KX60+KY60)*MaskJust</f>
        <v>0</v>
      </c>
      <c r="LA60" s="3">
        <f>IF(Mark!GU60&lt;&gt;"",Mark!GU60,KZ60)</f>
        <v>0</v>
      </c>
      <c r="LB60" s="3">
        <f>LA60*M60</f>
        <v>0</v>
      </c>
      <c r="LD60">
        <f>$BI60*VLOOKUP($E60,Afgr,Data!$CS$3)*IF($I60=1,VLOOKUP($E60,Afgr,Data!$CT$3),IF($I60=2,VLOOKUP($E60,Afgr,Data!$CU$3),0))</f>
        <v>0</v>
      </c>
      <c r="LE60" s="3">
        <f>IF(Mark!HD60&lt;&gt;"",Mark!HD60,LD60)</f>
        <v>0</v>
      </c>
      <c r="LF60" s="3">
        <f>LE60*M60</f>
        <v>0</v>
      </c>
      <c r="LH60">
        <f>VLOOKUP($G60,Efgr,Data!$AC$53)*UdsaedJust</f>
        <v>0</v>
      </c>
      <c r="LI60" s="3">
        <f>IF(Mark!$HL60&lt;&gt;"",Mark!$HL60,LH60)</f>
        <v>0</v>
      </c>
      <c r="LJ60" s="3">
        <f>LI60*M60</f>
        <v>0</v>
      </c>
      <c r="LL60" s="3">
        <f>IF(HdgVaerdi=1,($CM60-$CX60)*Npris,$CM60*Npris)</f>
        <v>0</v>
      </c>
      <c r="LM60" s="3">
        <f>LL60*M60</f>
        <v>0</v>
      </c>
      <c r="LO60">
        <f>$ET60</f>
        <v>0</v>
      </c>
      <c r="LP60">
        <f>IF(HdgDyreart=2,$CU60*NPforholdSvin,$CU60*NPforholdKvaeg)</f>
        <v>0</v>
      </c>
      <c r="LQ60">
        <f>IF($LO60&gt;$LP60,($LO60-$LP60),0)</f>
        <v>0</v>
      </c>
      <c r="LR60" s="3">
        <f>IF(HdgVaerdi=1,IF($LO60&gt;$LP60,($LO60-$LP60)*Ppris,0),$LO60*Ppris)</f>
        <v>0</v>
      </c>
      <c r="LS60" s="3">
        <f>LR60*M60</f>
        <v>0</v>
      </c>
      <c r="LU60">
        <f>$EW60</f>
        <v>0</v>
      </c>
      <c r="LV60">
        <f>IF(HdgDyreart=2,$CU60*NKforholdSvin,$CU60*NkforholdKvaeg)</f>
        <v>0</v>
      </c>
      <c r="LW60">
        <f>IF($LU60&gt;$LV60,($LU60-$LV60),0)</f>
        <v>0</v>
      </c>
      <c r="LX60" s="3">
        <f>IF(HdgVaerdi=1,IF($LU60&gt;$LV60,($LU60-$LV60)*Ppris,0),$LU60*Ppris)</f>
        <v>0</v>
      </c>
      <c r="LY60" s="3">
        <f>LX60*M60</f>
        <v>0</v>
      </c>
      <c r="MA60">
        <f>LL60+LR60+LX60</f>
        <v>0</v>
      </c>
      <c r="MB60" s="3">
        <f>IF(Mark!HR60&lt;&gt;"",Mark!HR60,$MA60)</f>
        <v>0</v>
      </c>
      <c r="MC60" s="3">
        <f>MB60*M60</f>
        <v>0</v>
      </c>
      <c r="ME60">
        <f>VLOOKUP($G60,Efgr,Data!$AE$53)*PlantevJust</f>
        <v>0</v>
      </c>
      <c r="MF60" s="3">
        <f>IF(Mark!HX60&lt;&gt;"",Mark!HX60,ME60)</f>
        <v>0</v>
      </c>
      <c r="MG60" s="3">
        <f>MF60*M60</f>
        <v>0</v>
      </c>
      <c r="MI60">
        <f>VLOOKUP($G60,Efgr,Data!$AF$53)+$DD60*VLOOKUP($G60,Efgr,Data!$AL$53)</f>
        <v>0</v>
      </c>
      <c r="MJ60" s="3">
        <f>IF(Mark!ID60&lt;&gt;"",Mark!ID60,MI60)</f>
        <v>0</v>
      </c>
      <c r="MK60" s="3">
        <f>MJ60*M60</f>
        <v>0</v>
      </c>
      <c r="MM60">
        <f>LI60+MB60+MF60+MJ60</f>
        <v>0</v>
      </c>
      <c r="MO60">
        <f>VLOOKUP($G60,Efgr,Data!$AU$53)*SaaJB2*MaskJust</f>
        <v>0</v>
      </c>
      <c r="MP60" s="3">
        <f>IF(Mark!IJ60&lt;&gt;"",Mark!IJ60,MO60)</f>
        <v>0</v>
      </c>
      <c r="MQ60" s="3">
        <f>MP60*M60</f>
        <v>0</v>
      </c>
      <c r="MS60">
        <f>VLOOKUP($G60,Efgr,Data!$AW$53)*Data!$K$268*SaaJB2*MaskJust</f>
        <v>0</v>
      </c>
      <c r="MT60" s="3">
        <f>IF(Mark!IP60&lt;&gt;"",Mark!IP60,MS60)</f>
        <v>0</v>
      </c>
      <c r="MU60" s="3">
        <f>MT60*M60</f>
        <v>0</v>
      </c>
      <c r="MW60">
        <f>VLOOKUP($G60,Efgr,Data!$AV$53)*Data!$K$269*MaskJust</f>
        <v>0</v>
      </c>
      <c r="MX60" s="3">
        <f>IF(Mark!IV60&lt;&gt;"",Mark!IV60,MW60)</f>
        <v>0</v>
      </c>
      <c r="MY60" s="3">
        <f>MX60*M60</f>
        <v>0</v>
      </c>
      <c r="NA60">
        <f>IF(Markvand2=2,VLOOKUP($G60,Efgr,Data!$BC$53),0)</f>
        <v>0</v>
      </c>
      <c r="NB60">
        <f>IF(Mark!JB60&lt;&gt;"",Mark!JB60,$NA60)</f>
        <v>0</v>
      </c>
      <c r="NC60">
        <f>IF(Markvand2=2,$NB60*Flytning/mmprgang+$NB60*Prisprmm,0)</f>
        <v>0</v>
      </c>
      <c r="ND60" s="3">
        <f>IF(Mark!JH60&lt;&gt;"",Mark!JH60,$NC60)</f>
        <v>0</v>
      </c>
      <c r="NE60" s="3">
        <f>ND60*M60</f>
        <v>0</v>
      </c>
      <c r="NG60">
        <f>IF(VLOOKUP($G60,Efgr,Data!$AX$53)&gt;0,((1+Regn!DD60/VLOOKUP($G60,Efgr,Data!$AX$53))/2)*VLOOKUP($G60,Efgr,Data!$AY$53)*VLOOKUP($G60,Efgr,Data!$BA$53)+VLOOKUP($G60,Efgr,Data!$AZ$53),0)</f>
        <v>0</v>
      </c>
      <c r="NH60">
        <f>IF(VLOOKUP($G60,Efgr,Data!$AX$53)&gt;0,($DD60/VLOOKUP($G60,Efgr,Data!$AX$53))*VLOOKUP($G60,Efgr,Data!$BB$53)*VLOOKUP($G60,Efgr,Data!$BA$53),0)</f>
        <v>0</v>
      </c>
      <c r="NI60">
        <f>(NG60+NH60)*MaskJust</f>
        <v>0</v>
      </c>
      <c r="NJ60" s="3">
        <f>IF(Mark!JN60&lt;&gt;"",Mark!JN60,NI60)</f>
        <v>0</v>
      </c>
      <c r="NK60" s="3">
        <f>NJ60*M60</f>
        <v>0</v>
      </c>
      <c r="NM60">
        <f>IF($H60=2,Data!$K$304,IF($H60=3,Data!$K$305,0))*MaskJust</f>
        <v>0</v>
      </c>
      <c r="NN60" s="3">
        <f>IF(Mark!JT60&lt;&gt;"",Mark!JT60,NM60)</f>
        <v>0</v>
      </c>
      <c r="NO60" s="3">
        <f>NN60*M60</f>
        <v>0</v>
      </c>
      <c r="NQ60">
        <f>HY60</f>
        <v>0</v>
      </c>
      <c r="NR60">
        <f>JJ60+MM60</f>
        <v>0</v>
      </c>
      <c r="NS60">
        <f>NQ60-NR60</f>
        <v>0</v>
      </c>
      <c r="NT60">
        <f>NS60*M60</f>
        <v>0</v>
      </c>
      <c r="NW60">
        <f>VLOOKUP($B60,Afgr,Data!$BP$3)+VLOOKUP($C60,Efgr,Data!$AM$53)</f>
        <v>0</v>
      </c>
      <c r="NX60" s="3">
        <f>NW60*M60</f>
        <v>0</v>
      </c>
      <c r="NY60">
        <f>VLOOKUP($E60,Afgr,Data!$BP$3)+VLOOKUP($G60,Efgr,Data!$AM$53)</f>
        <v>0</v>
      </c>
      <c r="NZ60" s="3">
        <f>NY60*M60</f>
        <v>0</v>
      </c>
      <c r="OB60">
        <f>VLOOKUP($C60,Efgr,Data!$AN$53)</f>
        <v>0</v>
      </c>
      <c r="OC60">
        <f>VLOOKUP($B60,Afgr,Data!$BQ$3)</f>
        <v>0</v>
      </c>
      <c r="OD60">
        <f>VLOOKUP($E60,Afgr,Data!$BR$3)</f>
        <v>1</v>
      </c>
      <c r="OE60">
        <f>OB60*OC60*OD60</f>
        <v>0</v>
      </c>
      <c r="OF60" s="3">
        <f>OE60*M60</f>
        <v>0</v>
      </c>
      <c r="OG60" s="3">
        <f>IF(D60,1,0)*OF60</f>
        <v>0</v>
      </c>
      <c r="OI60">
        <f>VLOOKUP($G60,Efgr,Data!$AN$53)</f>
        <v>0</v>
      </c>
      <c r="OJ60">
        <f>VLOOKUP($E60,Afgr,Data!$BQ$3)</f>
        <v>0</v>
      </c>
      <c r="OK60">
        <f>VLOOKUP($K60,Afgr,Data!$BR$3)</f>
        <v>1</v>
      </c>
      <c r="OL60">
        <f>OI60*OJ60*OK60</f>
        <v>0</v>
      </c>
      <c r="OM60" s="3">
        <f>OL60*M60</f>
        <v>0</v>
      </c>
      <c r="OO60">
        <f>VLOOKUP($G60,Efgr,Data!$AO$53)</f>
        <v>0</v>
      </c>
      <c r="OP60">
        <f>VLOOKUP($B60,Afgr,Data!$BQ$3)</f>
        <v>0</v>
      </c>
      <c r="OQ60">
        <f>VLOOKUP($E60,Afgr,Data!$BS$3)</f>
        <v>0</v>
      </c>
      <c r="OR60" s="3">
        <f>OO60*OP60*OQ60*$M60</f>
        <v>0</v>
      </c>
      <c r="OT60">
        <f>VLOOKUP($G60,Efgr,Data!$AO$53)</f>
        <v>0</v>
      </c>
      <c r="OU60">
        <f>VLOOKUP($E60,Afgr,Data!$BQ$3)</f>
        <v>0</v>
      </c>
      <c r="OV60">
        <f>VLOOKUP($K60,Afgr,Data!$BS$3)</f>
        <v>0</v>
      </c>
      <c r="OW60" s="3">
        <f>OT60*OU60*OV60*$M60</f>
        <v>0</v>
      </c>
      <c r="OX60" s="3"/>
      <c r="OY60" s="3">
        <f>VLOOKUP($B60,Afgr,Data!$BU$3)</f>
        <v>0</v>
      </c>
      <c r="OZ60" s="3">
        <f>OY60*M60</f>
        <v>0</v>
      </c>
      <c r="PA60" s="3">
        <f>VLOOKUP($E60,Afgr,Data!$BU$3)</f>
        <v>0</v>
      </c>
      <c r="PB60" s="3">
        <f>PA60*M60</f>
        <v>0</v>
      </c>
      <c r="PD60">
        <f>VLOOKUP(E60,Afgr,Data!$BX$3)+VLOOKUP(G60,Efgr,Data!$AQ$53)</f>
        <v>0</v>
      </c>
      <c r="PE60">
        <f>IF(PD60&gt;0,M60,0)</f>
        <v>0</v>
      </c>
      <c r="PG60">
        <f>VLOOKUP($B60,Afgr,Data!$BT$3)</f>
        <v>0</v>
      </c>
      <c r="PH60" s="3">
        <f>PG60*M60</f>
        <v>0</v>
      </c>
      <c r="PI60">
        <f>VLOOKUP($E60,Afgr,Data!$BT$3)</f>
        <v>0</v>
      </c>
      <c r="PJ60" s="3">
        <f>PI60*M60</f>
        <v>0</v>
      </c>
      <c r="PL60">
        <f>VLOOKUP($E60,Afgr,Data!$BV$3)</f>
        <v>0</v>
      </c>
      <c r="PM60">
        <f>PL60*M60</f>
        <v>0</v>
      </c>
      <c r="PO60">
        <f>VLOOKUP($E60,Afgr,Data!$BW$3)</f>
        <v>0</v>
      </c>
      <c r="PP60">
        <f>PO60*M60</f>
        <v>0</v>
      </c>
      <c r="PR60">
        <f>BI60*IF(VLOOKUP($E60,Afgr,Data!$BJ$3)&gt;0,1,0)</f>
        <v>0</v>
      </c>
      <c r="PS60">
        <f>PR60*M60</f>
        <v>0</v>
      </c>
      <c r="PU60">
        <f>BI60*VLOOKUP(E60,Afgr,Data!$BK$3)</f>
        <v>0</v>
      </c>
      <c r="PV60">
        <f>M60*PU60</f>
        <v>0</v>
      </c>
      <c r="PW60">
        <f>$BI60*VLOOKUP($E60,Afgr,Data!$BL$3)+$DD60*VLOOKUP($G60,Efgr,Data!$AP$53)</f>
        <v>0</v>
      </c>
      <c r="PX60">
        <f>PW60*M60</f>
        <v>0</v>
      </c>
      <c r="PY60">
        <f>$BI60*VLOOKUP($E60,Afgr,Data!$BM$3)</f>
        <v>0</v>
      </c>
      <c r="PZ60">
        <f>PY60*M60</f>
        <v>0</v>
      </c>
      <c r="QA60">
        <f>$BI60*VLOOKUP($E60,Afgr,Data!$BN$3)</f>
        <v>0</v>
      </c>
      <c r="QB60">
        <f>QA60*M60</f>
        <v>0</v>
      </c>
      <c r="QE60">
        <f>IF(VLOOKUP($E60,Afgr,Data!$DA$3)="Vårbyg",$BJ60,0)*VLOOKUP($E60,Afgr,Data!$BJ$3)</f>
        <v>0</v>
      </c>
      <c r="QF60">
        <f>IF(VLOOKUP($E60,Afgr,Data!$DA$3)="Vinterbyg",$BJ60,0)*VLOOKUP($E60,Afgr,Data!$BJ$3)</f>
        <v>0</v>
      </c>
      <c r="QG60">
        <f>IF(VLOOKUP($E60,Afgr,Data!$DA$3)="Havre",$BJ60,0)*VLOOKUP($E60,Afgr,Data!$BJ$3)</f>
        <v>0</v>
      </c>
      <c r="QH60">
        <f>IF(VLOOKUP($E60,Afgr,Data!$DA$3)="Hvede",$BJ60,0)*VLOOKUP($E60,Afgr,Data!$BJ$3)</f>
        <v>0</v>
      </c>
      <c r="QI60">
        <f>IF(VLOOKUP($E60,Afgr,Data!$DA$3)="Triticale",$BJ60,0)*VLOOKUP($E60,Afgr,Data!$BJ$3)</f>
        <v>0</v>
      </c>
      <c r="QJ60">
        <f>IF(VLOOKUP($E60,Afgr,Data!$DA$3)="Rug",$BJ60,0)*VLOOKUP($E60,Afgr,Data!$BJ$3)</f>
        <v>0</v>
      </c>
      <c r="QK60">
        <f>IF(VLOOKUP($E60,Afgr,Data!$DA$3)="Majs",$BJ60,0)*VLOOKUP($E60,Afgr,Data!$BJ$3)</f>
        <v>0</v>
      </c>
      <c r="QN60">
        <f>IF(OI60+OO60&gt;0,1,0)</f>
        <v>0</v>
      </c>
      <c r="QO60">
        <f>QN60*LJ60</f>
        <v>0</v>
      </c>
      <c r="QP60">
        <f>QN60*MG60</f>
        <v>0</v>
      </c>
      <c r="QQ60">
        <f>MQ60</f>
        <v>0</v>
      </c>
      <c r="QR60">
        <f>QN60*NO60</f>
        <v>0</v>
      </c>
    </row>
    <row r="61" spans="1:460" x14ac:dyDescent="0.25">
      <c r="GG61" s="12"/>
    </row>
    <row r="62" spans="1:460" x14ac:dyDescent="0.25">
      <c r="A62">
        <f>A60+1</f>
        <v>4</v>
      </c>
      <c r="B62">
        <v>1</v>
      </c>
      <c r="C62">
        <v>1</v>
      </c>
      <c r="D62" t="b">
        <v>0</v>
      </c>
      <c r="E62">
        <v>1</v>
      </c>
      <c r="F62">
        <v>1</v>
      </c>
      <c r="G62">
        <v>1</v>
      </c>
      <c r="H62">
        <v>1</v>
      </c>
      <c r="I62">
        <v>1</v>
      </c>
      <c r="K62">
        <v>1</v>
      </c>
      <c r="M62">
        <f>IF(ISERROR(N62*Areal2/$N$72),0,N62*Areal2/$N$72)</f>
        <v>0</v>
      </c>
      <c r="N62">
        <f>Mark!Z62</f>
        <v>0</v>
      </c>
      <c r="P62">
        <f>VLOOKUP($E62,Afgr,NnormKolonneNr2)</f>
        <v>0</v>
      </c>
      <c r="Q62">
        <f>VLOOKUP($B62,Afgr,Data!$AI$3)*VLOOKUP(E62,Afgr,Data!$AJ$3)</f>
        <v>0</v>
      </c>
      <c r="R62">
        <f>IF($D62,0,VLOOKUP($C62,Efgr,(Data!$W$53+$G$28-1)))</f>
        <v>0</v>
      </c>
      <c r="S62">
        <f>P62-Q62-R62</f>
        <v>0</v>
      </c>
      <c r="T62">
        <f>S62*M62</f>
        <v>0</v>
      </c>
      <c r="U62">
        <f>IF(Nmodel12=1,S62*Nniveau12*0.01,AO62)</f>
        <v>0</v>
      </c>
      <c r="V62" s="3">
        <f>IF(Mark!CI62&lt;&gt;"",Mark!CI62,U62)</f>
        <v>0</v>
      </c>
      <c r="W62" s="3">
        <f>V62*M62</f>
        <v>0</v>
      </c>
      <c r="Y62">
        <f>S62/NoptFaktor</f>
        <v>0</v>
      </c>
      <c r="Z62" s="3">
        <f>IF(Mark!BZ62&lt;&gt;"",Mark!BZ62,Y62)</f>
        <v>0</v>
      </c>
      <c r="AB62">
        <f>VLOOKUP($E62,Afgr,Data!$DE$3)</f>
        <v>0</v>
      </c>
      <c r="AC62">
        <f>VLOOKUP($E62,Afgr,Data!$DD$3)</f>
        <v>0</v>
      </c>
      <c r="AD62">
        <f>VLOOKUP($E62,Afgr,Data!$DC$3)</f>
        <v>0</v>
      </c>
      <c r="AE62">
        <f>IF(ISERROR($Z62+(-PrisN/$AD62-$AB62)/(2*$AC62)),0,($Z62+(-PrisN/$AD62-$AB62)/(2*$AC62)))</f>
        <v>0</v>
      </c>
      <c r="AF62">
        <f>($BD62+$BE62+$BF62)*1.03333</f>
        <v>0</v>
      </c>
      <c r="AG62">
        <f>$AF62-($AB62*($AE62-$Z62)+$AC62*($AE62-$Z62)^2)</f>
        <v>0</v>
      </c>
      <c r="AH62">
        <f>IF(Nmodel12=1,$AB62*($AE62-$S62)+$AC62*($AE62-$S62)^2,$AB62*($AE62-$AO62)+$AC62*($AE62-$AO62)^2)</f>
        <v>0</v>
      </c>
      <c r="AI62">
        <f>IF(Nmodel12=1,$AB62*($AE62-$V62)+$AC62*($AE62-$V62)^2,$AB62*($AE62-AO62)+$AC62*($AE62-AO62)^2)</f>
        <v>0</v>
      </c>
      <c r="AJ62">
        <f>AG62+AH62-BG62</f>
        <v>0</v>
      </c>
      <c r="AK62">
        <f>AG62+AI62-AJ62</f>
        <v>0</v>
      </c>
      <c r="AM62">
        <f>VLOOKUP(E62,Afgr,Data!$DF$3+SandLer2)</f>
        <v>0</v>
      </c>
      <c r="AN62">
        <f>IF(ISERROR(((-(PrisN+Pantafgift)+AM62*Pantfaktor*Pantafgift)/AD62-AB62)/(2*AC62)),0,((-(PrisN+Pantafgift)+AM62*Pantfaktor*Pantafgift)/AD62-AB62)/(2*AC62))</f>
        <v>0</v>
      </c>
      <c r="AO62">
        <f>AE62-AN62</f>
        <v>0</v>
      </c>
      <c r="AQ62">
        <f>IF(AT62&gt;0,0,W62)</f>
        <v>0</v>
      </c>
      <c r="AR62">
        <f>IF(ISERROR(W62*HdgNTilFordeling12/NnormIaltFordel12),0,W62*HdgNTilFordeling12/NnormIaltFordel12)</f>
        <v>0</v>
      </c>
      <c r="AS62">
        <f>IF(ISERROR($AR62/$M62),0,$AR62/$M62)</f>
        <v>0</v>
      </c>
      <c r="AT62">
        <f>IF(Mark!CO62&lt;&gt;"",Mark!CO62,0)</f>
        <v>0</v>
      </c>
      <c r="AU62">
        <f>$AT62*$M62</f>
        <v>0</v>
      </c>
      <c r="AV62" s="3">
        <f>IF(AT62&gt;0,AT62,AS62)</f>
        <v>0</v>
      </c>
      <c r="AW62" s="3">
        <f>AV62*M62</f>
        <v>0</v>
      </c>
      <c r="AY62">
        <f>UdnKrav*$AV62/100</f>
        <v>0</v>
      </c>
      <c r="BA62">
        <f>AV62*VLOOKUP($E62,Afgr,Data!$DJ$3)</f>
        <v>0</v>
      </c>
      <c r="BB62">
        <f>UdnKrav*$BA62/100</f>
        <v>0</v>
      </c>
      <c r="BD62">
        <f>VLOOKUP(E62,Afgr,NormudbKolonneNr2)</f>
        <v>0</v>
      </c>
      <c r="BE62">
        <f>VLOOKUP(B62,Afgr,Data!$AL$3)*VLOOKUP(E62,Afgr,MerudbKolonneNr2)</f>
        <v>0</v>
      </c>
      <c r="BF62">
        <f>VLOOKUP(C62,Efgr,(Data!$Y$53+EftervirkningUdb2))</f>
        <v>0</v>
      </c>
      <c r="BG62">
        <f>BD62+BE62+BF62</f>
        <v>0</v>
      </c>
      <c r="BH62">
        <f>IF(OR(V62&lt;&gt;S62,Nmodel12=2),AK62,BD62+BE62+BF62)</f>
        <v>0</v>
      </c>
      <c r="BI62" s="3">
        <f>IF(Mark!AK62&lt;&gt;"",Mark!AK62,BH62)</f>
        <v>0</v>
      </c>
      <c r="BJ62">
        <f>BI62*M62</f>
        <v>0</v>
      </c>
      <c r="BK62">
        <f>VLOOKUP(E62,Afgr,3)</f>
        <v>0</v>
      </c>
      <c r="BL62">
        <f>IF(BK62="FE",VLOOKUP($E62,Afgr,Data!$AV$3),0)</f>
        <v>0</v>
      </c>
      <c r="BN62">
        <f>VLOOKUP(E62,Afgr,4)</f>
        <v>0</v>
      </c>
      <c r="BO62" s="3">
        <f>IF(Mark!AW62&lt;&gt;"",Mark!AW62,Regn!BN62)</f>
        <v>0</v>
      </c>
      <c r="BP62" s="3">
        <f>BI62*BO62</f>
        <v>0</v>
      </c>
      <c r="BQ62" s="3">
        <f>BJ62*BO62</f>
        <v>0</v>
      </c>
      <c r="BS62">
        <f>VLOOKUP(E62,Afgr,Data!$AN$3)</f>
        <v>0</v>
      </c>
      <c r="BT62" s="3">
        <f>IF(Mark!BC62&lt;&gt;"",Mark!BC62,BS62)</f>
        <v>0</v>
      </c>
      <c r="BU62" s="3">
        <f>BT62*M62</f>
        <v>0</v>
      </c>
      <c r="BW62">
        <f>VLOOKUP(E62,Afgr,HalmudbKolonneNr2)</f>
        <v>0</v>
      </c>
      <c r="BX62">
        <f>IF(ISERROR(BW62*BI62/BG62),0,(BW62*BI62/BG62))</f>
        <v>0</v>
      </c>
      <c r="BY62" s="3">
        <f>IF(Mark!BI62&lt;&gt;"",Mark!BI62,BX62)</f>
        <v>0</v>
      </c>
      <c r="BZ62">
        <f>BY62*M62</f>
        <v>0</v>
      </c>
      <c r="CC62">
        <f>IF($F62=1,BY62,0)</f>
        <v>0</v>
      </c>
      <c r="CD62">
        <f>IF(F62=1,BZ62,0)</f>
        <v>0</v>
      </c>
      <c r="CE62">
        <f>VLOOKUP(E62,Afgr,Data!$AM$3)</f>
        <v>0</v>
      </c>
      <c r="CF62">
        <f>IF(Mark!BR62&lt;&gt;"",Mark!BR62,CE62)</f>
        <v>0</v>
      </c>
      <c r="CG62">
        <f>CC62*CF62</f>
        <v>0</v>
      </c>
      <c r="CH62">
        <f>CD62*CF62</f>
        <v>0</v>
      </c>
      <c r="CJ62">
        <f>VLOOKUP($G62,Efgr,NnormKolonneEfgr2)</f>
        <v>0</v>
      </c>
      <c r="CK62">
        <f>CJ62*M62</f>
        <v>0</v>
      </c>
      <c r="CL62">
        <f>CJ62*Nniveau12*0.01</f>
        <v>0</v>
      </c>
      <c r="CM62" s="3">
        <f>IF(Mark!DM62&lt;&gt;"",Mark!DM62,CL62)</f>
        <v>0</v>
      </c>
      <c r="CN62" s="3">
        <f>$CM62*$M62</f>
        <v>0</v>
      </c>
      <c r="CP62">
        <f>IF(CS62&gt;0,0,CN62)</f>
        <v>0</v>
      </c>
      <c r="CQ62">
        <f>IF(ISERROR(CN62*HdgNTilFordeling12/NnormIaltFordel12),0,CN62*HdgNTilFordeling12/NnormIaltFordel12)</f>
        <v>0</v>
      </c>
      <c r="CR62">
        <f>IF(ISERROR($CQ62/$M62),0,$CQ62/$M62)</f>
        <v>0</v>
      </c>
      <c r="CS62">
        <f>IF(Mark!DS62&lt;&gt;"",Mark!DS62,0)</f>
        <v>0</v>
      </c>
      <c r="CT62">
        <f>$CS62*$M62</f>
        <v>0</v>
      </c>
      <c r="CU62" s="3">
        <f>IF($CS62&gt;0,$CS62,$CR62)</f>
        <v>0</v>
      </c>
      <c r="CV62" s="3">
        <f>CU62*M62</f>
        <v>0</v>
      </c>
      <c r="CX62">
        <f>UdnKrav*$CU62/100</f>
        <v>0</v>
      </c>
      <c r="CZ62">
        <f>$CU62*VLOOKUP($G62,Efgr,Data!$BG$53)</f>
        <v>0</v>
      </c>
      <c r="DA62">
        <f>UdnKrav*$CZ62/100</f>
        <v>0</v>
      </c>
      <c r="DC62">
        <f>VLOOKUP(G62,Efgr,NormudbKolonneNrEfgr2)</f>
        <v>0</v>
      </c>
      <c r="DD62" s="3">
        <f>IF(Mark!DC62&lt;&gt;"",Mark!DC62,DC62)</f>
        <v>0</v>
      </c>
      <c r="DE62">
        <f>DD62*M62</f>
        <v>0</v>
      </c>
      <c r="DF62" t="s">
        <v>37</v>
      </c>
      <c r="DG62">
        <f>DD62*Efterslaetpris</f>
        <v>0</v>
      </c>
      <c r="DH62">
        <f>DE62*Efterslaetpris</f>
        <v>0</v>
      </c>
      <c r="DI62">
        <f>VLOOKUP(G62,Efgr,Data!$AG$53)</f>
        <v>0</v>
      </c>
      <c r="DJ62">
        <f>DD62*DI62</f>
        <v>0</v>
      </c>
      <c r="DL62">
        <f>VLOOKUP($E62,Afgr,Data!$AW$3)</f>
        <v>0</v>
      </c>
      <c r="DM62">
        <f>IF(BK62="FE",$BI62*$BL62*$DL62*0.01,$BI62*100*$DR62*0.01*$DL62*0.01)</f>
        <v>0</v>
      </c>
      <c r="DN62">
        <f>IF(VLOOKUP(E62,Afgr,Data!$BO$3)=1,DM62,0)*M62</f>
        <v>0</v>
      </c>
      <c r="DO62" s="12">
        <f>IF(Nmodel12=1,(V62-S62)*VLOOKUP($E62,Afgr,Data!$AX$3),(AO62-S62)*VLOOKUP(E62,Afgr,Data!$AX$3))</f>
        <v>0</v>
      </c>
      <c r="DP62">
        <f>DL62+DO62</f>
        <v>0</v>
      </c>
      <c r="DQ62">
        <f>IF(Mark!AQ62&lt;&gt;"",Mark!AQ62,DP62)</f>
        <v>0</v>
      </c>
      <c r="DR62">
        <f>VLOOKUP(E62,Afgr,Data!$AT$3)</f>
        <v>0</v>
      </c>
      <c r="DS62">
        <f>IF($BK62="FE",$BI62*$BL62*$DQ62*0.01,$BI62*100*$DR62*0.01*DQ62*0.01)</f>
        <v>0</v>
      </c>
      <c r="DT62">
        <f>IF(VLOOKUP(E62,Afgr,Data!$BO$3)=1,DS62,0)*M62</f>
        <v>0</v>
      </c>
      <c r="DU62">
        <f>IF(ISERROR(DS62/VLOOKUP(E62,Afgr,Data!$AY$3)),0,DS62/VLOOKUP(E62,Afgr,Data!$AY$3))</f>
        <v>0</v>
      </c>
      <c r="DV62">
        <f>DU62*M62</f>
        <v>0</v>
      </c>
      <c r="DX62">
        <f>IF($BK62="FE",$BI62*$BL62*VLOOKUP($E62,Afgr,Data!$BC$3)*0.001,$BI62*100*$DR62*0.01*VLOOKUP($E62,Afgr,Data!$BC$3)*0.001)</f>
        <v>0</v>
      </c>
      <c r="DY62">
        <f>DX62*M62</f>
        <v>0</v>
      </c>
      <c r="EA62">
        <f>IF($BK62="FE",$BI62*$BL62*VLOOKUP($E62,Afgr,Data!$BF$3)*0.001,$BI62*100*$DR62*0.01*VLOOKUP($E62,Afgr,Data!$BF$3)*0.001)</f>
        <v>0</v>
      </c>
      <c r="EB62">
        <f>EA62*M62</f>
        <v>0</v>
      </c>
      <c r="ED62">
        <f>IF(ISERROR(VLOOKUP(E62,Afgr,Data!$AZ$3)*DQ62/DL62),0,VLOOKUP(E62,Afgr,Data!$AZ$3)*DQ62/DL62)</f>
        <v>0</v>
      </c>
      <c r="EE62">
        <f>VLOOKUP(E62,Afgr,Data!$AU$3)</f>
        <v>0</v>
      </c>
      <c r="EF62">
        <f>IF($F62=1,$BY62*$EE62*0.01*ED62*0.01,0)</f>
        <v>0</v>
      </c>
      <c r="EG62">
        <f>EF62/6.25</f>
        <v>0</v>
      </c>
      <c r="EH62">
        <f>EG62*M62</f>
        <v>0</v>
      </c>
      <c r="EJ62">
        <f>IF($F62=1,$BY62*$EE62*0.01*VLOOKUP($E62,Afgr,Data!$BD$3)*0.001,0)</f>
        <v>0</v>
      </c>
      <c r="EK62">
        <f>EJ62*M62</f>
        <v>0</v>
      </c>
      <c r="EM62">
        <f>IF($F62=1,$BY62*$EE62*0.01*VLOOKUP($E62,Afgr,Data!$BG$3)*0.001,0)</f>
        <v>0</v>
      </c>
      <c r="EN62">
        <f>EM62*M62</f>
        <v>0</v>
      </c>
      <c r="EP62">
        <f>VLOOKUP(G62,Efgr,Data!$AI$53)</f>
        <v>0</v>
      </c>
      <c r="EQ62">
        <f>DJ62*EP62*0.01/6.25</f>
        <v>0</v>
      </c>
      <c r="ER62">
        <f>EQ62*M62</f>
        <v>0</v>
      </c>
      <c r="ET62">
        <f>$DJ62*VLOOKUP($G62,Efgr,Data!$AJ$53)*0.001</f>
        <v>0</v>
      </c>
      <c r="EU62">
        <f>ET62*M62</f>
        <v>0</v>
      </c>
      <c r="EW62">
        <f>$DJ62*VLOOKUP($G62,Efgr,Data!$AK$53)*0.001</f>
        <v>0</v>
      </c>
      <c r="EX62">
        <f>EW62*M62</f>
        <v>0</v>
      </c>
      <c r="EZ62">
        <f>IF(VLOOKUP(E62,Afgr,Data!$DS$3)=1,DU62*VLOOKUP(E62,Afgr,(Data!$DT$3+EftervirkningUdb2))*VLOOKUP(E62,Afgr,Data!$DV$3),0)</f>
        <v>0</v>
      </c>
      <c r="FA62">
        <f>IF(VLOOKUP(E62,Afgr,Data!$DS$3)=2,VLOOKUP(E62,Afgr,Data!$DX$3),0)</f>
        <v>0</v>
      </c>
      <c r="FB62">
        <f>IF(VLOOKUP(E62,Afgr,Data!$DS$3)=3,$DU62*VLOOKUP($E62,Afgr,IF(Jordtype2&lt;5,Data!$DT$3,Data!$DU$3))*VLOOKUP($E62,Afgr,Data!$DV$3),0)</f>
        <v>0</v>
      </c>
      <c r="FC62">
        <f>IF(VLOOKUP(E62,Afgr,Data!$DS$3)=4,(1.232+0.00469*BI62*100+(0.000256*BI62*100+0.089)*60),0)</f>
        <v>0</v>
      </c>
      <c r="FD62">
        <f>$V62+IF($AY62-$BB62&gt;$V62,$AY62-$V62,0)-$BB62</f>
        <v>0</v>
      </c>
      <c r="FE62">
        <f>IF(VLOOKUP($E62,Afgr,Data!$DS$3)=5,($BI62*0.02742-$BI62*0.0001*$FD62+$BI62*0.0000001111*$FD62*$FD62),0)</f>
        <v>0</v>
      </c>
      <c r="FF62">
        <f>$CM62+IF($CX62-$DA62&gt;$CM62,$CX62-$CM62,0)-$DA62</f>
        <v>0</v>
      </c>
      <c r="FG62">
        <f>IF(VLOOKUP($G62,Efgr,Data!$BH$53)=5,($DD62*0.02742-$DD62*0.0001*$FF62+$DD62*0.0000001111*$FF62*$FF62),0)</f>
        <v>0</v>
      </c>
      <c r="FH62" s="3">
        <f>EZ62+FA62+FB62+FC62+FE62+FG62</f>
        <v>0</v>
      </c>
      <c r="FI62" s="3">
        <f>FH62*M62</f>
        <v>0</v>
      </c>
      <c r="FK62">
        <f>$V62+$CM62</f>
        <v>0</v>
      </c>
      <c r="FL62">
        <f>($AV62-$AY62)+IF($AY62&gt;$V62,$AY62-$V62,0)+($CU62-$CX62)+IF($CX62&gt;$CM62,$CX62-$CM62,0)</f>
        <v>0</v>
      </c>
      <c r="FM62">
        <f>VLOOKUP($E62,Afgr,Data!$DK$3)*VLOOKUP($E62,Afgr,Data!$AT$3)*0.01*VLOOKUP($E62,Afgr,Data!$AW$3)*0.01/6.25</f>
        <v>0</v>
      </c>
      <c r="FN62" s="4">
        <f>IF(E62&gt;1,Deposition,0)</f>
        <v>0</v>
      </c>
      <c r="FO62">
        <f>FH62</f>
        <v>0</v>
      </c>
      <c r="FP62">
        <f>SUM(FK62:FO62)</f>
        <v>0</v>
      </c>
      <c r="FQ62">
        <f>DU62+EG62+EQ62</f>
        <v>0</v>
      </c>
      <c r="FR62" s="3">
        <f>FP62-FQ62</f>
        <v>0</v>
      </c>
      <c r="FS62" s="19">
        <f>FP62*M62</f>
        <v>0</v>
      </c>
      <c r="FT62" s="19">
        <f>FQ62*M62</f>
        <v>0</v>
      </c>
      <c r="FU62" s="3">
        <f>FR62*M62</f>
        <v>0</v>
      </c>
      <c r="FW62">
        <f>IL62+IM62+LP62+LQ62</f>
        <v>0</v>
      </c>
      <c r="FX62">
        <f>IK62+LO62</f>
        <v>0</v>
      </c>
      <c r="FY62">
        <f>FW62-FX62</f>
        <v>0</v>
      </c>
      <c r="FZ62">
        <f>FY62*M62</f>
        <v>0</v>
      </c>
      <c r="GB62">
        <f>IS62+IT62+LV62+LW62</f>
        <v>0</v>
      </c>
      <c r="GC62">
        <f>IR62+LU62</f>
        <v>0</v>
      </c>
      <c r="GD62">
        <f>GB62-GC62</f>
        <v>0</v>
      </c>
      <c r="GE62">
        <f>GD62*M62</f>
        <v>0</v>
      </c>
      <c r="GG62" s="149">
        <f>IF(OR(VLOOKUP(E62,Afgr,Data!$BV$3)=1,VLOOKUP(E62,Afgr,Data!$BW$3)=1),0,NniveauDelsaedsk2)</f>
        <v>0</v>
      </c>
      <c r="GH62" s="1">
        <v>0.32550000000000001</v>
      </c>
      <c r="GI62" s="6">
        <v>0</v>
      </c>
      <c r="GJ62" s="24">
        <f>IF(($V62-BB62+$CM62-DA62)&lt;0,0,$V62-BB62+$CM62-DA62)</f>
        <v>0</v>
      </c>
      <c r="GK62" s="6">
        <f>$FO62</f>
        <v>0</v>
      </c>
      <c r="GL62" s="1">
        <v>0.25280000000000002</v>
      </c>
      <c r="GM62">
        <f>$BA62+$CZ62</f>
        <v>0</v>
      </c>
      <c r="GN62" s="1">
        <v>0.376</v>
      </c>
      <c r="GO62" s="6">
        <v>0</v>
      </c>
      <c r="GP62" s="1">
        <f>IF(SandLer2&gt;1,0.3539,1.0749)</f>
        <v>0.35389999999999999</v>
      </c>
      <c r="GQ62" s="11">
        <f>$FQ62</f>
        <v>0</v>
      </c>
      <c r="GR62" s="1">
        <v>0.19359999999999999</v>
      </c>
      <c r="GS62" s="1">
        <f>VLOOKUP($E62,Afgr,Data!$DM$3)</f>
        <v>0</v>
      </c>
      <c r="GT62" s="24">
        <f>IF($GS62&gt;1,0,(VLOOKUP($K62,Afgr,Data!$DP$3)+IF(VLOOKUP($K62,Afgr,Data!$DP$3)=0,VLOOKUP($G62,Efgr,Data!$BI$53,0))))+IF(AND($GS62=7,VLOOKUP($K62,Afgr,Data!$DQ$3)=-2),-2,0)+IF(AND($GS62=6,VLOOKUP($G62,Efgr,Data!$BI$53)=2),8,0)</f>
        <v>0</v>
      </c>
      <c r="GU62" s="6" t="e">
        <f>VLOOKUP(SUM(GS62:GT62),Nlesafgr,3)</f>
        <v>#N/A</v>
      </c>
      <c r="GV62" s="7">
        <f>VLOOKUP($B62,Afgr,Data!$DN$3)</f>
        <v>0</v>
      </c>
      <c r="GW62" s="24">
        <f>IF(GV62&gt;1,0,VLOOKUP($E62,Afgr,Data!$DO$3)+IF(VLOOKUP($E62,Afgr,Data!$DO$3)=1,0,VLOOKUP($C62,Efgr,Data!$BJ$53)))</f>
        <v>0</v>
      </c>
      <c r="GX62" s="6" t="e">
        <f>VLOOKUP(SUM(GV62:GW62),Nlesforfrugt,3)</f>
        <v>#N/A</v>
      </c>
      <c r="GY62" s="1" t="e">
        <f>GH62*GG62+GL62*(GJ62+GK62)+GN62*GM62+GP62*GO62-GR62*GQ62+GU62+GX62</f>
        <v>#N/A</v>
      </c>
      <c r="GZ62" s="1">
        <f>Nlesafskaering</f>
        <v>59.6</v>
      </c>
      <c r="HA62" s="1">
        <f>Teknologi1</f>
        <v>2455</v>
      </c>
      <c r="HB62" s="6">
        <v>2001</v>
      </c>
      <c r="HC62" s="1">
        <f>Teknologi2</f>
        <v>1962.2</v>
      </c>
      <c r="HD62" s="1">
        <f>Tandel</f>
        <v>0.54659999999999997</v>
      </c>
      <c r="HE62" s="1" t="e">
        <f>IF(OR(GY62&gt;0,GY62=0),GZ62+HA62/(HB62-HC62),GZ62+HA62/(HB62-HC62)+HD62*GY62)</f>
        <v>#N/A</v>
      </c>
      <c r="HF62" s="1" t="e">
        <f>IF(GY62&gt;0,GY62,0.001)</f>
        <v>#N/A</v>
      </c>
      <c r="HG62" s="1">
        <v>1.5020000000000001E-3</v>
      </c>
      <c r="HH62" s="24">
        <f>IF(E62=1,0,VLOOKUP(Postnr,AfstromData,VLOOKUP($E62,Afgr,Data!$DL$3)+IF(Jordtype1&lt;7,Jordtype1,6),FALSE)-VLOOKUP(G62,Efgr,Data!$AA$53))</f>
        <v>0</v>
      </c>
      <c r="HI62" s="1">
        <v>5.5400000000000002E-4</v>
      </c>
      <c r="HJ62" s="24">
        <f>IF(E62=1,0,VLOOKUP(Postnr,AfstromData,VLOOKUP($B62,Afgr,Data!$DL$3)+IF(Jordtype1&lt;7,Jordtype1,6),FALSE)-VLOOKUP(C62,Efgr,Data!$AA$53))</f>
        <v>0</v>
      </c>
      <c r="HK62" s="1">
        <v>0.10639999999999999</v>
      </c>
      <c r="HL62" s="6">
        <f>VLOOKUP(Jordtype2,Jordtype,Data!$W$112)</f>
        <v>3</v>
      </c>
      <c r="HM62" s="1">
        <v>3.2500000000000001E-2</v>
      </c>
      <c r="HN62" s="6">
        <f>VLOOKUP(Jordtype2,Jordtype,Data!$X$112)</f>
        <v>12</v>
      </c>
      <c r="HO62" s="1">
        <v>1.2453000000000001</v>
      </c>
      <c r="HP62" s="1">
        <f>IF(VLOOKUP(G62,Efgr,Data!$AO$53)=1,MlafgrNUdvask,0)</f>
        <v>0</v>
      </c>
      <c r="HQ62" s="20">
        <f>IF(ISERROR((HE62+POWER(HF62,1.2))*(1-EXP(-HG62*HH62))*EXP(-HI62*HJ62)*EXP(-HK62*HL62)*EXP(-HM62*HN62)*HO62),0,(HE62+POWER(HF62,1.2))*(1-EXP(-HG62*HH62))*EXP(-HI62*HJ62)*EXP(-HK62*HL62)*EXP(-HM62*HN62)*HO62+HP62)</f>
        <v>0</v>
      </c>
      <c r="HR62">
        <f>HQ62*M62</f>
        <v>0</v>
      </c>
      <c r="HS62">
        <f>HQ62*(100-Retention2)*0.01</f>
        <v>0</v>
      </c>
      <c r="HT62">
        <f>HS62*M62</f>
        <v>0</v>
      </c>
      <c r="HU62" s="2">
        <f>HH62*10000</f>
        <v>0</v>
      </c>
      <c r="HV62" s="2">
        <f>HU62*M62</f>
        <v>0</v>
      </c>
      <c r="HW62">
        <f>IF(ISERROR(HQ62*1000*1000/HU62),0,HQ62*1000*1000/HU62)</f>
        <v>0</v>
      </c>
      <c r="HY62">
        <f>BP62+BT62+CG62+DG62</f>
        <v>0</v>
      </c>
      <c r="IB62">
        <f>VLOOKUP(E62,Afgr,Data!$AP$3)*UdsaedJust</f>
        <v>0</v>
      </c>
      <c r="IC62" s="3">
        <f>IF(Mark!EG62&lt;&gt;"",Mark!EG62,Regn!IB62)</f>
        <v>0</v>
      </c>
      <c r="ID62" s="3">
        <f>IC62*M62</f>
        <v>0</v>
      </c>
      <c r="IF62" s="3">
        <f>IF(HdgVaerdi=1,($V62-$AY62)*Npris,$V62*Npris)</f>
        <v>0</v>
      </c>
      <c r="IG62" s="3">
        <f>IF62*M62</f>
        <v>0</v>
      </c>
      <c r="II62">
        <f>VLOOKUP($E62,Afgr,Data!$BA$3)</f>
        <v>0</v>
      </c>
      <c r="IJ62">
        <f>VLOOKUP($E62,Afgr,Data!$BB$3)</f>
        <v>0</v>
      </c>
      <c r="IK62">
        <f>$DX62+$EJ62</f>
        <v>0</v>
      </c>
      <c r="IL62">
        <f>IF(HdgDyreart=2,$AV62*NPforholdSvin,$AV62*NPforholdKvaeg)</f>
        <v>0</v>
      </c>
      <c r="IM62">
        <f>II62+IF($IJ62+$IK62&gt;$IL62,($IJ62+$IK62-$IL62),0)</f>
        <v>0</v>
      </c>
      <c r="IN62" s="3">
        <f>IF(HdgVaerdi=1,($II62*Ppris+IF($IJ62+$IK62&gt;$IL62,($IJ62+$IK62-$IL62)*Ppris,0)),($II62+$IJ62+$IK62)*Ppris)</f>
        <v>0</v>
      </c>
      <c r="IO62" s="3">
        <f>IN62*M62</f>
        <v>0</v>
      </c>
      <c r="IQ62">
        <f>IF(AND(E62&gt;1,OR(Jordtype2=1,Jordtype2=3,Markvand2=2)),Kudvask,0)</f>
        <v>0</v>
      </c>
      <c r="IR62">
        <f>$EA62+$EM62</f>
        <v>0</v>
      </c>
      <c r="IS62">
        <f>IF(HdgDyreart=2,$AV62*NKforholdSvin,$AV62*NkforholdKvaeg)</f>
        <v>0</v>
      </c>
      <c r="IT62">
        <f>IF($IQ62+$IR62&gt;$IS62,($IQ62+$IR62-$IS62),0)</f>
        <v>0</v>
      </c>
      <c r="IU62" s="3">
        <f>IF(HdgVaerdi=1,IF($IQ62+$IR62&gt;$IS62,($IQ62+$IR62-$IS62)*Kpris,0),($IQ62+$IR62)*Kpris)</f>
        <v>0</v>
      </c>
      <c r="IV62" s="3">
        <f>IU62*M62</f>
        <v>0</v>
      </c>
      <c r="IX62">
        <f>IF62+IN62+IU62</f>
        <v>0</v>
      </c>
      <c r="IY62" s="3">
        <f>IF(Mark!EM62&lt;&gt;"",Mark!EM62,$IX62)</f>
        <v>0</v>
      </c>
      <c r="IZ62" s="3">
        <f>IY62*M62</f>
        <v>0</v>
      </c>
      <c r="JB62">
        <f>VLOOKUP(E62,Afgr,Data!$AQ$3)*PlantevJust</f>
        <v>0</v>
      </c>
      <c r="JC62" s="3">
        <f>IF(Mark!ES62&lt;&gt;"",Mark!ES62,JB62)</f>
        <v>0</v>
      </c>
      <c r="JD62" s="3">
        <f>JC62*M62</f>
        <v>0</v>
      </c>
      <c r="JF62">
        <f>VLOOKUP(E62,Afgr,Data!$AR$3)+BI62*VLOOKUP(E62,Afgr,Data!$BH$3)</f>
        <v>0</v>
      </c>
      <c r="JG62" s="3">
        <f>IF(Mark!EY62&lt;&gt;"",Mark!EY62,JF62)</f>
        <v>0</v>
      </c>
      <c r="JH62">
        <f>JG62*M62</f>
        <v>0</v>
      </c>
      <c r="JJ62">
        <f>IC62+IY62+JC62+JG62</f>
        <v>0</v>
      </c>
      <c r="JL62">
        <f>IF(VLOOKUP(E62,Afgr,Data!$BY$3)&gt;0,Data!$K$259*PlojJB2,0)</f>
        <v>0</v>
      </c>
      <c r="JM62">
        <f>IF(VLOOKUP(E62,Afgr,Data!$BZ$3)&gt;0,Data!$K$260*PlojJB2,0)</f>
        <v>0</v>
      </c>
      <c r="JN62">
        <f>(JL62+JM62)*MaskJust</f>
        <v>0</v>
      </c>
      <c r="JO62" s="3">
        <f>IF(Mark!FE62&lt;&gt;"",Mark!FE62,JN62)</f>
        <v>0</v>
      </c>
      <c r="JP62" s="3">
        <f>JO62*M62</f>
        <v>0</v>
      </c>
      <c r="JR62">
        <f>IF(VLOOKUP(E62,Afgr,Data!$CA$3)&gt;0,VLOOKUP(E62,Afgr,Data!$CA$3)*Data!$K$261*SaaJB2,0)</f>
        <v>0</v>
      </c>
      <c r="JS62">
        <f>IF(VLOOKUP(E62,Afgr,Data!$CC$3)&gt;0,Data!$K$262*SaaJB2,0)</f>
        <v>0</v>
      </c>
      <c r="JT62">
        <f>IF(VLOOKUP(E62,Afgr,Data!$CD$3)&gt;0,VLOOKUP(E62,Afgr,Data!$CD$3)*Data!$K$263*SaaJB2,0)</f>
        <v>0</v>
      </c>
      <c r="JU62">
        <f>IF(VLOOKUP(E62,Afgr,Data!$CE$3)&gt;0,Data!$K$264*SaaJB2,0)</f>
        <v>0</v>
      </c>
      <c r="JV62">
        <f>IF(VLOOKUP(E62,Afgr,Data!$CF$3)&gt;0,Data!$K$265*SaaJB2,0)</f>
        <v>0</v>
      </c>
      <c r="JW62">
        <f>IF(VLOOKUP(E62,Afgr,Data!$CV$3)&gt;0,Data!$K$266,0)</f>
        <v>0</v>
      </c>
      <c r="JX62">
        <f>IF(VLOOKUP(E62,Afgr,Data!$CG$3)&gt;0,Data!$K$267*SaaJB2,0)</f>
        <v>0</v>
      </c>
      <c r="JY62">
        <f>(JR62+JS62+JT62+JU62+JV62+JW62+JX62)*MaskJust</f>
        <v>0</v>
      </c>
      <c r="JZ62" s="3">
        <f>IF(Mark!FK62&lt;&gt;"",Mark!FK62,JY62)</f>
        <v>0</v>
      </c>
      <c r="KA62" s="3">
        <f>JZ62*M62</f>
        <v>0</v>
      </c>
      <c r="KC62">
        <f>IF(VLOOKUP(E62,Afgr,Data!$CJ$3)&gt;0,VLOOKUP(E62,Afgr,Data!$CJ$3)*Data!$K$268*SaaJB2,0)*MaskJust</f>
        <v>0</v>
      </c>
      <c r="KD62" s="3">
        <f>IF(Mark!FQ62&lt;&gt;"",Mark!FQ62,KC62)</f>
        <v>0</v>
      </c>
      <c r="KE62" s="3">
        <f>KD62*M62</f>
        <v>0</v>
      </c>
      <c r="KG62">
        <f>IF(VLOOKUP(E62,Afgr,Data!$CI$3)&gt;0,VLOOKUP(E62,Afgr,Data!$CI$3)*Data!$K$269,0)*MaskJust</f>
        <v>0</v>
      </c>
      <c r="KH62" s="3">
        <f>IF(Mark!FW62&lt;&gt;"",Mark!FW62,KG62)</f>
        <v>0</v>
      </c>
      <c r="KI62" s="3">
        <f>KH62*M62</f>
        <v>0</v>
      </c>
      <c r="KK62">
        <f>IF(Markvand2=2,VLOOKUP($E62,Afgr,Data!$CY$3),0)</f>
        <v>0</v>
      </c>
      <c r="KL62">
        <f>IF(Mark!GC62&lt;&gt;"",Mark!GC62,$KK62)</f>
        <v>0</v>
      </c>
      <c r="KM62">
        <f>IF(AND(E62&gt;1,Markvand2=2),Vandmaskin+$KL62*Flytning/mmprgang+$KL62*Prisprmm,0)</f>
        <v>0</v>
      </c>
      <c r="KN62" s="3">
        <f>IF(Mark!GI62&lt;&gt;"",Mark!GI62,$KM62)</f>
        <v>0</v>
      </c>
      <c r="KO62" s="3">
        <f>KN62*M62</f>
        <v>0</v>
      </c>
      <c r="KQ62">
        <f>IF(VLOOKUP($E62,Afgr,Data!$CK$3)&gt;0,((1+Regn!$BI62/VLOOKUP($E62,Afgr,Data!$CK$3))/2)*VLOOKUP($E62,Afgr,Data!$CL$3)*VLOOKUP($E62,Afgr,Data!$CN$3)+VLOOKUP($E62,Afgr,Data!$CM$3),0)</f>
        <v>0</v>
      </c>
      <c r="KR62">
        <f>IF(VLOOKUP($E62,Afgr,Data!$CK$3)&gt;0,IF(AND($F62=2,$BW62&gt;0),Data!$K$271,0),0)</f>
        <v>0</v>
      </c>
      <c r="KS62">
        <f>IF(VLOOKUP($E62,Afgr,Data!$CK$3)&gt;0,(Regn!$BI62/VLOOKUP($E62,Afgr,Data!$CK$3))*VLOOKUP($E62,Afgr,Data!$CO$3)*VLOOKUP($E62,Afgr,Data!$CN$3),0)</f>
        <v>0</v>
      </c>
      <c r="KT62">
        <f>(KQ62+KR62+KS62)*MaskJust</f>
        <v>0</v>
      </c>
      <c r="KU62" s="3">
        <f>IF(Mark!GO62&lt;&gt;"",Mark!GO62,KT62)</f>
        <v>0</v>
      </c>
      <c r="KV62" s="3">
        <f>KU62*M62</f>
        <v>0</v>
      </c>
      <c r="KW62" s="3"/>
      <c r="KX62">
        <f>IF(AND($F62=1,VLOOKUP($E62,Afgr,Data!$CP$3)&gt;0),((1+$BY62/VLOOKUP($E62,Afgr,Data!$CP$3))/2)*VLOOKUP($E62,Afgr,Data!$CQ$3),0)</f>
        <v>0</v>
      </c>
      <c r="KY62">
        <f>IF(AND($F62=1,VLOOKUP($E62,Afgr,Data!$CP$3)&gt;0),($BY62/VLOOKUP($E62,Afgr,Data!$CP$3))*VLOOKUP($E62,Afgr,Data!$CR$3),0)</f>
        <v>0</v>
      </c>
      <c r="KZ62">
        <f>(KX62+KY62)*MaskJust</f>
        <v>0</v>
      </c>
      <c r="LA62" s="3">
        <f>IF(Mark!GU62&lt;&gt;"",Mark!GU62,KZ62)</f>
        <v>0</v>
      </c>
      <c r="LB62" s="3">
        <f>LA62*M62</f>
        <v>0</v>
      </c>
      <c r="LD62">
        <f>$BI62*VLOOKUP($E62,Afgr,Data!$CS$3)*IF($I62=1,VLOOKUP($E62,Afgr,Data!$CT$3),IF($I62=2,VLOOKUP($E62,Afgr,Data!$CU$3),0))</f>
        <v>0</v>
      </c>
      <c r="LE62" s="3">
        <f>IF(Mark!HD62&lt;&gt;"",Mark!HD62,LD62)</f>
        <v>0</v>
      </c>
      <c r="LF62" s="3">
        <f>LE62*M62</f>
        <v>0</v>
      </c>
      <c r="LH62">
        <f>VLOOKUP($G62,Efgr,Data!$AC$53)*UdsaedJust</f>
        <v>0</v>
      </c>
      <c r="LI62" s="3">
        <f>IF(Mark!$HL62&lt;&gt;"",Mark!$HL62,LH62)</f>
        <v>0</v>
      </c>
      <c r="LJ62" s="3">
        <f>LI62*M62</f>
        <v>0</v>
      </c>
      <c r="LL62" s="3">
        <f>IF(HdgVaerdi=1,($CM62-$CX62)*Npris,$CM62*Npris)</f>
        <v>0</v>
      </c>
      <c r="LM62" s="3">
        <f>LL62*M62</f>
        <v>0</v>
      </c>
      <c r="LO62">
        <f>$ET62</f>
        <v>0</v>
      </c>
      <c r="LP62">
        <f>IF(HdgDyreart=2,$CU62*NPforholdSvin,$CU62*NPforholdKvaeg)</f>
        <v>0</v>
      </c>
      <c r="LQ62">
        <f>IF($LO62&gt;$LP62,($LO62-$LP62),0)</f>
        <v>0</v>
      </c>
      <c r="LR62" s="3">
        <f>IF(HdgVaerdi=1,IF($LO62&gt;$LP62,($LO62-$LP62)*Ppris,0),$LO62*Ppris)</f>
        <v>0</v>
      </c>
      <c r="LS62" s="3">
        <f>LR62*M62</f>
        <v>0</v>
      </c>
      <c r="LU62">
        <f>$EW62</f>
        <v>0</v>
      </c>
      <c r="LV62">
        <f>IF(HdgDyreart=2,$CU62*NKforholdSvin,$CU62*NkforholdKvaeg)</f>
        <v>0</v>
      </c>
      <c r="LW62">
        <f>IF($LU62&gt;$LV62,($LU62-$LV62),0)</f>
        <v>0</v>
      </c>
      <c r="LX62" s="3">
        <f>IF(HdgVaerdi=1,IF($LU62&gt;$LV62,($LU62-$LV62)*Ppris,0),$LU62*Ppris)</f>
        <v>0</v>
      </c>
      <c r="LY62" s="3">
        <f>LX62*M62</f>
        <v>0</v>
      </c>
      <c r="MA62">
        <f>LL62+LR62+LX62</f>
        <v>0</v>
      </c>
      <c r="MB62" s="3">
        <f>IF(Mark!HR62&lt;&gt;"",Mark!HR62,$MA62)</f>
        <v>0</v>
      </c>
      <c r="MC62" s="3">
        <f>MB62*M62</f>
        <v>0</v>
      </c>
      <c r="ME62">
        <f>VLOOKUP($G62,Efgr,Data!$AE$53)*PlantevJust</f>
        <v>0</v>
      </c>
      <c r="MF62" s="3">
        <f>IF(Mark!HX62&lt;&gt;"",Mark!HX62,ME62)</f>
        <v>0</v>
      </c>
      <c r="MG62" s="3">
        <f>MF62*M62</f>
        <v>0</v>
      </c>
      <c r="MI62">
        <f>VLOOKUP($G62,Efgr,Data!$AF$53)+$DD62*VLOOKUP($G62,Efgr,Data!$AL$53)</f>
        <v>0</v>
      </c>
      <c r="MJ62" s="3">
        <f>IF(Mark!ID62&lt;&gt;"",Mark!ID62,MI62)</f>
        <v>0</v>
      </c>
      <c r="MK62" s="3">
        <f>MJ62*M62</f>
        <v>0</v>
      </c>
      <c r="MM62">
        <f>LI62+MB62+MF62+MJ62</f>
        <v>0</v>
      </c>
      <c r="MO62">
        <f>VLOOKUP($G62,Efgr,Data!$AU$53)*SaaJB2*MaskJust</f>
        <v>0</v>
      </c>
      <c r="MP62" s="3">
        <f>IF(Mark!IJ62&lt;&gt;"",Mark!IJ62,MO62)</f>
        <v>0</v>
      </c>
      <c r="MQ62" s="3">
        <f>MP62*M62</f>
        <v>0</v>
      </c>
      <c r="MS62">
        <f>VLOOKUP($G62,Efgr,Data!$AW$53)*Data!$K$268*SaaJB2*MaskJust</f>
        <v>0</v>
      </c>
      <c r="MT62" s="3">
        <f>IF(Mark!IP62&lt;&gt;"",Mark!IP62,MS62)</f>
        <v>0</v>
      </c>
      <c r="MU62" s="3">
        <f>MT62*M62</f>
        <v>0</v>
      </c>
      <c r="MW62">
        <f>VLOOKUP($G62,Efgr,Data!$AV$53)*Data!$K$269*MaskJust</f>
        <v>0</v>
      </c>
      <c r="MX62" s="3">
        <f>IF(Mark!IV62&lt;&gt;"",Mark!IV62,MW62)</f>
        <v>0</v>
      </c>
      <c r="MY62" s="3">
        <f>MX62*M62</f>
        <v>0</v>
      </c>
      <c r="NA62">
        <f>IF(Markvand2=2,VLOOKUP($G62,Efgr,Data!$BC$53),0)</f>
        <v>0</v>
      </c>
      <c r="NB62">
        <f>IF(Mark!JB62&lt;&gt;"",Mark!JB62,$NA62)</f>
        <v>0</v>
      </c>
      <c r="NC62">
        <f>IF(Markvand2=2,$NB62*Flytning/mmprgang+$NB62*Prisprmm,0)</f>
        <v>0</v>
      </c>
      <c r="ND62" s="3">
        <f>IF(Mark!JH62&lt;&gt;"",Mark!JH62,$NC62)</f>
        <v>0</v>
      </c>
      <c r="NE62" s="3">
        <f>ND62*M62</f>
        <v>0</v>
      </c>
      <c r="NG62">
        <f>IF(VLOOKUP($G62,Efgr,Data!$AX$53)&gt;0,((1+Regn!DD62/VLOOKUP($G62,Efgr,Data!$AX$53))/2)*VLOOKUP($G62,Efgr,Data!$AY$53)*VLOOKUP($G62,Efgr,Data!$BA$53)+VLOOKUP($G62,Efgr,Data!$AZ$53),0)</f>
        <v>0</v>
      </c>
      <c r="NH62">
        <f>IF(VLOOKUP($G62,Efgr,Data!$AX$53)&gt;0,($DD62/VLOOKUP($G62,Efgr,Data!$AX$53))*VLOOKUP($G62,Efgr,Data!$BB$53)*VLOOKUP($G62,Efgr,Data!$BA$53),0)</f>
        <v>0</v>
      </c>
      <c r="NI62">
        <f>(NG62+NH62)*MaskJust</f>
        <v>0</v>
      </c>
      <c r="NJ62" s="3">
        <f>IF(Mark!JN62&lt;&gt;"",Mark!JN62,NI62)</f>
        <v>0</v>
      </c>
      <c r="NK62" s="3">
        <f>NJ62*M62</f>
        <v>0</v>
      </c>
      <c r="NM62">
        <f>IF($H62=2,Data!$K$304,IF($H62=3,Data!$K$305,0))*MaskJust</f>
        <v>0</v>
      </c>
      <c r="NN62" s="3">
        <f>IF(Mark!JT62&lt;&gt;"",Mark!JT62,NM62)</f>
        <v>0</v>
      </c>
      <c r="NO62" s="3">
        <f>NN62*M62</f>
        <v>0</v>
      </c>
      <c r="NQ62">
        <f>HY62</f>
        <v>0</v>
      </c>
      <c r="NR62">
        <f>JJ62+MM62</f>
        <v>0</v>
      </c>
      <c r="NS62">
        <f>NQ62-NR62</f>
        <v>0</v>
      </c>
      <c r="NT62">
        <f>NS62*M62</f>
        <v>0</v>
      </c>
      <c r="NW62">
        <f>VLOOKUP($B62,Afgr,Data!$BP$3)+VLOOKUP($C62,Efgr,Data!$AM$53)</f>
        <v>0</v>
      </c>
      <c r="NX62" s="3">
        <f>NW62*M62</f>
        <v>0</v>
      </c>
      <c r="NY62">
        <f>VLOOKUP($E62,Afgr,Data!$BP$3)+VLOOKUP($G62,Efgr,Data!$AM$53)</f>
        <v>0</v>
      </c>
      <c r="NZ62" s="3">
        <f>NY62*M62</f>
        <v>0</v>
      </c>
      <c r="OB62">
        <f>VLOOKUP($C62,Efgr,Data!$AN$53)</f>
        <v>0</v>
      </c>
      <c r="OC62">
        <f>VLOOKUP($B62,Afgr,Data!$BQ$3)</f>
        <v>0</v>
      </c>
      <c r="OD62">
        <f>VLOOKUP($E62,Afgr,Data!$BR$3)</f>
        <v>1</v>
      </c>
      <c r="OE62">
        <f>OB62*OC62*OD62</f>
        <v>0</v>
      </c>
      <c r="OF62" s="3">
        <f>OE62*M62</f>
        <v>0</v>
      </c>
      <c r="OG62" s="3">
        <f>IF(D62,1,0)*OF62</f>
        <v>0</v>
      </c>
      <c r="OI62">
        <f>VLOOKUP($G62,Efgr,Data!$AN$53)</f>
        <v>0</v>
      </c>
      <c r="OJ62">
        <f>VLOOKUP($E62,Afgr,Data!$BQ$3)</f>
        <v>0</v>
      </c>
      <c r="OK62">
        <f>VLOOKUP($K62,Afgr,Data!$BR$3)</f>
        <v>1</v>
      </c>
      <c r="OL62">
        <f>OI62*OJ62*OK62</f>
        <v>0</v>
      </c>
      <c r="OM62" s="3">
        <f>OL62*M62</f>
        <v>0</v>
      </c>
      <c r="OO62">
        <f>VLOOKUP($G62,Efgr,Data!$AO$53)</f>
        <v>0</v>
      </c>
      <c r="OP62">
        <f>VLOOKUP($B62,Afgr,Data!$BQ$3)</f>
        <v>0</v>
      </c>
      <c r="OQ62">
        <f>VLOOKUP($E62,Afgr,Data!$BS$3)</f>
        <v>0</v>
      </c>
      <c r="OR62" s="3">
        <f>OO62*OP62*OQ62*$M62</f>
        <v>0</v>
      </c>
      <c r="OT62">
        <f>VLOOKUP($G62,Efgr,Data!$AO$53)</f>
        <v>0</v>
      </c>
      <c r="OU62">
        <f>VLOOKUP($E62,Afgr,Data!$BQ$3)</f>
        <v>0</v>
      </c>
      <c r="OV62">
        <f>VLOOKUP($K62,Afgr,Data!$BS$3)</f>
        <v>0</v>
      </c>
      <c r="OW62" s="3">
        <f>OT62*OU62*OV62*$M62</f>
        <v>0</v>
      </c>
      <c r="OX62" s="3"/>
      <c r="OY62" s="3">
        <f>VLOOKUP($B62,Afgr,Data!$BU$3)</f>
        <v>0</v>
      </c>
      <c r="OZ62" s="3">
        <f>OY62*M62</f>
        <v>0</v>
      </c>
      <c r="PA62" s="3">
        <f>VLOOKUP($E62,Afgr,Data!$BU$3)</f>
        <v>0</v>
      </c>
      <c r="PB62" s="3">
        <f>PA62*M62</f>
        <v>0</v>
      </c>
      <c r="PD62">
        <f>VLOOKUP(E62,Afgr,Data!$BX$3)+VLOOKUP(G62,Efgr,Data!$AQ$53)</f>
        <v>0</v>
      </c>
      <c r="PE62">
        <f>IF(PD62&gt;0,M62,0)</f>
        <v>0</v>
      </c>
      <c r="PG62">
        <f>VLOOKUP($B62,Afgr,Data!$BT$3)</f>
        <v>0</v>
      </c>
      <c r="PH62" s="3">
        <f>PG62*M62</f>
        <v>0</v>
      </c>
      <c r="PI62">
        <f>VLOOKUP($E62,Afgr,Data!$BT$3)</f>
        <v>0</v>
      </c>
      <c r="PJ62" s="3">
        <f>PI62*M62</f>
        <v>0</v>
      </c>
      <c r="PL62">
        <f>VLOOKUP($E62,Afgr,Data!$BV$3)</f>
        <v>0</v>
      </c>
      <c r="PM62">
        <f>PL62*M62</f>
        <v>0</v>
      </c>
      <c r="PO62">
        <f>VLOOKUP($E62,Afgr,Data!$BW$3)</f>
        <v>0</v>
      </c>
      <c r="PP62">
        <f>PO62*M62</f>
        <v>0</v>
      </c>
      <c r="PR62">
        <f>BI62*IF(VLOOKUP($E62,Afgr,Data!$BJ$3)&gt;0,1,0)</f>
        <v>0</v>
      </c>
      <c r="PS62">
        <f>PR62*M62</f>
        <v>0</v>
      </c>
      <c r="PU62">
        <f>BI62*VLOOKUP(E62,Afgr,Data!$BK$3)</f>
        <v>0</v>
      </c>
      <c r="PV62">
        <f>M62*PU62</f>
        <v>0</v>
      </c>
      <c r="PW62">
        <f>$BI62*VLOOKUP($E62,Afgr,Data!$BL$3)+$DD62*VLOOKUP($G62,Efgr,Data!$AP$53)</f>
        <v>0</v>
      </c>
      <c r="PX62">
        <f>PW62*M62</f>
        <v>0</v>
      </c>
      <c r="PY62">
        <f>$BI62*VLOOKUP($E62,Afgr,Data!$BM$3)</f>
        <v>0</v>
      </c>
      <c r="PZ62">
        <f>PY62*M62</f>
        <v>0</v>
      </c>
      <c r="QA62">
        <f>$BI62*VLOOKUP($E62,Afgr,Data!$BN$3)</f>
        <v>0</v>
      </c>
      <c r="QB62">
        <f>QA62*M62</f>
        <v>0</v>
      </c>
      <c r="QE62">
        <f>IF(VLOOKUP($E62,Afgr,Data!$DA$3)="Vårbyg",$BJ62,0)*VLOOKUP($E62,Afgr,Data!$BJ$3)</f>
        <v>0</v>
      </c>
      <c r="QF62">
        <f>IF(VLOOKUP($E62,Afgr,Data!$DA$3)="Vinterbyg",$BJ62,0)*VLOOKUP($E62,Afgr,Data!$BJ$3)</f>
        <v>0</v>
      </c>
      <c r="QG62">
        <f>IF(VLOOKUP($E62,Afgr,Data!$DA$3)="Havre",$BJ62,0)*VLOOKUP($E62,Afgr,Data!$BJ$3)</f>
        <v>0</v>
      </c>
      <c r="QH62">
        <f>IF(VLOOKUP($E62,Afgr,Data!$DA$3)="Hvede",$BJ62,0)*VLOOKUP($E62,Afgr,Data!$BJ$3)</f>
        <v>0</v>
      </c>
      <c r="QI62">
        <f>IF(VLOOKUP($E62,Afgr,Data!$DA$3)="Triticale",$BJ62,0)*VLOOKUP($E62,Afgr,Data!$BJ$3)</f>
        <v>0</v>
      </c>
      <c r="QJ62">
        <f>IF(VLOOKUP($E62,Afgr,Data!$DA$3)="Rug",$BJ62,0)*VLOOKUP($E62,Afgr,Data!$BJ$3)</f>
        <v>0</v>
      </c>
      <c r="QK62">
        <f>IF(VLOOKUP($E62,Afgr,Data!$DA$3)="Majs",$BJ62,0)*VLOOKUP($E62,Afgr,Data!$BJ$3)</f>
        <v>0</v>
      </c>
      <c r="QN62">
        <f>IF(OI62+OO62&gt;0,1,0)</f>
        <v>0</v>
      </c>
      <c r="QO62">
        <f>QN62*LJ62</f>
        <v>0</v>
      </c>
      <c r="QP62">
        <f>QN62*MG62</f>
        <v>0</v>
      </c>
      <c r="QQ62">
        <f>MQ62</f>
        <v>0</v>
      </c>
      <c r="QR62">
        <f>QN62*NO62</f>
        <v>0</v>
      </c>
    </row>
    <row r="63" spans="1:460" x14ac:dyDescent="0.25">
      <c r="GG63" s="12"/>
    </row>
    <row r="64" spans="1:460" x14ac:dyDescent="0.25">
      <c r="A64">
        <f>A62+1</f>
        <v>5</v>
      </c>
      <c r="B64">
        <v>1</v>
      </c>
      <c r="C64">
        <v>1</v>
      </c>
      <c r="D64" t="b">
        <v>0</v>
      </c>
      <c r="E64">
        <v>1</v>
      </c>
      <c r="F64">
        <v>1</v>
      </c>
      <c r="G64">
        <v>1</v>
      </c>
      <c r="H64">
        <v>1</v>
      </c>
      <c r="I64">
        <v>1</v>
      </c>
      <c r="K64">
        <v>1</v>
      </c>
      <c r="M64">
        <f>IF(ISERROR(N64*Areal2/$N$72),0,N64*Areal2/$N$72)</f>
        <v>0</v>
      </c>
      <c r="N64">
        <f>Mark!Z64</f>
        <v>0</v>
      </c>
      <c r="P64">
        <f>VLOOKUP($E64,Afgr,NnormKolonneNr2)</f>
        <v>0</v>
      </c>
      <c r="Q64">
        <f>VLOOKUP($B64,Afgr,Data!$AI$3)*VLOOKUP(E64,Afgr,Data!$AJ$3)</f>
        <v>0</v>
      </c>
      <c r="R64">
        <f>IF($D64,0,VLOOKUP($C64,Efgr,(Data!$W$53+$G$28-1)))</f>
        <v>0</v>
      </c>
      <c r="S64">
        <f>P64-Q64-R64</f>
        <v>0</v>
      </c>
      <c r="T64">
        <f>S64*M64</f>
        <v>0</v>
      </c>
      <c r="U64">
        <f>IF(Nmodel12=1,S64*Nniveau12*0.01,AO64)</f>
        <v>0</v>
      </c>
      <c r="V64" s="3">
        <f>IF(Mark!CI64&lt;&gt;"",Mark!CI64,U64)</f>
        <v>0</v>
      </c>
      <c r="W64" s="3">
        <f>V64*M64</f>
        <v>0</v>
      </c>
      <c r="Y64">
        <f>S64/NoptFaktor</f>
        <v>0</v>
      </c>
      <c r="Z64" s="3">
        <f>IF(Mark!BZ64&lt;&gt;"",Mark!BZ64,Y64)</f>
        <v>0</v>
      </c>
      <c r="AB64">
        <f>VLOOKUP($E64,Afgr,Data!$DE$3)</f>
        <v>0</v>
      </c>
      <c r="AC64">
        <f>VLOOKUP($E64,Afgr,Data!$DD$3)</f>
        <v>0</v>
      </c>
      <c r="AD64">
        <f>VLOOKUP($E64,Afgr,Data!$DC$3)</f>
        <v>0</v>
      </c>
      <c r="AE64">
        <f>IF(ISERROR($Z64+(-PrisN/$AD64-$AB64)/(2*$AC64)),0,($Z64+(-PrisN/$AD64-$AB64)/(2*$AC64)))</f>
        <v>0</v>
      </c>
      <c r="AF64">
        <f>($BD64+$BE64+$BF64)*1.03333</f>
        <v>0</v>
      </c>
      <c r="AG64">
        <f>$AF64-($AB64*($AE64-$Z64)+$AC64*($AE64-$Z64)^2)</f>
        <v>0</v>
      </c>
      <c r="AH64">
        <f>IF(Nmodel12=1,$AB64*($AE64-$S64)+$AC64*($AE64-$S64)^2,$AB64*($AE64-$AO64)+$AC64*($AE64-$AO64)^2)</f>
        <v>0</v>
      </c>
      <c r="AI64">
        <f>IF(Nmodel12=1,$AB64*($AE64-$V64)+$AC64*($AE64-$V64)^2,$AB64*($AE64-AO64)+$AC64*($AE64-AO64)^2)</f>
        <v>0</v>
      </c>
      <c r="AJ64">
        <f>AG64+AH64-BG64</f>
        <v>0</v>
      </c>
      <c r="AK64">
        <f>AG64+AI64-AJ64</f>
        <v>0</v>
      </c>
      <c r="AM64">
        <f>VLOOKUP(E64,Afgr,Data!$DF$3+SandLer2)</f>
        <v>0</v>
      </c>
      <c r="AN64">
        <f>IF(ISERROR(((-(PrisN+Pantafgift)+AM64*Pantfaktor*Pantafgift)/AD64-AB64)/(2*AC64)),0,((-(PrisN+Pantafgift)+AM64*Pantfaktor*Pantafgift)/AD64-AB64)/(2*AC64))</f>
        <v>0</v>
      </c>
      <c r="AO64">
        <f>AE64-AN64</f>
        <v>0</v>
      </c>
      <c r="AQ64">
        <f>IF(AT64&gt;0,0,W64)</f>
        <v>0</v>
      </c>
      <c r="AR64">
        <f>IF(ISERROR(W64*HdgNTilFordeling12/NnormIaltFordel12),0,W64*HdgNTilFordeling12/NnormIaltFordel12)</f>
        <v>0</v>
      </c>
      <c r="AS64">
        <f>IF(ISERROR($AR64/$M64),0,$AR64/$M64)</f>
        <v>0</v>
      </c>
      <c r="AT64">
        <f>IF(Mark!CO64&lt;&gt;"",Mark!CO64,0)</f>
        <v>0</v>
      </c>
      <c r="AU64">
        <f>$AT64*$M64</f>
        <v>0</v>
      </c>
      <c r="AV64" s="3">
        <f>IF(AT64&gt;0,AT64,AS64)</f>
        <v>0</v>
      </c>
      <c r="AW64" s="3">
        <f>AV64*M64</f>
        <v>0</v>
      </c>
      <c r="AY64">
        <f>UdnKrav*$AV64/100</f>
        <v>0</v>
      </c>
      <c r="BA64">
        <f>AV64*VLOOKUP($E64,Afgr,Data!$DJ$3)</f>
        <v>0</v>
      </c>
      <c r="BB64">
        <f>UdnKrav*$BA64/100</f>
        <v>0</v>
      </c>
      <c r="BD64">
        <f>VLOOKUP(E64,Afgr,NormudbKolonneNr2)</f>
        <v>0</v>
      </c>
      <c r="BE64">
        <f>VLOOKUP(B64,Afgr,Data!$AL$3)*VLOOKUP(E64,Afgr,MerudbKolonneNr2)</f>
        <v>0</v>
      </c>
      <c r="BF64">
        <f>VLOOKUP(C64,Efgr,(Data!$Y$53+EftervirkningUdb2))</f>
        <v>0</v>
      </c>
      <c r="BG64">
        <f>BD64+BE64+BF64</f>
        <v>0</v>
      </c>
      <c r="BH64">
        <f>IF(OR(V64&lt;&gt;S64,Nmodel12=2),AK64,BD64+BE64+BF64)</f>
        <v>0</v>
      </c>
      <c r="BI64" s="3">
        <f>IF(Mark!AK64&lt;&gt;"",Mark!AK64,BH64)</f>
        <v>0</v>
      </c>
      <c r="BJ64">
        <f>BI64*M64</f>
        <v>0</v>
      </c>
      <c r="BK64">
        <f>VLOOKUP(E64,Afgr,3)</f>
        <v>0</v>
      </c>
      <c r="BL64">
        <f>IF(BK64="FE",VLOOKUP($E64,Afgr,Data!$AV$3),0)</f>
        <v>0</v>
      </c>
      <c r="BN64">
        <f>VLOOKUP(E64,Afgr,4)</f>
        <v>0</v>
      </c>
      <c r="BO64" s="3">
        <f>IF(Mark!AW64&lt;&gt;"",Mark!AW64,Regn!BN64)</f>
        <v>0</v>
      </c>
      <c r="BP64" s="3">
        <f>BI64*BO64</f>
        <v>0</v>
      </c>
      <c r="BQ64" s="3">
        <f>BJ64*BO64</f>
        <v>0</v>
      </c>
      <c r="BS64">
        <f>VLOOKUP(E64,Afgr,Data!$AN$3)</f>
        <v>0</v>
      </c>
      <c r="BT64" s="3">
        <f>IF(Mark!BC64&lt;&gt;"",Mark!BC64,BS64)</f>
        <v>0</v>
      </c>
      <c r="BU64" s="3">
        <f>BT64*M64</f>
        <v>0</v>
      </c>
      <c r="BW64">
        <f>VLOOKUP(E64,Afgr,HalmudbKolonneNr2)</f>
        <v>0</v>
      </c>
      <c r="BX64">
        <f>IF(ISERROR(BW64*BI64/BG64),0,(BW64*BI64/BG64))</f>
        <v>0</v>
      </c>
      <c r="BY64" s="3">
        <f>IF(Mark!BI64&lt;&gt;"",Mark!BI64,BX64)</f>
        <v>0</v>
      </c>
      <c r="BZ64">
        <f>BY64*M64</f>
        <v>0</v>
      </c>
      <c r="CC64">
        <f>IF($F64=1,BY64,0)</f>
        <v>0</v>
      </c>
      <c r="CD64">
        <f>IF(F64=1,BZ64,0)</f>
        <v>0</v>
      </c>
      <c r="CE64">
        <f>VLOOKUP(E64,Afgr,Data!$AM$3)</f>
        <v>0</v>
      </c>
      <c r="CF64">
        <f>IF(Mark!BR64&lt;&gt;"",Mark!BR64,CE64)</f>
        <v>0</v>
      </c>
      <c r="CG64">
        <f>CC64*CF64</f>
        <v>0</v>
      </c>
      <c r="CH64">
        <f>CD64*CF64</f>
        <v>0</v>
      </c>
      <c r="CJ64">
        <f>VLOOKUP($G64,Efgr,NnormKolonneEfgr2)</f>
        <v>0</v>
      </c>
      <c r="CK64">
        <f>CJ64*M64</f>
        <v>0</v>
      </c>
      <c r="CL64">
        <f>CJ64*Nniveau12*0.01</f>
        <v>0</v>
      </c>
      <c r="CM64" s="3">
        <f>IF(Mark!DM64&lt;&gt;"",Mark!DM64,CL64)</f>
        <v>0</v>
      </c>
      <c r="CN64" s="3">
        <f>$CM64*$M64</f>
        <v>0</v>
      </c>
      <c r="CP64">
        <f>IF(CS64&gt;0,0,CN64)</f>
        <v>0</v>
      </c>
      <c r="CQ64">
        <f>IF(ISERROR(CN64*HdgNTilFordeling12/NnormIaltFordel12),0,CN64*HdgNTilFordeling12/NnormIaltFordel12)</f>
        <v>0</v>
      </c>
      <c r="CR64">
        <f>IF(ISERROR($CQ64/$M64),0,$CQ64/$M64)</f>
        <v>0</v>
      </c>
      <c r="CS64">
        <f>IF(Mark!DS64&lt;&gt;"",Mark!DS64,0)</f>
        <v>0</v>
      </c>
      <c r="CT64">
        <f>$CS64*$M64</f>
        <v>0</v>
      </c>
      <c r="CU64" s="3">
        <f>IF($CS64&gt;0,$CS64,$CR64)</f>
        <v>0</v>
      </c>
      <c r="CV64" s="3">
        <f>CU64*M64</f>
        <v>0</v>
      </c>
      <c r="CX64">
        <f>UdnKrav*$CU64/100</f>
        <v>0</v>
      </c>
      <c r="CZ64">
        <f>$CU64*VLOOKUP($G64,Efgr,Data!$BG$53)</f>
        <v>0</v>
      </c>
      <c r="DA64">
        <f>UdnKrav*$CZ64/100</f>
        <v>0</v>
      </c>
      <c r="DC64">
        <f>VLOOKUP(G64,Efgr,NormudbKolonneNrEfgr2)</f>
        <v>0</v>
      </c>
      <c r="DD64" s="3">
        <f>IF(Mark!DC64&lt;&gt;"",Mark!DC64,DC64)</f>
        <v>0</v>
      </c>
      <c r="DE64">
        <f>DD64*M64</f>
        <v>0</v>
      </c>
      <c r="DF64" t="s">
        <v>37</v>
      </c>
      <c r="DG64">
        <f>DD64*Efterslaetpris</f>
        <v>0</v>
      </c>
      <c r="DH64">
        <f>DE64*Efterslaetpris</f>
        <v>0</v>
      </c>
      <c r="DI64">
        <f>VLOOKUP(G64,Efgr,Data!$AG$53)</f>
        <v>0</v>
      </c>
      <c r="DJ64">
        <f>DD64*DI64</f>
        <v>0</v>
      </c>
      <c r="DL64">
        <f>VLOOKUP($E64,Afgr,Data!$AW$3)</f>
        <v>0</v>
      </c>
      <c r="DM64">
        <f>IF(BK64="FE",$BI64*$BL64*$DL64*0.01,$BI64*100*$DR64*0.01*$DL64*0.01)</f>
        <v>0</v>
      </c>
      <c r="DN64">
        <f>IF(VLOOKUP(E64,Afgr,Data!$BO$3)=1,DM64,0)*M64</f>
        <v>0</v>
      </c>
      <c r="DO64" s="12">
        <f>IF(Nmodel12=1,(V64-S64)*VLOOKUP($E64,Afgr,Data!$AX$3),(AO64-S64)*VLOOKUP(E64,Afgr,Data!$AX$3))</f>
        <v>0</v>
      </c>
      <c r="DP64">
        <f>DL64+DO64</f>
        <v>0</v>
      </c>
      <c r="DQ64">
        <f>IF(Mark!AQ64&lt;&gt;"",Mark!AQ64,DP64)</f>
        <v>0</v>
      </c>
      <c r="DR64">
        <f>VLOOKUP(E64,Afgr,Data!$AT$3)</f>
        <v>0</v>
      </c>
      <c r="DS64">
        <f>IF($BK64="FE",$BI64*$BL64*$DQ64*0.01,$BI64*100*$DR64*0.01*DQ64*0.01)</f>
        <v>0</v>
      </c>
      <c r="DT64">
        <f>IF(VLOOKUP(E64,Afgr,Data!$BO$3)=1,DS64,0)*M64</f>
        <v>0</v>
      </c>
      <c r="DU64">
        <f>IF(ISERROR(DS64/VLOOKUP(E64,Afgr,Data!$AY$3)),0,DS64/VLOOKUP(E64,Afgr,Data!$AY$3))</f>
        <v>0</v>
      </c>
      <c r="DV64">
        <f>DU64*M64</f>
        <v>0</v>
      </c>
      <c r="DX64">
        <f>IF($BK64="FE",$BI64*$BL64*VLOOKUP($E64,Afgr,Data!$BC$3)*0.001,$BI64*100*$DR64*0.01*VLOOKUP($E64,Afgr,Data!$BC$3)*0.001)</f>
        <v>0</v>
      </c>
      <c r="DY64">
        <f>DX64*M64</f>
        <v>0</v>
      </c>
      <c r="EA64">
        <f>IF($BK64="FE",$BI64*$BL64*VLOOKUP($E64,Afgr,Data!$BF$3)*0.001,$BI64*100*$DR64*0.01*VLOOKUP($E64,Afgr,Data!$BF$3)*0.001)</f>
        <v>0</v>
      </c>
      <c r="EB64">
        <f>EA64*M64</f>
        <v>0</v>
      </c>
      <c r="ED64">
        <f>IF(ISERROR(VLOOKUP(E64,Afgr,Data!$AZ$3)*DQ64/DL64),0,VLOOKUP(E64,Afgr,Data!$AZ$3)*DQ64/DL64)</f>
        <v>0</v>
      </c>
      <c r="EE64">
        <f>VLOOKUP(E64,Afgr,Data!$AU$3)</f>
        <v>0</v>
      </c>
      <c r="EF64">
        <f>IF($F64=1,$BY64*$EE64*0.01*ED64*0.01,0)</f>
        <v>0</v>
      </c>
      <c r="EG64">
        <f>EF64/6.25</f>
        <v>0</v>
      </c>
      <c r="EH64">
        <f>EG64*M64</f>
        <v>0</v>
      </c>
      <c r="EJ64">
        <f>IF($F64=1,$BY64*$EE64*0.01*VLOOKUP($E64,Afgr,Data!$BD$3)*0.001,0)</f>
        <v>0</v>
      </c>
      <c r="EK64">
        <f>EJ64*M64</f>
        <v>0</v>
      </c>
      <c r="EM64">
        <f>IF($F64=1,$BY64*$EE64*0.01*VLOOKUP($E64,Afgr,Data!$BG$3)*0.001,0)</f>
        <v>0</v>
      </c>
      <c r="EN64">
        <f>EM64*M64</f>
        <v>0</v>
      </c>
      <c r="EP64">
        <f>VLOOKUP(G64,Efgr,Data!$AI$53)</f>
        <v>0</v>
      </c>
      <c r="EQ64">
        <f>DJ64*EP64*0.01/6.25</f>
        <v>0</v>
      </c>
      <c r="ER64">
        <f>EQ64*M64</f>
        <v>0</v>
      </c>
      <c r="ET64">
        <f>$DJ64*VLOOKUP($G64,Efgr,Data!$AJ$53)*0.001</f>
        <v>0</v>
      </c>
      <c r="EU64">
        <f>ET64*M64</f>
        <v>0</v>
      </c>
      <c r="EW64">
        <f>$DJ64*VLOOKUP($G64,Efgr,Data!$AK$53)*0.001</f>
        <v>0</v>
      </c>
      <c r="EX64">
        <f>EW64*M64</f>
        <v>0</v>
      </c>
      <c r="EZ64">
        <f>IF(VLOOKUP(E64,Afgr,Data!$DS$3)=1,DU64*VLOOKUP(E64,Afgr,(Data!$DT$3+EftervirkningUdb2))*VLOOKUP(E64,Afgr,Data!$DV$3),0)</f>
        <v>0</v>
      </c>
      <c r="FA64">
        <f>IF(VLOOKUP(E64,Afgr,Data!$DS$3)=2,VLOOKUP(E64,Afgr,Data!$DX$3),0)</f>
        <v>0</v>
      </c>
      <c r="FB64">
        <f>IF(VLOOKUP(E64,Afgr,Data!$DS$3)=3,$DU64*VLOOKUP($E64,Afgr,IF(Jordtype2&lt;5,Data!$DT$3,Data!$DU$3))*VLOOKUP($E64,Afgr,Data!$DV$3),0)</f>
        <v>0</v>
      </c>
      <c r="FC64">
        <f>IF(VLOOKUP(E64,Afgr,Data!$DS$3)=4,(1.232+0.00469*BI64*100+(0.000256*BI64*100+0.089)*60),0)</f>
        <v>0</v>
      </c>
      <c r="FD64">
        <f>$V64+IF($AY64-$BB64&gt;$V64,$AY64-$V64,0)-$BB64</f>
        <v>0</v>
      </c>
      <c r="FE64">
        <f>IF(VLOOKUP($E64,Afgr,Data!$DS$3)=5,($BI64*0.02742-$BI64*0.0001*$FD64+$BI64*0.0000001111*$FD64*$FD64),0)</f>
        <v>0</v>
      </c>
      <c r="FF64">
        <f>$CM64+IF($CX64-$DA64&gt;$CM64,$CX64-$CM64,0)-$DA64</f>
        <v>0</v>
      </c>
      <c r="FG64">
        <f>IF(VLOOKUP($G64,Efgr,Data!$BH$53)=5,($DD64*0.02742-$DD64*0.0001*$FF64+$DD64*0.0000001111*$FF64*$FF64),0)</f>
        <v>0</v>
      </c>
      <c r="FH64" s="3">
        <f>EZ64+FA64+FB64+FC64+FE64+FG64</f>
        <v>0</v>
      </c>
      <c r="FI64" s="3">
        <f>FH64*M64</f>
        <v>0</v>
      </c>
      <c r="FK64">
        <f>$V64+$CM64</f>
        <v>0</v>
      </c>
      <c r="FL64">
        <f>($AV64-$AY64)+IF($AY64&gt;$V64,$AY64-$V64,0)+($CU64-$CX64)+IF($CX64&gt;$CM64,$CX64-$CM64,0)</f>
        <v>0</v>
      </c>
      <c r="FM64">
        <f>VLOOKUP($E64,Afgr,Data!$DK$3)*VLOOKUP($E64,Afgr,Data!$AT$3)*0.01*VLOOKUP($E64,Afgr,Data!$AW$3)*0.01/6.25</f>
        <v>0</v>
      </c>
      <c r="FN64" s="4">
        <f>IF(E64&gt;1,Deposition,0)</f>
        <v>0</v>
      </c>
      <c r="FO64">
        <f>FH64</f>
        <v>0</v>
      </c>
      <c r="FP64">
        <f>SUM(FK64:FO64)</f>
        <v>0</v>
      </c>
      <c r="FQ64">
        <f>DU64+EG64+EQ64</f>
        <v>0</v>
      </c>
      <c r="FR64" s="3">
        <f>FP64-FQ64</f>
        <v>0</v>
      </c>
      <c r="FS64" s="19">
        <f>FP64*M64</f>
        <v>0</v>
      </c>
      <c r="FT64" s="19">
        <f>FQ64*M64</f>
        <v>0</v>
      </c>
      <c r="FU64" s="3">
        <f>FR64*M64</f>
        <v>0</v>
      </c>
      <c r="FW64">
        <f>IL64+IM64+LP64+LQ64</f>
        <v>0</v>
      </c>
      <c r="FX64">
        <f>IK64+LO64</f>
        <v>0</v>
      </c>
      <c r="FY64">
        <f>FW64-FX64</f>
        <v>0</v>
      </c>
      <c r="FZ64">
        <f>FY64*M64</f>
        <v>0</v>
      </c>
      <c r="GB64">
        <f>IS64+IT64+LV64+LW64</f>
        <v>0</v>
      </c>
      <c r="GC64">
        <f>IR64+LU64</f>
        <v>0</v>
      </c>
      <c r="GD64">
        <f>GB64-GC64</f>
        <v>0</v>
      </c>
      <c r="GE64">
        <f>GD64*M64</f>
        <v>0</v>
      </c>
      <c r="GG64" s="149">
        <f>IF(OR(VLOOKUP(E64,Afgr,Data!$BV$3)=1,VLOOKUP(E64,Afgr,Data!$BW$3)=1),0,NniveauDelsaedsk2)</f>
        <v>0</v>
      </c>
      <c r="GH64" s="1">
        <v>0.32550000000000001</v>
      </c>
      <c r="GI64" s="6">
        <v>0</v>
      </c>
      <c r="GJ64" s="24">
        <f>IF(($V64-BB64+$CM64-DA64)&lt;0,0,$V64-BB64+$CM64-DA64)</f>
        <v>0</v>
      </c>
      <c r="GK64" s="6">
        <f>$FO64</f>
        <v>0</v>
      </c>
      <c r="GL64" s="1">
        <v>0.25280000000000002</v>
      </c>
      <c r="GM64">
        <f>$BA64+$CZ64</f>
        <v>0</v>
      </c>
      <c r="GN64" s="1">
        <v>0.376</v>
      </c>
      <c r="GO64" s="6">
        <v>0</v>
      </c>
      <c r="GP64" s="1">
        <f>IF(SandLer2&gt;1,0.3539,1.0749)</f>
        <v>0.35389999999999999</v>
      </c>
      <c r="GQ64" s="11">
        <f>$FQ64</f>
        <v>0</v>
      </c>
      <c r="GR64" s="1">
        <v>0.19359999999999999</v>
      </c>
      <c r="GS64" s="1">
        <f>VLOOKUP($E64,Afgr,Data!$DM$3)</f>
        <v>0</v>
      </c>
      <c r="GT64" s="24">
        <f>IF($GS64&gt;1,0,(VLOOKUP($K64,Afgr,Data!$DP$3)+IF(VLOOKUP($K64,Afgr,Data!$DP$3)=0,VLOOKUP($G64,Efgr,Data!$BI$53,0))))+IF(AND($GS64=7,VLOOKUP($K64,Afgr,Data!$DQ$3)=-2),-2,0)+IF(AND($GS64=6,VLOOKUP($G64,Efgr,Data!$BI$53)=2),8,0)</f>
        <v>0</v>
      </c>
      <c r="GU64" s="6" t="e">
        <f>VLOOKUP(SUM(GS64:GT64),Nlesafgr,3)</f>
        <v>#N/A</v>
      </c>
      <c r="GV64" s="7">
        <f>VLOOKUP($B64,Afgr,Data!$DN$3)</f>
        <v>0</v>
      </c>
      <c r="GW64" s="24">
        <f>IF(GV64&gt;1,0,VLOOKUP($E64,Afgr,Data!$DO$3)+IF(VLOOKUP($E64,Afgr,Data!$DO$3)=1,0,VLOOKUP($C64,Efgr,Data!$BJ$53)))</f>
        <v>0</v>
      </c>
      <c r="GX64" s="6" t="e">
        <f>VLOOKUP(SUM(GV64:GW64),Nlesforfrugt,3)</f>
        <v>#N/A</v>
      </c>
      <c r="GY64" s="1" t="e">
        <f>GH64*GG64+GL64*(GJ64+GK64)+GN64*GM64+GP64*GO64-GR64*GQ64+GU64+GX64</f>
        <v>#N/A</v>
      </c>
      <c r="GZ64" s="1">
        <f>Nlesafskaering</f>
        <v>59.6</v>
      </c>
      <c r="HA64" s="1">
        <f>Teknologi1</f>
        <v>2455</v>
      </c>
      <c r="HB64" s="6">
        <v>2001</v>
      </c>
      <c r="HC64" s="1">
        <f>Teknologi2</f>
        <v>1962.2</v>
      </c>
      <c r="HD64" s="1">
        <f>Tandel</f>
        <v>0.54659999999999997</v>
      </c>
      <c r="HE64" s="1" t="e">
        <f>IF(OR(GY64&gt;0,GY64=0),GZ64+HA64/(HB64-HC64),GZ64+HA64/(HB64-HC64)+HD64*GY64)</f>
        <v>#N/A</v>
      </c>
      <c r="HF64" s="1" t="e">
        <f>IF(GY64&gt;0,GY64,0.001)</f>
        <v>#N/A</v>
      </c>
      <c r="HG64" s="1">
        <v>1.5020000000000001E-3</v>
      </c>
      <c r="HH64" s="24">
        <f>IF(E64=1,0,VLOOKUP(Postnr,AfstromData,VLOOKUP($E64,Afgr,Data!$DL$3)+IF(Jordtype1&lt;7,Jordtype1,6),FALSE)-VLOOKUP(G64,Efgr,Data!$AA$53))</f>
        <v>0</v>
      </c>
      <c r="HI64" s="1">
        <v>5.5400000000000002E-4</v>
      </c>
      <c r="HJ64" s="24">
        <f>IF(E64=1,0,VLOOKUP(Postnr,AfstromData,VLOOKUP($B64,Afgr,Data!$DL$3)+IF(Jordtype1&lt;7,Jordtype1,6),FALSE)-VLOOKUP(C64,Efgr,Data!$AA$53))</f>
        <v>0</v>
      </c>
      <c r="HK64" s="1">
        <v>0.10639999999999999</v>
      </c>
      <c r="HL64" s="6">
        <f>VLOOKUP(Jordtype2,Jordtype,Data!$W$112)</f>
        <v>3</v>
      </c>
      <c r="HM64" s="1">
        <v>3.2500000000000001E-2</v>
      </c>
      <c r="HN64" s="6">
        <f>VLOOKUP(Jordtype2,Jordtype,Data!$X$112)</f>
        <v>12</v>
      </c>
      <c r="HO64" s="1">
        <v>1.2453000000000001</v>
      </c>
      <c r="HP64" s="1">
        <f>IF(VLOOKUP(G64,Efgr,Data!$AO$53)=1,MlafgrNUdvask,0)</f>
        <v>0</v>
      </c>
      <c r="HQ64" s="20">
        <f>IF(ISERROR((HE64+POWER(HF64,1.2))*(1-EXP(-HG64*HH64))*EXP(-HI64*HJ64)*EXP(-HK64*HL64)*EXP(-HM64*HN64)*HO64),0,(HE64+POWER(HF64,1.2))*(1-EXP(-HG64*HH64))*EXP(-HI64*HJ64)*EXP(-HK64*HL64)*EXP(-HM64*HN64)*HO64+HP64)</f>
        <v>0</v>
      </c>
      <c r="HR64">
        <f>HQ64*M64</f>
        <v>0</v>
      </c>
      <c r="HS64">
        <f>HQ64*(100-Retention2)*0.01</f>
        <v>0</v>
      </c>
      <c r="HT64">
        <f>HS64*M64</f>
        <v>0</v>
      </c>
      <c r="HU64" s="2">
        <f>HH64*10000</f>
        <v>0</v>
      </c>
      <c r="HV64" s="2">
        <f>HU64*M64</f>
        <v>0</v>
      </c>
      <c r="HW64">
        <f>IF(ISERROR(HQ64*1000*1000/HU64),0,HQ64*1000*1000/HU64)</f>
        <v>0</v>
      </c>
      <c r="HY64">
        <f>BP64+BT64+CG64+DG64</f>
        <v>0</v>
      </c>
      <c r="IB64">
        <f>VLOOKUP(E64,Afgr,Data!$AP$3)*UdsaedJust</f>
        <v>0</v>
      </c>
      <c r="IC64" s="3">
        <f>IF(Mark!EG64&lt;&gt;"",Mark!EG64,Regn!IB64)</f>
        <v>0</v>
      </c>
      <c r="ID64" s="3">
        <f>IC64*M64</f>
        <v>0</v>
      </c>
      <c r="IF64" s="3">
        <f>IF(HdgVaerdi=1,($V64-$AY64)*Npris,$V64*Npris)</f>
        <v>0</v>
      </c>
      <c r="IG64" s="3">
        <f>IF64*M64</f>
        <v>0</v>
      </c>
      <c r="II64">
        <f>VLOOKUP($E64,Afgr,Data!$BA$3)</f>
        <v>0</v>
      </c>
      <c r="IJ64">
        <f>VLOOKUP($E64,Afgr,Data!$BB$3)</f>
        <v>0</v>
      </c>
      <c r="IK64">
        <f>$DX64+$EJ64</f>
        <v>0</v>
      </c>
      <c r="IL64">
        <f>IF(HdgDyreart=2,$AV64*NPforholdSvin,$AV64*NPforholdKvaeg)</f>
        <v>0</v>
      </c>
      <c r="IM64">
        <f>II64+IF($IJ64+$IK64&gt;$IL64,($IJ64+$IK64-$IL64),0)</f>
        <v>0</v>
      </c>
      <c r="IN64" s="3">
        <f>IF(HdgVaerdi=1,($II64*Ppris+IF($IJ64+$IK64&gt;$IL64,($IJ64+$IK64-$IL64)*Ppris,0)),($II64+$IJ64+$IK64)*Ppris)</f>
        <v>0</v>
      </c>
      <c r="IO64" s="3">
        <f>IN64*M64</f>
        <v>0</v>
      </c>
      <c r="IQ64">
        <f>IF(AND(E64&gt;1,OR(Jordtype2=1,Jordtype2=3,Markvand2=2)),Kudvask,0)</f>
        <v>0</v>
      </c>
      <c r="IR64">
        <f>$EA64+$EM64</f>
        <v>0</v>
      </c>
      <c r="IS64">
        <f>IF(HdgDyreart=2,$AV64*NKforholdSvin,$AV64*NkforholdKvaeg)</f>
        <v>0</v>
      </c>
      <c r="IT64">
        <f>IF($IQ64+$IR64&gt;$IS64,($IQ64+$IR64-$IS64),0)</f>
        <v>0</v>
      </c>
      <c r="IU64" s="3">
        <f>IF(HdgVaerdi=1,IF($IQ64+$IR64&gt;$IS64,($IQ64+$IR64-$IS64)*Kpris,0),($IQ64+$IR64)*Kpris)</f>
        <v>0</v>
      </c>
      <c r="IV64" s="3">
        <f>IU64*M64</f>
        <v>0</v>
      </c>
      <c r="IX64">
        <f>IF64+IN64+IU64</f>
        <v>0</v>
      </c>
      <c r="IY64" s="3">
        <f>IF(Mark!EM64&lt;&gt;"",Mark!EM64,$IX64)</f>
        <v>0</v>
      </c>
      <c r="IZ64" s="3">
        <f>IY64*M64</f>
        <v>0</v>
      </c>
      <c r="JB64">
        <f>VLOOKUP(E64,Afgr,Data!$AQ$3)*PlantevJust</f>
        <v>0</v>
      </c>
      <c r="JC64" s="3">
        <f>IF(Mark!ES64&lt;&gt;"",Mark!ES64,JB64)</f>
        <v>0</v>
      </c>
      <c r="JD64" s="3">
        <f>JC64*M64</f>
        <v>0</v>
      </c>
      <c r="JF64">
        <f>VLOOKUP(E64,Afgr,Data!$AR$3)+BI64*VLOOKUP(E64,Afgr,Data!$BH$3)</f>
        <v>0</v>
      </c>
      <c r="JG64" s="3">
        <f>IF(Mark!EY64&lt;&gt;"",Mark!EY64,JF64)</f>
        <v>0</v>
      </c>
      <c r="JH64">
        <f>JG64*M64</f>
        <v>0</v>
      </c>
      <c r="JJ64">
        <f>IC64+IY64+JC64+JG64</f>
        <v>0</v>
      </c>
      <c r="JL64">
        <f>IF(VLOOKUP(E64,Afgr,Data!$BY$3)&gt;0,Data!$K$259*PlojJB2,0)</f>
        <v>0</v>
      </c>
      <c r="JM64">
        <f>IF(VLOOKUP(E64,Afgr,Data!$BZ$3)&gt;0,Data!$K$260*PlojJB2,0)</f>
        <v>0</v>
      </c>
      <c r="JN64">
        <f>(JL64+JM64)*MaskJust</f>
        <v>0</v>
      </c>
      <c r="JO64" s="3">
        <f>IF(Mark!FE64&lt;&gt;"",Mark!FE64,JN64)</f>
        <v>0</v>
      </c>
      <c r="JP64" s="3">
        <f>JO64*M64</f>
        <v>0</v>
      </c>
      <c r="JR64">
        <f>IF(VLOOKUP(E64,Afgr,Data!$CA$3)&gt;0,VLOOKUP(E64,Afgr,Data!$CA$3)*Data!$K$261*SaaJB2,0)</f>
        <v>0</v>
      </c>
      <c r="JS64">
        <f>IF(VLOOKUP(E64,Afgr,Data!$CC$3)&gt;0,Data!$K$262*SaaJB2,0)</f>
        <v>0</v>
      </c>
      <c r="JT64">
        <f>IF(VLOOKUP(E64,Afgr,Data!$CD$3)&gt;0,VLOOKUP(E64,Afgr,Data!$CD$3)*Data!$K$263*SaaJB2,0)</f>
        <v>0</v>
      </c>
      <c r="JU64">
        <f>IF(VLOOKUP(E64,Afgr,Data!$CE$3)&gt;0,Data!$K$264*SaaJB2,0)</f>
        <v>0</v>
      </c>
      <c r="JV64">
        <f>IF(VLOOKUP(E64,Afgr,Data!$CF$3)&gt;0,Data!$K$265*SaaJB2,0)</f>
        <v>0</v>
      </c>
      <c r="JW64">
        <f>IF(VLOOKUP(E64,Afgr,Data!$CV$3)&gt;0,Data!$K$266,0)</f>
        <v>0</v>
      </c>
      <c r="JX64">
        <f>IF(VLOOKUP(E64,Afgr,Data!$CG$3)&gt;0,Data!$K$267*SaaJB2,0)</f>
        <v>0</v>
      </c>
      <c r="JY64">
        <f>(JR64+JS64+JT64+JU64+JV64+JW64+JX64)*MaskJust</f>
        <v>0</v>
      </c>
      <c r="JZ64" s="3">
        <f>IF(Mark!FK64&lt;&gt;"",Mark!FK64,JY64)</f>
        <v>0</v>
      </c>
      <c r="KA64" s="3">
        <f>JZ64*M64</f>
        <v>0</v>
      </c>
      <c r="KC64">
        <f>IF(VLOOKUP(E64,Afgr,Data!$CJ$3)&gt;0,VLOOKUP(E64,Afgr,Data!$CJ$3)*Data!$K$268*SaaJB2,0)*MaskJust</f>
        <v>0</v>
      </c>
      <c r="KD64" s="3">
        <f>IF(Mark!FQ64&lt;&gt;"",Mark!FQ64,KC64)</f>
        <v>0</v>
      </c>
      <c r="KE64" s="3">
        <f>KD64*M64</f>
        <v>0</v>
      </c>
      <c r="KG64">
        <f>IF(VLOOKUP(E64,Afgr,Data!$CI$3)&gt;0,VLOOKUP(E64,Afgr,Data!$CI$3)*Data!$K$269,0)*MaskJust</f>
        <v>0</v>
      </c>
      <c r="KH64" s="3">
        <f>IF(Mark!FW64&lt;&gt;"",Mark!FW64,KG64)</f>
        <v>0</v>
      </c>
      <c r="KI64" s="3">
        <f>KH64*M64</f>
        <v>0</v>
      </c>
      <c r="KK64">
        <f>IF(Markvand2=2,VLOOKUP($E64,Afgr,Data!$CY$3),0)</f>
        <v>0</v>
      </c>
      <c r="KL64">
        <f>IF(Mark!GC64&lt;&gt;"",Mark!GC64,$KK64)</f>
        <v>0</v>
      </c>
      <c r="KM64">
        <f>IF(AND(E64&gt;1,Markvand2=2),Vandmaskin+$KL64*Flytning/mmprgang+$KL64*Prisprmm,0)</f>
        <v>0</v>
      </c>
      <c r="KN64" s="3">
        <f>IF(Mark!GI64&lt;&gt;"",Mark!GI64,$KM64)</f>
        <v>0</v>
      </c>
      <c r="KO64" s="3">
        <f>KN64*M64</f>
        <v>0</v>
      </c>
      <c r="KQ64">
        <f>IF(VLOOKUP($E64,Afgr,Data!$CK$3)&gt;0,((1+Regn!$BI64/VLOOKUP($E64,Afgr,Data!$CK$3))/2)*VLOOKUP($E64,Afgr,Data!$CL$3)*VLOOKUP($E64,Afgr,Data!$CN$3)+VLOOKUP($E64,Afgr,Data!$CM$3),0)</f>
        <v>0</v>
      </c>
      <c r="KR64">
        <f>IF(VLOOKUP($E64,Afgr,Data!$CK$3)&gt;0,IF(AND($F64=2,$BW64&gt;0),Data!$K$271,0),0)</f>
        <v>0</v>
      </c>
      <c r="KS64">
        <f>IF(VLOOKUP($E64,Afgr,Data!$CK$3)&gt;0,(Regn!$BI64/VLOOKUP($E64,Afgr,Data!$CK$3))*VLOOKUP($E64,Afgr,Data!$CO$3)*VLOOKUP($E64,Afgr,Data!$CN$3),0)</f>
        <v>0</v>
      </c>
      <c r="KT64">
        <f>(KQ64+KR64+KS64)*MaskJust</f>
        <v>0</v>
      </c>
      <c r="KU64" s="3">
        <f>IF(Mark!GO64&lt;&gt;"",Mark!GO64,KT64)</f>
        <v>0</v>
      </c>
      <c r="KV64" s="3">
        <f>KU64*M64</f>
        <v>0</v>
      </c>
      <c r="KW64" s="3"/>
      <c r="KX64">
        <f>IF(AND($F64=1,VLOOKUP($E64,Afgr,Data!$CP$3)&gt;0),((1+$BY64/VLOOKUP($E64,Afgr,Data!$CP$3))/2)*VLOOKUP($E64,Afgr,Data!$CQ$3),0)</f>
        <v>0</v>
      </c>
      <c r="KY64">
        <f>IF(AND($F64=1,VLOOKUP($E64,Afgr,Data!$CP$3)&gt;0),($BY64/VLOOKUP($E64,Afgr,Data!$CP$3))*VLOOKUP($E64,Afgr,Data!$CR$3),0)</f>
        <v>0</v>
      </c>
      <c r="KZ64">
        <f>(KX64+KY64)*MaskJust</f>
        <v>0</v>
      </c>
      <c r="LA64" s="3">
        <f>IF(Mark!GU64&lt;&gt;"",Mark!GU64,KZ64)</f>
        <v>0</v>
      </c>
      <c r="LB64" s="3">
        <f>LA64*M64</f>
        <v>0</v>
      </c>
      <c r="LD64">
        <f>$BI64*VLOOKUP($E64,Afgr,Data!$CS$3)*IF($I64=1,VLOOKUP($E64,Afgr,Data!$CT$3),IF($I64=2,VLOOKUP($E64,Afgr,Data!$CU$3),0))</f>
        <v>0</v>
      </c>
      <c r="LE64" s="3">
        <f>IF(Mark!HD64&lt;&gt;"",Mark!HD64,LD64)</f>
        <v>0</v>
      </c>
      <c r="LF64" s="3">
        <f>LE64*M64</f>
        <v>0</v>
      </c>
      <c r="LH64">
        <f>VLOOKUP($G64,Efgr,Data!$AC$53)*UdsaedJust</f>
        <v>0</v>
      </c>
      <c r="LI64" s="3">
        <f>IF(Mark!$HL64&lt;&gt;"",Mark!$HL64,LH64)</f>
        <v>0</v>
      </c>
      <c r="LJ64" s="3">
        <f>LI64*M64</f>
        <v>0</v>
      </c>
      <c r="LL64" s="3">
        <f>IF(HdgVaerdi=1,($CM64-$CX64)*Npris,$CM64*Npris)</f>
        <v>0</v>
      </c>
      <c r="LM64" s="3">
        <f>LL64*M64</f>
        <v>0</v>
      </c>
      <c r="LO64">
        <f>$ET64</f>
        <v>0</v>
      </c>
      <c r="LP64">
        <f>IF(HdgDyreart=2,$CU64*NPforholdSvin,$CU64*NPforholdKvaeg)</f>
        <v>0</v>
      </c>
      <c r="LQ64">
        <f>IF($LO64&gt;$LP64,($LO64-$LP64),0)</f>
        <v>0</v>
      </c>
      <c r="LR64" s="3">
        <f>IF(HdgVaerdi=1,IF($LO64&gt;$LP64,($LO64-$LP64)*Ppris,0),$LO64*Ppris)</f>
        <v>0</v>
      </c>
      <c r="LS64" s="3">
        <f>LR64*M64</f>
        <v>0</v>
      </c>
      <c r="LU64">
        <f>$EW64</f>
        <v>0</v>
      </c>
      <c r="LV64">
        <f>IF(HdgDyreart=2,$CU64*NKforholdSvin,$CU64*NkforholdKvaeg)</f>
        <v>0</v>
      </c>
      <c r="LW64">
        <f>IF($LU64&gt;$LV64,($LU64-$LV64),0)</f>
        <v>0</v>
      </c>
      <c r="LX64" s="3">
        <f>IF(HdgVaerdi=1,IF($LU64&gt;$LV64,($LU64-$LV64)*Ppris,0),$LU64*Ppris)</f>
        <v>0</v>
      </c>
      <c r="LY64" s="3">
        <f>LX64*M64</f>
        <v>0</v>
      </c>
      <c r="MA64">
        <f>LL64+LR64+LX64</f>
        <v>0</v>
      </c>
      <c r="MB64" s="3">
        <f>IF(Mark!HR64&lt;&gt;"",Mark!HR64,$MA64)</f>
        <v>0</v>
      </c>
      <c r="MC64" s="3">
        <f>MB64*M64</f>
        <v>0</v>
      </c>
      <c r="ME64">
        <f>VLOOKUP($G64,Efgr,Data!$AE$53)*PlantevJust</f>
        <v>0</v>
      </c>
      <c r="MF64" s="3">
        <f>IF(Mark!HX64&lt;&gt;"",Mark!HX64,ME64)</f>
        <v>0</v>
      </c>
      <c r="MG64" s="3">
        <f>MF64*M64</f>
        <v>0</v>
      </c>
      <c r="MI64">
        <f>VLOOKUP($G64,Efgr,Data!$AF$53)+$DD64*VLOOKUP($G64,Efgr,Data!$AL$53)</f>
        <v>0</v>
      </c>
      <c r="MJ64" s="3">
        <f>IF(Mark!ID64&lt;&gt;"",Mark!ID64,MI64)</f>
        <v>0</v>
      </c>
      <c r="MK64" s="3">
        <f>MJ64*M64</f>
        <v>0</v>
      </c>
      <c r="MM64">
        <f>LI64+MB64+MF64+MJ64</f>
        <v>0</v>
      </c>
      <c r="MO64">
        <f>VLOOKUP($G64,Efgr,Data!$AU$53)*SaaJB2*MaskJust</f>
        <v>0</v>
      </c>
      <c r="MP64" s="3">
        <f>IF(Mark!IJ64&lt;&gt;"",Mark!IJ64,MO64)</f>
        <v>0</v>
      </c>
      <c r="MQ64" s="3">
        <f>MP64*M64</f>
        <v>0</v>
      </c>
      <c r="MS64">
        <f>VLOOKUP($G64,Efgr,Data!$AW$53)*Data!$K$268*SaaJB2*MaskJust</f>
        <v>0</v>
      </c>
      <c r="MT64" s="3">
        <f>IF(Mark!IP64&lt;&gt;"",Mark!IP64,MS64)</f>
        <v>0</v>
      </c>
      <c r="MU64" s="3">
        <f>MT64*M64</f>
        <v>0</v>
      </c>
      <c r="MW64">
        <f>VLOOKUP($G64,Efgr,Data!$AV$53)*Data!$K$269*MaskJust</f>
        <v>0</v>
      </c>
      <c r="MX64" s="3">
        <f>IF(Mark!IV64&lt;&gt;"",Mark!IV64,MW64)</f>
        <v>0</v>
      </c>
      <c r="MY64" s="3">
        <f>MX64*M64</f>
        <v>0</v>
      </c>
      <c r="NA64">
        <f>IF(Markvand2=2,VLOOKUP($G64,Efgr,Data!$BC$53),0)</f>
        <v>0</v>
      </c>
      <c r="NB64">
        <f>IF(Mark!JB64&lt;&gt;"",Mark!JB64,$NA64)</f>
        <v>0</v>
      </c>
      <c r="NC64">
        <f>IF(Markvand2=2,$NB64*Flytning/mmprgang+$NB64*Prisprmm,0)</f>
        <v>0</v>
      </c>
      <c r="ND64" s="3">
        <f>IF(Mark!JH64&lt;&gt;"",Mark!JH64,$NC64)</f>
        <v>0</v>
      </c>
      <c r="NE64" s="3">
        <f>ND64*M64</f>
        <v>0</v>
      </c>
      <c r="NG64">
        <f>IF(VLOOKUP($G64,Efgr,Data!$AX$53)&gt;0,((1+Regn!DD64/VLOOKUP($G64,Efgr,Data!$AX$53))/2)*VLOOKUP($G64,Efgr,Data!$AY$53)*VLOOKUP($G64,Efgr,Data!$BA$53)+VLOOKUP($G64,Efgr,Data!$AZ$53),0)</f>
        <v>0</v>
      </c>
      <c r="NH64">
        <f>IF(VLOOKUP($G64,Efgr,Data!$AX$53)&gt;0,($DD64/VLOOKUP($G64,Efgr,Data!$AX$53))*VLOOKUP($G64,Efgr,Data!$BB$53)*VLOOKUP($G64,Efgr,Data!$BA$53),0)</f>
        <v>0</v>
      </c>
      <c r="NI64">
        <f>(NG64+NH64)*MaskJust</f>
        <v>0</v>
      </c>
      <c r="NJ64" s="3">
        <f>IF(Mark!JN64&lt;&gt;"",Mark!JN64,NI64)</f>
        <v>0</v>
      </c>
      <c r="NK64" s="3">
        <f>NJ64*M64</f>
        <v>0</v>
      </c>
      <c r="NM64">
        <f>IF($H64=2,Data!$K$304,IF($H64=3,Data!$K$305,0))*MaskJust</f>
        <v>0</v>
      </c>
      <c r="NN64" s="3">
        <f>IF(Mark!JT64&lt;&gt;"",Mark!JT64,NM64)</f>
        <v>0</v>
      </c>
      <c r="NO64" s="3">
        <f>NN64*M64</f>
        <v>0</v>
      </c>
      <c r="NQ64">
        <f>HY64</f>
        <v>0</v>
      </c>
      <c r="NR64">
        <f>JJ64+MM64</f>
        <v>0</v>
      </c>
      <c r="NS64">
        <f>NQ64-NR64</f>
        <v>0</v>
      </c>
      <c r="NT64">
        <f>NS64*M64</f>
        <v>0</v>
      </c>
      <c r="NW64">
        <f>VLOOKUP($B64,Afgr,Data!$BP$3)+VLOOKUP($C64,Efgr,Data!$AM$53)</f>
        <v>0</v>
      </c>
      <c r="NX64" s="3">
        <f>NW64*M64</f>
        <v>0</v>
      </c>
      <c r="NY64">
        <f>VLOOKUP($E64,Afgr,Data!$BP$3)+VLOOKUP($G64,Efgr,Data!$AM$53)</f>
        <v>0</v>
      </c>
      <c r="NZ64" s="3">
        <f>NY64*M64</f>
        <v>0</v>
      </c>
      <c r="OB64">
        <f>VLOOKUP($C64,Efgr,Data!$AN$53)</f>
        <v>0</v>
      </c>
      <c r="OC64">
        <f>VLOOKUP($B64,Afgr,Data!$BQ$3)</f>
        <v>0</v>
      </c>
      <c r="OD64">
        <f>VLOOKUP($E64,Afgr,Data!$BR$3)</f>
        <v>1</v>
      </c>
      <c r="OE64">
        <f>OB64*OC64*OD64</f>
        <v>0</v>
      </c>
      <c r="OF64" s="3">
        <f>OE64*M64</f>
        <v>0</v>
      </c>
      <c r="OG64" s="3">
        <f>IF(D64,1,0)*OF64</f>
        <v>0</v>
      </c>
      <c r="OI64">
        <f>VLOOKUP($G64,Efgr,Data!$AN$53)</f>
        <v>0</v>
      </c>
      <c r="OJ64">
        <f>VLOOKUP($E64,Afgr,Data!$BQ$3)</f>
        <v>0</v>
      </c>
      <c r="OK64">
        <f>VLOOKUP($K64,Afgr,Data!$BR$3)</f>
        <v>1</v>
      </c>
      <c r="OL64">
        <f>OI64*OJ64*OK64</f>
        <v>0</v>
      </c>
      <c r="OM64" s="3">
        <f>OL64*M64</f>
        <v>0</v>
      </c>
      <c r="OO64">
        <f>VLOOKUP($G64,Efgr,Data!$AO$53)</f>
        <v>0</v>
      </c>
      <c r="OP64">
        <f>VLOOKUP($B64,Afgr,Data!$BQ$3)</f>
        <v>0</v>
      </c>
      <c r="OQ64">
        <f>VLOOKUP($E64,Afgr,Data!$BS$3)</f>
        <v>0</v>
      </c>
      <c r="OR64" s="3">
        <f>OO64*OP64*OQ64*$M64</f>
        <v>0</v>
      </c>
      <c r="OT64">
        <f>VLOOKUP($G64,Efgr,Data!$AO$53)</f>
        <v>0</v>
      </c>
      <c r="OU64">
        <f>VLOOKUP($E64,Afgr,Data!$BQ$3)</f>
        <v>0</v>
      </c>
      <c r="OV64">
        <f>VLOOKUP($K64,Afgr,Data!$BS$3)</f>
        <v>0</v>
      </c>
      <c r="OW64" s="3">
        <f>OT64*OU64*OV64*$M64</f>
        <v>0</v>
      </c>
      <c r="OX64" s="3"/>
      <c r="OY64" s="3">
        <f>VLOOKUP($B64,Afgr,Data!$BU$3)</f>
        <v>0</v>
      </c>
      <c r="OZ64" s="3">
        <f>OY64*M64</f>
        <v>0</v>
      </c>
      <c r="PA64" s="3">
        <f>VLOOKUP($E64,Afgr,Data!$BU$3)</f>
        <v>0</v>
      </c>
      <c r="PB64" s="3">
        <f>PA64*M64</f>
        <v>0</v>
      </c>
      <c r="PD64">
        <f>VLOOKUP(E64,Afgr,Data!$BX$3)+VLOOKUP(G64,Efgr,Data!$AQ$53)</f>
        <v>0</v>
      </c>
      <c r="PE64">
        <f>IF(PD64&gt;0,M64,0)</f>
        <v>0</v>
      </c>
      <c r="PG64">
        <f>VLOOKUP($B64,Afgr,Data!$BT$3)</f>
        <v>0</v>
      </c>
      <c r="PH64" s="3">
        <f>PG64*M64</f>
        <v>0</v>
      </c>
      <c r="PI64">
        <f>VLOOKUP($E64,Afgr,Data!$BT$3)</f>
        <v>0</v>
      </c>
      <c r="PJ64" s="3">
        <f>PI64*M64</f>
        <v>0</v>
      </c>
      <c r="PL64">
        <f>VLOOKUP($E64,Afgr,Data!$BV$3)</f>
        <v>0</v>
      </c>
      <c r="PM64">
        <f>PL64*M64</f>
        <v>0</v>
      </c>
      <c r="PO64">
        <f>VLOOKUP($E64,Afgr,Data!$BW$3)</f>
        <v>0</v>
      </c>
      <c r="PP64">
        <f>PO64*M64</f>
        <v>0</v>
      </c>
      <c r="PR64">
        <f>BI64*IF(VLOOKUP($E64,Afgr,Data!$BJ$3)&gt;0,1,0)</f>
        <v>0</v>
      </c>
      <c r="PS64">
        <f>PR64*M64</f>
        <v>0</v>
      </c>
      <c r="PU64">
        <f>BI64*VLOOKUP(E64,Afgr,Data!$BK$3)</f>
        <v>0</v>
      </c>
      <c r="PV64">
        <f>M64*PU64</f>
        <v>0</v>
      </c>
      <c r="PW64">
        <f>$BI64*VLOOKUP($E64,Afgr,Data!$BL$3)+$DD64*VLOOKUP($G64,Efgr,Data!$AP$53)</f>
        <v>0</v>
      </c>
      <c r="PX64">
        <f>PW64*M64</f>
        <v>0</v>
      </c>
      <c r="PY64">
        <f>$BI64*VLOOKUP($E64,Afgr,Data!$BM$3)</f>
        <v>0</v>
      </c>
      <c r="PZ64">
        <f>PY64*M64</f>
        <v>0</v>
      </c>
      <c r="QA64">
        <f>$BI64*VLOOKUP($E64,Afgr,Data!$BN$3)</f>
        <v>0</v>
      </c>
      <c r="QB64">
        <f>QA64*M64</f>
        <v>0</v>
      </c>
      <c r="QE64">
        <f>IF(VLOOKUP($E64,Afgr,Data!$DA$3)="Vårbyg",$BJ64,0)*VLOOKUP($E64,Afgr,Data!$BJ$3)</f>
        <v>0</v>
      </c>
      <c r="QF64">
        <f>IF(VLOOKUP($E64,Afgr,Data!$DA$3)="Vinterbyg",$BJ64,0)*VLOOKUP($E64,Afgr,Data!$BJ$3)</f>
        <v>0</v>
      </c>
      <c r="QG64">
        <f>IF(VLOOKUP($E64,Afgr,Data!$DA$3)="Havre",$BJ64,0)*VLOOKUP($E64,Afgr,Data!$BJ$3)</f>
        <v>0</v>
      </c>
      <c r="QH64">
        <f>IF(VLOOKUP($E64,Afgr,Data!$DA$3)="Hvede",$BJ64,0)*VLOOKUP($E64,Afgr,Data!$BJ$3)</f>
        <v>0</v>
      </c>
      <c r="QI64">
        <f>IF(VLOOKUP($E64,Afgr,Data!$DA$3)="Triticale",$BJ64,0)*VLOOKUP($E64,Afgr,Data!$BJ$3)</f>
        <v>0</v>
      </c>
      <c r="QJ64">
        <f>IF(VLOOKUP($E64,Afgr,Data!$DA$3)="Rug",$BJ64,0)*VLOOKUP($E64,Afgr,Data!$BJ$3)</f>
        <v>0</v>
      </c>
      <c r="QK64">
        <f>IF(VLOOKUP($E64,Afgr,Data!$DA$3)="Majs",$BJ64,0)*VLOOKUP($E64,Afgr,Data!$BJ$3)</f>
        <v>0</v>
      </c>
      <c r="QN64">
        <f>IF(OI64+OO64&gt;0,1,0)</f>
        <v>0</v>
      </c>
      <c r="QO64">
        <f>QN64*LJ64</f>
        <v>0</v>
      </c>
      <c r="QP64">
        <f>QN64*MG64</f>
        <v>0</v>
      </c>
      <c r="QQ64">
        <f>MQ64</f>
        <v>0</v>
      </c>
      <c r="QR64">
        <f>QN64*NO64</f>
        <v>0</v>
      </c>
    </row>
    <row r="65" spans="1:460" x14ac:dyDescent="0.25">
      <c r="GG65" s="12"/>
    </row>
    <row r="66" spans="1:460" x14ac:dyDescent="0.25">
      <c r="A66">
        <f>A64+1</f>
        <v>6</v>
      </c>
      <c r="B66">
        <v>1</v>
      </c>
      <c r="C66">
        <v>1</v>
      </c>
      <c r="D66" t="b">
        <v>0</v>
      </c>
      <c r="E66">
        <v>1</v>
      </c>
      <c r="F66">
        <v>1</v>
      </c>
      <c r="G66">
        <v>1</v>
      </c>
      <c r="H66">
        <v>1</v>
      </c>
      <c r="I66">
        <v>1</v>
      </c>
      <c r="K66">
        <v>1</v>
      </c>
      <c r="M66">
        <f>IF(ISERROR(N66*Areal2/$N$72),0,N66*Areal2/$N$72)</f>
        <v>0</v>
      </c>
      <c r="N66">
        <f>Mark!Z66</f>
        <v>0</v>
      </c>
      <c r="P66">
        <f>VLOOKUP($E66,Afgr,NnormKolonneNr2)</f>
        <v>0</v>
      </c>
      <c r="Q66">
        <f>VLOOKUP($B66,Afgr,Data!$AI$3)*VLOOKUP(E66,Afgr,Data!$AJ$3)</f>
        <v>0</v>
      </c>
      <c r="R66">
        <f>IF($D66,0,VLOOKUP($C66,Efgr,(Data!$W$53+$G$28-1)))</f>
        <v>0</v>
      </c>
      <c r="S66">
        <f>P66-Q66-R66</f>
        <v>0</v>
      </c>
      <c r="T66">
        <f>S66*M66</f>
        <v>0</v>
      </c>
      <c r="U66">
        <f>IF(Nmodel12=1,S66*Nniveau12*0.01,AO66)</f>
        <v>0</v>
      </c>
      <c r="V66" s="3">
        <f>IF(Mark!CI66&lt;&gt;"",Mark!CI66,U66)</f>
        <v>0</v>
      </c>
      <c r="W66" s="3">
        <f>V66*M66</f>
        <v>0</v>
      </c>
      <c r="Y66">
        <f>S66/NoptFaktor</f>
        <v>0</v>
      </c>
      <c r="Z66" s="3">
        <f>IF(Mark!BZ66&lt;&gt;"",Mark!BZ66,Y66)</f>
        <v>0</v>
      </c>
      <c r="AB66">
        <f>VLOOKUP($E66,Afgr,Data!$DE$3)</f>
        <v>0</v>
      </c>
      <c r="AC66">
        <f>VLOOKUP($E66,Afgr,Data!$DD$3)</f>
        <v>0</v>
      </c>
      <c r="AD66">
        <f>VLOOKUP($E66,Afgr,Data!$DC$3)</f>
        <v>0</v>
      </c>
      <c r="AE66">
        <f>IF(ISERROR($Z66+(-PrisN/$AD66-$AB66)/(2*$AC66)),0,($Z66+(-PrisN/$AD66-$AB66)/(2*$AC66)))</f>
        <v>0</v>
      </c>
      <c r="AF66">
        <f>($BD66+$BE66+$BF66)*1.03333</f>
        <v>0</v>
      </c>
      <c r="AG66">
        <f>$AF66-($AB66*($AE66-$Z66)+$AC66*($AE66-$Z66)^2)</f>
        <v>0</v>
      </c>
      <c r="AH66">
        <f>IF(Nmodel12=1,$AB66*($AE66-$S66)+$AC66*($AE66-$S66)^2,$AB66*($AE66-$AO66)+$AC66*($AE66-$AO66)^2)</f>
        <v>0</v>
      </c>
      <c r="AI66">
        <f>IF(Nmodel12=1,$AB66*($AE66-$V66)+$AC66*($AE66-$V66)^2,$AB66*($AE66-AO66)+$AC66*($AE66-AO66)^2)</f>
        <v>0</v>
      </c>
      <c r="AJ66">
        <f>AG66+AH66-BG66</f>
        <v>0</v>
      </c>
      <c r="AK66">
        <f>AG66+AI66-AJ66</f>
        <v>0</v>
      </c>
      <c r="AM66">
        <f>VLOOKUP(E66,Afgr,Data!$DF$3+SandLer2)</f>
        <v>0</v>
      </c>
      <c r="AN66">
        <f>IF(ISERROR(((-(PrisN+Pantafgift)+AM66*Pantfaktor*Pantafgift)/AD66-AB66)/(2*AC66)),0,((-(PrisN+Pantafgift)+AM66*Pantfaktor*Pantafgift)/AD66-AB66)/(2*AC66))</f>
        <v>0</v>
      </c>
      <c r="AO66">
        <f>AE66-AN66</f>
        <v>0</v>
      </c>
      <c r="AQ66">
        <f>IF(AT66&gt;0,0,W66)</f>
        <v>0</v>
      </c>
      <c r="AR66">
        <f>IF(ISERROR(W66*HdgNTilFordeling12/NnormIaltFordel12),0,W66*HdgNTilFordeling12/NnormIaltFordel12)</f>
        <v>0</v>
      </c>
      <c r="AS66">
        <f>IF(ISERROR($AR66/$M66),0,$AR66/$M66)</f>
        <v>0</v>
      </c>
      <c r="AT66">
        <f>IF(Mark!CO66&lt;&gt;"",Mark!CO66,0)</f>
        <v>0</v>
      </c>
      <c r="AU66">
        <f>$AT66*$M66</f>
        <v>0</v>
      </c>
      <c r="AV66" s="3">
        <f>IF(AT66&gt;0,AT66,AS66)</f>
        <v>0</v>
      </c>
      <c r="AW66" s="3">
        <f>AV66*M66</f>
        <v>0</v>
      </c>
      <c r="AY66">
        <f>UdnKrav*$AV66/100</f>
        <v>0</v>
      </c>
      <c r="BA66">
        <f>AV66*VLOOKUP($E66,Afgr,Data!$DJ$3)</f>
        <v>0</v>
      </c>
      <c r="BB66">
        <f>UdnKrav*$BA66/100</f>
        <v>0</v>
      </c>
      <c r="BD66">
        <f>VLOOKUP(E66,Afgr,NormudbKolonneNr2)</f>
        <v>0</v>
      </c>
      <c r="BE66">
        <f>VLOOKUP(B66,Afgr,Data!$AL$3)*VLOOKUP(E66,Afgr,MerudbKolonneNr2)</f>
        <v>0</v>
      </c>
      <c r="BF66">
        <f>VLOOKUP(C66,Efgr,(Data!$Y$53+EftervirkningUdb2))</f>
        <v>0</v>
      </c>
      <c r="BG66">
        <f>BD66+BE66+BF66</f>
        <v>0</v>
      </c>
      <c r="BH66">
        <f>IF(OR(V66&lt;&gt;S66,Nmodel12=2),AK66,BD66+BE66+BF66)</f>
        <v>0</v>
      </c>
      <c r="BI66" s="3">
        <f>IF(Mark!AK66&lt;&gt;"",Mark!AK66,BH66)</f>
        <v>0</v>
      </c>
      <c r="BJ66">
        <f>BI66*M66</f>
        <v>0</v>
      </c>
      <c r="BK66">
        <f>VLOOKUP(E66,Afgr,3)</f>
        <v>0</v>
      </c>
      <c r="BL66">
        <f>IF(BK66="FE",VLOOKUP($E66,Afgr,Data!$AV$3),0)</f>
        <v>0</v>
      </c>
      <c r="BN66">
        <f>VLOOKUP(E66,Afgr,4)</f>
        <v>0</v>
      </c>
      <c r="BO66" s="3">
        <f>IF(Mark!AW66&lt;&gt;"",Mark!AW66,Regn!BN66)</f>
        <v>0</v>
      </c>
      <c r="BP66" s="3">
        <f>BI66*BO66</f>
        <v>0</v>
      </c>
      <c r="BQ66" s="3">
        <f>BJ66*BO66</f>
        <v>0</v>
      </c>
      <c r="BS66">
        <f>VLOOKUP(E66,Afgr,Data!$AN$3)</f>
        <v>0</v>
      </c>
      <c r="BT66" s="3">
        <f>IF(Mark!BC66&lt;&gt;"",Mark!BC66,BS66)</f>
        <v>0</v>
      </c>
      <c r="BU66" s="3">
        <f>BT66*M66</f>
        <v>0</v>
      </c>
      <c r="BW66">
        <f>VLOOKUP(E66,Afgr,HalmudbKolonneNr2)</f>
        <v>0</v>
      </c>
      <c r="BX66">
        <f>IF(ISERROR(BW66*BI66/BG66),0,(BW66*BI66/BG66))</f>
        <v>0</v>
      </c>
      <c r="BY66" s="3">
        <f>IF(Mark!BI66&lt;&gt;"",Mark!BI66,BX66)</f>
        <v>0</v>
      </c>
      <c r="BZ66">
        <f>BY66*M66</f>
        <v>0</v>
      </c>
      <c r="CC66">
        <f>IF($F66=1,BY66,0)</f>
        <v>0</v>
      </c>
      <c r="CD66">
        <f>IF(F66=1,BZ66,0)</f>
        <v>0</v>
      </c>
      <c r="CE66">
        <f>VLOOKUP(E66,Afgr,Data!$AM$3)</f>
        <v>0</v>
      </c>
      <c r="CF66">
        <f>IF(Mark!BR66&lt;&gt;"",Mark!BR66,CE66)</f>
        <v>0</v>
      </c>
      <c r="CG66">
        <f>CC66*CF66</f>
        <v>0</v>
      </c>
      <c r="CH66">
        <f>CD66*CF66</f>
        <v>0</v>
      </c>
      <c r="CJ66">
        <f>VLOOKUP($G66,Efgr,NnormKolonneEfgr2)</f>
        <v>0</v>
      </c>
      <c r="CK66">
        <f>CJ66*M66</f>
        <v>0</v>
      </c>
      <c r="CL66">
        <f>CJ66*Nniveau12*0.01</f>
        <v>0</v>
      </c>
      <c r="CM66" s="3">
        <f>IF(Mark!DM66&lt;&gt;"",Mark!DM66,CL66)</f>
        <v>0</v>
      </c>
      <c r="CN66" s="3">
        <f>$CM66*$M66</f>
        <v>0</v>
      </c>
      <c r="CP66">
        <f>IF(CS66&gt;0,0,CN66)</f>
        <v>0</v>
      </c>
      <c r="CQ66">
        <f>IF(ISERROR(CN66*HdgNTilFordeling12/NnormIaltFordel12),0,CN66*HdgNTilFordeling12/NnormIaltFordel12)</f>
        <v>0</v>
      </c>
      <c r="CR66">
        <f>IF(ISERROR($CQ66/$M66),0,$CQ66/$M66)</f>
        <v>0</v>
      </c>
      <c r="CS66">
        <f>IF(Mark!DS66&lt;&gt;"",Mark!DS66,0)</f>
        <v>0</v>
      </c>
      <c r="CT66">
        <f>$CS66*$M66</f>
        <v>0</v>
      </c>
      <c r="CU66" s="3">
        <f>IF($CS66&gt;0,$CS66,$CR66)</f>
        <v>0</v>
      </c>
      <c r="CV66" s="3">
        <f>CU66*M66</f>
        <v>0</v>
      </c>
      <c r="CX66">
        <f>UdnKrav*$CU66/100</f>
        <v>0</v>
      </c>
      <c r="CZ66">
        <f>$CU66*VLOOKUP($G66,Efgr,Data!$BG$53)</f>
        <v>0</v>
      </c>
      <c r="DA66">
        <f>UdnKrav*$CZ66/100</f>
        <v>0</v>
      </c>
      <c r="DC66">
        <f>VLOOKUP(G66,Efgr,NormudbKolonneNrEfgr2)</f>
        <v>0</v>
      </c>
      <c r="DD66" s="3">
        <f>IF(Mark!DC66&lt;&gt;"",Mark!DC66,DC66)</f>
        <v>0</v>
      </c>
      <c r="DE66">
        <f>DD66*M66</f>
        <v>0</v>
      </c>
      <c r="DF66" t="s">
        <v>37</v>
      </c>
      <c r="DG66">
        <f>DD66*Efterslaetpris</f>
        <v>0</v>
      </c>
      <c r="DH66">
        <f>DE66*Efterslaetpris</f>
        <v>0</v>
      </c>
      <c r="DI66">
        <f>VLOOKUP(G66,Efgr,Data!$AG$53)</f>
        <v>0</v>
      </c>
      <c r="DJ66">
        <f>DD66*DI66</f>
        <v>0</v>
      </c>
      <c r="DL66">
        <f>VLOOKUP($E66,Afgr,Data!$AW$3)</f>
        <v>0</v>
      </c>
      <c r="DM66">
        <f>IF(BK66="FE",$BI66*$BL66*$DL66*0.01,$BI66*100*$DR66*0.01*$DL66*0.01)</f>
        <v>0</v>
      </c>
      <c r="DN66">
        <f>IF(VLOOKUP(E66,Afgr,Data!$BO$3)=1,DM66,0)*M66</f>
        <v>0</v>
      </c>
      <c r="DO66" s="12">
        <f>IF(Nmodel12=1,(V66-S66)*VLOOKUP($E66,Afgr,Data!$AX$3),(AO66-S66)*VLOOKUP(E66,Afgr,Data!$AX$3))</f>
        <v>0</v>
      </c>
      <c r="DP66">
        <f>DL66+DO66</f>
        <v>0</v>
      </c>
      <c r="DQ66">
        <f>IF(Mark!AQ66&lt;&gt;"",Mark!AQ66,DP66)</f>
        <v>0</v>
      </c>
      <c r="DR66">
        <f>VLOOKUP(E66,Afgr,Data!$AT$3)</f>
        <v>0</v>
      </c>
      <c r="DS66">
        <f>IF($BK66="FE",$BI66*$BL66*$DQ66*0.01,$BI66*100*$DR66*0.01*DQ66*0.01)</f>
        <v>0</v>
      </c>
      <c r="DT66">
        <f>IF(VLOOKUP(E66,Afgr,Data!$BO$3)=1,DS66,0)*M66</f>
        <v>0</v>
      </c>
      <c r="DU66">
        <f>IF(ISERROR(DS66/VLOOKUP(E66,Afgr,Data!$AY$3)),0,DS66/VLOOKUP(E66,Afgr,Data!$AY$3))</f>
        <v>0</v>
      </c>
      <c r="DV66">
        <f>DU66*M66</f>
        <v>0</v>
      </c>
      <c r="DX66">
        <f>IF($BK66="FE",$BI66*$BL66*VLOOKUP($E66,Afgr,Data!$BC$3)*0.001,$BI66*100*$DR66*0.01*VLOOKUP($E66,Afgr,Data!$BC$3)*0.001)</f>
        <v>0</v>
      </c>
      <c r="DY66">
        <f>DX66*M66</f>
        <v>0</v>
      </c>
      <c r="EA66">
        <f>IF($BK66="FE",$BI66*$BL66*VLOOKUP($E66,Afgr,Data!$BF$3)*0.001,$BI66*100*$DR66*0.01*VLOOKUP($E66,Afgr,Data!$BF$3)*0.001)</f>
        <v>0</v>
      </c>
      <c r="EB66">
        <f>EA66*M66</f>
        <v>0</v>
      </c>
      <c r="ED66">
        <f>IF(ISERROR(VLOOKUP(E66,Afgr,Data!$AZ$3)*DQ66/DL66),0,VLOOKUP(E66,Afgr,Data!$AZ$3)*DQ66/DL66)</f>
        <v>0</v>
      </c>
      <c r="EE66">
        <f>VLOOKUP(E66,Afgr,Data!$AU$3)</f>
        <v>0</v>
      </c>
      <c r="EF66">
        <f>IF($F66=1,$BY66*$EE66*0.01*ED66*0.01,0)</f>
        <v>0</v>
      </c>
      <c r="EG66">
        <f>EF66/6.25</f>
        <v>0</v>
      </c>
      <c r="EH66">
        <f>EG66*M66</f>
        <v>0</v>
      </c>
      <c r="EJ66">
        <f>IF($F66=1,$BY66*$EE66*0.01*VLOOKUP($E66,Afgr,Data!$BD$3)*0.001,0)</f>
        <v>0</v>
      </c>
      <c r="EK66">
        <f>EJ66*M66</f>
        <v>0</v>
      </c>
      <c r="EM66">
        <f>IF($F66=1,$BY66*$EE66*0.01*VLOOKUP($E66,Afgr,Data!$BG$3)*0.001,0)</f>
        <v>0</v>
      </c>
      <c r="EN66">
        <f>EM66*M66</f>
        <v>0</v>
      </c>
      <c r="EP66">
        <f>VLOOKUP(G66,Efgr,Data!$AI$53)</f>
        <v>0</v>
      </c>
      <c r="EQ66">
        <f>DJ66*EP66*0.01/6.25</f>
        <v>0</v>
      </c>
      <c r="ER66">
        <f>EQ66*M66</f>
        <v>0</v>
      </c>
      <c r="ET66">
        <f>$DJ66*VLOOKUP($G66,Efgr,Data!$AJ$53)*0.001</f>
        <v>0</v>
      </c>
      <c r="EU66">
        <f>ET66*M66</f>
        <v>0</v>
      </c>
      <c r="EW66">
        <f>$DJ66*VLOOKUP($G66,Efgr,Data!$AK$53)*0.001</f>
        <v>0</v>
      </c>
      <c r="EX66">
        <f>EW66*M66</f>
        <v>0</v>
      </c>
      <c r="EZ66">
        <f>IF(VLOOKUP(E66,Afgr,Data!$DS$3)=1,DU66*VLOOKUP(E66,Afgr,(Data!$DT$3+EftervirkningUdb2))*VLOOKUP(E66,Afgr,Data!$DV$3),0)</f>
        <v>0</v>
      </c>
      <c r="FA66">
        <f>IF(VLOOKUP(E66,Afgr,Data!$DS$3)=2,VLOOKUP(E66,Afgr,Data!$DX$3),0)</f>
        <v>0</v>
      </c>
      <c r="FB66">
        <f>IF(VLOOKUP(E66,Afgr,Data!$DS$3)=3,$DU66*VLOOKUP($E66,Afgr,IF(Jordtype2&lt;5,Data!$DT$3,Data!$DU$3))*VLOOKUP($E66,Afgr,Data!$DV$3),0)</f>
        <v>0</v>
      </c>
      <c r="FC66">
        <f>IF(VLOOKUP(E66,Afgr,Data!$DS$3)=4,(1.232+0.00469*BI66*100+(0.000256*BI66*100+0.089)*60),0)</f>
        <v>0</v>
      </c>
      <c r="FD66">
        <f>$V66+IF($AY66-$BB66&gt;$V66,$AY66-$V66,0)-$BB66</f>
        <v>0</v>
      </c>
      <c r="FE66">
        <f>IF(VLOOKUP($E66,Afgr,Data!$DS$3)=5,($BI66*0.02742-$BI66*0.0001*$FD66+$BI66*0.0000001111*$FD66*$FD66),0)</f>
        <v>0</v>
      </c>
      <c r="FF66">
        <f>$CM66+IF($CX66-$DA66&gt;$CM66,$CX66-$CM66,0)-$DA66</f>
        <v>0</v>
      </c>
      <c r="FG66">
        <f>IF(VLOOKUP($G66,Efgr,Data!$BH$53)=5,($DD66*0.02742-$DD66*0.0001*$FF66+$DD66*0.0000001111*$FF66*$FF66),0)</f>
        <v>0</v>
      </c>
      <c r="FH66" s="3">
        <f>EZ66+FA66+FB66+FC66+FE66+FG66</f>
        <v>0</v>
      </c>
      <c r="FI66" s="3">
        <f>FH66*M66</f>
        <v>0</v>
      </c>
      <c r="FK66">
        <f>$V66+$CM66</f>
        <v>0</v>
      </c>
      <c r="FL66">
        <f>($AV66-$AY66)+IF($AY66&gt;$V66,$AY66-$V66,0)+($CU66-$CX66)+IF($CX66&gt;$CM66,$CX66-$CM66,0)</f>
        <v>0</v>
      </c>
      <c r="FM66">
        <f>VLOOKUP($E66,Afgr,Data!$DK$3)*VLOOKUP($E66,Afgr,Data!$AT$3)*0.01*VLOOKUP($E66,Afgr,Data!$AW$3)*0.01/6.25</f>
        <v>0</v>
      </c>
      <c r="FN66" s="4">
        <f>IF(E66&gt;1,Deposition,0)</f>
        <v>0</v>
      </c>
      <c r="FO66">
        <f>FH66</f>
        <v>0</v>
      </c>
      <c r="FP66">
        <f>SUM(FK66:FO66)</f>
        <v>0</v>
      </c>
      <c r="FQ66">
        <f>DU66+EG66+EQ66</f>
        <v>0</v>
      </c>
      <c r="FR66" s="3">
        <f>FP66-FQ66</f>
        <v>0</v>
      </c>
      <c r="FS66" s="19">
        <f>FP66*M66</f>
        <v>0</v>
      </c>
      <c r="FT66" s="19">
        <f>FQ66*M66</f>
        <v>0</v>
      </c>
      <c r="FU66" s="3">
        <f>FR66*M66</f>
        <v>0</v>
      </c>
      <c r="FW66">
        <f>IL66+IM66+LP66+LQ66</f>
        <v>0</v>
      </c>
      <c r="FX66">
        <f>IK66+LO66</f>
        <v>0</v>
      </c>
      <c r="FY66">
        <f>FW66-FX66</f>
        <v>0</v>
      </c>
      <c r="FZ66">
        <f>FY66*M66</f>
        <v>0</v>
      </c>
      <c r="GB66">
        <f>IS66+IT66+LV66+LW66</f>
        <v>0</v>
      </c>
      <c r="GC66">
        <f>IR66+LU66</f>
        <v>0</v>
      </c>
      <c r="GD66">
        <f>GB66-GC66</f>
        <v>0</v>
      </c>
      <c r="GE66">
        <f>GD66*M66</f>
        <v>0</v>
      </c>
      <c r="GG66" s="149">
        <f>IF(OR(VLOOKUP(E66,Afgr,Data!$BV$3)=1,VLOOKUP(E66,Afgr,Data!$BW$3)=1),0,NniveauDelsaedsk2)</f>
        <v>0</v>
      </c>
      <c r="GH66" s="1">
        <v>0.32550000000000001</v>
      </c>
      <c r="GI66" s="6">
        <v>0</v>
      </c>
      <c r="GJ66" s="24">
        <f>IF(($V66-BB66+$CM66-DA66)&lt;0,0,$V66-BB66+$CM66-DA66)</f>
        <v>0</v>
      </c>
      <c r="GK66" s="6">
        <f>$FO66</f>
        <v>0</v>
      </c>
      <c r="GL66" s="1">
        <v>0.25280000000000002</v>
      </c>
      <c r="GM66">
        <f>$BA66+$CZ66</f>
        <v>0</v>
      </c>
      <c r="GN66" s="1">
        <v>0.376</v>
      </c>
      <c r="GO66" s="6">
        <v>0</v>
      </c>
      <c r="GP66" s="1">
        <f>IF(SandLer2&gt;1,0.3539,1.0749)</f>
        <v>0.35389999999999999</v>
      </c>
      <c r="GQ66" s="11">
        <f>$FQ66</f>
        <v>0</v>
      </c>
      <c r="GR66" s="1">
        <v>0.19359999999999999</v>
      </c>
      <c r="GS66" s="1">
        <f>VLOOKUP($E66,Afgr,Data!$DM$3)</f>
        <v>0</v>
      </c>
      <c r="GT66" s="24">
        <f>IF($GS66&gt;1,0,(VLOOKUP($K66,Afgr,Data!$DP$3)+IF(VLOOKUP($K66,Afgr,Data!$DP$3)=0,VLOOKUP($G66,Efgr,Data!$BI$53,0))))+IF(AND($GS66=7,VLOOKUP($K66,Afgr,Data!$DQ$3)=-2),-2,0)+IF(AND($GS66=6,VLOOKUP($G66,Efgr,Data!$BI$53)=2),8,0)</f>
        <v>0</v>
      </c>
      <c r="GU66" s="6" t="e">
        <f>VLOOKUP(SUM(GS66:GT66),Nlesafgr,3)</f>
        <v>#N/A</v>
      </c>
      <c r="GV66" s="7">
        <f>VLOOKUP($B66,Afgr,Data!$DN$3)</f>
        <v>0</v>
      </c>
      <c r="GW66" s="24">
        <f>IF(GV66&gt;1,0,VLOOKUP($E66,Afgr,Data!$DO$3)+IF(VLOOKUP($E66,Afgr,Data!$DO$3)=1,0,VLOOKUP($C66,Efgr,Data!$BJ$53)))</f>
        <v>0</v>
      </c>
      <c r="GX66" s="6" t="e">
        <f>VLOOKUP(SUM(GV66:GW66),Nlesforfrugt,3)</f>
        <v>#N/A</v>
      </c>
      <c r="GY66" s="1" t="e">
        <f>GH66*GG66+GL66*(GJ66+GK66)+GN66*GM66+GP66*GO66-GR66*GQ66+GU66+GX66</f>
        <v>#N/A</v>
      </c>
      <c r="GZ66" s="1">
        <f>Nlesafskaering</f>
        <v>59.6</v>
      </c>
      <c r="HA66" s="1">
        <f>Teknologi1</f>
        <v>2455</v>
      </c>
      <c r="HB66" s="6">
        <v>2001</v>
      </c>
      <c r="HC66" s="1">
        <f>Teknologi2</f>
        <v>1962.2</v>
      </c>
      <c r="HD66" s="1">
        <f>Tandel</f>
        <v>0.54659999999999997</v>
      </c>
      <c r="HE66" s="1" t="e">
        <f>IF(OR(GY66&gt;0,GY66=0),GZ66+HA66/(HB66-HC66),GZ66+HA66/(HB66-HC66)+HD66*GY66)</f>
        <v>#N/A</v>
      </c>
      <c r="HF66" s="1" t="e">
        <f>IF(GY66&gt;0,GY66,0.001)</f>
        <v>#N/A</v>
      </c>
      <c r="HG66" s="1">
        <v>1.5020000000000001E-3</v>
      </c>
      <c r="HH66" s="24">
        <f>IF(E66=1,0,VLOOKUP(Postnr,AfstromData,VLOOKUP($E66,Afgr,Data!$DL$3)+IF(Jordtype1&lt;7,Jordtype1,6),FALSE)-VLOOKUP(G66,Efgr,Data!$AA$53))</f>
        <v>0</v>
      </c>
      <c r="HI66" s="1">
        <v>5.5400000000000002E-4</v>
      </c>
      <c r="HJ66" s="24">
        <f>IF(E66=1,0,VLOOKUP(Postnr,AfstromData,VLOOKUP($B66,Afgr,Data!$DL$3)+IF(Jordtype1&lt;7,Jordtype1,6),FALSE)-VLOOKUP(C66,Efgr,Data!$AA$53))</f>
        <v>0</v>
      </c>
      <c r="HK66" s="1">
        <v>0.10639999999999999</v>
      </c>
      <c r="HL66" s="6">
        <f>VLOOKUP(Jordtype2,Jordtype,Data!$W$112)</f>
        <v>3</v>
      </c>
      <c r="HM66" s="1">
        <v>3.2500000000000001E-2</v>
      </c>
      <c r="HN66" s="6">
        <f>VLOOKUP(Jordtype2,Jordtype,Data!$X$112)</f>
        <v>12</v>
      </c>
      <c r="HO66" s="1">
        <v>1.2453000000000001</v>
      </c>
      <c r="HP66" s="1">
        <f>IF(VLOOKUP(G66,Efgr,Data!$AO$53)=1,MlafgrNUdvask,0)</f>
        <v>0</v>
      </c>
      <c r="HQ66" s="20">
        <f>IF(ISERROR((HE66+POWER(HF66,1.2))*(1-EXP(-HG66*HH66))*EXP(-HI66*HJ66)*EXP(-HK66*HL66)*EXP(-HM66*HN66)*HO66),0,(HE66+POWER(HF66,1.2))*(1-EXP(-HG66*HH66))*EXP(-HI66*HJ66)*EXP(-HK66*HL66)*EXP(-HM66*HN66)*HO66+HP66)</f>
        <v>0</v>
      </c>
      <c r="HR66">
        <f>HQ66*M66</f>
        <v>0</v>
      </c>
      <c r="HS66">
        <f>HQ66*(100-Retention2)*0.01</f>
        <v>0</v>
      </c>
      <c r="HT66">
        <f>HS66*M66</f>
        <v>0</v>
      </c>
      <c r="HU66" s="2">
        <f>HH66*10000</f>
        <v>0</v>
      </c>
      <c r="HV66" s="2">
        <f>HU66*M66</f>
        <v>0</v>
      </c>
      <c r="HW66">
        <f>IF(ISERROR(HQ66*1000*1000/HU66),0,HQ66*1000*1000/HU66)</f>
        <v>0</v>
      </c>
      <c r="HY66">
        <f>BP66+BT66+CG66+DG66</f>
        <v>0</v>
      </c>
      <c r="IB66">
        <f>VLOOKUP(E66,Afgr,Data!$AP$3)*UdsaedJust</f>
        <v>0</v>
      </c>
      <c r="IC66" s="3">
        <f>IF(Mark!EG66&lt;&gt;"",Mark!EG66,Regn!IB66)</f>
        <v>0</v>
      </c>
      <c r="ID66" s="3">
        <f>IC66*M66</f>
        <v>0</v>
      </c>
      <c r="IF66" s="3">
        <f>IF(HdgVaerdi=1,($V66-$AY66)*Npris,$V66*Npris)</f>
        <v>0</v>
      </c>
      <c r="IG66" s="3">
        <f>IF66*M66</f>
        <v>0</v>
      </c>
      <c r="II66">
        <f>VLOOKUP($E66,Afgr,Data!$BA$3)</f>
        <v>0</v>
      </c>
      <c r="IJ66">
        <f>VLOOKUP($E66,Afgr,Data!$BB$3)</f>
        <v>0</v>
      </c>
      <c r="IK66">
        <f>$DX66+$EJ66</f>
        <v>0</v>
      </c>
      <c r="IL66">
        <f>IF(HdgDyreart=2,$AV66*NPforholdSvin,$AV66*NPforholdKvaeg)</f>
        <v>0</v>
      </c>
      <c r="IM66">
        <f>II66+IF($IJ66+$IK66&gt;$IL66,($IJ66+$IK66-$IL66),0)</f>
        <v>0</v>
      </c>
      <c r="IN66" s="3">
        <f>IF(HdgVaerdi=1,($II66*Ppris+IF($IJ66+$IK66&gt;$IL66,($IJ66+$IK66-$IL66)*Ppris,0)),($II66+$IJ66+$IK66)*Ppris)</f>
        <v>0</v>
      </c>
      <c r="IO66" s="3">
        <f>IN66*M66</f>
        <v>0</v>
      </c>
      <c r="IQ66">
        <f>IF(AND(E66&gt;1,OR(Jordtype2=1,Jordtype2=3,Markvand2=2)),Kudvask,0)</f>
        <v>0</v>
      </c>
      <c r="IR66">
        <f>$EA66+$EM66</f>
        <v>0</v>
      </c>
      <c r="IS66">
        <f>IF(HdgDyreart=2,$AV66*NKforholdSvin,$AV66*NkforholdKvaeg)</f>
        <v>0</v>
      </c>
      <c r="IT66">
        <f>IF($IQ66+$IR66&gt;$IS66,($IQ66+$IR66-$IS66),0)</f>
        <v>0</v>
      </c>
      <c r="IU66" s="3">
        <f>IF(HdgVaerdi=1,IF($IQ66+$IR66&gt;$IS66,($IQ66+$IR66-$IS66)*Kpris,0),($IQ66+$IR66)*Kpris)</f>
        <v>0</v>
      </c>
      <c r="IV66" s="3">
        <f>IU66*M66</f>
        <v>0</v>
      </c>
      <c r="IX66">
        <f>IF66+IN66+IU66</f>
        <v>0</v>
      </c>
      <c r="IY66" s="3">
        <f>IF(Mark!EM66&lt;&gt;"",Mark!EM66,$IX66)</f>
        <v>0</v>
      </c>
      <c r="IZ66" s="3">
        <f>IY66*M66</f>
        <v>0</v>
      </c>
      <c r="JB66">
        <f>VLOOKUP(E66,Afgr,Data!$AQ$3)*PlantevJust</f>
        <v>0</v>
      </c>
      <c r="JC66" s="3">
        <f>IF(Mark!ES66&lt;&gt;"",Mark!ES66,JB66)</f>
        <v>0</v>
      </c>
      <c r="JD66" s="3">
        <f>JC66*M66</f>
        <v>0</v>
      </c>
      <c r="JF66">
        <f>VLOOKUP(E66,Afgr,Data!$AR$3)+BI66*VLOOKUP(E66,Afgr,Data!$BH$3)</f>
        <v>0</v>
      </c>
      <c r="JG66" s="3">
        <f>IF(Mark!EY66&lt;&gt;"",Mark!EY66,JF66)</f>
        <v>0</v>
      </c>
      <c r="JH66">
        <f>JG66*M66</f>
        <v>0</v>
      </c>
      <c r="JJ66">
        <f>IC66+IY66+JC66+JG66</f>
        <v>0</v>
      </c>
      <c r="JL66">
        <f>IF(VLOOKUP(E66,Afgr,Data!$BY$3)&gt;0,Data!$K$259*PlojJB2,0)</f>
        <v>0</v>
      </c>
      <c r="JM66">
        <f>IF(VLOOKUP(E66,Afgr,Data!$BZ$3)&gt;0,Data!$K$260*PlojJB2,0)</f>
        <v>0</v>
      </c>
      <c r="JN66">
        <f>(JL66+JM66)*MaskJust</f>
        <v>0</v>
      </c>
      <c r="JO66" s="3">
        <f>IF(Mark!FE66&lt;&gt;"",Mark!FE66,JN66)</f>
        <v>0</v>
      </c>
      <c r="JP66" s="3">
        <f>JO66*M66</f>
        <v>0</v>
      </c>
      <c r="JR66">
        <f>IF(VLOOKUP(E66,Afgr,Data!$CA$3)&gt;0,VLOOKUP(E66,Afgr,Data!$CA$3)*Data!$K$261*SaaJB2,0)</f>
        <v>0</v>
      </c>
      <c r="JS66">
        <f>IF(VLOOKUP(E66,Afgr,Data!$CC$3)&gt;0,Data!$K$262*SaaJB2,0)</f>
        <v>0</v>
      </c>
      <c r="JT66">
        <f>IF(VLOOKUP(E66,Afgr,Data!$CD$3)&gt;0,VLOOKUP(E66,Afgr,Data!$CD$3)*Data!$K$263*SaaJB2,0)</f>
        <v>0</v>
      </c>
      <c r="JU66">
        <f>IF(VLOOKUP(E66,Afgr,Data!$CE$3)&gt;0,Data!$K$264*SaaJB2,0)</f>
        <v>0</v>
      </c>
      <c r="JV66">
        <f>IF(VLOOKUP(E66,Afgr,Data!$CF$3)&gt;0,Data!$K$265*SaaJB2,0)</f>
        <v>0</v>
      </c>
      <c r="JW66">
        <f>IF(VLOOKUP(E66,Afgr,Data!$CV$3)&gt;0,Data!$K$266,0)</f>
        <v>0</v>
      </c>
      <c r="JX66">
        <f>IF(VLOOKUP(E66,Afgr,Data!$CG$3)&gt;0,Data!$K$267*SaaJB2,0)</f>
        <v>0</v>
      </c>
      <c r="JY66">
        <f>(JR66+JS66+JT66+JU66+JV66+JW66+JX66)*MaskJust</f>
        <v>0</v>
      </c>
      <c r="JZ66" s="3">
        <f>IF(Mark!FK66&lt;&gt;"",Mark!FK66,JY66)</f>
        <v>0</v>
      </c>
      <c r="KA66" s="3">
        <f>JZ66*M66</f>
        <v>0</v>
      </c>
      <c r="KC66">
        <f>IF(VLOOKUP(E66,Afgr,Data!$CJ$3)&gt;0,VLOOKUP(E66,Afgr,Data!$CJ$3)*Data!$K$268*SaaJB2,0)*MaskJust</f>
        <v>0</v>
      </c>
      <c r="KD66" s="3">
        <f>IF(Mark!FQ66&lt;&gt;"",Mark!FQ66,KC66)</f>
        <v>0</v>
      </c>
      <c r="KE66" s="3">
        <f>KD66*M66</f>
        <v>0</v>
      </c>
      <c r="KG66">
        <f>IF(VLOOKUP(E66,Afgr,Data!$CI$3)&gt;0,VLOOKUP(E66,Afgr,Data!$CI$3)*Data!$K$269,0)*MaskJust</f>
        <v>0</v>
      </c>
      <c r="KH66" s="3">
        <f>IF(Mark!FW66&lt;&gt;"",Mark!FW66,KG66)</f>
        <v>0</v>
      </c>
      <c r="KI66" s="3">
        <f>KH66*M66</f>
        <v>0</v>
      </c>
      <c r="KK66">
        <f>IF(Markvand2=2,VLOOKUP($E66,Afgr,Data!$CY$3),0)</f>
        <v>0</v>
      </c>
      <c r="KL66">
        <f>IF(Mark!GC66&lt;&gt;"",Mark!GC66,$KK66)</f>
        <v>0</v>
      </c>
      <c r="KM66">
        <f>IF(AND(E66&gt;1,Markvand2=2),Vandmaskin+$KL66*Flytning/mmprgang+$KL66*Prisprmm,0)</f>
        <v>0</v>
      </c>
      <c r="KN66" s="3">
        <f>IF(Mark!GI66&lt;&gt;"",Mark!GI66,$KM66)</f>
        <v>0</v>
      </c>
      <c r="KO66" s="3">
        <f>KN66*M66</f>
        <v>0</v>
      </c>
      <c r="KQ66">
        <f>IF(VLOOKUP($E66,Afgr,Data!$CK$3)&gt;0,((1+Regn!$BI66/VLOOKUP($E66,Afgr,Data!$CK$3))/2)*VLOOKUP($E66,Afgr,Data!$CL$3)*VLOOKUP($E66,Afgr,Data!$CN$3)+VLOOKUP($E66,Afgr,Data!$CM$3),0)</f>
        <v>0</v>
      </c>
      <c r="KR66">
        <f>IF(VLOOKUP($E66,Afgr,Data!$CK$3)&gt;0,IF(AND($F66=2,$BW66&gt;0),Data!$K$271,0),0)</f>
        <v>0</v>
      </c>
      <c r="KS66">
        <f>IF(VLOOKUP($E66,Afgr,Data!$CK$3)&gt;0,(Regn!$BI66/VLOOKUP($E66,Afgr,Data!$CK$3))*VLOOKUP($E66,Afgr,Data!$CO$3)*VLOOKUP($E66,Afgr,Data!$CN$3),0)</f>
        <v>0</v>
      </c>
      <c r="KT66">
        <f>(KQ66+KR66+KS66)*MaskJust</f>
        <v>0</v>
      </c>
      <c r="KU66" s="3">
        <f>IF(Mark!GO66&lt;&gt;"",Mark!GO66,KT66)</f>
        <v>0</v>
      </c>
      <c r="KV66" s="3">
        <f>KU66*M66</f>
        <v>0</v>
      </c>
      <c r="KW66" s="3"/>
      <c r="KX66">
        <f>IF(AND($F66=1,VLOOKUP($E66,Afgr,Data!$CP$3)&gt;0),((1+$BY66/VLOOKUP($E66,Afgr,Data!$CP$3))/2)*VLOOKUP($E66,Afgr,Data!$CQ$3),0)</f>
        <v>0</v>
      </c>
      <c r="KY66">
        <f>IF(AND($F66=1,VLOOKUP($E66,Afgr,Data!$CP$3)&gt;0),($BY66/VLOOKUP($E66,Afgr,Data!$CP$3))*VLOOKUP($E66,Afgr,Data!$CR$3),0)</f>
        <v>0</v>
      </c>
      <c r="KZ66">
        <f>(KX66+KY66)*MaskJust</f>
        <v>0</v>
      </c>
      <c r="LA66" s="3">
        <f>IF(Mark!GU66&lt;&gt;"",Mark!GU66,KZ66)</f>
        <v>0</v>
      </c>
      <c r="LB66" s="3">
        <f>LA66*M66</f>
        <v>0</v>
      </c>
      <c r="LD66">
        <f>$BI66*VLOOKUP($E66,Afgr,Data!$CS$3)*IF($I66=1,VLOOKUP($E66,Afgr,Data!$CT$3),IF($I66=2,VLOOKUP($E66,Afgr,Data!$CU$3),0))</f>
        <v>0</v>
      </c>
      <c r="LE66" s="3">
        <f>IF(Mark!HD66&lt;&gt;"",Mark!HD66,LD66)</f>
        <v>0</v>
      </c>
      <c r="LF66" s="3">
        <f>LE66*M66</f>
        <v>0</v>
      </c>
      <c r="LH66">
        <f>VLOOKUP($G66,Efgr,Data!$AC$53)*UdsaedJust</f>
        <v>0</v>
      </c>
      <c r="LI66" s="3">
        <f>IF(Mark!$HL66&lt;&gt;"",Mark!$HL66,LH66)</f>
        <v>0</v>
      </c>
      <c r="LJ66" s="3">
        <f>LI66*M66</f>
        <v>0</v>
      </c>
      <c r="LL66" s="3">
        <f>IF(HdgVaerdi=1,($CM66-$CX66)*Npris,$CM66*Npris)</f>
        <v>0</v>
      </c>
      <c r="LM66" s="3">
        <f>LL66*M66</f>
        <v>0</v>
      </c>
      <c r="LO66">
        <f>$ET66</f>
        <v>0</v>
      </c>
      <c r="LP66">
        <f>IF(HdgDyreart=2,$CU66*NPforholdSvin,$CU66*NPforholdKvaeg)</f>
        <v>0</v>
      </c>
      <c r="LQ66">
        <f>IF($LO66&gt;$LP66,($LO66-$LP66),0)</f>
        <v>0</v>
      </c>
      <c r="LR66" s="3">
        <f>IF(HdgVaerdi=1,IF($LO66&gt;$LP66,($LO66-$LP66)*Ppris,0),$LO66*Ppris)</f>
        <v>0</v>
      </c>
      <c r="LS66" s="3">
        <f>LR66*M66</f>
        <v>0</v>
      </c>
      <c r="LU66">
        <f>$EW66</f>
        <v>0</v>
      </c>
      <c r="LV66">
        <f>IF(HdgDyreart=2,$CU66*NKforholdSvin,$CU66*NkforholdKvaeg)</f>
        <v>0</v>
      </c>
      <c r="LW66">
        <f>IF($LU66&gt;$LV66,($LU66-$LV66),0)</f>
        <v>0</v>
      </c>
      <c r="LX66" s="3">
        <f>IF(HdgVaerdi=1,IF($LU66&gt;$LV66,($LU66-$LV66)*Ppris,0),$LU66*Ppris)</f>
        <v>0</v>
      </c>
      <c r="LY66" s="3">
        <f>LX66*M66</f>
        <v>0</v>
      </c>
      <c r="MA66">
        <f>LL66+LR66+LX66</f>
        <v>0</v>
      </c>
      <c r="MB66" s="3">
        <f>IF(Mark!HR66&lt;&gt;"",Mark!HR66,$MA66)</f>
        <v>0</v>
      </c>
      <c r="MC66" s="3">
        <f>MB66*M66</f>
        <v>0</v>
      </c>
      <c r="ME66">
        <f>VLOOKUP($G66,Efgr,Data!$AE$53)*PlantevJust</f>
        <v>0</v>
      </c>
      <c r="MF66" s="3">
        <f>IF(Mark!HX66&lt;&gt;"",Mark!HX66,ME66)</f>
        <v>0</v>
      </c>
      <c r="MG66" s="3">
        <f>MF66*M66</f>
        <v>0</v>
      </c>
      <c r="MI66">
        <f>VLOOKUP($G66,Efgr,Data!$AF$53)+$DD66*VLOOKUP($G66,Efgr,Data!$AL$53)</f>
        <v>0</v>
      </c>
      <c r="MJ66" s="3">
        <f>IF(Mark!ID66&lt;&gt;"",Mark!ID66,MI66)</f>
        <v>0</v>
      </c>
      <c r="MK66" s="3">
        <f>MJ66*M66</f>
        <v>0</v>
      </c>
      <c r="MM66">
        <f>LI66+MB66+MF66+MJ66</f>
        <v>0</v>
      </c>
      <c r="MO66">
        <f>VLOOKUP($G66,Efgr,Data!$AU$53)*SaaJB2*MaskJust</f>
        <v>0</v>
      </c>
      <c r="MP66" s="3">
        <f>IF(Mark!IJ66&lt;&gt;"",Mark!IJ66,MO66)</f>
        <v>0</v>
      </c>
      <c r="MQ66" s="3">
        <f>MP66*M66</f>
        <v>0</v>
      </c>
      <c r="MS66">
        <f>VLOOKUP($G66,Efgr,Data!$AW$53)*Data!$K$268*SaaJB2*MaskJust</f>
        <v>0</v>
      </c>
      <c r="MT66" s="3">
        <f>IF(Mark!IP66&lt;&gt;"",Mark!IP66,MS66)</f>
        <v>0</v>
      </c>
      <c r="MU66" s="3">
        <f>MT66*M66</f>
        <v>0</v>
      </c>
      <c r="MW66">
        <f>VLOOKUP($G66,Efgr,Data!$AV$53)*Data!$K$269*MaskJust</f>
        <v>0</v>
      </c>
      <c r="MX66" s="3">
        <f>IF(Mark!IV66&lt;&gt;"",Mark!IV66,MW66)</f>
        <v>0</v>
      </c>
      <c r="MY66" s="3">
        <f>MX66*M66</f>
        <v>0</v>
      </c>
      <c r="NA66">
        <f>IF(Markvand2=2,VLOOKUP($G66,Efgr,Data!$BC$53),0)</f>
        <v>0</v>
      </c>
      <c r="NB66">
        <f>IF(Mark!JB66&lt;&gt;"",Mark!JB66,$NA66)</f>
        <v>0</v>
      </c>
      <c r="NC66">
        <f>IF(Markvand2=2,$NB66*Flytning/mmprgang+$NB66*Prisprmm,0)</f>
        <v>0</v>
      </c>
      <c r="ND66" s="3">
        <f>IF(Mark!JH66&lt;&gt;"",Mark!JH66,$NC66)</f>
        <v>0</v>
      </c>
      <c r="NE66" s="3">
        <f>ND66*M66</f>
        <v>0</v>
      </c>
      <c r="NG66">
        <f>IF(VLOOKUP($G66,Efgr,Data!$AX$53)&gt;0,((1+Regn!DD66/VLOOKUP($G66,Efgr,Data!$AX$53))/2)*VLOOKUP($G66,Efgr,Data!$AY$53)*VLOOKUP($G66,Efgr,Data!$BA$53)+VLOOKUP($G66,Efgr,Data!$AZ$53),0)</f>
        <v>0</v>
      </c>
      <c r="NH66">
        <f>IF(VLOOKUP($G66,Efgr,Data!$AX$53)&gt;0,($DD66/VLOOKUP($G66,Efgr,Data!$AX$53))*VLOOKUP($G66,Efgr,Data!$BB$53)*VLOOKUP($G66,Efgr,Data!$BA$53),0)</f>
        <v>0</v>
      </c>
      <c r="NI66">
        <f>(NG66+NH66)*MaskJust</f>
        <v>0</v>
      </c>
      <c r="NJ66" s="3">
        <f>IF(Mark!JN66&lt;&gt;"",Mark!JN66,NI66)</f>
        <v>0</v>
      </c>
      <c r="NK66" s="3">
        <f>NJ66*M66</f>
        <v>0</v>
      </c>
      <c r="NM66">
        <f>IF($H66=2,Data!$K$304,IF($H66=3,Data!$K$305,0))*MaskJust</f>
        <v>0</v>
      </c>
      <c r="NN66" s="3">
        <f>IF(Mark!JT66&lt;&gt;"",Mark!JT66,NM66)</f>
        <v>0</v>
      </c>
      <c r="NO66" s="3">
        <f>NN66*M66</f>
        <v>0</v>
      </c>
      <c r="NQ66">
        <f>HY66</f>
        <v>0</v>
      </c>
      <c r="NR66">
        <f>JJ66+MM66</f>
        <v>0</v>
      </c>
      <c r="NS66">
        <f>NQ66-NR66</f>
        <v>0</v>
      </c>
      <c r="NT66">
        <f>NS66*M66</f>
        <v>0</v>
      </c>
      <c r="NW66">
        <f>VLOOKUP($B66,Afgr,Data!$BP$3)+VLOOKUP($C66,Efgr,Data!$AM$53)</f>
        <v>0</v>
      </c>
      <c r="NX66" s="3">
        <f>NW66*M66</f>
        <v>0</v>
      </c>
      <c r="NY66">
        <f>VLOOKUP($E66,Afgr,Data!$BP$3)+VLOOKUP($G66,Efgr,Data!$AM$53)</f>
        <v>0</v>
      </c>
      <c r="NZ66" s="3">
        <f>NY66*M66</f>
        <v>0</v>
      </c>
      <c r="OB66">
        <f>VLOOKUP($C66,Efgr,Data!$AN$53)</f>
        <v>0</v>
      </c>
      <c r="OC66">
        <f>VLOOKUP($B66,Afgr,Data!$BQ$3)</f>
        <v>0</v>
      </c>
      <c r="OD66">
        <f>VLOOKUP($E66,Afgr,Data!$BR$3)</f>
        <v>1</v>
      </c>
      <c r="OE66">
        <f>OB66*OC66*OD66</f>
        <v>0</v>
      </c>
      <c r="OF66" s="3">
        <f>OE66*M66</f>
        <v>0</v>
      </c>
      <c r="OG66" s="3">
        <f>IF(D66,1,0)*OF66</f>
        <v>0</v>
      </c>
      <c r="OI66">
        <f>VLOOKUP($G66,Efgr,Data!$AN$53)</f>
        <v>0</v>
      </c>
      <c r="OJ66">
        <f>VLOOKUP($E66,Afgr,Data!$BQ$3)</f>
        <v>0</v>
      </c>
      <c r="OK66">
        <f>VLOOKUP($K66,Afgr,Data!$BR$3)</f>
        <v>1</v>
      </c>
      <c r="OL66">
        <f>OI66*OJ66*OK66</f>
        <v>0</v>
      </c>
      <c r="OM66" s="3">
        <f>OL66*M66</f>
        <v>0</v>
      </c>
      <c r="OO66">
        <f>VLOOKUP($G66,Efgr,Data!$AO$53)</f>
        <v>0</v>
      </c>
      <c r="OP66">
        <f>VLOOKUP($B66,Afgr,Data!$BQ$3)</f>
        <v>0</v>
      </c>
      <c r="OQ66">
        <f>VLOOKUP($E66,Afgr,Data!$BS$3)</f>
        <v>0</v>
      </c>
      <c r="OR66" s="3">
        <f>OO66*OP66*OQ66*$M66</f>
        <v>0</v>
      </c>
      <c r="OT66">
        <f>VLOOKUP($G66,Efgr,Data!$AO$53)</f>
        <v>0</v>
      </c>
      <c r="OU66">
        <f>VLOOKUP($E66,Afgr,Data!$BQ$3)</f>
        <v>0</v>
      </c>
      <c r="OV66">
        <f>VLOOKUP($K66,Afgr,Data!$BS$3)</f>
        <v>0</v>
      </c>
      <c r="OW66" s="3">
        <f>OT66*OU66*OV66*$M66</f>
        <v>0</v>
      </c>
      <c r="OX66" s="3"/>
      <c r="OY66" s="3">
        <f>VLOOKUP($B66,Afgr,Data!$BU$3)</f>
        <v>0</v>
      </c>
      <c r="OZ66" s="3">
        <f>OY66*M66</f>
        <v>0</v>
      </c>
      <c r="PA66" s="3">
        <f>VLOOKUP($E66,Afgr,Data!$BU$3)</f>
        <v>0</v>
      </c>
      <c r="PB66" s="3">
        <f>PA66*M66</f>
        <v>0</v>
      </c>
      <c r="PD66">
        <f>VLOOKUP(E66,Afgr,Data!$BX$3)+VLOOKUP(G66,Efgr,Data!$AQ$53)</f>
        <v>0</v>
      </c>
      <c r="PE66">
        <f>IF(PD66&gt;0,M66,0)</f>
        <v>0</v>
      </c>
      <c r="PG66">
        <f>VLOOKUP($B66,Afgr,Data!$BT$3)</f>
        <v>0</v>
      </c>
      <c r="PH66" s="3">
        <f>PG66*M66</f>
        <v>0</v>
      </c>
      <c r="PI66">
        <f>VLOOKUP($E66,Afgr,Data!$BT$3)</f>
        <v>0</v>
      </c>
      <c r="PJ66" s="3">
        <f>PI66*M66</f>
        <v>0</v>
      </c>
      <c r="PL66">
        <f>VLOOKUP($E66,Afgr,Data!$BV$3)</f>
        <v>0</v>
      </c>
      <c r="PM66">
        <f>PL66*M66</f>
        <v>0</v>
      </c>
      <c r="PO66">
        <f>VLOOKUP($E66,Afgr,Data!$BW$3)</f>
        <v>0</v>
      </c>
      <c r="PP66">
        <f>PO66*M66</f>
        <v>0</v>
      </c>
      <c r="PR66">
        <f>BI66*IF(VLOOKUP($E66,Afgr,Data!$BJ$3)&gt;0,1,0)</f>
        <v>0</v>
      </c>
      <c r="PS66">
        <f>PR66*M66</f>
        <v>0</v>
      </c>
      <c r="PU66">
        <f>BI66*VLOOKUP(E66,Afgr,Data!$BK$3)</f>
        <v>0</v>
      </c>
      <c r="PV66">
        <f>M66*PU66</f>
        <v>0</v>
      </c>
      <c r="PW66">
        <f>$BI66*VLOOKUP($E66,Afgr,Data!$BL$3)+$DD66*VLOOKUP($G66,Efgr,Data!$AP$53)</f>
        <v>0</v>
      </c>
      <c r="PX66">
        <f>PW66*M66</f>
        <v>0</v>
      </c>
      <c r="PY66">
        <f>$BI66*VLOOKUP($E66,Afgr,Data!$BM$3)</f>
        <v>0</v>
      </c>
      <c r="PZ66">
        <f>PY66*M66</f>
        <v>0</v>
      </c>
      <c r="QA66">
        <f>$BI66*VLOOKUP($E66,Afgr,Data!$BN$3)</f>
        <v>0</v>
      </c>
      <c r="QB66">
        <f>QA66*M66</f>
        <v>0</v>
      </c>
      <c r="QE66">
        <f>IF(VLOOKUP($E66,Afgr,Data!$DA$3)="Vårbyg",$BJ66,0)*VLOOKUP($E66,Afgr,Data!$BJ$3)</f>
        <v>0</v>
      </c>
      <c r="QF66">
        <f>IF(VLOOKUP($E66,Afgr,Data!$DA$3)="Vinterbyg",$BJ66,0)*VLOOKUP($E66,Afgr,Data!$BJ$3)</f>
        <v>0</v>
      </c>
      <c r="QG66">
        <f>IF(VLOOKUP($E66,Afgr,Data!$DA$3)="Havre",$BJ66,0)*VLOOKUP($E66,Afgr,Data!$BJ$3)</f>
        <v>0</v>
      </c>
      <c r="QH66">
        <f>IF(VLOOKUP($E66,Afgr,Data!$DA$3)="Hvede",$BJ66,0)*VLOOKUP($E66,Afgr,Data!$BJ$3)</f>
        <v>0</v>
      </c>
      <c r="QI66">
        <f>IF(VLOOKUP($E66,Afgr,Data!$DA$3)="Triticale",$BJ66,0)*VLOOKUP($E66,Afgr,Data!$BJ$3)</f>
        <v>0</v>
      </c>
      <c r="QJ66">
        <f>IF(VLOOKUP($E66,Afgr,Data!$DA$3)="Rug",$BJ66,0)*VLOOKUP($E66,Afgr,Data!$BJ$3)</f>
        <v>0</v>
      </c>
      <c r="QK66">
        <f>IF(VLOOKUP($E66,Afgr,Data!$DA$3)="Majs",$BJ66,0)*VLOOKUP($E66,Afgr,Data!$BJ$3)</f>
        <v>0</v>
      </c>
      <c r="QN66">
        <f>IF(OI66+OO66&gt;0,1,0)</f>
        <v>0</v>
      </c>
      <c r="QO66">
        <f>QN66*LJ66</f>
        <v>0</v>
      </c>
      <c r="QP66">
        <f>QN66*MG66</f>
        <v>0</v>
      </c>
      <c r="QQ66">
        <f>MQ66</f>
        <v>0</v>
      </c>
      <c r="QR66">
        <f>QN66*NO66</f>
        <v>0</v>
      </c>
    </row>
    <row r="67" spans="1:460" x14ac:dyDescent="0.25">
      <c r="GG67" s="12"/>
    </row>
    <row r="68" spans="1:460" x14ac:dyDescent="0.25">
      <c r="A68">
        <f>A66+1</f>
        <v>7</v>
      </c>
      <c r="B68">
        <v>1</v>
      </c>
      <c r="C68">
        <v>1</v>
      </c>
      <c r="D68" t="b">
        <v>0</v>
      </c>
      <c r="E68">
        <v>1</v>
      </c>
      <c r="F68">
        <v>1</v>
      </c>
      <c r="G68">
        <v>1</v>
      </c>
      <c r="H68">
        <v>1</v>
      </c>
      <c r="I68">
        <v>1</v>
      </c>
      <c r="K68">
        <v>1</v>
      </c>
      <c r="M68">
        <f>IF(ISERROR(N68*Areal2/$N$72),0,N68*Areal2/$N$72)</f>
        <v>0</v>
      </c>
      <c r="N68">
        <f>Mark!Z68</f>
        <v>0</v>
      </c>
      <c r="P68">
        <f>VLOOKUP($E68,Afgr,NnormKolonneNr2)</f>
        <v>0</v>
      </c>
      <c r="Q68">
        <f>VLOOKUP($B68,Afgr,Data!$AI$3)*VLOOKUP(E68,Afgr,Data!$AJ$3)</f>
        <v>0</v>
      </c>
      <c r="R68">
        <f>IF($D68,0,VLOOKUP($C68,Efgr,(Data!$W$53+$G$28-1)))</f>
        <v>0</v>
      </c>
      <c r="S68">
        <f>P68-Q68-R68</f>
        <v>0</v>
      </c>
      <c r="T68">
        <f>S68*M68</f>
        <v>0</v>
      </c>
      <c r="U68">
        <f>IF(Nmodel12=1,S68*Nniveau12*0.01,AO68)</f>
        <v>0</v>
      </c>
      <c r="V68" s="3">
        <f>IF(Mark!CI68&lt;&gt;"",Mark!CI68,U68)</f>
        <v>0</v>
      </c>
      <c r="W68" s="3">
        <f>V68*M68</f>
        <v>0</v>
      </c>
      <c r="Y68">
        <f>S68/NoptFaktor</f>
        <v>0</v>
      </c>
      <c r="Z68" s="3">
        <f>IF(Mark!BZ68&lt;&gt;"",Mark!BZ68,Y68)</f>
        <v>0</v>
      </c>
      <c r="AB68">
        <f>VLOOKUP($E68,Afgr,Data!$DE$3)</f>
        <v>0</v>
      </c>
      <c r="AC68">
        <f>VLOOKUP($E68,Afgr,Data!$DD$3)</f>
        <v>0</v>
      </c>
      <c r="AD68">
        <f>VLOOKUP($E68,Afgr,Data!$DC$3)</f>
        <v>0</v>
      </c>
      <c r="AE68">
        <f>IF(ISERROR($Z68+(-PrisN/$AD68-$AB68)/(2*$AC68)),0,($Z68+(-PrisN/$AD68-$AB68)/(2*$AC68)))</f>
        <v>0</v>
      </c>
      <c r="AF68">
        <f>($BD68+$BE68+$BF68)*1.03333</f>
        <v>0</v>
      </c>
      <c r="AG68">
        <f>$AF68-($AB68*($AE68-$Z68)+$AC68*($AE68-$Z68)^2)</f>
        <v>0</v>
      </c>
      <c r="AH68">
        <f>IF(Nmodel12=1,$AB68*($AE68-$S68)+$AC68*($AE68-$S68)^2,$AB68*($AE68-$AO68)+$AC68*($AE68-$AO68)^2)</f>
        <v>0</v>
      </c>
      <c r="AI68">
        <f>IF(Nmodel12=1,$AB68*($AE68-$V68)+$AC68*($AE68-$V68)^2,$AB68*($AE68-AO68)+$AC68*($AE68-AO68)^2)</f>
        <v>0</v>
      </c>
      <c r="AJ68">
        <f>AG68+AH68-BG68</f>
        <v>0</v>
      </c>
      <c r="AK68">
        <f>AG68+AI68-AJ68</f>
        <v>0</v>
      </c>
      <c r="AM68">
        <f>VLOOKUP(E68,Afgr,Data!$DF$3+SandLer2)</f>
        <v>0</v>
      </c>
      <c r="AN68">
        <f>IF(ISERROR(((-(PrisN+Pantafgift)+AM68*Pantfaktor*Pantafgift)/AD68-AB68)/(2*AC68)),0,((-(PrisN+Pantafgift)+AM68*Pantfaktor*Pantafgift)/AD68-AB68)/(2*AC68))</f>
        <v>0</v>
      </c>
      <c r="AO68">
        <f>AE68-AN68</f>
        <v>0</v>
      </c>
      <c r="AQ68">
        <f>IF(AT68&gt;0,0,W68)</f>
        <v>0</v>
      </c>
      <c r="AR68">
        <f>IF(ISERROR(W68*HdgNTilFordeling12/NnormIaltFordel12),0,W68*HdgNTilFordeling12/NnormIaltFordel12)</f>
        <v>0</v>
      </c>
      <c r="AS68">
        <f>IF(ISERROR($AR68/$M68),0,$AR68/$M68)</f>
        <v>0</v>
      </c>
      <c r="AT68">
        <f>IF(Mark!CO68&lt;&gt;"",Mark!CO68,0)</f>
        <v>0</v>
      </c>
      <c r="AU68">
        <f>$AT68*$M68</f>
        <v>0</v>
      </c>
      <c r="AV68" s="3">
        <f>IF(AT68&gt;0,AT68,AS68)</f>
        <v>0</v>
      </c>
      <c r="AW68" s="3">
        <f>AV68*M68</f>
        <v>0</v>
      </c>
      <c r="AY68">
        <f>UdnKrav*$AV68/100</f>
        <v>0</v>
      </c>
      <c r="BA68">
        <f>AV68*VLOOKUP($E68,Afgr,Data!$DJ$3)</f>
        <v>0</v>
      </c>
      <c r="BB68">
        <f>UdnKrav*$BA68/100</f>
        <v>0</v>
      </c>
      <c r="BD68">
        <f>VLOOKUP(E68,Afgr,NormudbKolonneNr2)</f>
        <v>0</v>
      </c>
      <c r="BE68">
        <f>VLOOKUP(B68,Afgr,Data!$AL$3)*VLOOKUP(E68,Afgr,MerudbKolonneNr2)</f>
        <v>0</v>
      </c>
      <c r="BF68">
        <f>VLOOKUP(C68,Efgr,(Data!$Y$53+EftervirkningUdb2))</f>
        <v>0</v>
      </c>
      <c r="BG68">
        <f>BD68+BE68+BF68</f>
        <v>0</v>
      </c>
      <c r="BH68">
        <f>IF(OR(V68&lt;&gt;S68,Nmodel12=2),AK68,BD68+BE68+BF68)</f>
        <v>0</v>
      </c>
      <c r="BI68" s="3">
        <f>IF(Mark!AK68&lt;&gt;"",Mark!AK68,BH68)</f>
        <v>0</v>
      </c>
      <c r="BJ68">
        <f>BI68*M68</f>
        <v>0</v>
      </c>
      <c r="BK68">
        <f>VLOOKUP(E68,Afgr,3)</f>
        <v>0</v>
      </c>
      <c r="BL68">
        <f>IF(BK68="FE",VLOOKUP($E68,Afgr,Data!$AV$3),0)</f>
        <v>0</v>
      </c>
      <c r="BN68">
        <f>VLOOKUP(E68,Afgr,4)</f>
        <v>0</v>
      </c>
      <c r="BO68" s="3">
        <f>IF(Mark!AW68&lt;&gt;"",Mark!AW68,Regn!BN68)</f>
        <v>0</v>
      </c>
      <c r="BP68" s="3">
        <f>BI68*BO68</f>
        <v>0</v>
      </c>
      <c r="BQ68" s="3">
        <f>BJ68*BO68</f>
        <v>0</v>
      </c>
      <c r="BS68">
        <f>VLOOKUP(E68,Afgr,Data!$AN$3)</f>
        <v>0</v>
      </c>
      <c r="BT68" s="3">
        <f>IF(Mark!BC68&lt;&gt;"",Mark!BC68,BS68)</f>
        <v>0</v>
      </c>
      <c r="BU68" s="3">
        <f>BT68*M68</f>
        <v>0</v>
      </c>
      <c r="BW68">
        <f>VLOOKUP(E68,Afgr,HalmudbKolonneNr2)</f>
        <v>0</v>
      </c>
      <c r="BX68">
        <f>IF(ISERROR(BW68*BI68/BG68),0,(BW68*BI68/BG68))</f>
        <v>0</v>
      </c>
      <c r="BY68" s="3">
        <f>IF(Mark!BI68&lt;&gt;"",Mark!BI68,BX68)</f>
        <v>0</v>
      </c>
      <c r="BZ68">
        <f>BY68*M68</f>
        <v>0</v>
      </c>
      <c r="CC68">
        <f>IF($F68=1,BY68,0)</f>
        <v>0</v>
      </c>
      <c r="CD68">
        <f>IF(F68=1,BZ68,0)</f>
        <v>0</v>
      </c>
      <c r="CE68">
        <f>VLOOKUP(E68,Afgr,Data!$AM$3)</f>
        <v>0</v>
      </c>
      <c r="CF68">
        <f>IF(Mark!BR68&lt;&gt;"",Mark!BR68,CE68)</f>
        <v>0</v>
      </c>
      <c r="CG68">
        <f>CC68*CF68</f>
        <v>0</v>
      </c>
      <c r="CH68">
        <f>CD68*CF68</f>
        <v>0</v>
      </c>
      <c r="CJ68">
        <f>VLOOKUP($G68,Efgr,NnormKolonneEfgr2)</f>
        <v>0</v>
      </c>
      <c r="CK68">
        <f>CJ68*M68</f>
        <v>0</v>
      </c>
      <c r="CL68">
        <f>CJ68*Nniveau12*0.01</f>
        <v>0</v>
      </c>
      <c r="CM68" s="3">
        <f>IF(Mark!DM68&lt;&gt;"",Mark!DM68,CL68)</f>
        <v>0</v>
      </c>
      <c r="CN68" s="3">
        <f>$CM68*$M68</f>
        <v>0</v>
      </c>
      <c r="CP68">
        <f>IF(CS68&gt;0,0,CN68)</f>
        <v>0</v>
      </c>
      <c r="CQ68">
        <f>IF(ISERROR(CN68*HdgNTilFordeling12/NnormIaltFordel12),0,CN68*HdgNTilFordeling12/NnormIaltFordel12)</f>
        <v>0</v>
      </c>
      <c r="CR68">
        <f>IF(ISERROR($CQ68/$M68),0,$CQ68/$M68)</f>
        <v>0</v>
      </c>
      <c r="CS68">
        <f>IF(Mark!DS68&lt;&gt;"",Mark!DS68,0)</f>
        <v>0</v>
      </c>
      <c r="CT68">
        <f>$CS68*$M68</f>
        <v>0</v>
      </c>
      <c r="CU68" s="3">
        <f>IF($CS68&gt;0,$CS68,$CR68)</f>
        <v>0</v>
      </c>
      <c r="CV68" s="3">
        <f>CU68*M68</f>
        <v>0</v>
      </c>
      <c r="CX68">
        <f>UdnKrav*$CU68/100</f>
        <v>0</v>
      </c>
      <c r="CZ68">
        <f>$CU68*VLOOKUP($G68,Efgr,Data!$BG$53)</f>
        <v>0</v>
      </c>
      <c r="DA68">
        <f>UdnKrav*$CZ68/100</f>
        <v>0</v>
      </c>
      <c r="DC68">
        <f>VLOOKUP(G68,Efgr,NormudbKolonneNrEfgr2)</f>
        <v>0</v>
      </c>
      <c r="DD68" s="3">
        <f>IF(Mark!DC68&lt;&gt;"",Mark!DC68,DC68)</f>
        <v>0</v>
      </c>
      <c r="DE68">
        <f>DD68*M68</f>
        <v>0</v>
      </c>
      <c r="DF68" t="s">
        <v>37</v>
      </c>
      <c r="DG68">
        <f>DD68*Efterslaetpris</f>
        <v>0</v>
      </c>
      <c r="DH68">
        <f>DE68*Efterslaetpris</f>
        <v>0</v>
      </c>
      <c r="DI68">
        <f>VLOOKUP(G68,Efgr,Data!$AG$53)</f>
        <v>0</v>
      </c>
      <c r="DJ68">
        <f>DD68*DI68</f>
        <v>0</v>
      </c>
      <c r="DL68">
        <f>VLOOKUP($E68,Afgr,Data!$AW$3)</f>
        <v>0</v>
      </c>
      <c r="DM68">
        <f>IF(BK68="FE",$BI68*$BL68*$DL68*0.01,$BI68*100*$DR68*0.01*$DL68*0.01)</f>
        <v>0</v>
      </c>
      <c r="DN68">
        <f>IF(VLOOKUP(E68,Afgr,Data!$BO$3)=1,DM68,0)*M68</f>
        <v>0</v>
      </c>
      <c r="DO68" s="12">
        <f>IF(Nmodel12=1,(V68-S68)*VLOOKUP($E68,Afgr,Data!$AX$3),(AO68-S68)*VLOOKUP(E68,Afgr,Data!$AX$3))</f>
        <v>0</v>
      </c>
      <c r="DP68">
        <f>DL68+DO68</f>
        <v>0</v>
      </c>
      <c r="DQ68">
        <f>IF(Mark!AQ68&lt;&gt;"",Mark!AQ68,DP68)</f>
        <v>0</v>
      </c>
      <c r="DR68">
        <f>VLOOKUP(E68,Afgr,Data!$AT$3)</f>
        <v>0</v>
      </c>
      <c r="DS68">
        <f>IF($BK68="FE",$BI68*$BL68*$DQ68*0.01,$BI68*100*$DR68*0.01*DQ68*0.01)</f>
        <v>0</v>
      </c>
      <c r="DT68">
        <f>IF(VLOOKUP(E68,Afgr,Data!$BO$3)=1,DS68,0)*M68</f>
        <v>0</v>
      </c>
      <c r="DU68">
        <f>IF(ISERROR(DS68/VLOOKUP(E68,Afgr,Data!$AY$3)),0,DS68/VLOOKUP(E68,Afgr,Data!$AY$3))</f>
        <v>0</v>
      </c>
      <c r="DV68">
        <f>DU68*M68</f>
        <v>0</v>
      </c>
      <c r="DX68">
        <f>IF($BK68="FE",$BI68*$BL68*VLOOKUP($E68,Afgr,Data!$BC$3)*0.001,$BI68*100*$DR68*0.01*VLOOKUP($E68,Afgr,Data!$BC$3)*0.001)</f>
        <v>0</v>
      </c>
      <c r="DY68">
        <f>DX68*M68</f>
        <v>0</v>
      </c>
      <c r="EA68">
        <f>IF($BK68="FE",$BI68*$BL68*VLOOKUP($E68,Afgr,Data!$BF$3)*0.001,$BI68*100*$DR68*0.01*VLOOKUP($E68,Afgr,Data!$BF$3)*0.001)</f>
        <v>0</v>
      </c>
      <c r="EB68">
        <f>EA68*M68</f>
        <v>0</v>
      </c>
      <c r="ED68">
        <f>IF(ISERROR(VLOOKUP(E68,Afgr,Data!$AZ$3)*DQ68/DL68),0,VLOOKUP(E68,Afgr,Data!$AZ$3)*DQ68/DL68)</f>
        <v>0</v>
      </c>
      <c r="EE68">
        <f>VLOOKUP(E68,Afgr,Data!$AU$3)</f>
        <v>0</v>
      </c>
      <c r="EF68">
        <f>IF($F68=1,$BY68*$EE68*0.01*ED68*0.01,0)</f>
        <v>0</v>
      </c>
      <c r="EG68">
        <f>EF68/6.25</f>
        <v>0</v>
      </c>
      <c r="EH68">
        <f>EG68*M68</f>
        <v>0</v>
      </c>
      <c r="EJ68">
        <f>IF($F68=1,$BY68*$EE68*0.01*VLOOKUP($E68,Afgr,Data!$BD$3)*0.001,0)</f>
        <v>0</v>
      </c>
      <c r="EK68">
        <f>EJ68*M68</f>
        <v>0</v>
      </c>
      <c r="EM68">
        <f>IF($F68=1,$BY68*$EE68*0.01*VLOOKUP($E68,Afgr,Data!$BG$3)*0.001,0)</f>
        <v>0</v>
      </c>
      <c r="EN68">
        <f>EM68*M68</f>
        <v>0</v>
      </c>
      <c r="EP68">
        <f>VLOOKUP(G68,Efgr,Data!$AI$53)</f>
        <v>0</v>
      </c>
      <c r="EQ68">
        <f>DJ68*EP68*0.01/6.25</f>
        <v>0</v>
      </c>
      <c r="ER68">
        <f>EQ68*M68</f>
        <v>0</v>
      </c>
      <c r="ET68">
        <f>$DJ68*VLOOKUP($G68,Efgr,Data!$AJ$53)*0.001</f>
        <v>0</v>
      </c>
      <c r="EU68">
        <f>ET68*M68</f>
        <v>0</v>
      </c>
      <c r="EW68">
        <f>$DJ68*VLOOKUP($G68,Efgr,Data!$AK$53)*0.001</f>
        <v>0</v>
      </c>
      <c r="EX68">
        <f>EW68*M68</f>
        <v>0</v>
      </c>
      <c r="EZ68">
        <f>IF(VLOOKUP(E68,Afgr,Data!$DS$3)=1,DU68*VLOOKUP(E68,Afgr,(Data!$DT$3+EftervirkningUdb2))*VLOOKUP(E68,Afgr,Data!$DV$3),0)</f>
        <v>0</v>
      </c>
      <c r="FA68">
        <f>IF(VLOOKUP(E68,Afgr,Data!$DS$3)=2,VLOOKUP(E68,Afgr,Data!$DX$3),0)</f>
        <v>0</v>
      </c>
      <c r="FB68">
        <f>IF(VLOOKUP(E68,Afgr,Data!$DS$3)=3,$DU68*VLOOKUP($E68,Afgr,IF(Jordtype2&lt;5,Data!$DT$3,Data!$DU$3))*VLOOKUP($E68,Afgr,Data!$DV$3),0)</f>
        <v>0</v>
      </c>
      <c r="FC68">
        <f>IF(VLOOKUP(E68,Afgr,Data!$DS$3)=4,(1.232+0.00469*BI68*100+(0.000256*BI68*100+0.089)*60),0)</f>
        <v>0</v>
      </c>
      <c r="FD68">
        <f>$V68+IF($AY68-$BB68&gt;$V68,$AY68-$V68,0)-$BB68</f>
        <v>0</v>
      </c>
      <c r="FE68">
        <f>IF(VLOOKUP($E68,Afgr,Data!$DS$3)=5,($BI68*0.02742-$BI68*0.0001*$FD68+$BI68*0.0000001111*$FD68*$FD68),0)</f>
        <v>0</v>
      </c>
      <c r="FF68">
        <f>$CM68+IF($CX68-$DA68&gt;$CM68,$CX68-$CM68,0)-$DA68</f>
        <v>0</v>
      </c>
      <c r="FG68">
        <f>IF(VLOOKUP($G68,Efgr,Data!$BH$53)=5,($DD68*0.02742-$DD68*0.0001*$FF68+$DD68*0.0000001111*$FF68*$FF68),0)</f>
        <v>0</v>
      </c>
      <c r="FH68" s="3">
        <f>EZ68+FA68+FB68+FC68+FE68+FG68</f>
        <v>0</v>
      </c>
      <c r="FI68" s="3">
        <f>FH68*M68</f>
        <v>0</v>
      </c>
      <c r="FK68">
        <f>$V68+$CM68</f>
        <v>0</v>
      </c>
      <c r="FL68">
        <f>($AV68-$AY68)+IF($AY68&gt;$V68,$AY68-$V68,0)+($CU68-$CX68)+IF($CX68&gt;$CM68,$CX68-$CM68,0)</f>
        <v>0</v>
      </c>
      <c r="FM68">
        <f>VLOOKUP($E68,Afgr,Data!$DK$3)*VLOOKUP($E68,Afgr,Data!$AT$3)*0.01*VLOOKUP($E68,Afgr,Data!$AW$3)*0.01/6.25</f>
        <v>0</v>
      </c>
      <c r="FN68" s="4">
        <f>IF(E68&gt;1,Deposition,0)</f>
        <v>0</v>
      </c>
      <c r="FO68">
        <f>FH68</f>
        <v>0</v>
      </c>
      <c r="FP68">
        <f>SUM(FK68:FO68)</f>
        <v>0</v>
      </c>
      <c r="FQ68">
        <f>DU68+EG68+EQ68</f>
        <v>0</v>
      </c>
      <c r="FR68" s="3">
        <f>FP68-FQ68</f>
        <v>0</v>
      </c>
      <c r="FS68" s="19">
        <f>FP68*M68</f>
        <v>0</v>
      </c>
      <c r="FT68" s="19">
        <f>FQ68*M68</f>
        <v>0</v>
      </c>
      <c r="FU68" s="3">
        <f>FR68*M68</f>
        <v>0</v>
      </c>
      <c r="FW68">
        <f>IL68+IM68+LP68+LQ68</f>
        <v>0</v>
      </c>
      <c r="FX68">
        <f>IK68+LO68</f>
        <v>0</v>
      </c>
      <c r="FY68">
        <f>FW68-FX68</f>
        <v>0</v>
      </c>
      <c r="FZ68">
        <f>FY68*M68</f>
        <v>0</v>
      </c>
      <c r="GB68">
        <f>IS68+IT68+LV68+LW68</f>
        <v>0</v>
      </c>
      <c r="GC68">
        <f>IR68+LU68</f>
        <v>0</v>
      </c>
      <c r="GD68">
        <f>GB68-GC68</f>
        <v>0</v>
      </c>
      <c r="GE68">
        <f>GD68*M68</f>
        <v>0</v>
      </c>
      <c r="GG68" s="149">
        <f>IF(OR(VLOOKUP(E68,Afgr,Data!$BV$3)=1,VLOOKUP(E68,Afgr,Data!$BW$3)=1),0,NniveauDelsaedsk2)</f>
        <v>0</v>
      </c>
      <c r="GH68" s="1">
        <v>0.32550000000000001</v>
      </c>
      <c r="GI68" s="6">
        <v>0</v>
      </c>
      <c r="GJ68" s="24">
        <f>IF(($V68-BB68+$CM68-DA68)&lt;0,0,$V68-BB68+$CM68-DA68)</f>
        <v>0</v>
      </c>
      <c r="GK68" s="6">
        <f>$FO68</f>
        <v>0</v>
      </c>
      <c r="GL68" s="1">
        <v>0.25280000000000002</v>
      </c>
      <c r="GM68">
        <f>$BA68+$CZ68</f>
        <v>0</v>
      </c>
      <c r="GN68" s="1">
        <v>0.376</v>
      </c>
      <c r="GO68" s="6">
        <v>0</v>
      </c>
      <c r="GP68" s="1">
        <f>IF(SandLer2&gt;1,0.3539,1.0749)</f>
        <v>0.35389999999999999</v>
      </c>
      <c r="GQ68" s="11">
        <f>$FQ68</f>
        <v>0</v>
      </c>
      <c r="GR68" s="1">
        <v>0.19359999999999999</v>
      </c>
      <c r="GS68" s="1">
        <f>VLOOKUP($E68,Afgr,Data!$DM$3)</f>
        <v>0</v>
      </c>
      <c r="GT68" s="24">
        <f>IF($GS68&gt;1,0,(VLOOKUP($K68,Afgr,Data!$DP$3)+IF(VLOOKUP($K68,Afgr,Data!$DP$3)=0,VLOOKUP($G68,Efgr,Data!$BI$53,0))))+IF(AND($GS68=7,VLOOKUP($K68,Afgr,Data!$DQ$3)=-2),-2,0)+IF(AND($GS68=6,VLOOKUP($G68,Efgr,Data!$BI$53)=2),8,0)</f>
        <v>0</v>
      </c>
      <c r="GU68" s="6" t="e">
        <f>VLOOKUP(SUM(GS68:GT68),Nlesafgr,3)</f>
        <v>#N/A</v>
      </c>
      <c r="GV68" s="7">
        <f>VLOOKUP($B68,Afgr,Data!$DN$3)</f>
        <v>0</v>
      </c>
      <c r="GW68" s="24">
        <f>IF(GV68&gt;1,0,VLOOKUP($E68,Afgr,Data!$DO$3)+IF(VLOOKUP($E68,Afgr,Data!$DO$3)=1,0,VLOOKUP($C68,Efgr,Data!$BJ$53)))</f>
        <v>0</v>
      </c>
      <c r="GX68" s="6" t="e">
        <f>VLOOKUP(SUM(GV68:GW68),Nlesforfrugt,3)</f>
        <v>#N/A</v>
      </c>
      <c r="GY68" s="1" t="e">
        <f>GH68*GG68+GL68*(GJ68+GK68)+GN68*GM68+GP68*GO68-GR68*GQ68+GU68+GX68</f>
        <v>#N/A</v>
      </c>
      <c r="GZ68" s="1">
        <f>Nlesafskaering</f>
        <v>59.6</v>
      </c>
      <c r="HA68" s="1">
        <f>Teknologi1</f>
        <v>2455</v>
      </c>
      <c r="HB68" s="6">
        <v>2001</v>
      </c>
      <c r="HC68" s="1">
        <f>Teknologi2</f>
        <v>1962.2</v>
      </c>
      <c r="HD68" s="1">
        <f>Tandel</f>
        <v>0.54659999999999997</v>
      </c>
      <c r="HE68" s="1" t="e">
        <f>IF(OR(GY68&gt;0,GY68=0),GZ68+HA68/(HB68-HC68),GZ68+HA68/(HB68-HC68)+HD68*GY68)</f>
        <v>#N/A</v>
      </c>
      <c r="HF68" s="1" t="e">
        <f>IF(GY68&gt;0,GY68,0.001)</f>
        <v>#N/A</v>
      </c>
      <c r="HG68" s="1">
        <v>1.5020000000000001E-3</v>
      </c>
      <c r="HH68" s="24">
        <f>IF(E68=1,0,VLOOKUP(Postnr,AfstromData,VLOOKUP($E68,Afgr,Data!$DL$3)+IF(Jordtype1&lt;7,Jordtype1,6),FALSE)-VLOOKUP(G68,Efgr,Data!$AA$53))</f>
        <v>0</v>
      </c>
      <c r="HI68" s="1">
        <v>5.5400000000000002E-4</v>
      </c>
      <c r="HJ68" s="24">
        <f>IF(E68=1,0,VLOOKUP(Postnr,AfstromData,VLOOKUP($B68,Afgr,Data!$DL$3)+IF(Jordtype1&lt;7,Jordtype1,6),FALSE)-VLOOKUP(C68,Efgr,Data!$AA$53))</f>
        <v>0</v>
      </c>
      <c r="HK68" s="1">
        <v>0.10639999999999999</v>
      </c>
      <c r="HL68" s="6">
        <f>VLOOKUP(Jordtype2,Jordtype,Data!$W$112)</f>
        <v>3</v>
      </c>
      <c r="HM68" s="1">
        <v>3.2500000000000001E-2</v>
      </c>
      <c r="HN68" s="6">
        <f>VLOOKUP(Jordtype2,Jordtype,Data!$X$112)</f>
        <v>12</v>
      </c>
      <c r="HO68" s="1">
        <v>1.2453000000000001</v>
      </c>
      <c r="HP68" s="1">
        <f>IF(VLOOKUP(G68,Efgr,Data!$AO$53)=1,MlafgrNUdvask,0)</f>
        <v>0</v>
      </c>
      <c r="HQ68" s="20">
        <f t="shared" ref="HQ68" si="2">IF(ISERROR((HE68+POWER(HF68,1.2))*(1-EXP(-HG68*HH68))*EXP(-HI68*HJ68)*EXP(-HK68*HL68)*EXP(-HM68*HN68)*HO68),0,(HE68+POWER(HF68,1.2))*(1-EXP(-HG68*HH68))*EXP(-HI68*HJ68)*EXP(-HK68*HL68)*EXP(-HM68*HN68)*HO68+HP68)</f>
        <v>0</v>
      </c>
      <c r="HR68">
        <f>HQ68*M68</f>
        <v>0</v>
      </c>
      <c r="HS68">
        <f>HQ68*(100-Retention2)*0.01</f>
        <v>0</v>
      </c>
      <c r="HT68">
        <f>HS68*M68</f>
        <v>0</v>
      </c>
      <c r="HU68" s="2">
        <f>HH68*10000</f>
        <v>0</v>
      </c>
      <c r="HV68" s="2">
        <f>HU68*M68</f>
        <v>0</v>
      </c>
      <c r="HW68">
        <f>IF(ISERROR(HQ68*1000*1000/HU68),0,HQ68*1000*1000/HU68)</f>
        <v>0</v>
      </c>
      <c r="HY68">
        <f>BP68+BT68+CG68+DG68</f>
        <v>0</v>
      </c>
      <c r="IB68">
        <f>VLOOKUP(E68,Afgr,Data!$AP$3)*UdsaedJust</f>
        <v>0</v>
      </c>
      <c r="IC68" s="3">
        <f>IF(Mark!EG68&lt;&gt;"",Mark!EG68,Regn!IB68)</f>
        <v>0</v>
      </c>
      <c r="ID68" s="3">
        <f>IC68*M68</f>
        <v>0</v>
      </c>
      <c r="IF68" s="3">
        <f>IF(HdgVaerdi=1,($V68-$AY68)*Npris,$V68*Npris)</f>
        <v>0</v>
      </c>
      <c r="IG68" s="3">
        <f>IF68*M68</f>
        <v>0</v>
      </c>
      <c r="II68">
        <f>VLOOKUP($E68,Afgr,Data!$BA$3)</f>
        <v>0</v>
      </c>
      <c r="IJ68">
        <f>VLOOKUP($E68,Afgr,Data!$BB$3)</f>
        <v>0</v>
      </c>
      <c r="IK68">
        <f>$DX68+$EJ68</f>
        <v>0</v>
      </c>
      <c r="IL68">
        <f>IF(HdgDyreart=2,$AV68*NPforholdSvin,$AV68*NPforholdKvaeg)</f>
        <v>0</v>
      </c>
      <c r="IM68">
        <f>II68+IF($IJ68+$IK68&gt;$IL68,($IJ68+$IK68-$IL68),0)</f>
        <v>0</v>
      </c>
      <c r="IN68" s="3">
        <f>IF(HdgVaerdi=1,($II68*Ppris+IF($IJ68+$IK68&gt;$IL68,($IJ68+$IK68-$IL68)*Ppris,0)),($II68+$IJ68+$IK68)*Ppris)</f>
        <v>0</v>
      </c>
      <c r="IO68" s="3">
        <f>IN68*M68</f>
        <v>0</v>
      </c>
      <c r="IQ68">
        <f>IF(AND(E68&gt;1,OR(Jordtype2=1,Jordtype2=3,Markvand2=2)),Kudvask,0)</f>
        <v>0</v>
      </c>
      <c r="IR68">
        <f>$EA68+$EM68</f>
        <v>0</v>
      </c>
      <c r="IS68">
        <f>IF(HdgDyreart=2,$AV68*NKforholdSvin,$AV68*NkforholdKvaeg)</f>
        <v>0</v>
      </c>
      <c r="IT68">
        <f>IF($IQ68+$IR68&gt;$IS68,($IQ68+$IR68-$IS68),0)</f>
        <v>0</v>
      </c>
      <c r="IU68" s="3">
        <f>IF(HdgVaerdi=1,IF($IQ68+$IR68&gt;$IS68,($IQ68+$IR68-$IS68)*Kpris,0),($IQ68+$IR68)*Kpris)</f>
        <v>0</v>
      </c>
      <c r="IV68" s="3">
        <f>IU68*M68</f>
        <v>0</v>
      </c>
      <c r="IX68">
        <f>IF68+IN68+IU68</f>
        <v>0</v>
      </c>
      <c r="IY68" s="3">
        <f>IF(Mark!EM68&lt;&gt;"",Mark!EM68,$IX68)</f>
        <v>0</v>
      </c>
      <c r="IZ68" s="3">
        <f>IY68*M68</f>
        <v>0</v>
      </c>
      <c r="JB68">
        <f>VLOOKUP(E68,Afgr,Data!$AQ$3)*PlantevJust</f>
        <v>0</v>
      </c>
      <c r="JC68" s="3">
        <f>IF(Mark!ES68&lt;&gt;"",Mark!ES68,JB68)</f>
        <v>0</v>
      </c>
      <c r="JD68" s="3">
        <f>JC68*M68</f>
        <v>0</v>
      </c>
      <c r="JF68">
        <f>VLOOKUP(E68,Afgr,Data!$AR$3)+BI68*VLOOKUP(E68,Afgr,Data!$BH$3)</f>
        <v>0</v>
      </c>
      <c r="JG68" s="3">
        <f>IF(Mark!EY68&lt;&gt;"",Mark!EY68,JF68)</f>
        <v>0</v>
      </c>
      <c r="JH68">
        <f>JG68*M68</f>
        <v>0</v>
      </c>
      <c r="JJ68">
        <f>IC68+IY68+JC68+JG68</f>
        <v>0</v>
      </c>
      <c r="JL68">
        <f>IF(VLOOKUP(E68,Afgr,Data!$BY$3)&gt;0,Data!$K$259*PlojJB2,0)</f>
        <v>0</v>
      </c>
      <c r="JM68">
        <f>IF(VLOOKUP(E68,Afgr,Data!$BZ$3)&gt;0,Data!$K$260*PlojJB2,0)</f>
        <v>0</v>
      </c>
      <c r="JN68">
        <f>(JL68+JM68)*MaskJust</f>
        <v>0</v>
      </c>
      <c r="JO68" s="3">
        <f>IF(Mark!FE68&lt;&gt;"",Mark!FE68,JN68)</f>
        <v>0</v>
      </c>
      <c r="JP68" s="3">
        <f>JO68*M68</f>
        <v>0</v>
      </c>
      <c r="JR68">
        <f>IF(VLOOKUP(E68,Afgr,Data!$CA$3)&gt;0,VLOOKUP(E68,Afgr,Data!$CA$3)*Data!$K$261*SaaJB2,0)</f>
        <v>0</v>
      </c>
      <c r="JS68">
        <f>IF(VLOOKUP(E68,Afgr,Data!$CC$3)&gt;0,Data!$K$262*SaaJB2,0)</f>
        <v>0</v>
      </c>
      <c r="JT68">
        <f>IF(VLOOKUP(E68,Afgr,Data!$CD$3)&gt;0,VLOOKUP(E68,Afgr,Data!$CD$3)*Data!$K$263*SaaJB2,0)</f>
        <v>0</v>
      </c>
      <c r="JU68">
        <f>IF(VLOOKUP(E68,Afgr,Data!$CE$3)&gt;0,Data!$K$264*SaaJB2,0)</f>
        <v>0</v>
      </c>
      <c r="JV68">
        <f>IF(VLOOKUP(E68,Afgr,Data!$CF$3)&gt;0,Data!$K$265*SaaJB2,0)</f>
        <v>0</v>
      </c>
      <c r="JW68">
        <f>IF(VLOOKUP(E68,Afgr,Data!$CV$3)&gt;0,Data!$K$266,0)</f>
        <v>0</v>
      </c>
      <c r="JX68">
        <f>IF(VLOOKUP(E68,Afgr,Data!$CG$3)&gt;0,Data!$K$267*SaaJB2,0)</f>
        <v>0</v>
      </c>
      <c r="JY68">
        <f>(JR68+JS68+JT68+JU68+JV68+JW68+JX68)*MaskJust</f>
        <v>0</v>
      </c>
      <c r="JZ68" s="3">
        <f>IF(Mark!FK68&lt;&gt;"",Mark!FK68,JY68)</f>
        <v>0</v>
      </c>
      <c r="KA68" s="3">
        <f>JZ68*M68</f>
        <v>0</v>
      </c>
      <c r="KC68">
        <f>IF(VLOOKUP(E68,Afgr,Data!$CJ$3)&gt;0,VLOOKUP(E68,Afgr,Data!$CJ$3)*Data!$K$268*SaaJB2,0)*MaskJust</f>
        <v>0</v>
      </c>
      <c r="KD68" s="3">
        <f>IF(Mark!FQ68&lt;&gt;"",Mark!FQ68,KC68)</f>
        <v>0</v>
      </c>
      <c r="KE68" s="3">
        <f>KD68*M68</f>
        <v>0</v>
      </c>
      <c r="KG68">
        <f>IF(VLOOKUP(E68,Afgr,Data!$CI$3)&gt;0,VLOOKUP(E68,Afgr,Data!$CI$3)*Data!$K$269,0)*MaskJust</f>
        <v>0</v>
      </c>
      <c r="KH68" s="3">
        <f>IF(Mark!FW68&lt;&gt;"",Mark!FW68,KG68)</f>
        <v>0</v>
      </c>
      <c r="KI68" s="3">
        <f>KH68*M68</f>
        <v>0</v>
      </c>
      <c r="KK68">
        <f>IF(Markvand2=2,VLOOKUP($E68,Afgr,Data!$CY$3),0)</f>
        <v>0</v>
      </c>
      <c r="KL68">
        <f>IF(Mark!GC68&lt;&gt;"",Mark!GC68,$KK68)</f>
        <v>0</v>
      </c>
      <c r="KM68">
        <f>IF(AND(E68&gt;1,Markvand2=2),Vandmaskin+$KL68*Flytning/mmprgang+$KL68*Prisprmm,0)</f>
        <v>0</v>
      </c>
      <c r="KN68" s="3">
        <f>IF(Mark!GI68&lt;&gt;"",Mark!GI68,$KM68)</f>
        <v>0</v>
      </c>
      <c r="KO68" s="3">
        <f>KN68*M68</f>
        <v>0</v>
      </c>
      <c r="KQ68">
        <f>IF(VLOOKUP($E68,Afgr,Data!$CK$3)&gt;0,((1+Regn!$BI68/VLOOKUP($E68,Afgr,Data!$CK$3))/2)*VLOOKUP($E68,Afgr,Data!$CL$3)*VLOOKUP($E68,Afgr,Data!$CN$3)+VLOOKUP($E68,Afgr,Data!$CM$3),0)</f>
        <v>0</v>
      </c>
      <c r="KR68">
        <f>IF(VLOOKUP($E68,Afgr,Data!$CK$3)&gt;0,IF(AND($F68=2,$BW68&gt;0),Data!$K$271,0),0)</f>
        <v>0</v>
      </c>
      <c r="KS68">
        <f>IF(VLOOKUP($E68,Afgr,Data!$CK$3)&gt;0,(Regn!$BI68/VLOOKUP($E68,Afgr,Data!$CK$3))*VLOOKUP($E68,Afgr,Data!$CO$3)*VLOOKUP($E68,Afgr,Data!$CN$3),0)</f>
        <v>0</v>
      </c>
      <c r="KT68">
        <f>(KQ68+KR68+KS68)*MaskJust</f>
        <v>0</v>
      </c>
      <c r="KU68" s="3">
        <f>IF(Mark!GO68&lt;&gt;"",Mark!GO68,KT68)</f>
        <v>0</v>
      </c>
      <c r="KV68" s="3">
        <f>KU68*M68</f>
        <v>0</v>
      </c>
      <c r="KW68" s="3"/>
      <c r="KX68">
        <f>IF(AND($F68=1,VLOOKUP($E68,Afgr,Data!$CP$3)&gt;0),((1+$BY68/VLOOKUP($E68,Afgr,Data!$CP$3))/2)*VLOOKUP($E68,Afgr,Data!$CQ$3),0)</f>
        <v>0</v>
      </c>
      <c r="KY68">
        <f>IF(AND($F68=1,VLOOKUP($E68,Afgr,Data!$CP$3)&gt;0),($BY68/VLOOKUP($E68,Afgr,Data!$CP$3))*VLOOKUP($E68,Afgr,Data!$CR$3),0)</f>
        <v>0</v>
      </c>
      <c r="KZ68">
        <f>(KX68+KY68)*MaskJust</f>
        <v>0</v>
      </c>
      <c r="LA68" s="3">
        <f>IF(Mark!GU68&lt;&gt;"",Mark!GU68,KZ68)</f>
        <v>0</v>
      </c>
      <c r="LB68" s="3">
        <f>LA68*M68</f>
        <v>0</v>
      </c>
      <c r="LD68">
        <f>$BI68*VLOOKUP($E68,Afgr,Data!$CS$3)*IF($I68=1,VLOOKUP($E68,Afgr,Data!$CT$3),IF($I68=2,VLOOKUP($E68,Afgr,Data!$CU$3),0))</f>
        <v>0</v>
      </c>
      <c r="LE68" s="3">
        <f>IF(Mark!HD68&lt;&gt;"",Mark!HD68,LD68)</f>
        <v>0</v>
      </c>
      <c r="LF68" s="3">
        <f>LE68*M68</f>
        <v>0</v>
      </c>
      <c r="LH68">
        <f>VLOOKUP($G68,Efgr,Data!$AC$53)*UdsaedJust</f>
        <v>0</v>
      </c>
      <c r="LI68" s="3">
        <f>IF(Mark!$HL68&lt;&gt;"",Mark!$HL68,LH68)</f>
        <v>0</v>
      </c>
      <c r="LJ68" s="3">
        <f>LI68*M68</f>
        <v>0</v>
      </c>
      <c r="LL68" s="3">
        <f>IF(HdgVaerdi=1,($CM68-$CX68)*Npris,$CM68*Npris)</f>
        <v>0</v>
      </c>
      <c r="LM68" s="3">
        <f>LL68*M68</f>
        <v>0</v>
      </c>
      <c r="LO68">
        <f>$ET68</f>
        <v>0</v>
      </c>
      <c r="LP68">
        <f>IF(HdgDyreart=2,$CU68*NPforholdSvin,$CU68*NPforholdKvaeg)</f>
        <v>0</v>
      </c>
      <c r="LQ68">
        <f>IF($LO68&gt;$LP68,($LO68-$LP68),0)</f>
        <v>0</v>
      </c>
      <c r="LR68" s="3">
        <f>IF(HdgVaerdi=1,IF($LO68&gt;$LP68,($LO68-$LP68)*Ppris,0),$LO68*Ppris)</f>
        <v>0</v>
      </c>
      <c r="LS68" s="3">
        <f>LR68*M68</f>
        <v>0</v>
      </c>
      <c r="LU68">
        <f>$EW68</f>
        <v>0</v>
      </c>
      <c r="LV68">
        <f>IF(HdgDyreart=2,$CU68*NKforholdSvin,$CU68*NkforholdKvaeg)</f>
        <v>0</v>
      </c>
      <c r="LW68">
        <f>IF($LU68&gt;$LV68,($LU68-$LV68),0)</f>
        <v>0</v>
      </c>
      <c r="LX68" s="3">
        <f>IF(HdgVaerdi=1,IF($LU68&gt;$LV68,($LU68-$LV68)*Ppris,0),$LU68*Ppris)</f>
        <v>0</v>
      </c>
      <c r="LY68" s="3">
        <f>LX68*M68</f>
        <v>0</v>
      </c>
      <c r="MA68">
        <f>LL68+LR68+LX68</f>
        <v>0</v>
      </c>
      <c r="MB68" s="3">
        <f>IF(Mark!HR68&lt;&gt;"",Mark!HR68,$MA68)</f>
        <v>0</v>
      </c>
      <c r="MC68" s="3">
        <f>MB68*M68</f>
        <v>0</v>
      </c>
      <c r="ME68">
        <f>VLOOKUP($G68,Efgr,Data!$AE$53)*PlantevJust</f>
        <v>0</v>
      </c>
      <c r="MF68" s="3">
        <f>IF(Mark!HX68&lt;&gt;"",Mark!HX68,ME68)</f>
        <v>0</v>
      </c>
      <c r="MG68" s="3">
        <f>MF68*M68</f>
        <v>0</v>
      </c>
      <c r="MI68">
        <f>VLOOKUP($G68,Efgr,Data!$AF$53)+$DD68*VLOOKUP($G68,Efgr,Data!$AL$53)</f>
        <v>0</v>
      </c>
      <c r="MJ68" s="3">
        <f>IF(Mark!ID68&lt;&gt;"",Mark!ID68,MI68)</f>
        <v>0</v>
      </c>
      <c r="MK68" s="3">
        <f>MJ68*M68</f>
        <v>0</v>
      </c>
      <c r="MM68">
        <f>LI68+MB68+MF68+MJ68</f>
        <v>0</v>
      </c>
      <c r="MO68">
        <f>VLOOKUP($G68,Efgr,Data!$AU$53)*SaaJB2*MaskJust</f>
        <v>0</v>
      </c>
      <c r="MP68" s="3">
        <f>IF(Mark!IJ68&lt;&gt;"",Mark!IJ68,MO68)</f>
        <v>0</v>
      </c>
      <c r="MQ68" s="3">
        <f>MP68*M68</f>
        <v>0</v>
      </c>
      <c r="MS68">
        <f>VLOOKUP($G68,Efgr,Data!$AW$53)*Data!$K$268*SaaJB2*MaskJust</f>
        <v>0</v>
      </c>
      <c r="MT68" s="3">
        <f>IF(Mark!IP68&lt;&gt;"",Mark!IP68,MS68)</f>
        <v>0</v>
      </c>
      <c r="MU68" s="3">
        <f>MT68*M68</f>
        <v>0</v>
      </c>
      <c r="MW68">
        <f>VLOOKUP($G68,Efgr,Data!$AV$53)*Data!$K$269*MaskJust</f>
        <v>0</v>
      </c>
      <c r="MX68" s="3">
        <f>IF(Mark!IV68&lt;&gt;"",Mark!IV68,MW68)</f>
        <v>0</v>
      </c>
      <c r="MY68" s="3">
        <f>MX68*M68</f>
        <v>0</v>
      </c>
      <c r="NA68">
        <f>IF(Markvand2=2,VLOOKUP($G68,Efgr,Data!$BC$53),0)</f>
        <v>0</v>
      </c>
      <c r="NB68">
        <f>IF(Mark!JB68&lt;&gt;"",Mark!JB68,$NA68)</f>
        <v>0</v>
      </c>
      <c r="NC68">
        <f>IF(Markvand2=2,$NB68*Flytning/mmprgang+$NB68*Prisprmm,0)</f>
        <v>0</v>
      </c>
      <c r="ND68" s="3">
        <f>IF(Mark!JH68&lt;&gt;"",Mark!JH68,$NC68)</f>
        <v>0</v>
      </c>
      <c r="NE68" s="3">
        <f>ND68*M68</f>
        <v>0</v>
      </c>
      <c r="NG68">
        <f>IF(VLOOKUP($G68,Efgr,Data!$AX$53)&gt;0,((1+Regn!DD68/VLOOKUP($G68,Efgr,Data!$AX$53))/2)*VLOOKUP($G68,Efgr,Data!$AY$53)*VLOOKUP($G68,Efgr,Data!$BA$53)+VLOOKUP($G68,Efgr,Data!$AZ$53),0)</f>
        <v>0</v>
      </c>
      <c r="NH68">
        <f>IF(VLOOKUP($G68,Efgr,Data!$AX$53)&gt;0,($DD68/VLOOKUP($G68,Efgr,Data!$AX$53))*VLOOKUP($G68,Efgr,Data!$BB$53)*VLOOKUP($G68,Efgr,Data!$BA$53),0)</f>
        <v>0</v>
      </c>
      <c r="NI68">
        <f>(NG68+NH68)*MaskJust</f>
        <v>0</v>
      </c>
      <c r="NJ68" s="3">
        <f>IF(Mark!JN68&lt;&gt;"",Mark!JN68,NI68)</f>
        <v>0</v>
      </c>
      <c r="NK68" s="3">
        <f>NJ68*M68</f>
        <v>0</v>
      </c>
      <c r="NM68">
        <f>IF($H68=2,Data!$K$304,IF($H68=3,Data!$K$305,0))*MaskJust</f>
        <v>0</v>
      </c>
      <c r="NN68" s="3">
        <f>IF(Mark!JT68&lt;&gt;"",Mark!JT68,NM68)</f>
        <v>0</v>
      </c>
      <c r="NO68" s="3">
        <f>NN68*M68</f>
        <v>0</v>
      </c>
      <c r="NQ68">
        <f>HY68</f>
        <v>0</v>
      </c>
      <c r="NR68">
        <f>JJ68+MM68</f>
        <v>0</v>
      </c>
      <c r="NS68">
        <f>NQ68-NR68</f>
        <v>0</v>
      </c>
      <c r="NT68">
        <f>NS68*M68</f>
        <v>0</v>
      </c>
      <c r="NW68">
        <f>VLOOKUP($B68,Afgr,Data!$BP$3)+VLOOKUP($C68,Efgr,Data!$AM$53)</f>
        <v>0</v>
      </c>
      <c r="NX68" s="3">
        <f>NW68*M68</f>
        <v>0</v>
      </c>
      <c r="NY68">
        <f>VLOOKUP($E68,Afgr,Data!$BP$3)+VLOOKUP($G68,Efgr,Data!$AM$53)</f>
        <v>0</v>
      </c>
      <c r="NZ68" s="3">
        <f>NY68*M68</f>
        <v>0</v>
      </c>
      <c r="OB68">
        <f>VLOOKUP($C68,Efgr,Data!$AN$53)</f>
        <v>0</v>
      </c>
      <c r="OC68">
        <f>VLOOKUP($B68,Afgr,Data!$BQ$3)</f>
        <v>0</v>
      </c>
      <c r="OD68">
        <f>VLOOKUP($E68,Afgr,Data!$BR$3)</f>
        <v>1</v>
      </c>
      <c r="OE68">
        <f>OB68*OC68*OD68</f>
        <v>0</v>
      </c>
      <c r="OF68" s="3">
        <f>OE68*M68</f>
        <v>0</v>
      </c>
      <c r="OG68" s="3">
        <f>IF(D68,1,0)*OF68</f>
        <v>0</v>
      </c>
      <c r="OI68">
        <f>VLOOKUP($G68,Efgr,Data!$AN$53)</f>
        <v>0</v>
      </c>
      <c r="OJ68">
        <f>VLOOKUP($E68,Afgr,Data!$BQ$3)</f>
        <v>0</v>
      </c>
      <c r="OK68">
        <f>VLOOKUP($K68,Afgr,Data!$BR$3)</f>
        <v>1</v>
      </c>
      <c r="OL68">
        <f>OI68*OJ68*OK68</f>
        <v>0</v>
      </c>
      <c r="OM68" s="3">
        <f>OL68*M68</f>
        <v>0</v>
      </c>
      <c r="OO68">
        <f>VLOOKUP($G68,Efgr,Data!$AO$53)</f>
        <v>0</v>
      </c>
      <c r="OP68">
        <f>VLOOKUP($B68,Afgr,Data!$BQ$3)</f>
        <v>0</v>
      </c>
      <c r="OQ68">
        <f>VLOOKUP($E68,Afgr,Data!$BS$3)</f>
        <v>0</v>
      </c>
      <c r="OR68" s="3">
        <f>OO68*OP68*OQ68*$M68</f>
        <v>0</v>
      </c>
      <c r="OT68">
        <f>VLOOKUP($G68,Efgr,Data!$AO$53)</f>
        <v>0</v>
      </c>
      <c r="OU68">
        <f>VLOOKUP($E68,Afgr,Data!$BQ$3)</f>
        <v>0</v>
      </c>
      <c r="OV68">
        <f>VLOOKUP($K68,Afgr,Data!$BS$3)</f>
        <v>0</v>
      </c>
      <c r="OW68" s="3">
        <f>OT68*OU68*OV68*$M68</f>
        <v>0</v>
      </c>
      <c r="OX68" s="3"/>
      <c r="OY68" s="3">
        <f>VLOOKUP($B68,Afgr,Data!$BU$3)</f>
        <v>0</v>
      </c>
      <c r="OZ68" s="3">
        <f>OY68*M68</f>
        <v>0</v>
      </c>
      <c r="PA68" s="3">
        <f>VLOOKUP($E68,Afgr,Data!$BU$3)</f>
        <v>0</v>
      </c>
      <c r="PB68" s="3">
        <f>PA68*M68</f>
        <v>0</v>
      </c>
      <c r="PD68">
        <f>VLOOKUP(E68,Afgr,Data!$BX$3)+VLOOKUP(G68,Efgr,Data!$AQ$53)</f>
        <v>0</v>
      </c>
      <c r="PE68">
        <f>IF(PD68&gt;0,M68,0)</f>
        <v>0</v>
      </c>
      <c r="PG68">
        <f>VLOOKUP($B68,Afgr,Data!$BT$3)</f>
        <v>0</v>
      </c>
      <c r="PH68" s="3">
        <f>PG68*M68</f>
        <v>0</v>
      </c>
      <c r="PI68">
        <f>VLOOKUP($E68,Afgr,Data!$BT$3)</f>
        <v>0</v>
      </c>
      <c r="PJ68" s="3">
        <f>PI68*M68</f>
        <v>0</v>
      </c>
      <c r="PL68">
        <f>VLOOKUP($E68,Afgr,Data!$BV$3)</f>
        <v>0</v>
      </c>
      <c r="PM68">
        <f>PL68*M68</f>
        <v>0</v>
      </c>
      <c r="PO68">
        <f>VLOOKUP($E68,Afgr,Data!$BW$3)</f>
        <v>0</v>
      </c>
      <c r="PP68">
        <f>PO68*M68</f>
        <v>0</v>
      </c>
      <c r="PR68">
        <f>BI68*IF(VLOOKUP($E68,Afgr,Data!$BJ$3)&gt;0,1,0)</f>
        <v>0</v>
      </c>
      <c r="PS68">
        <f>PR68*M68</f>
        <v>0</v>
      </c>
      <c r="PU68">
        <f>BI68*VLOOKUP(E68,Afgr,Data!$BK$3)</f>
        <v>0</v>
      </c>
      <c r="PV68">
        <f>M68*PU68</f>
        <v>0</v>
      </c>
      <c r="PW68">
        <f>$BI68*VLOOKUP($E68,Afgr,Data!$BL$3)+$DD68*VLOOKUP($G68,Efgr,Data!$AP$53)</f>
        <v>0</v>
      </c>
      <c r="PX68">
        <f>PW68*M68</f>
        <v>0</v>
      </c>
      <c r="PY68">
        <f>$BI68*VLOOKUP($E68,Afgr,Data!$BM$3)</f>
        <v>0</v>
      </c>
      <c r="PZ68">
        <f>PY68*M68</f>
        <v>0</v>
      </c>
      <c r="QA68">
        <f>$BI68*VLOOKUP($E68,Afgr,Data!$BN$3)</f>
        <v>0</v>
      </c>
      <c r="QB68">
        <f>QA68*M68</f>
        <v>0</v>
      </c>
      <c r="QE68">
        <f>IF(VLOOKUP($E68,Afgr,Data!$DA$3)="Vårbyg",$BJ68,0)*VLOOKUP($E68,Afgr,Data!$BJ$3)</f>
        <v>0</v>
      </c>
      <c r="QF68">
        <f>IF(VLOOKUP($E68,Afgr,Data!$DA$3)="Vinterbyg",$BJ68,0)*VLOOKUP($E68,Afgr,Data!$BJ$3)</f>
        <v>0</v>
      </c>
      <c r="QG68">
        <f>IF(VLOOKUP($E68,Afgr,Data!$DA$3)="Havre",$BJ68,0)*VLOOKUP($E68,Afgr,Data!$BJ$3)</f>
        <v>0</v>
      </c>
      <c r="QH68">
        <f>IF(VLOOKUP($E68,Afgr,Data!$DA$3)="Hvede",$BJ68,0)*VLOOKUP($E68,Afgr,Data!$BJ$3)</f>
        <v>0</v>
      </c>
      <c r="QI68">
        <f>IF(VLOOKUP($E68,Afgr,Data!$DA$3)="Triticale",$BJ68,0)*VLOOKUP($E68,Afgr,Data!$BJ$3)</f>
        <v>0</v>
      </c>
      <c r="QJ68">
        <f>IF(VLOOKUP($E68,Afgr,Data!$DA$3)="Rug",$BJ68,0)*VLOOKUP($E68,Afgr,Data!$BJ$3)</f>
        <v>0</v>
      </c>
      <c r="QK68">
        <f>IF(VLOOKUP($E68,Afgr,Data!$DA$3)="Majs",$BJ68,0)*VLOOKUP($E68,Afgr,Data!$BJ$3)</f>
        <v>0</v>
      </c>
      <c r="QN68">
        <f>IF(OI68+OO68&gt;0,1,0)</f>
        <v>0</v>
      </c>
      <c r="QO68">
        <f>QN68*LJ68</f>
        <v>0</v>
      </c>
      <c r="QP68">
        <f>QN68*MG68</f>
        <v>0</v>
      </c>
      <c r="QQ68">
        <f>MQ68</f>
        <v>0</v>
      </c>
      <c r="QR68">
        <f>QN68*NO68</f>
        <v>0</v>
      </c>
    </row>
    <row r="69" spans="1:460" x14ac:dyDescent="0.25">
      <c r="GG69" s="12"/>
      <c r="HP69" s="1"/>
      <c r="HQ69" s="20"/>
    </row>
    <row r="70" spans="1:460" x14ac:dyDescent="0.25">
      <c r="A70">
        <f>A68+1</f>
        <v>8</v>
      </c>
      <c r="B70">
        <v>1</v>
      </c>
      <c r="C70">
        <v>1</v>
      </c>
      <c r="D70" t="b">
        <v>0</v>
      </c>
      <c r="E70">
        <v>1</v>
      </c>
      <c r="F70">
        <v>1</v>
      </c>
      <c r="G70">
        <v>1</v>
      </c>
      <c r="H70">
        <v>1</v>
      </c>
      <c r="I70">
        <v>1</v>
      </c>
      <c r="K70">
        <v>1</v>
      </c>
      <c r="M70">
        <f>IF(ISERROR(N70*Areal2/$N$72),0,N70*Areal2/$N$72)</f>
        <v>0</v>
      </c>
      <c r="N70">
        <f>Mark!Z70</f>
        <v>0</v>
      </c>
      <c r="P70">
        <f>VLOOKUP($E70,Afgr,NnormKolonneNr2)</f>
        <v>0</v>
      </c>
      <c r="Q70">
        <f>VLOOKUP($B70,Afgr,Data!$AI$3)*VLOOKUP(E70,Afgr,Data!$AJ$3)</f>
        <v>0</v>
      </c>
      <c r="R70">
        <f>IF($D70,0,VLOOKUP($C70,Efgr,(Data!$W$53+$G$28-1)))</f>
        <v>0</v>
      </c>
      <c r="S70">
        <f>P70-Q70-R70</f>
        <v>0</v>
      </c>
      <c r="T70">
        <f>S70*M70</f>
        <v>0</v>
      </c>
      <c r="U70">
        <f>IF(Nmodel12=1,S70*Nniveau12*0.01,AO70)</f>
        <v>0</v>
      </c>
      <c r="V70" s="3">
        <f>IF(Mark!CI70&lt;&gt;"",Mark!CI70,U70)</f>
        <v>0</v>
      </c>
      <c r="W70" s="3">
        <f>V70*M70</f>
        <v>0</v>
      </c>
      <c r="Y70">
        <f>S70/NoptFaktor</f>
        <v>0</v>
      </c>
      <c r="Z70" s="3">
        <f>IF(Mark!BZ70&lt;&gt;"",Mark!BZ70,Y70)</f>
        <v>0</v>
      </c>
      <c r="AB70">
        <f>VLOOKUP($E70,Afgr,Data!$DE$3)</f>
        <v>0</v>
      </c>
      <c r="AC70">
        <f>VLOOKUP($E70,Afgr,Data!$DD$3)</f>
        <v>0</v>
      </c>
      <c r="AD70">
        <f>VLOOKUP($E70,Afgr,Data!$DC$3)</f>
        <v>0</v>
      </c>
      <c r="AE70">
        <f>IF(ISERROR($Z70+(-PrisN/$AD70-$AB70)/(2*$AC70)),0,($Z70+(-PrisN/$AD70-$AB70)/(2*$AC70)))</f>
        <v>0</v>
      </c>
      <c r="AF70">
        <f>($BD70+$BE70+$BF70)*1.03333</f>
        <v>0</v>
      </c>
      <c r="AG70">
        <f>$AF70-($AB70*($AE70-$Z70)+$AC70*($AE70-$Z70)^2)</f>
        <v>0</v>
      </c>
      <c r="AH70">
        <f>IF(Nmodel12=1,$AB70*($AE70-$S70)+$AC70*($AE70-$S70)^2,$AB70*($AE70-$AO70)+$AC70*($AE70-$AO70)^2)</f>
        <v>0</v>
      </c>
      <c r="AI70">
        <f>IF(Nmodel12=1,$AB70*($AE70-$V70)+$AC70*($AE70-$V70)^2,$AB70*($AE70-AO70)+$AC70*($AE70-AO70)^2)</f>
        <v>0</v>
      </c>
      <c r="AJ70">
        <f>AG70+AH70-BG70</f>
        <v>0</v>
      </c>
      <c r="AK70">
        <f>AG70+AI70-AJ70</f>
        <v>0</v>
      </c>
      <c r="AM70">
        <f>VLOOKUP(E70,Afgr,Data!$DF$3+SandLer2)</f>
        <v>0</v>
      </c>
      <c r="AN70">
        <f>IF(ISERROR(((-(PrisN+Pantafgift)+AM70*Pantfaktor*Pantafgift)/AD70-AB70)/(2*AC70)),0,((-(PrisN+Pantafgift)+AM70*Pantfaktor*Pantafgift)/AD70-AB70)/(2*AC70))</f>
        <v>0</v>
      </c>
      <c r="AO70">
        <f>AE70-AN70</f>
        <v>0</v>
      </c>
      <c r="AQ70">
        <f>IF(AT70&gt;0,0,W70)</f>
        <v>0</v>
      </c>
      <c r="AR70">
        <f>IF(ISERROR(W70*HdgNTilFordeling12/NnormIaltFordel12),0,W70*HdgNTilFordeling12/NnormIaltFordel12)</f>
        <v>0</v>
      </c>
      <c r="AS70">
        <f>IF(ISERROR($AR70/$M70),0,$AR70/$M70)</f>
        <v>0</v>
      </c>
      <c r="AT70">
        <f>IF(Mark!CO70&lt;&gt;"",Mark!CO70,0)</f>
        <v>0</v>
      </c>
      <c r="AU70">
        <f>$AT70*$M70</f>
        <v>0</v>
      </c>
      <c r="AV70" s="3">
        <f>IF(AT70&gt;0,AT70,AS70)</f>
        <v>0</v>
      </c>
      <c r="AW70" s="3">
        <f>AV70*M70</f>
        <v>0</v>
      </c>
      <c r="AY70">
        <f>UdnKrav*$AV70/100</f>
        <v>0</v>
      </c>
      <c r="BA70">
        <f>AV70*VLOOKUP($E70,Afgr,Data!$DJ$3)</f>
        <v>0</v>
      </c>
      <c r="BB70">
        <f>UdnKrav*$BA70/100</f>
        <v>0</v>
      </c>
      <c r="BD70">
        <f>VLOOKUP(E70,Afgr,NormudbKolonneNr2)</f>
        <v>0</v>
      </c>
      <c r="BE70">
        <f>VLOOKUP(B70,Afgr,Data!$AL$3)*VLOOKUP(E70,Afgr,MerudbKolonneNr2)</f>
        <v>0</v>
      </c>
      <c r="BF70">
        <f>VLOOKUP(C70,Efgr,(Data!$Y$53+EftervirkningUdb2))</f>
        <v>0</v>
      </c>
      <c r="BG70">
        <f>BD70+BE70+BF70</f>
        <v>0</v>
      </c>
      <c r="BH70">
        <f>IF(OR(V70&lt;&gt;S70,Nmodel12=2),AK70,BD70+BE70+BF70)</f>
        <v>0</v>
      </c>
      <c r="BI70" s="3">
        <f>IF(Mark!AK70&lt;&gt;"",Mark!AK70,BH70)</f>
        <v>0</v>
      </c>
      <c r="BJ70">
        <f>BI70*M70</f>
        <v>0</v>
      </c>
      <c r="BK70">
        <f>VLOOKUP(E70,Afgr,3)</f>
        <v>0</v>
      </c>
      <c r="BL70">
        <f>IF(BK70="FE",VLOOKUP($E70,Afgr,Data!$AV$3),0)</f>
        <v>0</v>
      </c>
      <c r="BN70">
        <f>VLOOKUP(E70,Afgr,4)</f>
        <v>0</v>
      </c>
      <c r="BO70" s="3">
        <f>IF(Mark!AW70&lt;&gt;"",Mark!AW70,Regn!BN70)</f>
        <v>0</v>
      </c>
      <c r="BP70" s="3">
        <f>BI70*BO70</f>
        <v>0</v>
      </c>
      <c r="BQ70" s="3">
        <f>BJ70*BO70</f>
        <v>0</v>
      </c>
      <c r="BS70">
        <f>VLOOKUP(E70,Afgr,Data!$AN$3)</f>
        <v>0</v>
      </c>
      <c r="BT70" s="3">
        <f>IF(Mark!BC70&lt;&gt;"",Mark!BC70,BS70)</f>
        <v>0</v>
      </c>
      <c r="BU70" s="3">
        <f>BT70*M70</f>
        <v>0</v>
      </c>
      <c r="BW70">
        <f>VLOOKUP(E70,Afgr,HalmudbKolonneNr2)</f>
        <v>0</v>
      </c>
      <c r="BX70">
        <f>IF(ISERROR(BW70*BI70/BG70),0,(BW70*BI70/BG70))</f>
        <v>0</v>
      </c>
      <c r="BY70" s="3">
        <f>IF(Mark!BI70&lt;&gt;"",Mark!BI70,BX70)</f>
        <v>0</v>
      </c>
      <c r="BZ70">
        <f>BY70*M70</f>
        <v>0</v>
      </c>
      <c r="CC70">
        <f>IF($F70=1,BY70,0)</f>
        <v>0</v>
      </c>
      <c r="CD70">
        <f>IF(F70=1,BZ70,0)</f>
        <v>0</v>
      </c>
      <c r="CE70">
        <f>VLOOKUP(E70,Afgr,Data!$AM$3)</f>
        <v>0</v>
      </c>
      <c r="CF70">
        <f>IF(Mark!BR70&lt;&gt;"",Mark!BR70,CE70)</f>
        <v>0</v>
      </c>
      <c r="CG70">
        <f>CC70*CF70</f>
        <v>0</v>
      </c>
      <c r="CH70">
        <f>CD70*CF70</f>
        <v>0</v>
      </c>
      <c r="CJ70">
        <f>VLOOKUP($G70,Efgr,NnormKolonneEfgr2)</f>
        <v>0</v>
      </c>
      <c r="CK70">
        <f>CJ70*M70</f>
        <v>0</v>
      </c>
      <c r="CL70">
        <f>CJ70*Nniveau12*0.01</f>
        <v>0</v>
      </c>
      <c r="CM70" s="3">
        <f>IF(Mark!DM70&lt;&gt;"",Mark!DM70,CL70)</f>
        <v>0</v>
      </c>
      <c r="CN70" s="3">
        <f>$CM70*$M70</f>
        <v>0</v>
      </c>
      <c r="CP70">
        <f>IF(CS70&gt;0,0,CN70)</f>
        <v>0</v>
      </c>
      <c r="CQ70">
        <f>IF(ISERROR(CN70*HdgNTilFordeling12/NnormIaltFordel12),0,CN70*HdgNTilFordeling12/NnormIaltFordel12)</f>
        <v>0</v>
      </c>
      <c r="CR70">
        <f>IF(ISERROR($CQ70/$M70),0,$CQ70/$M70)</f>
        <v>0</v>
      </c>
      <c r="CS70">
        <f>IF(Mark!DS70&lt;&gt;"",Mark!DS70,0)</f>
        <v>0</v>
      </c>
      <c r="CT70">
        <f>$CS70*$M70</f>
        <v>0</v>
      </c>
      <c r="CU70" s="3">
        <f>IF($CS70&gt;0,$CS70,$CR70)</f>
        <v>0</v>
      </c>
      <c r="CV70" s="3">
        <f>CU70*M70</f>
        <v>0</v>
      </c>
      <c r="CX70">
        <f>UdnKrav*$CU70/100</f>
        <v>0</v>
      </c>
      <c r="CZ70">
        <f>$CU70*VLOOKUP($G70,Efgr,Data!$BG$53)</f>
        <v>0</v>
      </c>
      <c r="DA70">
        <f>UdnKrav*$CZ70/100</f>
        <v>0</v>
      </c>
      <c r="DC70">
        <f>VLOOKUP(G70,Efgr,NormudbKolonneNrEfgr2)</f>
        <v>0</v>
      </c>
      <c r="DD70" s="3">
        <f>IF(Mark!DC70&lt;&gt;"",Mark!DC70,DC70)</f>
        <v>0</v>
      </c>
      <c r="DE70">
        <f>DD70*M70</f>
        <v>0</v>
      </c>
      <c r="DF70" t="s">
        <v>37</v>
      </c>
      <c r="DG70">
        <f>DD70*Efterslaetpris</f>
        <v>0</v>
      </c>
      <c r="DH70">
        <f>DE70*Efterslaetpris</f>
        <v>0</v>
      </c>
      <c r="DI70">
        <f>VLOOKUP(G70,Efgr,Data!$AG$53)</f>
        <v>0</v>
      </c>
      <c r="DJ70">
        <f>DD70*DI70</f>
        <v>0</v>
      </c>
      <c r="DL70">
        <f>VLOOKUP($E70,Afgr,Data!$AW$3)</f>
        <v>0</v>
      </c>
      <c r="DM70">
        <f>IF(BK70="FE",$BI70*$BL70*$DL70*0.01,$BI70*100*$DR70*0.01*$DL70*0.01)</f>
        <v>0</v>
      </c>
      <c r="DN70">
        <f>IF(VLOOKUP(E70,Afgr,Data!$BO$3)=1,DM70,0)*M70</f>
        <v>0</v>
      </c>
      <c r="DO70" s="12">
        <f>IF(Nmodel12=1,(V70-S70)*VLOOKUP($E70,Afgr,Data!$AX$3),(AO70-S70)*VLOOKUP(E70,Afgr,Data!$AX$3))</f>
        <v>0</v>
      </c>
      <c r="DP70">
        <f>DL70+DO70</f>
        <v>0</v>
      </c>
      <c r="DQ70">
        <f>IF(Mark!AQ70&lt;&gt;"",Mark!AQ70,DP70)</f>
        <v>0</v>
      </c>
      <c r="DR70">
        <f>VLOOKUP(E70,Afgr,Data!$AT$3)</f>
        <v>0</v>
      </c>
      <c r="DS70">
        <f>IF($BK70="FE",$BI70*$BL70*$DQ70*0.01,$BI70*100*$DR70*0.01*DQ70*0.01)</f>
        <v>0</v>
      </c>
      <c r="DT70">
        <f>IF(VLOOKUP(E70,Afgr,Data!$BO$3)=1,DS70,0)*M70</f>
        <v>0</v>
      </c>
      <c r="DU70">
        <f>IF(ISERROR(DS70/VLOOKUP(E70,Afgr,Data!$AY$3)),0,DS70/VLOOKUP(E70,Afgr,Data!$AY$3))</f>
        <v>0</v>
      </c>
      <c r="DV70">
        <f>DU70*M70</f>
        <v>0</v>
      </c>
      <c r="DX70">
        <f>IF($BK70="FE",$BI70*$BL70*VLOOKUP($E70,Afgr,Data!$BC$3)*0.001,$BI70*100*$DR70*0.01*VLOOKUP($E70,Afgr,Data!$BC$3)*0.001)</f>
        <v>0</v>
      </c>
      <c r="DY70">
        <f>DX70*M70</f>
        <v>0</v>
      </c>
      <c r="EA70">
        <f>IF($BK70="FE",$BI70*$BL70*VLOOKUP($E70,Afgr,Data!$BF$3)*0.001,$BI70*100*$DR70*0.01*VLOOKUP($E70,Afgr,Data!$BF$3)*0.001)</f>
        <v>0</v>
      </c>
      <c r="EB70">
        <f>EA70*M70</f>
        <v>0</v>
      </c>
      <c r="ED70">
        <f>IF(ISERROR(VLOOKUP(E70,Afgr,Data!$AZ$3)*DQ70/DL70),0,VLOOKUP(E70,Afgr,Data!$AZ$3)*DQ70/DL70)</f>
        <v>0</v>
      </c>
      <c r="EE70">
        <f>VLOOKUP(E70,Afgr,Data!$AU$3)</f>
        <v>0</v>
      </c>
      <c r="EF70">
        <f>IF($F70=1,$BY70*$EE70*0.01*ED70*0.01,0)</f>
        <v>0</v>
      </c>
      <c r="EG70">
        <f>EF70/6.25</f>
        <v>0</v>
      </c>
      <c r="EH70">
        <f>EG70*M70</f>
        <v>0</v>
      </c>
      <c r="EJ70">
        <f>IF($F70=1,$BY70*$EE70*0.01*VLOOKUP($E70,Afgr,Data!$BD$3)*0.001,0)</f>
        <v>0</v>
      </c>
      <c r="EK70">
        <f>EJ70*M70</f>
        <v>0</v>
      </c>
      <c r="EM70">
        <f>IF($F70=1,$BY70*$EE70*0.01*VLOOKUP($E70,Afgr,Data!$BG$3)*0.001,0)</f>
        <v>0</v>
      </c>
      <c r="EN70">
        <f>EM70*M70</f>
        <v>0</v>
      </c>
      <c r="EP70">
        <f>VLOOKUP(G70,Efgr,Data!$AI$53)</f>
        <v>0</v>
      </c>
      <c r="EQ70">
        <f>DJ70*EP70*0.01/6.25</f>
        <v>0</v>
      </c>
      <c r="ER70">
        <f>EQ70*M70</f>
        <v>0</v>
      </c>
      <c r="ET70">
        <f>$DJ70*VLOOKUP($G70,Efgr,Data!$AJ$53)*0.001</f>
        <v>0</v>
      </c>
      <c r="EU70">
        <f>ET70*M70</f>
        <v>0</v>
      </c>
      <c r="EW70">
        <f>$DJ70*VLOOKUP($G70,Efgr,Data!$AK$53)*0.001</f>
        <v>0</v>
      </c>
      <c r="EX70">
        <f>EW70*M70</f>
        <v>0</v>
      </c>
      <c r="EZ70">
        <f>IF(VLOOKUP(E70,Afgr,Data!$DS$3)=1,DU70*VLOOKUP(E70,Afgr,(Data!$DT$3+EftervirkningUdb2))*VLOOKUP(E70,Afgr,Data!$DV$3),0)</f>
        <v>0</v>
      </c>
      <c r="FA70">
        <f>IF(VLOOKUP(E70,Afgr,Data!$DS$3)=2,VLOOKUP(E70,Afgr,Data!$DX$3),0)</f>
        <v>0</v>
      </c>
      <c r="FB70">
        <f>IF(VLOOKUP(E70,Afgr,Data!$DS$3)=3,$DU70*VLOOKUP($E70,Afgr,IF(Jordtype2&lt;5,Data!$DT$3,Data!$DU$3))*VLOOKUP($E70,Afgr,Data!$DV$3),0)</f>
        <v>0</v>
      </c>
      <c r="FC70">
        <f>IF(VLOOKUP(E70,Afgr,Data!$DS$3)=4,(1.232+0.00469*BI70*100+(0.000256*BI70*100+0.089)*60),0)</f>
        <v>0</v>
      </c>
      <c r="FD70">
        <f>$V70+IF($AY70-$BB70&gt;$V70,$AY70-$V70,0)-$BB70</f>
        <v>0</v>
      </c>
      <c r="FE70">
        <f>IF(VLOOKUP($E70,Afgr,Data!$DS$3)=5,($BI70*0.02742-$BI70*0.0001*$FD70+$BI70*0.0000001111*$FD70*$FD70),0)</f>
        <v>0</v>
      </c>
      <c r="FF70">
        <f>$CM70+IF($CX70-$DA70&gt;$CM70,$CX70-$CM70,0)-$DA70</f>
        <v>0</v>
      </c>
      <c r="FG70">
        <f>IF(VLOOKUP($G70,Efgr,Data!$BH$53)=5,($DD70*0.02742-$DD70*0.0001*$FF70+$DD70*0.0000001111*$FF70*$FF70),0)</f>
        <v>0</v>
      </c>
      <c r="FH70" s="3">
        <f>EZ70+FA70+FB70+FC70+FE70+FG70</f>
        <v>0</v>
      </c>
      <c r="FI70" s="3">
        <f>FH70*M70</f>
        <v>0</v>
      </c>
      <c r="FK70">
        <f>$V70+$CM70</f>
        <v>0</v>
      </c>
      <c r="FL70">
        <f>($AV70-$AY70)+IF($AY70&gt;$V70,$AY70-$V70,0)+($CU70-$CX70)+IF($CX70&gt;$CM70,$CX70-$CM70,0)</f>
        <v>0</v>
      </c>
      <c r="FM70">
        <f>VLOOKUP($E70,Afgr,Data!$DK$3)*VLOOKUP($E70,Afgr,Data!$AT$3)*0.01*VLOOKUP($E70,Afgr,Data!$AW$3)*0.01/6.25</f>
        <v>0</v>
      </c>
      <c r="FN70" s="4">
        <f>IF(E70&gt;1,Deposition,0)</f>
        <v>0</v>
      </c>
      <c r="FO70">
        <f>FH70</f>
        <v>0</v>
      </c>
      <c r="FP70">
        <f>SUM(FK70:FO70)</f>
        <v>0</v>
      </c>
      <c r="FQ70">
        <f>DU70+EG70+EQ70</f>
        <v>0</v>
      </c>
      <c r="FR70" s="3">
        <f>FP70-FQ70</f>
        <v>0</v>
      </c>
      <c r="FS70" s="19">
        <f>FP70*M70</f>
        <v>0</v>
      </c>
      <c r="FT70" s="19">
        <f>FQ70*M70</f>
        <v>0</v>
      </c>
      <c r="FU70" s="3">
        <f>FR70*M70</f>
        <v>0</v>
      </c>
      <c r="FW70">
        <f>IL70+IM70+LP70+LQ70</f>
        <v>0</v>
      </c>
      <c r="FX70">
        <f>IK70+LO70</f>
        <v>0</v>
      </c>
      <c r="FY70">
        <f>FW70-FX70</f>
        <v>0</v>
      </c>
      <c r="FZ70">
        <f>FY70*M70</f>
        <v>0</v>
      </c>
      <c r="GB70">
        <f>IS70+IT70+LV70+LW70</f>
        <v>0</v>
      </c>
      <c r="GC70">
        <f>IR70+LU70</f>
        <v>0</v>
      </c>
      <c r="GD70">
        <f>GB70-GC70</f>
        <v>0</v>
      </c>
      <c r="GE70">
        <f>GD70*M70</f>
        <v>0</v>
      </c>
      <c r="GG70" s="149">
        <f>IF(OR(VLOOKUP(E70,Afgr,Data!$BV$3)=1,VLOOKUP(E70,Afgr,Data!$BW$3)=1),0,NniveauDelsaedsk2)</f>
        <v>0</v>
      </c>
      <c r="GH70" s="1">
        <v>0.32550000000000001</v>
      </c>
      <c r="GI70" s="6">
        <v>0</v>
      </c>
      <c r="GJ70" s="24">
        <f>IF(($V70-BB70+$CM70-DA70)&lt;0,0,$V70-BB70+$CM70-DA70)</f>
        <v>0</v>
      </c>
      <c r="GK70" s="6">
        <f>$FO70</f>
        <v>0</v>
      </c>
      <c r="GL70" s="1">
        <v>0.25280000000000002</v>
      </c>
      <c r="GM70">
        <f>$BA70+$CZ70</f>
        <v>0</v>
      </c>
      <c r="GN70" s="1">
        <v>0.376</v>
      </c>
      <c r="GO70" s="6">
        <v>0</v>
      </c>
      <c r="GP70" s="1">
        <f>IF(SandLer2&gt;1,0.3539,1.0749)</f>
        <v>0.35389999999999999</v>
      </c>
      <c r="GQ70" s="11">
        <f>$FQ70</f>
        <v>0</v>
      </c>
      <c r="GR70" s="1">
        <v>0.19359999999999999</v>
      </c>
      <c r="GS70" s="1">
        <f>VLOOKUP($E70,Afgr,Data!$DM$3)</f>
        <v>0</v>
      </c>
      <c r="GT70" s="24">
        <f>IF($GS70&gt;1,0,(VLOOKUP($K70,Afgr,Data!$DP$3)+IF(VLOOKUP($K70,Afgr,Data!$DP$3)=0,VLOOKUP($G70,Efgr,Data!$BI$53,0))))+IF(AND($GS70=7,VLOOKUP($K70,Afgr,Data!$DQ$3)=-2),-2,0)+IF(AND($GS70=6,VLOOKUP($G70,Efgr,Data!$BI$53)=2),8,0)</f>
        <v>0</v>
      </c>
      <c r="GU70" s="6" t="e">
        <f>VLOOKUP(SUM(GS70:GT70),Nlesafgr,3)</f>
        <v>#N/A</v>
      </c>
      <c r="GV70" s="7">
        <f>VLOOKUP($B70,Afgr,Data!$DN$3)</f>
        <v>0</v>
      </c>
      <c r="GW70" s="24">
        <f>IF(GV70&gt;1,0,VLOOKUP($E70,Afgr,Data!$DO$3)+IF(VLOOKUP($E70,Afgr,Data!$DO$3)=1,0,VLOOKUP($C70,Efgr,Data!$BJ$53)))</f>
        <v>0</v>
      </c>
      <c r="GX70" s="6" t="e">
        <f>VLOOKUP(SUM(GV70:GW70),Nlesforfrugt,3)</f>
        <v>#N/A</v>
      </c>
      <c r="GY70" s="1" t="e">
        <f>GH70*GG70+GL70*(GJ70+GK70)+GN70*GM70+GP70*GO70-GR70*GQ70+GU70+GX70</f>
        <v>#N/A</v>
      </c>
      <c r="GZ70" s="1">
        <f>Nlesafskaering</f>
        <v>59.6</v>
      </c>
      <c r="HA70" s="1">
        <f>Teknologi1</f>
        <v>2455</v>
      </c>
      <c r="HB70" s="6">
        <v>2001</v>
      </c>
      <c r="HC70" s="1">
        <f>Teknologi2</f>
        <v>1962.2</v>
      </c>
      <c r="HD70" s="1">
        <f>Tandel</f>
        <v>0.54659999999999997</v>
      </c>
      <c r="HE70" s="1" t="e">
        <f>IF(OR(GY70&gt;0,GY70=0),GZ70+HA70/(HB70-HC70),GZ70+HA70/(HB70-HC70)+HD70*GY70)</f>
        <v>#N/A</v>
      </c>
      <c r="HF70" s="1" t="e">
        <f>IF(GY70&gt;0,GY70,0.001)</f>
        <v>#N/A</v>
      </c>
      <c r="HG70" s="1">
        <v>1.5020000000000001E-3</v>
      </c>
      <c r="HH70" s="24">
        <f>IF(E70=1,0,VLOOKUP(Postnr,AfstromData,VLOOKUP($E70,Afgr,Data!$DL$3)+IF(Jordtype1&lt;7,Jordtype1,6),FALSE)-VLOOKUP(G70,Efgr,Data!$AA$53))</f>
        <v>0</v>
      </c>
      <c r="HI70" s="1">
        <v>5.5400000000000002E-4</v>
      </c>
      <c r="HJ70" s="24">
        <f>IF(E70=1,0,VLOOKUP(Postnr,AfstromData,VLOOKUP($B70,Afgr,Data!$DL$3)+IF(Jordtype1&lt;7,Jordtype1,6),FALSE)-VLOOKUP(C70,Efgr,Data!$AA$53))</f>
        <v>0</v>
      </c>
      <c r="HK70" s="1">
        <v>0.10639999999999999</v>
      </c>
      <c r="HL70" s="6">
        <f>VLOOKUP(Jordtype2,Jordtype,Data!$W$112)</f>
        <v>3</v>
      </c>
      <c r="HM70" s="1">
        <v>3.2500000000000001E-2</v>
      </c>
      <c r="HN70" s="6">
        <f>VLOOKUP(Jordtype2,Jordtype,Data!$X$112)</f>
        <v>12</v>
      </c>
      <c r="HO70" s="1">
        <v>1.2453000000000001</v>
      </c>
      <c r="HP70" s="1">
        <f>IF(VLOOKUP(G70,Efgr,Data!$AO$53)=1,MlafgrNUdvask,0)</f>
        <v>0</v>
      </c>
      <c r="HQ70" s="20">
        <f>IF(ISERROR((HE70+POWER(HF70,1.2))*(1-EXP(-HG70*HH70))*EXP(-HI70*HJ70)*EXP(-HK70*HL70)*EXP(-HM70*HN70)*HO70),0,(HE70+POWER(HF70,1.2))*(1-EXP(-HG70*HH70))*EXP(-HI70*HJ70)*EXP(-HK70*HL70)*EXP(-HM70*HN70)*HO70+HP70)</f>
        <v>0</v>
      </c>
      <c r="HR70">
        <f>HQ70*M70</f>
        <v>0</v>
      </c>
      <c r="HS70">
        <f>HQ70*(100-Retention2)*0.01</f>
        <v>0</v>
      </c>
      <c r="HT70">
        <f>HS70*M70</f>
        <v>0</v>
      </c>
      <c r="HU70" s="2">
        <f>HH70*10000</f>
        <v>0</v>
      </c>
      <c r="HV70" s="2">
        <f>HU70*M70</f>
        <v>0</v>
      </c>
      <c r="HW70">
        <f>IF(ISERROR(HQ70*1000*1000/HU70),0,HQ70*1000*1000/HU70)</f>
        <v>0</v>
      </c>
      <c r="HY70">
        <f>BP70+BT70+CG70+DG70</f>
        <v>0</v>
      </c>
      <c r="IB70">
        <f>VLOOKUP(E70,Afgr,Data!$AP$3)*UdsaedJust</f>
        <v>0</v>
      </c>
      <c r="IC70" s="3">
        <f>IF(Mark!EG70&lt;&gt;"",Mark!EG70,Regn!IB70)</f>
        <v>0</v>
      </c>
      <c r="ID70" s="3">
        <f>IC70*M70</f>
        <v>0</v>
      </c>
      <c r="IF70" s="3">
        <f>IF(HdgVaerdi=1,($V70-$AY70)*Npris,$V70*Npris)</f>
        <v>0</v>
      </c>
      <c r="IG70" s="3">
        <f>IF70*M70</f>
        <v>0</v>
      </c>
      <c r="II70">
        <f>VLOOKUP($E70,Afgr,Data!$BA$3)</f>
        <v>0</v>
      </c>
      <c r="IJ70">
        <f>VLOOKUP($E70,Afgr,Data!$BB$3)</f>
        <v>0</v>
      </c>
      <c r="IK70">
        <f>$DX70+$EJ70</f>
        <v>0</v>
      </c>
      <c r="IL70">
        <f>IF(HdgDyreart=2,$AV70*NPforholdSvin,$AV70*NPforholdKvaeg)</f>
        <v>0</v>
      </c>
      <c r="IM70">
        <f>II70+IF($IJ70+$IK70&gt;$IL70,($IJ70+$IK70-$IL70),0)</f>
        <v>0</v>
      </c>
      <c r="IN70" s="3">
        <f>IF(HdgVaerdi=1,($II70*Ppris+IF($IJ70+$IK70&gt;$IL70,($IJ70+$IK70-$IL70)*Ppris,0)),($II70+$IJ70+$IK70)*Ppris)</f>
        <v>0</v>
      </c>
      <c r="IO70" s="3">
        <f>IN70*M70</f>
        <v>0</v>
      </c>
      <c r="IQ70">
        <f>IF(AND(E70&gt;1,OR(Jordtype2=1,Jordtype2=3,Markvand2=2)),Kudvask,0)</f>
        <v>0</v>
      </c>
      <c r="IR70">
        <f>$EA70+$EM70</f>
        <v>0</v>
      </c>
      <c r="IS70">
        <f>IF(HdgDyreart=2,$AV70*NKforholdSvin,$AV70*NkforholdKvaeg)</f>
        <v>0</v>
      </c>
      <c r="IT70">
        <f>IF($IQ70+$IR70&gt;$IS70,($IQ70+$IR70-$IS70),0)</f>
        <v>0</v>
      </c>
      <c r="IU70" s="3">
        <f>IF(HdgVaerdi=1,IF($IQ70+$IR70&gt;$IS70,($IQ70+$IR70-$IS70)*Kpris,0),($IQ70+$IR70)*Kpris)</f>
        <v>0</v>
      </c>
      <c r="IV70" s="3">
        <f>IU70*M70</f>
        <v>0</v>
      </c>
      <c r="IX70">
        <f>IF70+IN70+IU70</f>
        <v>0</v>
      </c>
      <c r="IY70" s="3">
        <f>IF(Mark!EM70&lt;&gt;"",Mark!EM70,$IX70)</f>
        <v>0</v>
      </c>
      <c r="IZ70" s="3">
        <f>IY70*M70</f>
        <v>0</v>
      </c>
      <c r="JB70">
        <f>VLOOKUP(E70,Afgr,Data!$AQ$3)*PlantevJust</f>
        <v>0</v>
      </c>
      <c r="JC70" s="3">
        <f>IF(Mark!ES70&lt;&gt;"",Mark!ES70,JB70)</f>
        <v>0</v>
      </c>
      <c r="JD70" s="3">
        <f>JC70*M70</f>
        <v>0</v>
      </c>
      <c r="JF70">
        <f>VLOOKUP(E70,Afgr,Data!$AR$3)+BI70*VLOOKUP(E70,Afgr,Data!$BH$3)</f>
        <v>0</v>
      </c>
      <c r="JG70" s="3">
        <f>IF(Mark!EY70&lt;&gt;"",Mark!EY70,JF70)</f>
        <v>0</v>
      </c>
      <c r="JH70">
        <f>JG70*M70</f>
        <v>0</v>
      </c>
      <c r="JJ70">
        <f>IC70+IY70+JC70+JG70</f>
        <v>0</v>
      </c>
      <c r="JL70">
        <f>IF(VLOOKUP(E70,Afgr,Data!$BY$3)&gt;0,Data!$K$259*PlojJB2,0)</f>
        <v>0</v>
      </c>
      <c r="JM70">
        <f>IF(VLOOKUP(E70,Afgr,Data!$BZ$3)&gt;0,Data!$K$260*PlojJB2,0)</f>
        <v>0</v>
      </c>
      <c r="JN70">
        <f>(JL70+JM70)*MaskJust</f>
        <v>0</v>
      </c>
      <c r="JO70" s="3">
        <f>IF(Mark!FE70&lt;&gt;"",Mark!FE70,JN70)</f>
        <v>0</v>
      </c>
      <c r="JP70" s="3">
        <f>JO70*M70</f>
        <v>0</v>
      </c>
      <c r="JR70">
        <f>IF(VLOOKUP(E70,Afgr,Data!$CA$3)&gt;0,VLOOKUP(E70,Afgr,Data!$CA$3)*Data!$K$261*SaaJB2,0)</f>
        <v>0</v>
      </c>
      <c r="JS70">
        <f>IF(VLOOKUP(E70,Afgr,Data!$CC$3)&gt;0,Data!$K$262*SaaJB2,0)</f>
        <v>0</v>
      </c>
      <c r="JT70">
        <f>IF(VLOOKUP(E70,Afgr,Data!$CD$3)&gt;0,VLOOKUP(E70,Afgr,Data!$CD$3)*Data!$K$263*SaaJB2,0)</f>
        <v>0</v>
      </c>
      <c r="JU70">
        <f>IF(VLOOKUP(E70,Afgr,Data!$CE$3)&gt;0,Data!$K$264*SaaJB2,0)</f>
        <v>0</v>
      </c>
      <c r="JV70">
        <f>IF(VLOOKUP(E70,Afgr,Data!$CF$3)&gt;0,Data!$K$265*SaaJB2,0)</f>
        <v>0</v>
      </c>
      <c r="JW70">
        <f>IF(VLOOKUP(E70,Afgr,Data!$CV$3)&gt;0,Data!$K$266,0)</f>
        <v>0</v>
      </c>
      <c r="JX70">
        <f>IF(VLOOKUP(E70,Afgr,Data!$CG$3)&gt;0,Data!$K$267*SaaJB2,0)</f>
        <v>0</v>
      </c>
      <c r="JY70">
        <f>(JR70+JS70+JT70+JU70+JV70+JW70+JX70)*MaskJust</f>
        <v>0</v>
      </c>
      <c r="JZ70" s="3">
        <f>IF(Mark!FK70&lt;&gt;"",Mark!FK70,JY70)</f>
        <v>0</v>
      </c>
      <c r="KA70" s="3">
        <f>JZ70*M70</f>
        <v>0</v>
      </c>
      <c r="KC70">
        <f>IF(VLOOKUP(E70,Afgr,Data!$CJ$3)&gt;0,VLOOKUP(E70,Afgr,Data!$CJ$3)*Data!$K$268*SaaJB2,0)*MaskJust</f>
        <v>0</v>
      </c>
      <c r="KD70" s="3">
        <f>IF(Mark!FQ70&lt;&gt;"",Mark!FQ70,KC70)</f>
        <v>0</v>
      </c>
      <c r="KE70" s="3">
        <f>KD70*M70</f>
        <v>0</v>
      </c>
      <c r="KG70">
        <f>IF(VLOOKUP(E70,Afgr,Data!$CI$3)&gt;0,VLOOKUP(E70,Afgr,Data!$CI$3)*Data!$K$269,0)*MaskJust</f>
        <v>0</v>
      </c>
      <c r="KH70" s="3">
        <f>IF(Mark!FW70&lt;&gt;"",Mark!FW70,KG70)</f>
        <v>0</v>
      </c>
      <c r="KI70" s="3">
        <f>KH70*M70</f>
        <v>0</v>
      </c>
      <c r="KK70">
        <f>IF(Markvand2=2,VLOOKUP($E70,Afgr,Data!$CY$3),0)</f>
        <v>0</v>
      </c>
      <c r="KL70">
        <f>IF(Mark!GC70&lt;&gt;"",Mark!GC70,$KK70)</f>
        <v>0</v>
      </c>
      <c r="KM70">
        <f>IF(AND(E70&gt;1,Markvand2=2),Vandmaskin+$KL70*Flytning/mmprgang+$KL70*Prisprmm,0)</f>
        <v>0</v>
      </c>
      <c r="KN70" s="3">
        <f>IF(Mark!GI70&lt;&gt;"",Mark!GI70,$KM70)</f>
        <v>0</v>
      </c>
      <c r="KO70" s="3">
        <f>KN70*M70</f>
        <v>0</v>
      </c>
      <c r="KQ70">
        <f>IF(VLOOKUP($E70,Afgr,Data!$CK$3)&gt;0,((1+Regn!$BI70/VLOOKUP($E70,Afgr,Data!$CK$3))/2)*VLOOKUP($E70,Afgr,Data!$CL$3)*VLOOKUP($E70,Afgr,Data!$CN$3)+VLOOKUP($E70,Afgr,Data!$CM$3),0)</f>
        <v>0</v>
      </c>
      <c r="KR70">
        <f>IF(VLOOKUP($E70,Afgr,Data!$CK$3)&gt;0,IF(AND($F70=2,$BW70&gt;0),Data!$K$271,0),0)</f>
        <v>0</v>
      </c>
      <c r="KS70">
        <f>IF(VLOOKUP($E70,Afgr,Data!$CK$3)&gt;0,(Regn!$BI70/VLOOKUP($E70,Afgr,Data!$CK$3))*VLOOKUP($E70,Afgr,Data!$CO$3)*VLOOKUP($E70,Afgr,Data!$CN$3),0)</f>
        <v>0</v>
      </c>
      <c r="KT70">
        <f>(KQ70+KR70+KS70)*MaskJust</f>
        <v>0</v>
      </c>
      <c r="KU70" s="3">
        <f>IF(Mark!GO70&lt;&gt;"",Mark!GO70,KT70)</f>
        <v>0</v>
      </c>
      <c r="KV70" s="3">
        <f>KU70*M70</f>
        <v>0</v>
      </c>
      <c r="KW70" s="3"/>
      <c r="KX70">
        <f>IF(AND($F70=1,VLOOKUP($E70,Afgr,Data!$CP$3)&gt;0),((1+$BY70/VLOOKUP($E70,Afgr,Data!$CP$3))/2)*VLOOKUP($E70,Afgr,Data!$CQ$3),0)</f>
        <v>0</v>
      </c>
      <c r="KY70">
        <f>IF(AND($F70=1,VLOOKUP($E70,Afgr,Data!$CP$3)&gt;0),($BY70/VLOOKUP($E70,Afgr,Data!$CP$3))*VLOOKUP($E70,Afgr,Data!$CR$3),0)</f>
        <v>0</v>
      </c>
      <c r="KZ70">
        <f>(KX70+KY70)*MaskJust</f>
        <v>0</v>
      </c>
      <c r="LA70" s="3">
        <f>IF(Mark!GU70&lt;&gt;"",Mark!GU70,KZ70)</f>
        <v>0</v>
      </c>
      <c r="LB70" s="3">
        <f>LA70*M70</f>
        <v>0</v>
      </c>
      <c r="LD70">
        <f>$BI70*VLOOKUP($E70,Afgr,Data!$CS$3)*IF($I70=1,VLOOKUP($E70,Afgr,Data!$CT$3),IF($I70=2,VLOOKUP($E70,Afgr,Data!$CU$3),0))</f>
        <v>0</v>
      </c>
      <c r="LE70" s="3">
        <f>IF(Mark!HD70&lt;&gt;"",Mark!HD70,LD70)</f>
        <v>0</v>
      </c>
      <c r="LF70" s="3">
        <f>LE70*M70</f>
        <v>0</v>
      </c>
      <c r="LH70">
        <f>VLOOKUP($G70,Efgr,Data!$AC$53)*UdsaedJust</f>
        <v>0</v>
      </c>
      <c r="LI70" s="3">
        <f>IF(Mark!$HL70&lt;&gt;"",Mark!$HL70,LH70)</f>
        <v>0</v>
      </c>
      <c r="LJ70" s="3">
        <f>LI70*M70</f>
        <v>0</v>
      </c>
      <c r="LL70" s="3">
        <f>IF(HdgVaerdi=1,($CM70-$CX70)*Npris,$CM70*Npris)</f>
        <v>0</v>
      </c>
      <c r="LM70" s="3">
        <f>LL70*M70</f>
        <v>0</v>
      </c>
      <c r="LO70">
        <f>$ET70</f>
        <v>0</v>
      </c>
      <c r="LP70">
        <f>IF(HdgDyreart=2,$CU70*NPforholdSvin,$CU70*NPforholdKvaeg)</f>
        <v>0</v>
      </c>
      <c r="LQ70">
        <f>IF($LO70&gt;$LP70,($LO70-$LP70),0)</f>
        <v>0</v>
      </c>
      <c r="LR70" s="3">
        <f>IF(HdgVaerdi=1,IF($LO70&gt;$LP70,($LO70-$LP70)*Ppris,0),$LO70*Ppris)</f>
        <v>0</v>
      </c>
      <c r="LS70" s="3">
        <f>LR70*M70</f>
        <v>0</v>
      </c>
      <c r="LU70">
        <f>$EW70</f>
        <v>0</v>
      </c>
      <c r="LV70">
        <f>IF(HdgDyreart=2,$CU70*NKforholdSvin,$CU70*NkforholdKvaeg)</f>
        <v>0</v>
      </c>
      <c r="LW70">
        <f>IF($LU70&gt;$LV70,($LU70-$LV70),0)</f>
        <v>0</v>
      </c>
      <c r="LX70" s="3">
        <f>IF(HdgVaerdi=1,IF($LU70&gt;$LV70,($LU70-$LV70)*Ppris,0),$LU70*Ppris)</f>
        <v>0</v>
      </c>
      <c r="LY70" s="3">
        <f>LX70*M70</f>
        <v>0</v>
      </c>
      <c r="MA70">
        <f>LL70+LR70+LX70</f>
        <v>0</v>
      </c>
      <c r="MB70" s="3">
        <f>IF(Mark!HR70&lt;&gt;"",Mark!HR70,$MA70)</f>
        <v>0</v>
      </c>
      <c r="MC70" s="3">
        <f>MB70*M70</f>
        <v>0</v>
      </c>
      <c r="ME70">
        <f>VLOOKUP($G70,Efgr,Data!$AE$53)*PlantevJust</f>
        <v>0</v>
      </c>
      <c r="MF70" s="3">
        <f>IF(Mark!HX70&lt;&gt;"",Mark!HX70,ME70)</f>
        <v>0</v>
      </c>
      <c r="MG70" s="3">
        <f>MF70*M70</f>
        <v>0</v>
      </c>
      <c r="MI70">
        <f>VLOOKUP($G70,Efgr,Data!$AF$53)+$DD70*VLOOKUP($G70,Efgr,Data!$AL$53)</f>
        <v>0</v>
      </c>
      <c r="MJ70" s="3">
        <f>IF(Mark!ID70&lt;&gt;"",Mark!ID70,MI70)</f>
        <v>0</v>
      </c>
      <c r="MK70" s="3">
        <f>MJ70*M70</f>
        <v>0</v>
      </c>
      <c r="MM70">
        <f>LI70+MB70+MF70+MJ70</f>
        <v>0</v>
      </c>
      <c r="MO70">
        <f>VLOOKUP($G70,Efgr,Data!$AU$53)*SaaJB2*MaskJust</f>
        <v>0</v>
      </c>
      <c r="MP70" s="3">
        <f>IF(Mark!IJ70&lt;&gt;"",Mark!IJ70,MO70)</f>
        <v>0</v>
      </c>
      <c r="MQ70" s="3">
        <f>MP70*M70</f>
        <v>0</v>
      </c>
      <c r="MS70">
        <f>VLOOKUP($G70,Efgr,Data!$AW$53)*Data!$K$268*SaaJB2*MaskJust</f>
        <v>0</v>
      </c>
      <c r="MT70" s="3">
        <f>IF(Mark!IP70&lt;&gt;"",Mark!IP70,MS70)</f>
        <v>0</v>
      </c>
      <c r="MU70" s="3">
        <f>MT70*M70</f>
        <v>0</v>
      </c>
      <c r="MW70">
        <f>VLOOKUP($G70,Efgr,Data!$AV$53)*Data!$K$269*MaskJust</f>
        <v>0</v>
      </c>
      <c r="MX70" s="3">
        <f>IF(Mark!IV70&lt;&gt;"",Mark!IV70,MW70)</f>
        <v>0</v>
      </c>
      <c r="MY70" s="3">
        <f>MX70*M70</f>
        <v>0</v>
      </c>
      <c r="NA70">
        <f>IF(Markvand2=2,VLOOKUP($G70,Efgr,Data!$BC$53),0)</f>
        <v>0</v>
      </c>
      <c r="NB70">
        <f>IF(Mark!JB70&lt;&gt;"",Mark!JB70,$NA70)</f>
        <v>0</v>
      </c>
      <c r="NC70">
        <f>IF(Markvand2=2,$NB70*Flytning/mmprgang+$NB70*Prisprmm,0)</f>
        <v>0</v>
      </c>
      <c r="ND70" s="3">
        <f>IF(Mark!JH70&lt;&gt;"",Mark!JH70,$NC70)</f>
        <v>0</v>
      </c>
      <c r="NE70" s="3">
        <f>ND70*M70</f>
        <v>0</v>
      </c>
      <c r="NG70">
        <f>IF(VLOOKUP($G70,Efgr,Data!$AX$53)&gt;0,((1+Regn!DD70/VLOOKUP($G70,Efgr,Data!$AX$53))/2)*VLOOKUP($G70,Efgr,Data!$AY$53)*VLOOKUP($G70,Efgr,Data!$BA$53)+VLOOKUP($G70,Efgr,Data!$AZ$53),0)</f>
        <v>0</v>
      </c>
      <c r="NH70">
        <f>IF(VLOOKUP($G70,Efgr,Data!$AX$53)&gt;0,($DD70/VLOOKUP($G70,Efgr,Data!$AX$53))*VLOOKUP($G70,Efgr,Data!$BB$53)*VLOOKUP($G70,Efgr,Data!$BA$53),0)</f>
        <v>0</v>
      </c>
      <c r="NI70">
        <f>(NG70+NH70)*MaskJust</f>
        <v>0</v>
      </c>
      <c r="NJ70" s="3">
        <f>IF(Mark!JN70&lt;&gt;"",Mark!JN70,NI70)</f>
        <v>0</v>
      </c>
      <c r="NK70" s="3">
        <f>NJ70*M70</f>
        <v>0</v>
      </c>
      <c r="NM70">
        <f>IF($H70=2,Data!$K$304,IF($H70=3,Data!$K$305,0))*MaskJust</f>
        <v>0</v>
      </c>
      <c r="NN70" s="3">
        <f>IF(Mark!JT70&lt;&gt;"",Mark!JT70,NM70)</f>
        <v>0</v>
      </c>
      <c r="NO70" s="3">
        <f>NN70*M70</f>
        <v>0</v>
      </c>
      <c r="NQ70">
        <f>HY70</f>
        <v>0</v>
      </c>
      <c r="NR70">
        <f>JJ70+MM70</f>
        <v>0</v>
      </c>
      <c r="NS70">
        <f>NQ70-NR70</f>
        <v>0</v>
      </c>
      <c r="NT70">
        <f>NS70*M70</f>
        <v>0</v>
      </c>
      <c r="NW70">
        <f>VLOOKUP($B70,Afgr,Data!$BP$3)+VLOOKUP($C70,Efgr,Data!$AM$53)</f>
        <v>0</v>
      </c>
      <c r="NX70" s="3">
        <f>NW70*M70</f>
        <v>0</v>
      </c>
      <c r="NY70">
        <f>VLOOKUP($E70,Afgr,Data!$BP$3)+VLOOKUP($G70,Efgr,Data!$AM$53)</f>
        <v>0</v>
      </c>
      <c r="NZ70" s="3">
        <f>NY70*M70</f>
        <v>0</v>
      </c>
      <c r="OB70">
        <f>VLOOKUP($C70,Efgr,Data!$AN$53)</f>
        <v>0</v>
      </c>
      <c r="OC70">
        <f>VLOOKUP($B70,Afgr,Data!$BQ$3)</f>
        <v>0</v>
      </c>
      <c r="OD70">
        <f>VLOOKUP($E70,Afgr,Data!$BR$3)</f>
        <v>1</v>
      </c>
      <c r="OE70">
        <f>OB70*OC70*OD70</f>
        <v>0</v>
      </c>
      <c r="OF70" s="3">
        <f>OE70*M70</f>
        <v>0</v>
      </c>
      <c r="OG70" s="3">
        <f>IF(D70,1,0)*OF70</f>
        <v>0</v>
      </c>
      <c r="OI70">
        <f>VLOOKUP($G70,Efgr,Data!$AN$53)</f>
        <v>0</v>
      </c>
      <c r="OJ70">
        <f>VLOOKUP($E70,Afgr,Data!$BQ$3)</f>
        <v>0</v>
      </c>
      <c r="OK70">
        <f>VLOOKUP($K70,Afgr,Data!$BR$3)</f>
        <v>1</v>
      </c>
      <c r="OL70">
        <f>OI70*OJ70*OK70</f>
        <v>0</v>
      </c>
      <c r="OM70" s="3">
        <f>OL70*M70</f>
        <v>0</v>
      </c>
      <c r="OO70">
        <f>VLOOKUP($G70,Efgr,Data!$AO$53)</f>
        <v>0</v>
      </c>
      <c r="OP70">
        <f>VLOOKUP($B70,Afgr,Data!$BQ$3)</f>
        <v>0</v>
      </c>
      <c r="OQ70">
        <f>VLOOKUP($E70,Afgr,Data!$BS$3)</f>
        <v>0</v>
      </c>
      <c r="OR70" s="3">
        <f>OO70*OP70*OQ70*$M70</f>
        <v>0</v>
      </c>
      <c r="OT70">
        <f>VLOOKUP($G70,Efgr,Data!$AO$53)</f>
        <v>0</v>
      </c>
      <c r="OU70">
        <f>VLOOKUP($E70,Afgr,Data!$BQ$3)</f>
        <v>0</v>
      </c>
      <c r="OV70">
        <f>VLOOKUP($K70,Afgr,Data!$BS$3)</f>
        <v>0</v>
      </c>
      <c r="OW70" s="3">
        <f>OT70*OU70*OV70*$M70</f>
        <v>0</v>
      </c>
      <c r="OX70" s="3"/>
      <c r="OY70" s="3">
        <f>VLOOKUP($B70,Afgr,Data!$BU$3)</f>
        <v>0</v>
      </c>
      <c r="OZ70" s="3">
        <f>OY70*M70</f>
        <v>0</v>
      </c>
      <c r="PA70" s="3">
        <f>VLOOKUP($E70,Afgr,Data!$BU$3)</f>
        <v>0</v>
      </c>
      <c r="PB70" s="3">
        <f>PA70*M70</f>
        <v>0</v>
      </c>
      <c r="PD70">
        <f>VLOOKUP(E70,Afgr,Data!$BX$3)+VLOOKUP(G70,Efgr,Data!$AQ$53)</f>
        <v>0</v>
      </c>
      <c r="PE70">
        <f>IF(PD70&gt;0,M70,0)</f>
        <v>0</v>
      </c>
      <c r="PG70">
        <f>VLOOKUP($B70,Afgr,Data!$BT$3)</f>
        <v>0</v>
      </c>
      <c r="PH70" s="3">
        <f>PG70*M70</f>
        <v>0</v>
      </c>
      <c r="PI70">
        <f>VLOOKUP($E70,Afgr,Data!$BT$3)</f>
        <v>0</v>
      </c>
      <c r="PJ70" s="3">
        <f>PI70*M70</f>
        <v>0</v>
      </c>
      <c r="PL70">
        <f>VLOOKUP($E70,Afgr,Data!$BV$3)</f>
        <v>0</v>
      </c>
      <c r="PM70">
        <f>PL70*M70</f>
        <v>0</v>
      </c>
      <c r="PO70">
        <f>VLOOKUP($E70,Afgr,Data!$BW$3)</f>
        <v>0</v>
      </c>
      <c r="PP70">
        <f>PO70*M70</f>
        <v>0</v>
      </c>
      <c r="PR70">
        <f>BI70*IF(VLOOKUP($E70,Afgr,Data!$BJ$3)&gt;0,1,0)</f>
        <v>0</v>
      </c>
      <c r="PS70">
        <f>PR70*M70</f>
        <v>0</v>
      </c>
      <c r="PU70">
        <f>BI70*VLOOKUP(E70,Afgr,Data!$BK$3)</f>
        <v>0</v>
      </c>
      <c r="PV70">
        <f>M70*PU70</f>
        <v>0</v>
      </c>
      <c r="PW70">
        <f>$BI70*VLOOKUP($E70,Afgr,Data!$BL$3)+$DD70*VLOOKUP($G70,Efgr,Data!$AP$53)</f>
        <v>0</v>
      </c>
      <c r="PX70">
        <f>PW70*M70</f>
        <v>0</v>
      </c>
      <c r="PY70">
        <f>$BI70*VLOOKUP($E70,Afgr,Data!$BM$3)</f>
        <v>0</v>
      </c>
      <c r="PZ70">
        <f>PY70*M70</f>
        <v>0</v>
      </c>
      <c r="QA70">
        <f>$BI70*VLOOKUP($E70,Afgr,Data!$BN$3)</f>
        <v>0</v>
      </c>
      <c r="QB70">
        <f>QA70*M70</f>
        <v>0</v>
      </c>
      <c r="QE70">
        <f>IF(VLOOKUP($E70,Afgr,Data!$DA$3)="Vårbyg",$BJ70,0)*VLOOKUP($E70,Afgr,Data!$BJ$3)</f>
        <v>0</v>
      </c>
      <c r="QF70">
        <f>IF(VLOOKUP($E70,Afgr,Data!$DA$3)="Vinterbyg",$BJ70,0)*VLOOKUP($E70,Afgr,Data!$BJ$3)</f>
        <v>0</v>
      </c>
      <c r="QG70">
        <f>IF(VLOOKUP($E70,Afgr,Data!$DA$3)="Havre",$BJ70,0)*VLOOKUP($E70,Afgr,Data!$BJ$3)</f>
        <v>0</v>
      </c>
      <c r="QH70">
        <f>IF(VLOOKUP($E70,Afgr,Data!$DA$3)="Hvede",$BJ70,0)*VLOOKUP($E70,Afgr,Data!$BJ$3)</f>
        <v>0</v>
      </c>
      <c r="QI70">
        <f>IF(VLOOKUP($E70,Afgr,Data!$DA$3)="Triticale",$BJ70,0)*VLOOKUP($E70,Afgr,Data!$BJ$3)</f>
        <v>0</v>
      </c>
      <c r="QJ70">
        <f>IF(VLOOKUP($E70,Afgr,Data!$DA$3)="Rug",$BJ70,0)*VLOOKUP($E70,Afgr,Data!$BJ$3)</f>
        <v>0</v>
      </c>
      <c r="QK70">
        <f>IF(VLOOKUP($E70,Afgr,Data!$DA$3)="Majs",$BJ70,0)*VLOOKUP($E70,Afgr,Data!$BJ$3)</f>
        <v>0</v>
      </c>
      <c r="QN70">
        <f>IF(OI70+OO70&gt;0,1,0)</f>
        <v>0</v>
      </c>
      <c r="QO70">
        <f>QN70*LJ70</f>
        <v>0</v>
      </c>
      <c r="QP70">
        <f>QN70*MG70</f>
        <v>0</v>
      </c>
      <c r="QQ70">
        <f>MQ70</f>
        <v>0</v>
      </c>
      <c r="QR70">
        <f>QN70*NO70</f>
        <v>0</v>
      </c>
    </row>
    <row r="71" spans="1:460" x14ac:dyDescent="0.25">
      <c r="M71" t="s">
        <v>1510</v>
      </c>
      <c r="GG71" t="s">
        <v>1278</v>
      </c>
      <c r="NT71" t="s">
        <v>1877</v>
      </c>
      <c r="NU71" t="s">
        <v>1878</v>
      </c>
    </row>
    <row r="72" spans="1:460" x14ac:dyDescent="0.25">
      <c r="A72" s="3" t="s">
        <v>1281</v>
      </c>
      <c r="M72" s="3">
        <f>SUM(M56,M58,M60,M62,M64,M66,M68,M70)</f>
        <v>0</v>
      </c>
      <c r="N72" s="3">
        <f>SUM(N56,N58,N60,N62,N64,N66,N68,N70)</f>
        <v>0</v>
      </c>
      <c r="O72" s="3"/>
      <c r="W72" s="3">
        <f>SUM(W56,W58,W60,W62,W64,W66,W68,W70)</f>
        <v>0</v>
      </c>
      <c r="AW72" s="3">
        <f>SUM(AW56,AW58,AW60,AW62,AW64,AW66,AW68,AW70)</f>
        <v>0</v>
      </c>
      <c r="FI72" s="3">
        <f>SUM(FI56,FI58,FI60,FI62,FI64,FI66,FI68,FI70)</f>
        <v>0</v>
      </c>
      <c r="GG72" s="3">
        <f>IF(ISERROR((W72+AW72*(100-UdnKrav)*0.01+FI72)/M72),0,(W72+AW72*(100-UdnKrav)*0.01+FI72)/M72)</f>
        <v>0</v>
      </c>
      <c r="NT72" s="3">
        <f>NT56+NT58+NT60+NT62+NT64+NT66+NT68+NT70</f>
        <v>0</v>
      </c>
      <c r="NU72">
        <f>IF(ISERROR(DBIalt2/DyrkAreal2),0,DBIalt2/DyrkAreal2)</f>
        <v>0</v>
      </c>
    </row>
    <row r="73" spans="1:460" x14ac:dyDescent="0.25">
      <c r="M73" t="s">
        <v>1286</v>
      </c>
      <c r="T73" t="s">
        <v>1316</v>
      </c>
      <c r="W73" t="s">
        <v>1317</v>
      </c>
      <c r="AQ73" t="s">
        <v>1415</v>
      </c>
      <c r="AU73" t="s">
        <v>1416</v>
      </c>
      <c r="AW73" t="s">
        <v>1740</v>
      </c>
      <c r="BQ73" t="s">
        <v>1359</v>
      </c>
      <c r="BU73" t="s">
        <v>1360</v>
      </c>
      <c r="CH73" t="s">
        <v>1361</v>
      </c>
      <c r="CK73" t="s">
        <v>1919</v>
      </c>
      <c r="CN73" t="s">
        <v>1917</v>
      </c>
      <c r="CP73" t="s">
        <v>2015</v>
      </c>
      <c r="CT73" t="s">
        <v>2016</v>
      </c>
      <c r="CV73" t="s">
        <v>1739</v>
      </c>
      <c r="DH73" t="s">
        <v>1367</v>
      </c>
      <c r="DN73" t="s">
        <v>1452</v>
      </c>
      <c r="DT73" t="s">
        <v>1453</v>
      </c>
      <c r="FT73" t="s">
        <v>1930</v>
      </c>
      <c r="FU73" t="s">
        <v>1489</v>
      </c>
      <c r="FZ73" t="s">
        <v>1502</v>
      </c>
      <c r="GE73" t="s">
        <v>1503</v>
      </c>
      <c r="HR73" t="s">
        <v>1505</v>
      </c>
      <c r="HT73" t="s">
        <v>1506</v>
      </c>
      <c r="HV73" t="s">
        <v>1507</v>
      </c>
      <c r="HW73" t="s">
        <v>1509</v>
      </c>
      <c r="ID73" t="s">
        <v>1370</v>
      </c>
      <c r="IZ73" t="s">
        <v>1371</v>
      </c>
      <c r="JD73" t="s">
        <v>1372</v>
      </c>
      <c r="JH73" t="s">
        <v>1373</v>
      </c>
      <c r="JP73" t="s">
        <v>1374</v>
      </c>
      <c r="KA73" t="s">
        <v>1375</v>
      </c>
      <c r="KE73" t="s">
        <v>1376</v>
      </c>
      <c r="KI73" t="s">
        <v>1377</v>
      </c>
      <c r="KO73" t="s">
        <v>1378</v>
      </c>
      <c r="KV73" t="s">
        <v>1379</v>
      </c>
      <c r="LB73" t="s">
        <v>1380</v>
      </c>
      <c r="LF73" t="s">
        <v>1381</v>
      </c>
      <c r="LJ73" t="s">
        <v>1382</v>
      </c>
      <c r="MC73" t="s">
        <v>1383</v>
      </c>
      <c r="MG73" t="s">
        <v>1384</v>
      </c>
      <c r="MK73" t="s">
        <v>1385</v>
      </c>
      <c r="MQ73" t="s">
        <v>1386</v>
      </c>
      <c r="MU73" t="s">
        <v>1387</v>
      </c>
      <c r="MY73" t="s">
        <v>1388</v>
      </c>
      <c r="NE73" t="s">
        <v>1389</v>
      </c>
      <c r="NK73" t="s">
        <v>1390</v>
      </c>
      <c r="NO73" t="s">
        <v>1391</v>
      </c>
      <c r="NZ73" t="s">
        <v>1283</v>
      </c>
      <c r="OF73" t="s">
        <v>1299</v>
      </c>
      <c r="OG73" t="s">
        <v>1353</v>
      </c>
      <c r="OM73" t="s">
        <v>1298</v>
      </c>
      <c r="OR73" t="s">
        <v>1301</v>
      </c>
      <c r="OW73" t="s">
        <v>1300</v>
      </c>
      <c r="OZ73" t="s">
        <v>1307</v>
      </c>
      <c r="PB73" t="s">
        <v>1308</v>
      </c>
      <c r="PE73" t="s">
        <v>1332</v>
      </c>
      <c r="PH73" t="s">
        <v>1302</v>
      </c>
      <c r="PJ73" t="s">
        <v>1293</v>
      </c>
      <c r="PM73" t="s">
        <v>1424</v>
      </c>
      <c r="PP73" t="s">
        <v>1425</v>
      </c>
      <c r="PS73" t="s">
        <v>1724</v>
      </c>
      <c r="PV73" t="s">
        <v>1439</v>
      </c>
      <c r="PX73" t="s">
        <v>2006</v>
      </c>
      <c r="PZ73" t="s">
        <v>2007</v>
      </c>
      <c r="QB73" t="s">
        <v>2005</v>
      </c>
      <c r="QC73" t="s">
        <v>1437</v>
      </c>
      <c r="QL73" t="s">
        <v>1438</v>
      </c>
      <c r="QO73" t="s">
        <v>1814</v>
      </c>
      <c r="QP73" t="s">
        <v>1807</v>
      </c>
      <c r="QQ73" t="s">
        <v>1806</v>
      </c>
      <c r="QR73" t="s">
        <v>1808</v>
      </c>
    </row>
    <row r="74" spans="1:460" x14ac:dyDescent="0.25">
      <c r="A74" s="3" t="s">
        <v>1282</v>
      </c>
      <c r="M74">
        <f>SUM(M34,M36,M38,M40,M42,M44,M46,M48,M56,M58,M60,M62,M64,M66,M68,M70)</f>
        <v>1</v>
      </c>
      <c r="T74">
        <f>SUM(T34,T36,T38,T40,T42,T44,T46,T48,T56,T58,T60,T62,T64,T66,T68,T70)</f>
        <v>194</v>
      </c>
      <c r="W74">
        <f t="shared" ref="W74" si="3">SUM(W34,W36,W38,W40,W42,W44,W46,W48,W56,W58,W60,W62,W64,W66,W68,W70)</f>
        <v>194</v>
      </c>
      <c r="Y74">
        <f t="shared" ref="Y74:Z74" si="4">SUM(Y34,Y36,Y38,Y40,Y42,Y44,Y46,Y48,Y56,Y58,Y60,Y62,Y64,Y66,Y68,Y70)</f>
        <v>394.04761904761904</v>
      </c>
      <c r="Z74">
        <f t="shared" si="4"/>
        <v>394.04761904761904</v>
      </c>
      <c r="AQ74">
        <f>SUM(AQ34,AQ36,AQ38,AQ40,AQ42,AQ44,AQ46,AQ48,AQ56,AQ58,AQ60,AQ62,AQ64,AQ66,AQ68,AQ70)+NnormIaltFordelEfgr12</f>
        <v>194</v>
      </c>
      <c r="AU74">
        <f t="shared" ref="AU74" si="5">SUM(AU34,AU36,AU38,AU40,AU42,AU44,AU46,AU48,AU56,AU58,AU60,AU62,AU64,AU66,AU68,AU70)</f>
        <v>0</v>
      </c>
      <c r="AW74">
        <f t="shared" ref="AW74" si="6">SUM(AW34,AW36,AW38,AW40,AW42,AW44,AW46,AW48,AW56,AW58,AW60,AW62,AW64,AW66,AW68,AW70)</f>
        <v>0</v>
      </c>
      <c r="AY74">
        <f t="shared" ref="AY74" si="7">SUM(AY34,AY36,AY38,AY40,AY42,AY44,AY46,AY48,AY56,AY58,AY60,AY62,AY64,AY66,AY68,AY70)</f>
        <v>0</v>
      </c>
      <c r="BJ74">
        <f t="shared" ref="BJ74" si="8">SUM(BJ34,BJ36,BJ38,BJ40,BJ42,BJ44,BJ46,BJ48,BJ56,BJ58,BJ60,BJ62,BJ64,BJ66,BJ68,BJ70)</f>
        <v>40</v>
      </c>
      <c r="BQ74">
        <f t="shared" ref="BQ74" si="9">SUM(BQ34,BQ36,BQ38,BQ40,BQ42,BQ44,BQ46,BQ48,BQ56,BQ58,BQ60,BQ62,BQ64,BQ66,BQ68,BQ70)</f>
        <v>12800</v>
      </c>
      <c r="BU74">
        <f t="shared" ref="BU74" si="10">SUM(BU34,BU36,BU38,BU40,BU42,BU44,BU46,BU48,BU56,BU58,BU60,BU62,BU64,BU66,BU68,BU70)</f>
        <v>0</v>
      </c>
      <c r="BZ74">
        <f t="shared" ref="BZ74" si="11">SUM(BZ34,BZ36,BZ38,BZ40,BZ42,BZ44,BZ46,BZ48,BZ56,BZ58,BZ60,BZ62,BZ64,BZ66,BZ68,BZ70)</f>
        <v>3000</v>
      </c>
      <c r="CH74">
        <f t="shared" ref="CH74" si="12">SUM(CH34,CH36,CH38,CH40,CH42,CH44,CH46,CH48,CH56,CH58,CH60,CH62,CH64,CH66,CH68,CH70)</f>
        <v>1500</v>
      </c>
      <c r="CK74">
        <f t="shared" ref="CK74" si="13">SUM(CK34,CK36,CK38,CK40,CK42,CK44,CK46,CK48,CK56,CK58,CK60,CK62,CK64,CK66,CK68,CK70)</f>
        <v>0</v>
      </c>
      <c r="CN74">
        <f t="shared" ref="CN74:CP74" si="14">SUM(CN34,CN36,CN38,CN40,CN42,CN44,CN46,CN48,CN56,CN58,CN60,CN62,CN64,CN66,CN68,CN70)</f>
        <v>0</v>
      </c>
      <c r="CP74">
        <f t="shared" si="14"/>
        <v>0</v>
      </c>
      <c r="CT74">
        <f t="shared" ref="CT74" si="15">SUM(CT34,CT36,CT38,CT40,CT42,CT44,CT46,CT48,CT56,CT58,CT60,CT62,CT64,CT66,CT68,CT70)</f>
        <v>0</v>
      </c>
      <c r="CV74">
        <f t="shared" ref="CV74" si="16">SUM(CV34,CV36,CV38,CV40,CV42,CV44,CV46,CV48,CV56,CV58,CV60,CV62,CV64,CV66,CV68,CV70)</f>
        <v>0</v>
      </c>
      <c r="DE74">
        <f t="shared" ref="DE74:DH74" si="17">SUM(DE34,DE36,DE38,DE40,DE42,DE44,DE46,DE48,DE56,DE58,DE60,DE62,DE64,DE66,DE68,DE70)</f>
        <v>0</v>
      </c>
      <c r="DH74">
        <f t="shared" si="17"/>
        <v>0</v>
      </c>
      <c r="DN74">
        <f t="shared" ref="DN74" si="18">SUM(DN34,DN36,DN38,DN40,DN42,DN44,DN46,DN48,DN56,DN58,DN60,DN62,DN64,DN66,DN68,DN70)</f>
        <v>0</v>
      </c>
      <c r="DT74">
        <f t="shared" ref="DT74" si="19">SUM(DT34,DT36,DT38,DT40,DT42,DT44,DT46,DT48,DT56,DT58,DT60,DT62,DT64,DT66,DT68,DT70)</f>
        <v>0</v>
      </c>
      <c r="DV74">
        <f t="shared" ref="DV74" si="20">SUM(DV34,DV36,DV38,DV40,DV42,DV44,DV46,DV48,DV56,DV58,DV60,DV62,DV64,DV66,DV68,DV70)</f>
        <v>133.952</v>
      </c>
      <c r="DY74">
        <f t="shared" ref="DY74" si="21">SUM(DY34,DY36,DY38,DY40,DY42,DY44,DY46,DY48,DY56,DY58,DY60,DY62,DY64,DY66,DY68,DY70)</f>
        <v>32.76</v>
      </c>
      <c r="EB74">
        <f t="shared" ref="EB74" si="22">SUM(EB34,EB36,EB38,EB40,EB42,EB44,EB46,EB48,EB56,EB58,EB60,EB62,EB64,EB66,EB68,EB70)</f>
        <v>54.6</v>
      </c>
      <c r="EH74">
        <f t="shared" ref="EH74" si="23">SUM(EH34,EH36,EH38,EH40,EH42,EH44,EH46,EH48,EH56,EH58,EH60,EH62,EH64,EH66,EH68,EH70)</f>
        <v>21.675000000000001</v>
      </c>
      <c r="EK74">
        <f t="shared" ref="EK74" si="24">SUM(EK34,EK36,EK38,EK40,EK42,EK44,EK46,EK48,EK56,EK58,EK60,EK62,EK64,EK66,EK68,EK70)</f>
        <v>2.04</v>
      </c>
      <c r="EN74">
        <f t="shared" ref="EN74" si="25">SUM(EN34,EN36,EN38,EN40,EN42,EN44,EN46,EN48,EN56,EN58,EN60,EN62,EN64,EN66,EN68,EN70)</f>
        <v>41.82</v>
      </c>
      <c r="ER74">
        <f t="shared" ref="ER74" si="26">SUM(ER34,ER36,ER38,ER40,ER42,ER44,ER46,ER48,ER56,ER58,ER60,ER62,ER64,ER66,ER68,ER70)</f>
        <v>0</v>
      </c>
      <c r="EU74">
        <f t="shared" ref="EU74" si="27">SUM(EU34,EU36,EU38,EU40,EU42,EU44,EU46,EU48,EU56,EU58,EU60,EU62,EU64,EU66,EU68,EU70)</f>
        <v>0</v>
      </c>
      <c r="EX74">
        <f t="shared" ref="EX74" si="28">SUM(EX34,EX36,EX38,EX40,EX42,EX44,EX46,EX48,EX56,EX58,EX60,EX62,EX64,EX66,EX68,EX70)</f>
        <v>0</v>
      </c>
      <c r="FI74">
        <f t="shared" ref="FI74" si="29">SUM(FI34,FI36,FI38,FI40,FI42,FI44,FI46,FI48,FI56,FI58,FI60,FI62,FI64,FI66,FI68,FI70)</f>
        <v>0</v>
      </c>
      <c r="FS74">
        <f t="shared" ref="FS74:FU74" si="30">SUM(FS34,FS36,FS38,FS40,FS42,FS44,FS46,FS48,FS56,FS58,FS60,FS62,FS64,FS66,FS68,FS70)</f>
        <v>209.16744</v>
      </c>
      <c r="FT74">
        <f t="shared" si="30"/>
        <v>155.62700000000001</v>
      </c>
      <c r="FU74">
        <f t="shared" si="30"/>
        <v>53.54043999999999</v>
      </c>
      <c r="FZ74">
        <f t="shared" ref="FZ74" si="31">SUM(FZ34,FZ36,FZ38,FZ40,FZ42,FZ44,FZ46,FZ48,FZ56,FZ58,FZ60,FZ62,FZ64,FZ66,FZ68,FZ70)</f>
        <v>0</v>
      </c>
      <c r="GE74">
        <f t="shared" ref="GE74" si="32">SUM(GE34,GE36,GE38,GE40,GE42,GE44,GE46,GE48,GE56,GE58,GE60,GE62,GE64,GE66,GE68,GE70)</f>
        <v>0</v>
      </c>
      <c r="HR74">
        <f t="shared" ref="HR74:HV74" si="33">SUM(HR34,HR36,HR38,HR40,HR42,HR44,HR46,HR48,HR56,HR58,HR60,HR62,HR64,HR66,HR68,HR70)</f>
        <v>68.413480120945408</v>
      </c>
      <c r="HT74">
        <f t="shared" si="33"/>
        <v>27.365392048378162</v>
      </c>
      <c r="HV74">
        <f t="shared" si="33"/>
        <v>3344800</v>
      </c>
      <c r="HW74">
        <f>IF(ISERROR(HR74*1000*100/HV74),0,HR74*1000*1000/HV74)</f>
        <v>20.453683365506279</v>
      </c>
      <c r="ID74">
        <f t="shared" ref="ID74" si="34">SUM(ID34,ID36,ID38,ID40,ID42,ID44,ID46,ID48,ID56,ID58,ID60,ID62,ID64,ID66,ID68,ID70)</f>
        <v>500</v>
      </c>
      <c r="IG74">
        <f t="shared" ref="IG74" si="35">SUM(IG34,IG36,IG38,IG40,IG42,IG44,IG46,IG48,IG56,IG58,IG60,IG62,IG64,IG66,IG68,IG70)</f>
        <v>1639.3</v>
      </c>
      <c r="IO74">
        <f t="shared" ref="IO74" si="36">SUM(IO34,IO36,IO38,IO40,IO42,IO44,IO46,IO48,IO56,IO58,IO60,IO62,IO64,IO66,IO68,IO70)</f>
        <v>483.71999999999997</v>
      </c>
      <c r="IV74">
        <f t="shared" ref="IV74" si="37">SUM(IV34,IV36,IV38,IV40,IV42,IV44,IV46,IV48,IV56,IV58,IV60,IV62,IV64,IV66,IV68,IV70)</f>
        <v>626.73</v>
      </c>
      <c r="IZ74">
        <f t="shared" ref="IZ74" si="38">SUM(IZ34,IZ36,IZ38,IZ40,IZ42,IZ44,IZ46,IZ48,IZ56,IZ58,IZ60,IZ62,IZ64,IZ66,IZ68,IZ70)</f>
        <v>2749.75</v>
      </c>
      <c r="JD74">
        <f t="shared" ref="JD74" si="39">SUM(JD34,JD36,JD38,JD40,JD42,JD44,JD46,JD48,JD56,JD58,JD60,JD62,JD64,JD66,JD68,JD70)</f>
        <v>755</v>
      </c>
      <c r="JH74">
        <f t="shared" ref="JH74" si="40">SUM(JH34,JH36,JH38,JH40,JH42,JH44,JH46,JH48,JH56,JH58,JH60,JH62,JH64,JH66,JH68,JH70)</f>
        <v>80</v>
      </c>
      <c r="JP74">
        <f t="shared" ref="JP74" si="41">SUM(JP34,JP36,JP38,JP40,JP42,JP44,JP46,JP48,JP56,JP58,JP60,JP62,JP64,JP66,JP68,JP70)</f>
        <v>800</v>
      </c>
      <c r="KA74">
        <f t="shared" ref="KA74" si="42">SUM(KA34,KA36,KA38,KA40,KA42,KA44,KA46,KA48,KA56,KA58,KA60,KA62,KA64,KA66,KA68,KA70)</f>
        <v>350</v>
      </c>
      <c r="KE74">
        <f t="shared" ref="KE74" si="43">SUM(KE34,KE36,KE38,KE40,KE42,KE44,KE46,KE48,KE56,KE58,KE60,KE62,KE64,KE66,KE68,KE70)</f>
        <v>280</v>
      </c>
      <c r="KI74">
        <f t="shared" ref="KI74" si="44">SUM(KI34,KI36,KI38,KI40,KI42,KI44,KI46,KI48,KI56,KI58,KI60,KI62,KI64,KI66,KI68,KI70)</f>
        <v>450</v>
      </c>
      <c r="KO74">
        <f t="shared" ref="KO74" si="45">SUM(KO34,KO36,KO38,KO40,KO42,KO44,KO46,KO48,KO56,KO58,KO60,KO62,KO64,KO66,KO68,KO70)</f>
        <v>0</v>
      </c>
      <c r="KV74">
        <f t="shared" ref="KV74" si="46">SUM(KV34,KV36,KV38,KV40,KV42,KV44,KV46,KV48,KV56,KV58,KV60,KV62,KV64,KV66,KV68,KV70)</f>
        <v>1335.7142857142856</v>
      </c>
      <c r="LB74">
        <f t="shared" ref="LB74" si="47">SUM(LB34,LB36,LB38,LB40,LB42,LB44,LB46,LB48,LB56,LB58,LB60,LB62,LB64,LB66,LB68,LB70)</f>
        <v>725</v>
      </c>
      <c r="LF74">
        <f t="shared" ref="LF74" si="48">SUM(LF34,LF36,LF38,LF40,LF42,LF44,LF46,LF48,LF56,LF58,LF60,LF62,LF64,LF66,LF68,LF70)</f>
        <v>680.40000000000009</v>
      </c>
      <c r="LJ74">
        <f t="shared" ref="LJ74" si="49">SUM(LJ34,LJ36,LJ38,LJ40,LJ42,LJ44,LJ46,LJ48,LJ56,LJ58,LJ60,LJ62,LJ64,LJ66,LJ68,LJ70)</f>
        <v>0</v>
      </c>
      <c r="LM74">
        <f t="shared" ref="LM74" si="50">SUM(LM34,LM36,LM38,LM40,LM42,LM44,LM46,LM48,LM56,LM58,LM60,LM62,LM64,LM66,LM68,LM70)</f>
        <v>0</v>
      </c>
      <c r="LS74">
        <f t="shared" ref="LS74" si="51">SUM(LS34,LS36,LS38,LS40,LS42,LS44,LS46,LS48,LS56,LS58,LS60,LS62,LS64,LS66,LS68,LS70)</f>
        <v>0</v>
      </c>
      <c r="LY74">
        <f t="shared" ref="LY74" si="52">SUM(LY34,LY36,LY38,LY40,LY42,LY44,LY46,LY48,LY56,LY58,LY60,LY62,LY64,LY66,LY68,LY70)</f>
        <v>0</v>
      </c>
      <c r="MC74">
        <f t="shared" ref="MC74" si="53">SUM(MC34,MC36,MC38,MC40,MC42,MC44,MC46,MC48,MC56,MC58,MC60,MC62,MC64,MC66,MC68,MC70)</f>
        <v>0</v>
      </c>
      <c r="MG74">
        <f t="shared" ref="MG74" si="54">SUM(MG34,MG36,MG38,MG40,MG42,MG44,MG46,MG48,MG56,MG58,MG60,MG62,MG64,MG66,MG68,MG70)</f>
        <v>0</v>
      </c>
      <c r="MK74">
        <f t="shared" ref="MK74" si="55">SUM(MK34,MK36,MK38,MK40,MK42,MK44,MK46,MK48,MK56,MK58,MK60,MK62,MK64,MK66,MK68,MK70)</f>
        <v>0</v>
      </c>
      <c r="MQ74">
        <f t="shared" ref="MQ74" si="56">SUM(MQ34,MQ36,MQ38,MQ40,MQ42,MQ44,MQ46,MQ48,MQ56,MQ58,MQ60,MQ62,MQ64,MQ66,MQ68,MQ70)</f>
        <v>0</v>
      </c>
      <c r="MU74">
        <f t="shared" ref="MU74" si="57">SUM(MU34,MU36,MU38,MU40,MU42,MU44,MU46,MU48,MU56,MU58,MU60,MU62,MU64,MU66,MU68,MU70)</f>
        <v>0</v>
      </c>
      <c r="MY74">
        <f t="shared" ref="MY74" si="58">SUM(MY34,MY36,MY38,MY40,MY42,MY44,MY46,MY48,MY56,MY58,MY60,MY62,MY64,MY66,MY68,MY70)</f>
        <v>0</v>
      </c>
      <c r="NE74">
        <f t="shared" ref="NE74" si="59">SUM(NE34,NE36,NE38,NE40,NE42,NE44,NE46,NE48,NE56,NE58,NE60,NE62,NE64,NE66,NE68,NE70)</f>
        <v>0</v>
      </c>
      <c r="NK74">
        <f t="shared" ref="NK74" si="60">SUM(NK34,NK36,NK38,NK40,NK42,NK44,NK46,NK48,NK56,NK58,NK60,NK62,NK64,NK66,NK68,NK70)</f>
        <v>0</v>
      </c>
      <c r="NO74">
        <f t="shared" ref="NO74" si="61">SUM(NO34,NO36,NO38,NO40,NO42,NO44,NO46,NO48,NO56,NO58,NO60,NO62,NO64,NO66,NO68,NO70)</f>
        <v>0</v>
      </c>
      <c r="NX74">
        <f t="shared" ref="NX74" si="62">SUM(NX34,NX36,NX38,NX40,NX42,NX44,NX46,NX48,NX56,NX58,NX60,NX62,NX64,NX66,NX68,NX70)</f>
        <v>1</v>
      </c>
      <c r="NZ74" s="3">
        <f t="shared" ref="NZ74" si="63">SUM(NZ34,NZ36,NZ38,NZ40,NZ42,NZ44,NZ46,NZ48,NZ56,NZ58,NZ60,NZ62,NZ64,NZ66,NZ68,NZ70)</f>
        <v>1</v>
      </c>
      <c r="OF74" s="21">
        <f>SUM(OF34,OF36,OF38,OF40,OF42,OF44,OF46,OF48,OF56,OF58,OF60,OF62,OF64,OF66,OF68,OF70)</f>
        <v>0</v>
      </c>
      <c r="OG74">
        <f t="shared" ref="OG74" si="64">SUM(OG34,OG36,OG38,OG40,OG42,OG44,OG46,OG48,OG56,OG58,OG60,OG62,OG64,OG66,OG68,OG70)</f>
        <v>0</v>
      </c>
      <c r="OM74">
        <f t="shared" ref="OM74" si="65">SUM(OM34,OM36,OM38,OM40,OM42,OM44,OM46,OM48,OM56,OM58,OM60,OM62,OM64,OM66,OM68,OM70)</f>
        <v>0</v>
      </c>
      <c r="OR74">
        <f t="shared" ref="OR74" si="66">SUM(OR34,OR36,OR38,OR40,OR42,OR44,OR46,OR48,OR56,OR58,OR60,OR62,OR64,OR66,OR68,OR70)</f>
        <v>0</v>
      </c>
      <c r="OW74">
        <f t="shared" ref="OW74" si="67">SUM(OW34,OW36,OW38,OW40,OW42,OW44,OW46,OW48,OW56,OW58,OW60,OW62,OW64,OW66,OW68,OW70)</f>
        <v>0</v>
      </c>
      <c r="OZ74">
        <f t="shared" ref="OZ74" si="68">SUM(OZ34,OZ36,OZ38,OZ40,OZ42,OZ44,OZ46,OZ48,OZ56,OZ58,OZ60,OZ62,OZ64,OZ66,OZ68,OZ70)</f>
        <v>0</v>
      </c>
      <c r="PB74">
        <f t="shared" ref="PB74" si="69">SUM(PB34,PB36,PB38,PB40,PB42,PB44,PB46,PB48,PB56,PB58,PB60,PB62,PB64,PB66,PB68,PB70)</f>
        <v>0</v>
      </c>
      <c r="PE74">
        <f t="shared" ref="PE74" si="70">SUM(PE34,PE36,PE38,PE40,PE42,PE44,PE46,PE48,PE56,PE58,PE60,PE62,PE64,PE66,PE68,PE70)</f>
        <v>1</v>
      </c>
      <c r="PH74">
        <f t="shared" ref="PH74" si="71">SUM(PH34,PH36,PH38,PH40,PH42,PH44,PH46,PH48,PH56,PH58,PH60,PH62,PH64,PH66,PH68,PH70)</f>
        <v>1</v>
      </c>
      <c r="PJ74">
        <f t="shared" ref="PJ74" si="72">SUM(PJ34,PJ36,PJ38,PJ40,PJ42,PJ44,PJ46,PJ48,PJ56,PJ58,PJ60,PJ62,PJ64,PJ66,PJ68,PJ70)</f>
        <v>1</v>
      </c>
      <c r="PM74">
        <f t="shared" ref="PM74" si="73">SUM(PM34,PM36,PM38,PM40,PM42,PM44,PM46,PM48,PM56,PM58,PM60,PM62,PM64,PM66,PM68,PM70)</f>
        <v>0</v>
      </c>
      <c r="PP74">
        <f t="shared" ref="PP74" si="74">SUM(PP34,PP36,PP38,PP40,PP42,PP44,PP46,PP48,PP56,PP58,PP60,PP62,PP64,PP66,PP68,PP70)</f>
        <v>0</v>
      </c>
      <c r="PS74">
        <f t="shared" ref="PS74" si="75">SUM(PS34,PS36,PS38,PS40,PS42,PS44,PS46,PS48,PS56,PS58,PS60,PS62,PS64,PS66,PS68,PS70)</f>
        <v>0</v>
      </c>
      <c r="PV74">
        <f t="shared" ref="PV74" si="76">SUM(PV34,PV36,PV38,PV40,PV42,PV44,PV46,PV48,PV56,PV58,PV60,PV62,PV64,PV66,PV68,PV70)</f>
        <v>0</v>
      </c>
      <c r="PX74">
        <f t="shared" ref="PX74" si="77">SUM(PX34,PX36,PX38,PX40,PX42,PX44,PX46,PX48,PX56,PX58,PX60,PX62,PX64,PX66,PX68,PX70)</f>
        <v>0</v>
      </c>
      <c r="PZ74">
        <f t="shared" ref="PZ74" si="78">SUM(PZ34,PZ36,PZ38,PZ40,PZ42,PZ44,PZ46,PZ48,PZ56,PZ58,PZ60,PZ62,PZ64,PZ66,PZ68,PZ70)</f>
        <v>0</v>
      </c>
      <c r="QB74">
        <f t="shared" ref="QB74" si="79">SUM(QB34,QB36,QB38,QB40,QB42,QB44,QB46,QB48,QB56,QB58,QB60,QB62,QB64,QB66,QB68,QB70)</f>
        <v>0</v>
      </c>
      <c r="QC74">
        <f>PX74+PZ74+QB74</f>
        <v>0</v>
      </c>
      <c r="QE74">
        <f t="shared" ref="QE74:QK74" si="80">SUM(QE34,QE36,QE38,QE40,QE42,QE44,QE46,QE48,QE56,QE58,QE60,QE62,QE64,QE66,QE68,QE70)</f>
        <v>0</v>
      </c>
      <c r="QF74">
        <f t="shared" si="80"/>
        <v>0</v>
      </c>
      <c r="QG74">
        <f t="shared" si="80"/>
        <v>0</v>
      </c>
      <c r="QH74">
        <f t="shared" si="80"/>
        <v>0</v>
      </c>
      <c r="QI74">
        <f t="shared" si="80"/>
        <v>0</v>
      </c>
      <c r="QJ74">
        <f t="shared" si="80"/>
        <v>0</v>
      </c>
      <c r="QK74">
        <f t="shared" si="80"/>
        <v>0</v>
      </c>
      <c r="QL74">
        <f>QE74+QF74+QG74+QH74+QI74+QJ74+QK74</f>
        <v>0</v>
      </c>
      <c r="QO74">
        <f t="shared" ref="QO74:QR74" si="81">SUM(QO34,QO36,QO38,QO40,QO42,QO44,QO46,QO48,QO56,QO58,QO60,QO62,QO64,QO66,QO68,QO70)</f>
        <v>0</v>
      </c>
      <c r="QP74">
        <f t="shared" si="81"/>
        <v>0</v>
      </c>
      <c r="QQ74">
        <f t="shared" si="81"/>
        <v>0</v>
      </c>
      <c r="QR74">
        <f t="shared" si="81"/>
        <v>0</v>
      </c>
    </row>
    <row r="76" spans="1:460" x14ac:dyDescent="0.25">
      <c r="D76" s="3" t="s">
        <v>1334</v>
      </c>
      <c r="F76" t="s">
        <v>205</v>
      </c>
      <c r="G76" t="s">
        <v>205</v>
      </c>
      <c r="H76" t="s">
        <v>205</v>
      </c>
      <c r="I76" t="s">
        <v>205</v>
      </c>
      <c r="J76" t="s">
        <v>1987</v>
      </c>
      <c r="L76" s="3" t="s">
        <v>1335</v>
      </c>
      <c r="M76" s="3"/>
      <c r="N76" s="3"/>
      <c r="O76" s="3"/>
    </row>
    <row r="77" spans="1:460" x14ac:dyDescent="0.25">
      <c r="D77" t="s">
        <v>1288</v>
      </c>
      <c r="E77" t="s">
        <v>1289</v>
      </c>
      <c r="F77" t="s">
        <v>1291</v>
      </c>
      <c r="G77" t="s">
        <v>1347</v>
      </c>
      <c r="H77" t="s">
        <v>1348</v>
      </c>
      <c r="I77" t="s">
        <v>1403</v>
      </c>
      <c r="J77" t="s">
        <v>1404</v>
      </c>
      <c r="L77" t="s">
        <v>1288</v>
      </c>
      <c r="P77" t="s">
        <v>1333</v>
      </c>
      <c r="Q77" t="s">
        <v>1289</v>
      </c>
      <c r="R77" t="s">
        <v>1336</v>
      </c>
      <c r="S77" t="s">
        <v>1743</v>
      </c>
    </row>
    <row r="78" spans="1:460" x14ac:dyDescent="0.25">
      <c r="B78" t="s">
        <v>1287</v>
      </c>
      <c r="D78">
        <f>IF(DyrkAreal12&lt;10,0,IF(DEprHa12&gt;=0.8,14,10))</f>
        <v>0</v>
      </c>
      <c r="E78">
        <f>EfgrKravMiljogodk</f>
        <v>0</v>
      </c>
      <c r="F78">
        <f>EfgrKravVandplan12</f>
        <v>0</v>
      </c>
      <c r="G78">
        <f>IF(ISERROR(-EfgrErstatKvoteReduk12*100/EfgrGrundareal12),0,-EfgrErstatKvoteReduk12*100/EfgrGrundareal12)</f>
        <v>0</v>
      </c>
      <c r="H78">
        <f>IF(ISERROR(EfgrEkstraKvoteTillaeg12*100/EfgrGrundareal12),0,EfgrEkstraKvoteTillaeg12*100/EfgrGrundareal12)</f>
        <v>0</v>
      </c>
      <c r="I78" s="3">
        <f>D78+E78+F78+H78</f>
        <v>0</v>
      </c>
      <c r="J78">
        <f>EfgrKravIaltPct12*EfgrGrundareal12*0.01</f>
        <v>0</v>
      </c>
      <c r="L78">
        <f>IF(DyrkAreal12&lt;10,0,IF(DEprHa12&gt;=0.8,14,10))</f>
        <v>0</v>
      </c>
      <c r="P78">
        <f>IF(ISERROR(GronMarkAreal12*100/DyrkAreal12),0,GronMarkAreal12*100/DyrkAreal12)</f>
        <v>100</v>
      </c>
      <c r="Q78">
        <f>EfgrKravMiljogodk</f>
        <v>0</v>
      </c>
      <c r="R78" s="3">
        <f>IF(DyrkAreal12&lt;10,0,IF(DyrkAreal12&lt;30,(Q78+IF(GronMarkPct12&lt;100-L78,L78,GronMarkPct12-100)),Q78+IF(GronMarkPct12&lt;100-L78,L78,IF(100-GronMarkPct12&lt;4,4,100-GronMarkPct12))))</f>
        <v>0</v>
      </c>
      <c r="S78">
        <f>EfgrKrav2010IaltPct12*EfgrGrundareal12*0.01</f>
        <v>0</v>
      </c>
    </row>
    <row r="79" spans="1:460" x14ac:dyDescent="0.25">
      <c r="B79" t="s">
        <v>1290</v>
      </c>
    </row>
    <row r="109" spans="2:454" x14ac:dyDescent="0.25">
      <c r="B109" t="s">
        <v>1560</v>
      </c>
      <c r="C109" t="s">
        <v>1561</v>
      </c>
      <c r="D109" t="s">
        <v>1675</v>
      </c>
      <c r="E109" t="s">
        <v>1676</v>
      </c>
      <c r="F109" t="s">
        <v>1563</v>
      </c>
      <c r="G109" t="s">
        <v>1565</v>
      </c>
      <c r="H109" t="s">
        <v>1582</v>
      </c>
      <c r="I109" t="s">
        <v>1583</v>
      </c>
      <c r="J109" t="s">
        <v>1584</v>
      </c>
      <c r="K109" t="s">
        <v>1566</v>
      </c>
      <c r="L109" t="s">
        <v>1567</v>
      </c>
      <c r="N109" t="s">
        <v>1901</v>
      </c>
      <c r="P109" t="s">
        <v>1568</v>
      </c>
      <c r="Q109" t="s">
        <v>1569</v>
      </c>
      <c r="R109" t="s">
        <v>1570</v>
      </c>
      <c r="S109" t="s">
        <v>1571</v>
      </c>
      <c r="T109" t="s">
        <v>1572</v>
      </c>
      <c r="U109" t="s">
        <v>1573</v>
      </c>
      <c r="V109" t="s">
        <v>1574</v>
      </c>
      <c r="W109" t="s">
        <v>1575</v>
      </c>
      <c r="X109" t="s">
        <v>1576</v>
      </c>
      <c r="Z109" t="s">
        <v>1577</v>
      </c>
      <c r="FT109" s="12"/>
      <c r="FU109" s="12"/>
      <c r="FV109" s="12"/>
      <c r="FW109" s="12"/>
      <c r="FX109" s="12"/>
      <c r="FY109" s="12"/>
      <c r="FZ109" s="12"/>
      <c r="GA109" s="12"/>
      <c r="GB109" s="12"/>
      <c r="GC109" s="12"/>
      <c r="GD109" s="12"/>
      <c r="GE109" s="12"/>
      <c r="GF109" s="12"/>
      <c r="GG109" s="12"/>
      <c r="GH109" s="12"/>
      <c r="GI109" s="12"/>
      <c r="GJ109" s="12"/>
    </row>
    <row r="110" spans="2:454" x14ac:dyDescent="0.25">
      <c r="B110">
        <v>6</v>
      </c>
      <c r="C110">
        <v>1</v>
      </c>
      <c r="D110">
        <f>HdgDEIalt-DEAfsatEkstra34</f>
        <v>0</v>
      </c>
      <c r="E110">
        <f>D110*VLOOKUP(HdgDyreart,HdgType,4)</f>
        <v>0</v>
      </c>
      <c r="F110">
        <f>IF(ISERROR(HdgDEIaltKorr34/Harmoniareal34),0,HdgDEIaltKorr34/Harmoniareal34)</f>
        <v>0</v>
      </c>
      <c r="G110">
        <f>IF(F110&gt;=0.8,2,1)</f>
        <v>1</v>
      </c>
      <c r="H110">
        <v>2</v>
      </c>
      <c r="I110">
        <f>IF($G110=1,KvoteredukUnder08DE,KvoteredukOver08DE)</f>
        <v>56</v>
      </c>
      <c r="J110">
        <f>IF($G110=1,KvoteTillaegUnder08DE,KvoteTillaegOver08DE)</f>
        <v>15</v>
      </c>
      <c r="K110">
        <f>IF(Markvand3=1,VLOOKUP(Jordtype3,Jordtype,Data!$K$112),VLOOKUP(Jordtype3,Jordtype,Data!$L$112))</f>
        <v>9</v>
      </c>
      <c r="L110">
        <f>IF(Markvand3=1,VLOOKUP(Jordtype3,Jordtype,Data!$M$112),VLOOKUP(Jordtype3,Jordtype,Data!$N$112))</f>
        <v>14</v>
      </c>
      <c r="N110">
        <f>IF(OR(Jordtype3=1,Jordtype3=3),0,IF(OR(Jordtype3=2,Jordtype3=4),1,IF(OR(Jordtype3=5,Jordtype3=6),2,3)))</f>
        <v>2</v>
      </c>
      <c r="P110">
        <f>IF(Markvand3=1,VLOOKUP(Jordtype3,Jordtype,Data!$Q$112),VLOOKUP(Jordtype3,Jordtype,Data!$R$112))</f>
        <v>25</v>
      </c>
      <c r="Q110">
        <f>IF(Markvand3=1,VLOOKUP(Jordtype3,Jordtype,Data!$O$112),VLOOKUP(Jordtype3,Jordtype,Data!$P$112))</f>
        <v>19</v>
      </c>
      <c r="R110">
        <f>IF(Jordtype3&lt;5,0,1)</f>
        <v>1</v>
      </c>
      <c r="S110">
        <f>IF(Jordtype3&lt;5,PlojJB,1)</f>
        <v>1</v>
      </c>
      <c r="T110">
        <f>IF(Jordtype3&lt;5,SaaJB,1)</f>
        <v>1</v>
      </c>
      <c r="U110">
        <f>IF(Markvand3=1,VLOOKUP(Jordtype3,Jordtype,Data!$S$112),VLOOKUP(Jordtype3,Jordtype,Data!$T$112))</f>
        <v>8</v>
      </c>
      <c r="V110">
        <f>IF(Markvand3=1,VLOOKUP(Jordtype3,Jordtype,Data!$U$112),VLOOKUP(Jordtype3,Jordtype,Data!$V$112))</f>
        <v>13</v>
      </c>
      <c r="W110">
        <v>1</v>
      </c>
      <c r="X110" s="22">
        <f>IF(Mark!K101&lt;&gt;"",Mark!K101,Mark!H101)</f>
        <v>100</v>
      </c>
      <c r="Z110">
        <f>HdgNIalt34 - HdgNindtastetIalt34-HdgNindtastetIaltEfgr34</f>
        <v>0</v>
      </c>
      <c r="AK110" s="12"/>
      <c r="AL110" s="12"/>
      <c r="AM110" s="12"/>
      <c r="AN110" s="12"/>
      <c r="AO110" s="12"/>
      <c r="AP110" s="12"/>
      <c r="AQ110" s="12"/>
      <c r="AR110" s="12"/>
      <c r="AS110" s="12"/>
      <c r="AT110" s="12"/>
      <c r="AX110" s="12"/>
      <c r="AY110" s="12"/>
      <c r="CT110" s="12"/>
      <c r="CU110" s="12"/>
      <c r="CV110" s="12"/>
      <c r="CW110" s="12"/>
      <c r="CX110" s="12"/>
      <c r="CY110" s="12"/>
      <c r="CZ110" s="12"/>
      <c r="DA110" s="12"/>
      <c r="DB110" s="12"/>
      <c r="DC110" s="12"/>
      <c r="DD110" s="12"/>
      <c r="DE110" t="s">
        <v>527</v>
      </c>
      <c r="DH110" s="12"/>
      <c r="FS110" s="4" t="s">
        <v>262</v>
      </c>
    </row>
    <row r="112" spans="2:454" ht="60" x14ac:dyDescent="0.25">
      <c r="P112" s="3" t="s">
        <v>457</v>
      </c>
      <c r="AM112" s="3" t="s">
        <v>1895</v>
      </c>
      <c r="CJ112" s="3" t="s">
        <v>458</v>
      </c>
      <c r="CK112" s="3"/>
      <c r="CL112" s="3"/>
      <c r="DL112" s="3" t="s">
        <v>501</v>
      </c>
      <c r="DM112" s="3"/>
      <c r="DN112" s="3"/>
      <c r="DO112" s="3"/>
      <c r="DP112" s="3"/>
      <c r="EZ112" s="5" t="s">
        <v>220</v>
      </c>
      <c r="FK112" s="3" t="s">
        <v>547</v>
      </c>
      <c r="FL112" s="3"/>
      <c r="GG112" s="6" t="s">
        <v>291</v>
      </c>
      <c r="GH112" s="6" t="s">
        <v>292</v>
      </c>
      <c r="GI112" s="6"/>
      <c r="GJ112" s="6" t="s">
        <v>291</v>
      </c>
      <c r="GK112" s="6" t="s">
        <v>291</v>
      </c>
      <c r="GL112" s="6" t="s">
        <v>292</v>
      </c>
      <c r="GM112" s="6" t="s">
        <v>291</v>
      </c>
      <c r="GN112" s="6" t="s">
        <v>292</v>
      </c>
      <c r="GO112" s="6" t="s">
        <v>291</v>
      </c>
      <c r="GP112" s="6" t="s">
        <v>292</v>
      </c>
      <c r="GQ112" s="6" t="s">
        <v>291</v>
      </c>
      <c r="GR112" s="6" t="s">
        <v>292</v>
      </c>
      <c r="GS112" s="6"/>
      <c r="GT112" s="6"/>
      <c r="GU112" s="6" t="s">
        <v>291</v>
      </c>
      <c r="GV112" s="6"/>
      <c r="GW112" s="6"/>
      <c r="GX112" s="6" t="s">
        <v>291</v>
      </c>
      <c r="GY112" s="6" t="s">
        <v>293</v>
      </c>
      <c r="GZ112" s="6" t="s">
        <v>294</v>
      </c>
      <c r="HA112" s="6" t="s">
        <v>294</v>
      </c>
      <c r="HB112" s="6" t="s">
        <v>291</v>
      </c>
      <c r="HC112" s="6" t="s">
        <v>292</v>
      </c>
      <c r="HD112" s="6" t="s">
        <v>292</v>
      </c>
      <c r="HE112" s="6" t="s">
        <v>295</v>
      </c>
      <c r="HF112" s="6" t="s">
        <v>293</v>
      </c>
      <c r="HG112" s="6" t="s">
        <v>296</v>
      </c>
      <c r="HH112" s="6" t="s">
        <v>291</v>
      </c>
      <c r="HI112" s="6" t="s">
        <v>297</v>
      </c>
      <c r="HJ112" s="6" t="s">
        <v>291</v>
      </c>
      <c r="HK112" s="6" t="s">
        <v>292</v>
      </c>
      <c r="HL112" s="6" t="s">
        <v>291</v>
      </c>
      <c r="HM112" s="6" t="s">
        <v>292</v>
      </c>
      <c r="HN112" s="6" t="s">
        <v>291</v>
      </c>
      <c r="HO112" s="6" t="s">
        <v>292</v>
      </c>
      <c r="HP112" s="6" t="s">
        <v>1949</v>
      </c>
      <c r="HQ112" s="8" t="s">
        <v>290</v>
      </c>
      <c r="HS112" s="6" t="s">
        <v>298</v>
      </c>
      <c r="KQ112" s="3" t="s">
        <v>387</v>
      </c>
      <c r="NW112" t="s">
        <v>76</v>
      </c>
      <c r="NY112" t="s">
        <v>1162</v>
      </c>
      <c r="OB112" t="s">
        <v>1148</v>
      </c>
      <c r="OI112" t="s">
        <v>1159</v>
      </c>
      <c r="OO112" t="s">
        <v>1148</v>
      </c>
      <c r="OT112" t="s">
        <v>1159</v>
      </c>
      <c r="OY112" t="s">
        <v>1148</v>
      </c>
      <c r="PA112" t="s">
        <v>1159</v>
      </c>
      <c r="PR112" t="s">
        <v>1237</v>
      </c>
      <c r="PU112" t="s">
        <v>1241</v>
      </c>
      <c r="PW112" t="s">
        <v>1244</v>
      </c>
      <c r="PY112" t="s">
        <v>1245</v>
      </c>
      <c r="QA112" t="s">
        <v>1246</v>
      </c>
      <c r="QC112" t="s">
        <v>1436</v>
      </c>
      <c r="QE112" t="s">
        <v>1446</v>
      </c>
      <c r="QF112" t="s">
        <v>1447</v>
      </c>
      <c r="QG112" t="s">
        <v>1255</v>
      </c>
      <c r="QH112" t="s">
        <v>68</v>
      </c>
      <c r="QI112" t="s">
        <v>65</v>
      </c>
      <c r="QJ112" t="s">
        <v>53</v>
      </c>
      <c r="QK112" t="s">
        <v>60</v>
      </c>
      <c r="QL112" t="s">
        <v>1429</v>
      </c>
    </row>
    <row r="113" spans="1:460" x14ac:dyDescent="0.25">
      <c r="P113" s="3" t="s">
        <v>132</v>
      </c>
      <c r="Y113" s="3" t="s">
        <v>437</v>
      </c>
      <c r="AB113" s="3" t="s">
        <v>450</v>
      </c>
      <c r="AC113" s="3" t="s">
        <v>451</v>
      </c>
      <c r="AD113" s="3" t="s">
        <v>184</v>
      </c>
      <c r="AE113" s="3" t="s">
        <v>446</v>
      </c>
      <c r="AF113" s="3" t="s">
        <v>448</v>
      </c>
      <c r="AG113" s="3" t="s">
        <v>449</v>
      </c>
      <c r="AH113" s="3" t="s">
        <v>1983</v>
      </c>
      <c r="AI113" s="3" t="s">
        <v>1984</v>
      </c>
      <c r="AJ113" s="3" t="s">
        <v>1985</v>
      </c>
      <c r="AK113" s="3" t="s">
        <v>455</v>
      </c>
      <c r="AL113" s="3"/>
      <c r="AM113" s="3" t="s">
        <v>1892</v>
      </c>
      <c r="AN113" s="3" t="s">
        <v>1891</v>
      </c>
      <c r="AO113" s="3" t="s">
        <v>1893</v>
      </c>
      <c r="AP113" s="3"/>
      <c r="AQ113" s="3" t="s">
        <v>138</v>
      </c>
      <c r="AS113" s="3"/>
      <c r="AT113" s="3"/>
      <c r="AU113" s="3"/>
      <c r="AV113" s="3"/>
      <c r="AW113" s="3"/>
      <c r="AX113" s="3"/>
      <c r="AY113" s="3"/>
      <c r="AZ113" s="3"/>
      <c r="BA113" s="3" t="s">
        <v>1257</v>
      </c>
      <c r="BB113" s="3"/>
      <c r="BC113" s="3"/>
      <c r="BD113" s="3" t="s">
        <v>216</v>
      </c>
      <c r="BE113" s="3"/>
      <c r="BN113" s="3" t="s">
        <v>185</v>
      </c>
      <c r="BS113" s="3" t="s">
        <v>1337</v>
      </c>
      <c r="BW113" s="3" t="s">
        <v>190</v>
      </c>
      <c r="BX113" s="3"/>
      <c r="CD113" s="3" t="s">
        <v>217</v>
      </c>
      <c r="CJ113" s="3" t="s">
        <v>86</v>
      </c>
      <c r="CK113" s="3"/>
      <c r="CL113" s="3"/>
      <c r="CP113" s="3" t="s">
        <v>138</v>
      </c>
      <c r="DC113" s="3" t="s">
        <v>218</v>
      </c>
      <c r="DL113" t="s">
        <v>489</v>
      </c>
      <c r="DX113" t="s">
        <v>492</v>
      </c>
      <c r="EA113" t="s">
        <v>502</v>
      </c>
      <c r="ED113" t="s">
        <v>490</v>
      </c>
      <c r="EJ113" t="s">
        <v>494</v>
      </c>
      <c r="EM113" t="s">
        <v>504</v>
      </c>
      <c r="EP113" t="s">
        <v>491</v>
      </c>
      <c r="ET113" t="s">
        <v>500</v>
      </c>
      <c r="EW113" t="s">
        <v>505</v>
      </c>
      <c r="EZ113" t="s">
        <v>256</v>
      </c>
      <c r="FG113" t="s">
        <v>78</v>
      </c>
      <c r="FH113" t="s">
        <v>545</v>
      </c>
      <c r="FW113" t="s">
        <v>1493</v>
      </c>
      <c r="GB113" t="s">
        <v>1499</v>
      </c>
      <c r="GG113" s="6"/>
      <c r="GH113" s="6"/>
      <c r="GI113" s="6"/>
      <c r="GJ113" s="6"/>
      <c r="GK113" s="6"/>
      <c r="GL113" s="6"/>
      <c r="GM113" s="6"/>
      <c r="GN113" s="6"/>
      <c r="GO113" s="6"/>
      <c r="GP113" s="6"/>
      <c r="GQ113" s="6"/>
      <c r="GR113" s="6"/>
      <c r="GS113" s="6"/>
      <c r="GT113" s="6"/>
      <c r="GU113" s="9"/>
      <c r="GV113" s="6"/>
      <c r="GW113" s="6"/>
      <c r="GX113" s="6"/>
      <c r="GY113" s="6"/>
      <c r="GZ113" s="6"/>
      <c r="HA113" s="6"/>
      <c r="HB113" s="6"/>
      <c r="HC113" s="6"/>
      <c r="HD113" s="6"/>
      <c r="HE113" s="6"/>
      <c r="HF113" s="6"/>
      <c r="HG113" s="6"/>
      <c r="HH113" s="6"/>
      <c r="HI113" s="6"/>
      <c r="HJ113" s="6"/>
      <c r="HK113" s="6"/>
      <c r="HL113" s="6"/>
      <c r="HM113" s="6"/>
      <c r="HN113" s="6"/>
      <c r="HO113" s="6"/>
      <c r="HP113" s="6"/>
      <c r="HQ113" s="6" t="s">
        <v>298</v>
      </c>
    </row>
    <row r="114" spans="1:460" ht="75" x14ac:dyDescent="0.25">
      <c r="B114" t="s">
        <v>76</v>
      </c>
      <c r="C114" t="s">
        <v>80</v>
      </c>
      <c r="D114" t="s">
        <v>81</v>
      </c>
      <c r="E114" t="s">
        <v>28</v>
      </c>
      <c r="F114" t="s">
        <v>194</v>
      </c>
      <c r="G114" t="s">
        <v>78</v>
      </c>
      <c r="H114" t="s">
        <v>426</v>
      </c>
      <c r="I114" t="s">
        <v>15</v>
      </c>
      <c r="K114" t="s">
        <v>83</v>
      </c>
      <c r="M114" t="s">
        <v>1887</v>
      </c>
      <c r="N114" s="1" t="s">
        <v>1888</v>
      </c>
      <c r="O114" s="1"/>
      <c r="P114" t="s">
        <v>133</v>
      </c>
      <c r="Q114" t="s">
        <v>134</v>
      </c>
      <c r="R114" t="s">
        <v>135</v>
      </c>
      <c r="S114" t="s">
        <v>86</v>
      </c>
      <c r="T114" t="s">
        <v>1315</v>
      </c>
      <c r="U114" t="s">
        <v>1217</v>
      </c>
      <c r="V114" s="1" t="s">
        <v>453</v>
      </c>
      <c r="W114" s="1" t="s">
        <v>474</v>
      </c>
      <c r="Y114" t="s">
        <v>438</v>
      </c>
      <c r="Z114" t="s">
        <v>447</v>
      </c>
      <c r="AB114" t="s">
        <v>443</v>
      </c>
      <c r="AC114" t="s">
        <v>444</v>
      </c>
      <c r="AD114" t="s">
        <v>452</v>
      </c>
      <c r="AQ114" t="s">
        <v>483</v>
      </c>
      <c r="AR114" s="1" t="s">
        <v>479</v>
      </c>
      <c r="AS114" s="1" t="s">
        <v>480</v>
      </c>
      <c r="AT114" s="1" t="s">
        <v>477</v>
      </c>
      <c r="AU114" s="1" t="s">
        <v>478</v>
      </c>
      <c r="AV114" s="1" t="s">
        <v>481</v>
      </c>
      <c r="AW114" t="s">
        <v>1218</v>
      </c>
      <c r="AX114" s="1"/>
      <c r="AY114" s="1" t="s">
        <v>485</v>
      </c>
      <c r="AZ114" s="1"/>
      <c r="BA114" s="1" t="s">
        <v>543</v>
      </c>
      <c r="BB114" s="1" t="s">
        <v>544</v>
      </c>
      <c r="BC114" s="1"/>
      <c r="BD114" t="s">
        <v>133</v>
      </c>
      <c r="BE114" s="1" t="s">
        <v>76</v>
      </c>
      <c r="BF114" t="s">
        <v>78</v>
      </c>
      <c r="BG114" s="1" t="s">
        <v>1913</v>
      </c>
      <c r="BH114" t="s">
        <v>183</v>
      </c>
      <c r="BI114" s="1" t="s">
        <v>454</v>
      </c>
      <c r="BJ114" s="1" t="s">
        <v>1219</v>
      </c>
      <c r="BK114" t="s">
        <v>29</v>
      </c>
      <c r="BL114" t="s">
        <v>1748</v>
      </c>
      <c r="BN114" t="s">
        <v>186</v>
      </c>
      <c r="BO114" t="s">
        <v>187</v>
      </c>
      <c r="BP114" t="s">
        <v>1856</v>
      </c>
      <c r="BQ114" t="s">
        <v>1357</v>
      </c>
      <c r="BS114" t="s">
        <v>1342</v>
      </c>
      <c r="BT114" t="s">
        <v>1343</v>
      </c>
      <c r="BU114" t="s">
        <v>1344</v>
      </c>
      <c r="BW114" t="s">
        <v>191</v>
      </c>
      <c r="BX114" t="s">
        <v>1914</v>
      </c>
      <c r="BY114" t="s">
        <v>193</v>
      </c>
      <c r="BZ114" t="s">
        <v>1220</v>
      </c>
      <c r="CC114" t="s">
        <v>1860</v>
      </c>
      <c r="CD114" t="s">
        <v>197</v>
      </c>
      <c r="CE114" t="s">
        <v>198</v>
      </c>
      <c r="CF114" t="s">
        <v>199</v>
      </c>
      <c r="CG114" t="s">
        <v>1858</v>
      </c>
      <c r="CH114" t="s">
        <v>1857</v>
      </c>
      <c r="CJ114" t="s">
        <v>133</v>
      </c>
      <c r="CK114" s="1" t="s">
        <v>2023</v>
      </c>
      <c r="CL114" t="s">
        <v>1217</v>
      </c>
      <c r="CM114" s="1" t="s">
        <v>525</v>
      </c>
      <c r="CN114" s="1" t="s">
        <v>526</v>
      </c>
      <c r="CP114" t="s">
        <v>483</v>
      </c>
      <c r="CQ114" s="1" t="s">
        <v>479</v>
      </c>
      <c r="CR114" s="1" t="s">
        <v>480</v>
      </c>
      <c r="CS114" s="1" t="s">
        <v>477</v>
      </c>
      <c r="CT114" s="1" t="s">
        <v>478</v>
      </c>
      <c r="CU114" s="1" t="s">
        <v>481</v>
      </c>
      <c r="CV114" s="1" t="s">
        <v>1218</v>
      </c>
      <c r="CW114" s="1"/>
      <c r="CX114" s="1" t="s">
        <v>485</v>
      </c>
      <c r="CY114" s="1"/>
      <c r="CZ114" s="1" t="s">
        <v>543</v>
      </c>
      <c r="DA114" s="1" t="s">
        <v>544</v>
      </c>
      <c r="DC114" t="s">
        <v>253</v>
      </c>
      <c r="DD114" t="s">
        <v>254</v>
      </c>
      <c r="DE114" t="s">
        <v>1221</v>
      </c>
      <c r="DF114" t="s">
        <v>29</v>
      </c>
      <c r="DG114" t="s">
        <v>1862</v>
      </c>
      <c r="DH114" t="s">
        <v>1861</v>
      </c>
      <c r="DI114" t="s">
        <v>209</v>
      </c>
      <c r="DJ114" t="s">
        <v>255</v>
      </c>
      <c r="DL114" t="s">
        <v>202</v>
      </c>
      <c r="DM114" t="s">
        <v>1449</v>
      </c>
      <c r="DN114" t="s">
        <v>1450</v>
      </c>
      <c r="DO114" t="s">
        <v>1222</v>
      </c>
      <c r="DP114" t="s">
        <v>1141</v>
      </c>
      <c r="DQ114" t="s">
        <v>1142</v>
      </c>
      <c r="DR114" t="s">
        <v>212</v>
      </c>
      <c r="DS114" t="s">
        <v>214</v>
      </c>
      <c r="DT114" t="s">
        <v>1451</v>
      </c>
      <c r="DU114" t="s">
        <v>258</v>
      </c>
      <c r="DV114" t="s">
        <v>1223</v>
      </c>
      <c r="DX114" t="s">
        <v>493</v>
      </c>
      <c r="DY114" t="s">
        <v>1224</v>
      </c>
      <c r="EA114" t="s">
        <v>503</v>
      </c>
      <c r="EB114" t="s">
        <v>1225</v>
      </c>
      <c r="ED114" t="s">
        <v>206</v>
      </c>
      <c r="EE114" t="s">
        <v>213</v>
      </c>
      <c r="EF114" t="s">
        <v>215</v>
      </c>
      <c r="EG114" t="s">
        <v>259</v>
      </c>
      <c r="EH114" t="s">
        <v>1226</v>
      </c>
      <c r="EJ114" t="s">
        <v>493</v>
      </c>
      <c r="EK114" t="s">
        <v>1227</v>
      </c>
      <c r="EM114" t="s">
        <v>503</v>
      </c>
      <c r="EN114" t="s">
        <v>1228</v>
      </c>
      <c r="EP114" t="s">
        <v>257</v>
      </c>
      <c r="EQ114" t="s">
        <v>260</v>
      </c>
      <c r="ER114" t="s">
        <v>1229</v>
      </c>
      <c r="ET114" t="s">
        <v>529</v>
      </c>
      <c r="EU114" t="s">
        <v>1224</v>
      </c>
      <c r="EW114" t="s">
        <v>529</v>
      </c>
      <c r="EX114" t="s">
        <v>1225</v>
      </c>
      <c r="EZ114" s="6" t="s">
        <v>221</v>
      </c>
      <c r="FA114" s="6" t="s">
        <v>222</v>
      </c>
      <c r="FB114" s="6" t="s">
        <v>223</v>
      </c>
      <c r="FC114" s="1" t="s">
        <v>224</v>
      </c>
      <c r="FD114" s="1" t="s">
        <v>542</v>
      </c>
      <c r="FE114" s="1" t="s">
        <v>225</v>
      </c>
      <c r="FF114" s="1" t="s">
        <v>542</v>
      </c>
      <c r="FG114" s="1" t="s">
        <v>539</v>
      </c>
      <c r="FH114" s="1" t="s">
        <v>546</v>
      </c>
      <c r="FI114" s="1" t="s">
        <v>545</v>
      </c>
      <c r="FK114" s="1" t="s">
        <v>548</v>
      </c>
      <c r="FL114" s="1" t="s">
        <v>488</v>
      </c>
      <c r="FM114" s="1" t="s">
        <v>2</v>
      </c>
      <c r="FN114" s="1" t="s">
        <v>261</v>
      </c>
      <c r="FO114" s="1" t="s">
        <v>236</v>
      </c>
      <c r="FP114" s="1" t="s">
        <v>1230</v>
      </c>
      <c r="FQ114" s="1" t="s">
        <v>1232</v>
      </c>
      <c r="FR114" s="1" t="s">
        <v>1231</v>
      </c>
      <c r="FS114" s="1" t="s">
        <v>263</v>
      </c>
      <c r="FT114" s="1" t="s">
        <v>264</v>
      </c>
      <c r="FU114" s="1" t="s">
        <v>1233</v>
      </c>
      <c r="FW114" s="1" t="s">
        <v>1494</v>
      </c>
      <c r="FX114" s="1" t="s">
        <v>1495</v>
      </c>
      <c r="FY114" s="1" t="s">
        <v>1496</v>
      </c>
      <c r="FZ114" s="1" t="s">
        <v>1497</v>
      </c>
      <c r="GB114" s="1" t="s">
        <v>1494</v>
      </c>
      <c r="GC114" s="1" t="s">
        <v>1495</v>
      </c>
      <c r="GD114" s="1" t="s">
        <v>1500</v>
      </c>
      <c r="GE114" s="1" t="s">
        <v>1501</v>
      </c>
      <c r="GG114" s="6"/>
      <c r="GH114" s="6" t="s">
        <v>299</v>
      </c>
      <c r="GI114" s="6"/>
      <c r="GJ114" s="6" t="s">
        <v>300</v>
      </c>
      <c r="GK114" s="6" t="s">
        <v>300</v>
      </c>
      <c r="GL114" s="6" t="s">
        <v>299</v>
      </c>
      <c r="GM114" s="6"/>
      <c r="GN114" s="6"/>
      <c r="GO114" s="6" t="s">
        <v>300</v>
      </c>
      <c r="GP114" s="10" t="s">
        <v>301</v>
      </c>
      <c r="GQ114" s="6" t="s">
        <v>300</v>
      </c>
      <c r="GR114" s="6" t="s">
        <v>299</v>
      </c>
      <c r="GS114" s="10" t="s">
        <v>302</v>
      </c>
      <c r="GT114" s="10" t="s">
        <v>303</v>
      </c>
      <c r="GU114" s="7" t="s">
        <v>304</v>
      </c>
      <c r="GV114" s="7" t="s">
        <v>305</v>
      </c>
      <c r="GW114" s="7" t="s">
        <v>549</v>
      </c>
      <c r="GX114" s="6"/>
      <c r="GY114" s="6"/>
      <c r="GZ114" s="6" t="s">
        <v>306</v>
      </c>
      <c r="HA114" s="6" t="s">
        <v>306</v>
      </c>
      <c r="HB114" s="6"/>
      <c r="HC114" s="6"/>
      <c r="HD114" s="6" t="s">
        <v>306</v>
      </c>
      <c r="HE114" s="6"/>
      <c r="HF114" s="6"/>
      <c r="HG114" s="6" t="s">
        <v>306</v>
      </c>
      <c r="HH114" s="6" t="s">
        <v>307</v>
      </c>
      <c r="HI114" s="6" t="s">
        <v>306</v>
      </c>
      <c r="HJ114" s="6" t="s">
        <v>307</v>
      </c>
      <c r="HK114" s="6" t="s">
        <v>306</v>
      </c>
      <c r="HL114" s="6" t="s">
        <v>308</v>
      </c>
      <c r="HM114" s="6" t="s">
        <v>306</v>
      </c>
      <c r="HN114" s="6" t="s">
        <v>308</v>
      </c>
      <c r="HO114" s="6" t="s">
        <v>306</v>
      </c>
      <c r="HP114" s="6"/>
      <c r="HQ114" s="6"/>
      <c r="HU114" t="s">
        <v>1251</v>
      </c>
      <c r="HV114" t="s">
        <v>1508</v>
      </c>
      <c r="HW114" t="s">
        <v>1254</v>
      </c>
      <c r="HY114" s="6" t="s">
        <v>1863</v>
      </c>
      <c r="IB114" t="s">
        <v>2</v>
      </c>
      <c r="ID114" t="s">
        <v>1211</v>
      </c>
      <c r="IF114" t="s">
        <v>506</v>
      </c>
      <c r="IG114" t="s">
        <v>1211</v>
      </c>
      <c r="II114" t="s">
        <v>6</v>
      </c>
      <c r="IJ114" t="s">
        <v>7</v>
      </c>
      <c r="IK114" t="s">
        <v>510</v>
      </c>
      <c r="IL114" t="s">
        <v>1490</v>
      </c>
      <c r="IM114" t="s">
        <v>1491</v>
      </c>
      <c r="IN114" t="s">
        <v>516</v>
      </c>
      <c r="IO114" t="s">
        <v>1211</v>
      </c>
      <c r="IQ114" t="s">
        <v>518</v>
      </c>
      <c r="IR114" t="s">
        <v>519</v>
      </c>
      <c r="IS114" t="s">
        <v>520</v>
      </c>
      <c r="IT114" t="s">
        <v>1492</v>
      </c>
      <c r="IU114" t="s">
        <v>521</v>
      </c>
      <c r="IV114" t="s">
        <v>1235</v>
      </c>
      <c r="IX114" t="s">
        <v>522</v>
      </c>
      <c r="IZ114" t="s">
        <v>1211</v>
      </c>
      <c r="JB114" t="s">
        <v>3</v>
      </c>
      <c r="JD114" t="s">
        <v>1211</v>
      </c>
      <c r="JF114" t="s">
        <v>332</v>
      </c>
      <c r="JH114" t="s">
        <v>1211</v>
      </c>
      <c r="JJ114" t="s">
        <v>1865</v>
      </c>
      <c r="JL114" t="s">
        <v>17</v>
      </c>
      <c r="JM114" t="s">
        <v>353</v>
      </c>
      <c r="JN114" t="s">
        <v>361</v>
      </c>
      <c r="JP114" t="s">
        <v>1211</v>
      </c>
      <c r="JR114" t="s">
        <v>338</v>
      </c>
      <c r="JS114" t="s">
        <v>354</v>
      </c>
      <c r="JT114" t="s">
        <v>356</v>
      </c>
      <c r="JU114" t="s">
        <v>357</v>
      </c>
      <c r="JV114" t="s">
        <v>358</v>
      </c>
      <c r="JX114" t="s">
        <v>343</v>
      </c>
      <c r="JY114" t="s">
        <v>359</v>
      </c>
      <c r="KA114" t="s">
        <v>1211</v>
      </c>
      <c r="KC114" t="s">
        <v>364</v>
      </c>
      <c r="KE114" t="s">
        <v>1211</v>
      </c>
      <c r="KG114" t="s">
        <v>365</v>
      </c>
      <c r="KI114" t="s">
        <v>1211</v>
      </c>
      <c r="KK114" t="s">
        <v>104</v>
      </c>
      <c r="KN114" t="s">
        <v>1236</v>
      </c>
      <c r="KO114" t="s">
        <v>1211</v>
      </c>
      <c r="KQ114" t="s">
        <v>388</v>
      </c>
      <c r="KR114" t="s">
        <v>389</v>
      </c>
      <c r="KS114" t="s">
        <v>390</v>
      </c>
      <c r="KT114" t="s">
        <v>402</v>
      </c>
      <c r="KU114" s="3" t="s">
        <v>404</v>
      </c>
      <c r="KV114" s="3" t="s">
        <v>1211</v>
      </c>
      <c r="KW114" s="3"/>
      <c r="KX114" t="s">
        <v>396</v>
      </c>
      <c r="KY114" t="s">
        <v>397</v>
      </c>
      <c r="KZ114" t="s">
        <v>403</v>
      </c>
      <c r="LA114" s="3" t="s">
        <v>406</v>
      </c>
      <c r="LB114" s="3" t="s">
        <v>1211</v>
      </c>
      <c r="LD114" t="s">
        <v>15</v>
      </c>
      <c r="LE114" s="3" t="s">
        <v>413</v>
      </c>
      <c r="LF114" s="3" t="s">
        <v>1211</v>
      </c>
      <c r="LH114" t="s">
        <v>414</v>
      </c>
      <c r="LJ114" t="s">
        <v>1211</v>
      </c>
      <c r="LL114" t="s">
        <v>524</v>
      </c>
      <c r="LM114" t="s">
        <v>1211</v>
      </c>
      <c r="LO114" t="s">
        <v>510</v>
      </c>
      <c r="LP114" t="s">
        <v>1490</v>
      </c>
      <c r="LQ114" t="s">
        <v>1491</v>
      </c>
      <c r="LR114" t="s">
        <v>516</v>
      </c>
      <c r="LS114" t="s">
        <v>1211</v>
      </c>
      <c r="LU114" t="s">
        <v>519</v>
      </c>
      <c r="LV114" t="s">
        <v>1498</v>
      </c>
      <c r="LW114" t="s">
        <v>1492</v>
      </c>
      <c r="LX114" t="s">
        <v>521</v>
      </c>
      <c r="LY114" t="s">
        <v>1211</v>
      </c>
      <c r="MA114" t="s">
        <v>522</v>
      </c>
      <c r="MC114" t="s">
        <v>1211</v>
      </c>
      <c r="ME114" t="s">
        <v>3</v>
      </c>
      <c r="MG114" t="s">
        <v>1211</v>
      </c>
      <c r="MI114" t="s">
        <v>332</v>
      </c>
      <c r="MK114" t="s">
        <v>1211</v>
      </c>
      <c r="MM114" t="s">
        <v>1866</v>
      </c>
      <c r="MO114" t="s">
        <v>20</v>
      </c>
      <c r="MQ114" t="s">
        <v>1211</v>
      </c>
      <c r="MS114" t="s">
        <v>364</v>
      </c>
      <c r="MU114" t="s">
        <v>1211</v>
      </c>
      <c r="MW114" t="s">
        <v>365</v>
      </c>
      <c r="MY114" t="s">
        <v>1211</v>
      </c>
      <c r="NA114" t="s">
        <v>104</v>
      </c>
      <c r="NE114" t="s">
        <v>1211</v>
      </c>
      <c r="NG114" t="s">
        <v>388</v>
      </c>
      <c r="NH114" t="s">
        <v>390</v>
      </c>
      <c r="NI114" t="s">
        <v>402</v>
      </c>
      <c r="NJ114" s="3" t="s">
        <v>404</v>
      </c>
      <c r="NK114" s="3" t="s">
        <v>1211</v>
      </c>
      <c r="NM114" t="s">
        <v>429</v>
      </c>
      <c r="NO114" t="s">
        <v>1211</v>
      </c>
      <c r="NQ114" t="s">
        <v>1863</v>
      </c>
      <c r="NR114" t="s">
        <v>1865</v>
      </c>
      <c r="NT114" t="s">
        <v>1869</v>
      </c>
      <c r="NU114" t="s">
        <v>1870</v>
      </c>
      <c r="NW114" t="s">
        <v>1146</v>
      </c>
      <c r="NX114" t="s">
        <v>1147</v>
      </c>
      <c r="NY114" t="s">
        <v>1146</v>
      </c>
      <c r="NZ114" t="s">
        <v>1147</v>
      </c>
      <c r="OB114" t="s">
        <v>1153</v>
      </c>
      <c r="OC114" t="s">
        <v>1154</v>
      </c>
      <c r="OD114" t="s">
        <v>1155</v>
      </c>
      <c r="OE114" t="s">
        <v>1156</v>
      </c>
      <c r="OF114" t="s">
        <v>1157</v>
      </c>
      <c r="OG114" t="s">
        <v>1352</v>
      </c>
      <c r="OI114" t="s">
        <v>1153</v>
      </c>
      <c r="OJ114" t="s">
        <v>1154</v>
      </c>
      <c r="OK114" t="s">
        <v>1155</v>
      </c>
      <c r="OL114" t="s">
        <v>1156</v>
      </c>
      <c r="OM114" t="s">
        <v>1157</v>
      </c>
      <c r="OO114" t="s">
        <v>1165</v>
      </c>
      <c r="OP114" t="s">
        <v>1154</v>
      </c>
      <c r="OQ114" t="s">
        <v>1155</v>
      </c>
      <c r="OR114" t="s">
        <v>1166</v>
      </c>
      <c r="OT114" t="s">
        <v>1165</v>
      </c>
      <c r="OU114" t="s">
        <v>1154</v>
      </c>
      <c r="OV114" t="s">
        <v>1155</v>
      </c>
      <c r="OW114" t="s">
        <v>1166</v>
      </c>
      <c r="PD114" t="s">
        <v>1330</v>
      </c>
      <c r="PE114" t="s">
        <v>1331</v>
      </c>
      <c r="PG114" s="1" t="s">
        <v>1171</v>
      </c>
      <c r="PH114" s="1" t="s">
        <v>1147</v>
      </c>
      <c r="PI114" s="1" t="s">
        <v>1172</v>
      </c>
      <c r="PJ114" s="1" t="s">
        <v>1147</v>
      </c>
      <c r="PL114" s="1" t="s">
        <v>1420</v>
      </c>
      <c r="PM114" s="1" t="s">
        <v>1147</v>
      </c>
      <c r="PO114" s="1" t="s">
        <v>1422</v>
      </c>
      <c r="PP114" s="1" t="s">
        <v>1423</v>
      </c>
      <c r="PR114" s="1" t="s">
        <v>1720</v>
      </c>
      <c r="PS114" s="1" t="s">
        <v>1211</v>
      </c>
      <c r="PV114" t="s">
        <v>1211</v>
      </c>
      <c r="PX114" t="s">
        <v>1211</v>
      </c>
      <c r="PZ114" t="s">
        <v>1211</v>
      </c>
      <c r="QB114" t="s">
        <v>1211</v>
      </c>
      <c r="QE114" t="s">
        <v>1256</v>
      </c>
      <c r="QF114" t="s">
        <v>1256</v>
      </c>
      <c r="QG114" t="s">
        <v>1256</v>
      </c>
      <c r="QH114" t="s">
        <v>1256</v>
      </c>
      <c r="QI114" t="s">
        <v>1256</v>
      </c>
      <c r="QJ114" t="s">
        <v>1256</v>
      </c>
      <c r="QK114" t="s">
        <v>1256</v>
      </c>
    </row>
    <row r="115" spans="1:460" x14ac:dyDescent="0.25">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6"/>
      <c r="HI115" s="1"/>
      <c r="HJ115" s="1"/>
      <c r="HK115" s="1"/>
      <c r="HL115" s="1"/>
      <c r="HM115" s="1"/>
      <c r="HN115" s="1"/>
      <c r="HO115" s="1"/>
      <c r="HP115" s="1"/>
      <c r="HQ115" s="1"/>
      <c r="LE115" s="3"/>
      <c r="LF115" s="3"/>
    </row>
    <row r="116" spans="1:460" x14ac:dyDescent="0.25">
      <c r="A116">
        <v>1</v>
      </c>
      <c r="B116">
        <v>1</v>
      </c>
      <c r="C116">
        <v>1</v>
      </c>
      <c r="D116" t="b">
        <v>0</v>
      </c>
      <c r="E116">
        <v>1</v>
      </c>
      <c r="F116">
        <v>1</v>
      </c>
      <c r="G116">
        <v>1</v>
      </c>
      <c r="H116">
        <v>1</v>
      </c>
      <c r="I116">
        <v>1</v>
      </c>
      <c r="K116">
        <v>1</v>
      </c>
      <c r="M116">
        <f>IF(ISERROR(N116*Areal3/$N$132),0,N116*Areal3/$N$132)</f>
        <v>0</v>
      </c>
      <c r="N116">
        <f>Mark!Z116</f>
        <v>0</v>
      </c>
      <c r="P116">
        <f>VLOOKUP($E116,Afgr,NnormKolonneNr3)</f>
        <v>0</v>
      </c>
      <c r="Q116">
        <f>VLOOKUP($B116,Afgr,Data!$AI$3)*VLOOKUP(E116,Afgr,Data!$AJ$3)</f>
        <v>0</v>
      </c>
      <c r="R116">
        <f>IF($D116,0,VLOOKUP($C116,Efgr,(Data!$W$53+$G$28-1)))</f>
        <v>0</v>
      </c>
      <c r="S116">
        <f>P116-Q116-R116</f>
        <v>0</v>
      </c>
      <c r="T116">
        <f>S116*M116</f>
        <v>0</v>
      </c>
      <c r="U116">
        <f>IF(Nmodel34=1,S116*Nniveau34*0.01,AO116)</f>
        <v>0</v>
      </c>
      <c r="V116" s="3">
        <f>IF(Mark!CI116&lt;&gt;"",Mark!CI116,U116)</f>
        <v>0</v>
      </c>
      <c r="W116" s="3">
        <f>V116*M116</f>
        <v>0</v>
      </c>
      <c r="Y116">
        <f>S116/NoptFaktor</f>
        <v>0</v>
      </c>
      <c r="Z116" s="3">
        <f>IF(Mark!BZ116&lt;&gt;"",Mark!BZ116,Y116)</f>
        <v>0</v>
      </c>
      <c r="AB116">
        <f>VLOOKUP($E116,Afgr,Data!$DE$3)</f>
        <v>0</v>
      </c>
      <c r="AC116">
        <f>VLOOKUP($E116,Afgr,Data!$DD$3)</f>
        <v>0</v>
      </c>
      <c r="AD116">
        <f>VLOOKUP($E116,Afgr,Data!$DC$3)</f>
        <v>0</v>
      </c>
      <c r="AE116">
        <f>IF(ISERROR($Z116+(-PrisN/$AD116-$AB116)/(2*$AC116)),0,($Z116+(-PrisN/$AD116-$AB116)/(2*$AC116)))</f>
        <v>0</v>
      </c>
      <c r="AF116">
        <f>($BD116+$BE116+$BF116)*1.03333</f>
        <v>0</v>
      </c>
      <c r="AG116">
        <f>$AF116-($AB116*($AE116-$Z116)+$AC116*($AE116-$Z116)^2)</f>
        <v>0</v>
      </c>
      <c r="AH116">
        <f>IF(Nmodel12=1,$AB116*($AE116-$S116)+$AC116*($AE116-$S116)^2,$AB116*($AE116-$AO116)+$AC116*($AE116-$AO116)^2)</f>
        <v>0</v>
      </c>
      <c r="AI116">
        <f>IF(Nmodel34=1,$AB116*($AE116-$V116)+$AC116*($AE116-$V116)^2,$AB116*($AE116-AO116)+$AC116*($AE116-AO116)^2)</f>
        <v>0</v>
      </c>
      <c r="AJ116">
        <f>AG116+AH116-BG116</f>
        <v>0</v>
      </c>
      <c r="AK116">
        <f>AG116+AI116-AJ116</f>
        <v>0</v>
      </c>
      <c r="AM116">
        <f>VLOOKUP(E116,Afgr,Data!$DF$3+SandLer3)</f>
        <v>0</v>
      </c>
      <c r="AN116">
        <f>IF(ISERROR(((-(PrisN+Pantafgift)+AM116*Pantfaktor*Pantafgift)/AD116-AB116)/(2*AC116)),0,((-(PrisN+Pantafgift)+AM116*Pantfaktor*Pantafgift)/AD116-AB116)/(2*AC116))</f>
        <v>0</v>
      </c>
      <c r="AO116">
        <f>AE116-AN116</f>
        <v>0</v>
      </c>
      <c r="AQ116">
        <f>IF(AT116&gt;0,0,W116)</f>
        <v>0</v>
      </c>
      <c r="AR116">
        <f>IF(ISERROR(W116*HdgNTilFordeling34/NnormIaltFordel34),0,W116*HdgNTilFordeling34/NnormIaltFordel34)</f>
        <v>0</v>
      </c>
      <c r="AS116">
        <f>IF(ISERROR($AR116/$M116),0,$AR116/$M116)</f>
        <v>0</v>
      </c>
      <c r="AT116">
        <f>IF(Mark!CO116&lt;&gt;"",Mark!CO116,0)</f>
        <v>0</v>
      </c>
      <c r="AU116">
        <f>$AT116*$M116</f>
        <v>0</v>
      </c>
      <c r="AV116" s="3">
        <f>IF(AT116&gt;0,AT116,AS116)</f>
        <v>0</v>
      </c>
      <c r="AW116" s="3">
        <f>AV116*M116</f>
        <v>0</v>
      </c>
      <c r="AY116">
        <f>UdnKrav*$AV116/100</f>
        <v>0</v>
      </c>
      <c r="BA116">
        <f>AV116*VLOOKUP($E116,Afgr,Data!$DJ$3)</f>
        <v>0</v>
      </c>
      <c r="BB116">
        <f>UdnKrav*$BA116/100</f>
        <v>0</v>
      </c>
      <c r="BD116">
        <f>VLOOKUP(E116,Afgr,NormudbKolonneNr3)</f>
        <v>0</v>
      </c>
      <c r="BE116">
        <f>VLOOKUP(B116,Afgr,Data!$AL$3)*VLOOKUP(E116,Afgr,MerudbKolonneNr3)</f>
        <v>0</v>
      </c>
      <c r="BF116">
        <f>VLOOKUP(C116,Efgr,(Data!$Y$53+EftervirkningUdb3))</f>
        <v>0</v>
      </c>
      <c r="BG116">
        <f>BD116+BE116+BF116</f>
        <v>0</v>
      </c>
      <c r="BH116">
        <f>IF(OR(V116&lt;&gt;S116,Nmodel34=2),AK116,BD116+BE116+BF116)</f>
        <v>0</v>
      </c>
      <c r="BI116" s="3">
        <f>IF(Mark!AK116&lt;&gt;"",Mark!AK116,BH116)</f>
        <v>0</v>
      </c>
      <c r="BJ116">
        <f>BI116*M116</f>
        <v>0</v>
      </c>
      <c r="BK116">
        <f>VLOOKUP(E116,Afgr,3)</f>
        <v>0</v>
      </c>
      <c r="BL116">
        <f>IF(BK116="FE",VLOOKUP($E116,Afgr,Data!$AV$3),0)</f>
        <v>0</v>
      </c>
      <c r="BN116">
        <f>VLOOKUP(E116,Afgr,4)</f>
        <v>0</v>
      </c>
      <c r="BO116" s="3">
        <f>IF(Mark!AW116&lt;&gt;"",Mark!AW116,Regn!BN116)</f>
        <v>0</v>
      </c>
      <c r="BP116" s="3">
        <f>BI116*BO116</f>
        <v>0</v>
      </c>
      <c r="BQ116" s="3">
        <f>BJ116*BO116</f>
        <v>0</v>
      </c>
      <c r="BS116">
        <f>VLOOKUP(E116,Afgr,Data!$AN$3)</f>
        <v>0</v>
      </c>
      <c r="BT116" s="3">
        <f>IF(Mark!BC116&lt;&gt;"",Mark!BC116,BS116)</f>
        <v>0</v>
      </c>
      <c r="BU116" s="3">
        <f>BT116*M116</f>
        <v>0</v>
      </c>
      <c r="BW116">
        <f>VLOOKUP(E116,Afgr,HalmudbKolonneNr3)</f>
        <v>0</v>
      </c>
      <c r="BX116">
        <f>IF(ISERROR(BW116*BI116/BG116),0,(BW116*BI116/BG116))</f>
        <v>0</v>
      </c>
      <c r="BY116" s="3">
        <f>IF(Mark!BI116&lt;&gt;"",Mark!BI116,BX116)</f>
        <v>0</v>
      </c>
      <c r="BZ116">
        <f>BY116*M116</f>
        <v>0</v>
      </c>
      <c r="CC116">
        <f>IF($F116=1,BY116,0)</f>
        <v>0</v>
      </c>
      <c r="CD116">
        <f>IF(F116=1,BZ116,0)</f>
        <v>0</v>
      </c>
      <c r="CE116">
        <f>VLOOKUP(E116,Afgr,Data!$AM$3)</f>
        <v>0</v>
      </c>
      <c r="CF116">
        <f>IF(Mark!BR116&lt;&gt;"",Mark!BR116,CE116)</f>
        <v>0</v>
      </c>
      <c r="CG116">
        <f>CC116*CF116</f>
        <v>0</v>
      </c>
      <c r="CH116">
        <f>CD116*CF116</f>
        <v>0</v>
      </c>
      <c r="CJ116">
        <f>VLOOKUP($G116,Efgr,NnormKolonneEfgr3)</f>
        <v>0</v>
      </c>
      <c r="CK116">
        <f>CJ116*M116</f>
        <v>0</v>
      </c>
      <c r="CL116">
        <f>CJ116*Nniveau34*0.01</f>
        <v>0</v>
      </c>
      <c r="CM116" s="3">
        <f>IF(Mark!DM116&lt;&gt;"",Mark!DM116,CL116)</f>
        <v>0</v>
      </c>
      <c r="CN116" s="3">
        <f>$CM116*$M116</f>
        <v>0</v>
      </c>
      <c r="CP116">
        <f>IF(CS116&gt;0,0,CN116)</f>
        <v>0</v>
      </c>
      <c r="CQ116" s="12">
        <f>IF(ISERROR(CN116*HdgNTilFordeling34/NnormIaltFordel34),0,CN116*HdgNTilFordeling34/NnormIaltFordel34)</f>
        <v>0</v>
      </c>
      <c r="CR116">
        <f>IF(ISERROR($CQ116/$M116),0,$CQ116/$M116)</f>
        <v>0</v>
      </c>
      <c r="CS116">
        <f>IF(Mark!DS116&lt;&gt;"",Mark!DS116,0)</f>
        <v>0</v>
      </c>
      <c r="CT116">
        <f>$CS116*$M116</f>
        <v>0</v>
      </c>
      <c r="CU116" s="3">
        <f>IF($CS116&gt;0,$CS116,$CR116)</f>
        <v>0</v>
      </c>
      <c r="CV116" s="3">
        <f>CU116*M116</f>
        <v>0</v>
      </c>
      <c r="CX116">
        <f>UdnKrav*$CU116/100</f>
        <v>0</v>
      </c>
      <c r="CZ116">
        <f>$CU116*VLOOKUP($G116,Efgr,Data!$BG$53)</f>
        <v>0</v>
      </c>
      <c r="DA116">
        <f>UdnKrav*$CZ116/100</f>
        <v>0</v>
      </c>
      <c r="DC116">
        <f>VLOOKUP(G116,Efgr,NormudbKolonneNrEfgr3)</f>
        <v>0</v>
      </c>
      <c r="DD116" s="3">
        <f>IF(Mark!DC116&lt;&gt;"",Mark!DC116,DC116)</f>
        <v>0</v>
      </c>
      <c r="DE116">
        <f>DD116*M116</f>
        <v>0</v>
      </c>
      <c r="DF116" t="s">
        <v>37</v>
      </c>
      <c r="DG116">
        <f>DD116*Efterslaetpris</f>
        <v>0</v>
      </c>
      <c r="DH116">
        <f>DE116*Efterslaetpris</f>
        <v>0</v>
      </c>
      <c r="DI116">
        <f>VLOOKUP(G116,Efgr,Data!$AG$53)</f>
        <v>0</v>
      </c>
      <c r="DJ116">
        <f>DD116*DI116</f>
        <v>0</v>
      </c>
      <c r="DL116">
        <f>VLOOKUP($E116,Afgr,Data!$AW$3)</f>
        <v>0</v>
      </c>
      <c r="DM116">
        <f>IF(BK116="FE",$BI116*$BL116*$DL116*0.01,$BI116*100*$DR116*0.01*$DL116*0.01)</f>
        <v>0</v>
      </c>
      <c r="DN116">
        <f>IF(VLOOKUP(E116,Afgr,Data!$BO$3)=1,DM116,0)*M116</f>
        <v>0</v>
      </c>
      <c r="DO116" s="12">
        <f>IF(Nmodel34=1,(V116-S116)*VLOOKUP($E116,Afgr,Data!$AX$3),(AO116-S116)*VLOOKUP(E116,Afgr,Data!$AX$3))</f>
        <v>0</v>
      </c>
      <c r="DP116">
        <f>DL116+DO116</f>
        <v>0</v>
      </c>
      <c r="DQ116">
        <f>IF(Mark!AQ116&lt;&gt;"",Mark!AQ116,DP116)</f>
        <v>0</v>
      </c>
      <c r="DR116">
        <f>VLOOKUP(E116,Afgr,Data!$AT$3)</f>
        <v>0</v>
      </c>
      <c r="DS116">
        <f>IF($BK116="FE",$BI116*$BL116*$DQ116*0.01,$BI116*100*$DR116*0.01*DQ116*0.01)</f>
        <v>0</v>
      </c>
      <c r="DT116">
        <f>IF(VLOOKUP(E116,Afgr,Data!$BO$3)=1,DS116,0)*M116</f>
        <v>0</v>
      </c>
      <c r="DU116">
        <f>IF(ISERROR(DS116/VLOOKUP(E116,Afgr,Data!$AY$3)),0,DS116/VLOOKUP(E116,Afgr,Data!$AY$3))</f>
        <v>0</v>
      </c>
      <c r="DV116">
        <f>DU116*M116</f>
        <v>0</v>
      </c>
      <c r="DX116">
        <f>IF($BK116="FE",$BI116*$BL116*VLOOKUP($E116,Afgr,Data!$BC$3)*0.001,$BI116*100*$DR116*0.01*VLOOKUP($E116,Afgr,Data!$BC$3)*0.001)</f>
        <v>0</v>
      </c>
      <c r="DY116">
        <f>DX116*M116</f>
        <v>0</v>
      </c>
      <c r="EA116">
        <f>IF($BK116="FE",$BI116*$BL116*VLOOKUP($E116,Afgr,Data!$BF$3)*0.001,$BI116*100*$DR116*0.01*VLOOKUP($E116,Afgr,Data!$BF$3)*0.001)</f>
        <v>0</v>
      </c>
      <c r="EB116">
        <f>EA116*M116</f>
        <v>0</v>
      </c>
      <c r="ED116">
        <f>IF(ISERROR(VLOOKUP(E116,Afgr,Data!$AZ$3)*DQ116/DL116),0,VLOOKUP(E116,Afgr,Data!$AZ$3)*DQ116/DL116)</f>
        <v>0</v>
      </c>
      <c r="EE116">
        <f>VLOOKUP(E116,Afgr,Data!$AU$3)</f>
        <v>0</v>
      </c>
      <c r="EF116">
        <f>IF($F116=1,$BY116*$EE116*0.01*ED116*0.01,0)</f>
        <v>0</v>
      </c>
      <c r="EG116">
        <f>EF116/6.25</f>
        <v>0</v>
      </c>
      <c r="EH116">
        <f>EG116*M116</f>
        <v>0</v>
      </c>
      <c r="EJ116">
        <f>IF($F116=1,$BY116*$EE116*0.01*VLOOKUP($E116,Afgr,Data!$BD$3)*0.001,0)</f>
        <v>0</v>
      </c>
      <c r="EK116">
        <f>EJ116*M116</f>
        <v>0</v>
      </c>
      <c r="EM116">
        <f>IF($F116=1,$BY116*$EE116*0.01*VLOOKUP($E116,Afgr,Data!$BG$3)*0.001,0)</f>
        <v>0</v>
      </c>
      <c r="EN116">
        <f>EM116*M116</f>
        <v>0</v>
      </c>
      <c r="EP116">
        <f>VLOOKUP(G116,Efgr,Data!$AI$53)</f>
        <v>0</v>
      </c>
      <c r="EQ116">
        <f>DJ116*EP116*0.01/6.25</f>
        <v>0</v>
      </c>
      <c r="ER116">
        <f>EQ116*M116</f>
        <v>0</v>
      </c>
      <c r="ET116">
        <f>$DJ116*VLOOKUP($G116,Efgr,Data!$AJ$53)*0.001</f>
        <v>0</v>
      </c>
      <c r="EU116">
        <f>ET116*M116</f>
        <v>0</v>
      </c>
      <c r="EW116">
        <f>$DJ116*VLOOKUP($G116,Efgr,Data!$AK$53)*0.001</f>
        <v>0</v>
      </c>
      <c r="EX116">
        <f>EW116*M116</f>
        <v>0</v>
      </c>
      <c r="EZ116">
        <f>IF(VLOOKUP(E116,Afgr,Data!$DS$3)=1,DU116*VLOOKUP(E116,Afgr,(Data!$DT$3+EftervirkningUdb3))*VLOOKUP(E116,Afgr,Data!$DV$3),0)</f>
        <v>0</v>
      </c>
      <c r="FA116">
        <f>IF(VLOOKUP(E116,Afgr,Data!$DS$3)=2,VLOOKUP(E116,Afgr,Data!$DX$3),0)</f>
        <v>0</v>
      </c>
      <c r="FB116">
        <f>IF(VLOOKUP(E116,Afgr,Data!$DS$3)=3,$DU116*VLOOKUP($E116,Afgr,IF(Jordtype3&lt;5,Data!$DT$3,Data!$DU$3))*VLOOKUP($E116,Afgr,Data!$DV$3),0)</f>
        <v>0</v>
      </c>
      <c r="FC116">
        <f>IF(VLOOKUP(E116,Afgr,Data!$DS$3)=4,(1.232+0.00469*BI116*100+(0.000256*BI116*100+0.089)*60),0)</f>
        <v>0</v>
      </c>
      <c r="FD116">
        <f>$V116+IF($AY116-$BB116&gt;$V116,$AY116-$V116,0)-$BB116</f>
        <v>0</v>
      </c>
      <c r="FE116">
        <f>IF(VLOOKUP($E116,Afgr,Data!$DS$3)=5,($BI116*0.02742-$BI116*0.0001*$FD116+$BI116*0.0000001111*$FD116*$FD116),0)</f>
        <v>0</v>
      </c>
      <c r="FF116">
        <f>$CM116+IF($CX116-$DA116&gt;$CM116,$CX116-$CM116,0)-$DA116</f>
        <v>0</v>
      </c>
      <c r="FG116">
        <f>IF(VLOOKUP($G116,Efgr,Data!$BH$53)=5,($DD116*0.02742-$DD116*0.0001*$FF116+$DD116*0.0000001111*$FF116*$FF116),0)</f>
        <v>0</v>
      </c>
      <c r="FH116" s="3">
        <f>EZ116+FA116+FB116+FC116+FE116+FG116</f>
        <v>0</v>
      </c>
      <c r="FI116" s="3">
        <f>FH116*M116</f>
        <v>0</v>
      </c>
      <c r="FK116">
        <f>$V116+$CM116</f>
        <v>0</v>
      </c>
      <c r="FL116">
        <f>($AV116-$AY116)+IF($AY116&gt;$V116,$AY116-$V116,0)+($CU116-$CX116)+IF($CX116&gt;$CM116,$CX116-$CM116,0)</f>
        <v>0</v>
      </c>
      <c r="FM116">
        <f>VLOOKUP($E116,Afgr,Data!$DK$3)*VLOOKUP($E116,Afgr,Data!$AT$3)*0.01*VLOOKUP($E116,Afgr,Data!$AW$3)*0.01/6.25</f>
        <v>0</v>
      </c>
      <c r="FN116" s="4">
        <f>IF(E116&gt;1,Deposition,0)</f>
        <v>0</v>
      </c>
      <c r="FO116">
        <f>FH116</f>
        <v>0</v>
      </c>
      <c r="FP116">
        <f>SUM(FK116:FO116)</f>
        <v>0</v>
      </c>
      <c r="FQ116">
        <f>DU116+EG116+EQ116</f>
        <v>0</v>
      </c>
      <c r="FR116" s="3">
        <f>FP116-FQ116</f>
        <v>0</v>
      </c>
      <c r="FS116" s="19">
        <f>FP116*M116</f>
        <v>0</v>
      </c>
      <c r="FT116" s="19">
        <f>FQ116*M116</f>
        <v>0</v>
      </c>
      <c r="FU116" s="3">
        <f>FR116*M116</f>
        <v>0</v>
      </c>
      <c r="FW116">
        <f>IL116+IM116+LP116+LQ116</f>
        <v>0</v>
      </c>
      <c r="FX116">
        <f>IK116+LO116</f>
        <v>0</v>
      </c>
      <c r="FY116">
        <f>FW116-FX116</f>
        <v>0</v>
      </c>
      <c r="FZ116">
        <f>FY116*M116</f>
        <v>0</v>
      </c>
      <c r="GB116">
        <f>IS116+IT116+LV116+LW116</f>
        <v>0</v>
      </c>
      <c r="GC116">
        <f>IR116+LU116</f>
        <v>0</v>
      </c>
      <c r="GD116">
        <f>GB116-GC116</f>
        <v>0</v>
      </c>
      <c r="GE116">
        <f>GD116*M116</f>
        <v>0</v>
      </c>
      <c r="GG116" s="149">
        <f>IF(OR(VLOOKUP(E116,Afgr,Data!$BV$3)=1,VLOOKUP(E116,Afgr,Data!$BW$3)=1),0,NniveauDelsaedsk3)</f>
        <v>0</v>
      </c>
      <c r="GH116" s="1">
        <v>0.32550000000000001</v>
      </c>
      <c r="GI116" s="6">
        <v>0</v>
      </c>
      <c r="GJ116" s="24">
        <f>IF(($V116-BB116+$CM116-DA116)&lt;0,0,$V116-BB116+$CM116-DA116)</f>
        <v>0</v>
      </c>
      <c r="GK116" s="6">
        <f>$FO116</f>
        <v>0</v>
      </c>
      <c r="GL116" s="1">
        <v>0.25280000000000002</v>
      </c>
      <c r="GM116">
        <f>$BA116+$CZ116</f>
        <v>0</v>
      </c>
      <c r="GN116" s="1">
        <v>0.376</v>
      </c>
      <c r="GO116" s="6">
        <v>0</v>
      </c>
      <c r="GP116" s="1">
        <f>IF(SandLer3&gt;1,0.3539,1.0749)</f>
        <v>0.35389999999999999</v>
      </c>
      <c r="GQ116" s="11">
        <f>$FQ116</f>
        <v>0</v>
      </c>
      <c r="GR116" s="1">
        <v>0.19359999999999999</v>
      </c>
      <c r="GS116" s="1">
        <f>VLOOKUP($E116,Afgr,Data!$DM$3)</f>
        <v>0</v>
      </c>
      <c r="GT116" s="24">
        <f>IF($GS116&gt;1,0,(VLOOKUP($K116,Afgr,Data!$DP$3)+IF(VLOOKUP($K116,Afgr,Data!$DP$3)=0,VLOOKUP($G116,Efgr,Data!$BI$53,0))))+IF(AND($GS116=7,VLOOKUP($K116,Afgr,Data!$DQ$3)=-2),-2,0)+IF(AND($GS116=6,VLOOKUP($G116,Efgr,Data!$BI$53)=2),8,0)</f>
        <v>0</v>
      </c>
      <c r="GU116" s="6" t="e">
        <f>VLOOKUP(SUM(GS116:GT116),Nlesafgr,3)</f>
        <v>#N/A</v>
      </c>
      <c r="GV116" s="7">
        <f>VLOOKUP($B116,Afgr,Data!$DN$3)</f>
        <v>0</v>
      </c>
      <c r="GW116" s="24">
        <f>IF(GV116&gt;1,0,VLOOKUP($E116,Afgr,Data!$DO$3)+IF(VLOOKUP($E116,Afgr,Data!$DO$3)=1,0,VLOOKUP($C116,Efgr,Data!$BJ$53)))</f>
        <v>0</v>
      </c>
      <c r="GX116" s="6" t="e">
        <f>VLOOKUP(SUM(GV116:GW116),Nlesforfrugt,3)</f>
        <v>#N/A</v>
      </c>
      <c r="GY116" s="1" t="e">
        <f>GH116*GG116+GL116*(GJ116+GK116)+GN116*GM116+GP116*GO116-GR116*GQ116+GU116+GX116</f>
        <v>#N/A</v>
      </c>
      <c r="GZ116" s="1">
        <f>Nlesafskaering</f>
        <v>59.6</v>
      </c>
      <c r="HA116" s="1">
        <f>Teknologi1</f>
        <v>2455</v>
      </c>
      <c r="HB116" s="6">
        <v>2001</v>
      </c>
      <c r="HC116" s="1">
        <f>Teknologi2</f>
        <v>1962.2</v>
      </c>
      <c r="HD116" s="1">
        <f>Tandel</f>
        <v>0.54659999999999997</v>
      </c>
      <c r="HE116" s="1" t="e">
        <f>IF(OR(GY116&gt;0,GY116=0),GZ116+HA116/(HB116-HC116),GZ116+HA116/(HB116-HC116)+HD116*GY116)</f>
        <v>#N/A</v>
      </c>
      <c r="HF116" s="1" t="e">
        <f>IF(GY116&gt;0,GY116,0.001)</f>
        <v>#N/A</v>
      </c>
      <c r="HG116" s="1">
        <v>1.5020000000000001E-3</v>
      </c>
      <c r="HH116" s="24">
        <f>IF(E116=1,0,VLOOKUP(Postnr,AfstromData,VLOOKUP($E116,Afgr,Data!$DL$3)+IF(Jordtype1&lt;7,Jordtype1,6),FALSE)-VLOOKUP(G116,Efgr,Data!$AA$53))</f>
        <v>0</v>
      </c>
      <c r="HI116" s="1">
        <v>5.5400000000000002E-4</v>
      </c>
      <c r="HJ116" s="24">
        <f>IF(E116=1,0,VLOOKUP(Postnr,AfstromData,VLOOKUP($B116,Afgr,Data!$DL$3)+IF(Jordtype1&lt;7,Jordtype1,6),FALSE)-VLOOKUP(C116,Efgr,Data!$AA$53))</f>
        <v>0</v>
      </c>
      <c r="HK116" s="1">
        <v>0.10639999999999999</v>
      </c>
      <c r="HL116" s="6">
        <f>VLOOKUP(Jordtype3,Jordtype,Data!$W$112)</f>
        <v>3</v>
      </c>
      <c r="HM116" s="1">
        <v>3.2500000000000001E-2</v>
      </c>
      <c r="HN116" s="6">
        <f>VLOOKUP(Jordtype3,Jordtype,Data!$X$112)</f>
        <v>12</v>
      </c>
      <c r="HO116" s="1">
        <v>1.2453000000000001</v>
      </c>
      <c r="HP116" s="1">
        <f>IF(VLOOKUP(G116,Efgr,Data!$AO$53)=1,MlafgrNUdvask,0)</f>
        <v>0</v>
      </c>
      <c r="HQ116" s="20">
        <f>IF(ISERROR((HE116+POWER(HF116,1.2))*(1-EXP(-HG116*HH116))*EXP(-HI116*HJ116)*EXP(-HK116*HL116)*EXP(-HM116*HN116)*HO116),0,(HE116+POWER(HF116,1.2))*(1-EXP(-HG116*HH116))*EXP(-HI116*HJ116)*EXP(-HK116*HL116)*EXP(-HM116*HN116)*HO116+HP116)</f>
        <v>0</v>
      </c>
      <c r="HR116">
        <f>HQ116*M116</f>
        <v>0</v>
      </c>
      <c r="HS116">
        <f>HQ116*(100-Retention3)*0.01</f>
        <v>0</v>
      </c>
      <c r="HT116">
        <f>HS116*M116</f>
        <v>0</v>
      </c>
      <c r="HU116" s="2">
        <f>HH116*10000</f>
        <v>0</v>
      </c>
      <c r="HV116" s="2">
        <f>HU116*M116</f>
        <v>0</v>
      </c>
      <c r="HW116">
        <f>IF(ISERROR(HQ116*1000*1000/HU116),0,HQ116*1000*1000/HU116)</f>
        <v>0</v>
      </c>
      <c r="HY116">
        <f>BP116+BT116+CG116+DG116</f>
        <v>0</v>
      </c>
      <c r="IB116">
        <f>VLOOKUP(E116,Afgr,Data!$AP$3)*UdsaedJust</f>
        <v>0</v>
      </c>
      <c r="IC116" s="3">
        <f>IF(Mark!EG116&lt;&gt;"",Mark!EG116,Regn!IB116)</f>
        <v>0</v>
      </c>
      <c r="ID116" s="3">
        <f>IC116*M116</f>
        <v>0</v>
      </c>
      <c r="IF116" s="3">
        <f>IF(HdgVaerdi=1,($V116-$AY116)*Npris,$V116*Npris)</f>
        <v>0</v>
      </c>
      <c r="IG116" s="3">
        <f>IF116*M116</f>
        <v>0</v>
      </c>
      <c r="II116">
        <f>VLOOKUP($E116,Afgr,Data!$BA$3)</f>
        <v>0</v>
      </c>
      <c r="IJ116">
        <f>VLOOKUP($E116,Afgr,Data!$BB$3)</f>
        <v>0</v>
      </c>
      <c r="IK116">
        <f>$DX116+$EJ116</f>
        <v>0</v>
      </c>
      <c r="IL116">
        <f>IF(HdgDyreart=2,$AV116*NPforholdSvin,$AV116*NPforholdKvaeg)</f>
        <v>0</v>
      </c>
      <c r="IM116">
        <f>II116+IF($IJ116+$IK116&gt;$IL116,($IJ116+$IK116-$IL116),0)</f>
        <v>0</v>
      </c>
      <c r="IN116" s="3">
        <f>IF(HdgVaerdi=1,($II116*Ppris+IF($IJ116+$IK116&gt;$IL116,($IJ116+$IK116-$IL116)*Ppris,0)),($II116+$IJ116+$IK116)*Ppris)</f>
        <v>0</v>
      </c>
      <c r="IO116" s="3">
        <f>IN116*M116</f>
        <v>0</v>
      </c>
      <c r="IQ116">
        <f>IF(AND(E116&gt;1,OR(Jordtype3=1,Jordtype3=3,Markvand3=2)),Kudvask,0)</f>
        <v>0</v>
      </c>
      <c r="IR116">
        <f>$EA116+$EM116</f>
        <v>0</v>
      </c>
      <c r="IS116">
        <f>IF(HdgDyreart=2,$AV116*NKforholdSvin,$AV116*NkforholdKvaeg)</f>
        <v>0</v>
      </c>
      <c r="IT116">
        <f>IF($IQ116+$IR116&gt;$IS116,($IQ116+$IR116-$IS116),0)</f>
        <v>0</v>
      </c>
      <c r="IU116" s="3">
        <f>IF(HdgVaerdi=1,IF($IQ116+$IR116&gt;$IS116,($IQ116+$IR116-$IS116)*Kpris,0),($IQ116+$IR116)*Kpris)</f>
        <v>0</v>
      </c>
      <c r="IV116" s="3">
        <f>IU116*M116</f>
        <v>0</v>
      </c>
      <c r="IX116">
        <f>IF116+IN116+IU116</f>
        <v>0</v>
      </c>
      <c r="IY116" s="3">
        <f>IF(Mark!EM116&lt;&gt;"",Mark!EM116,$IX116)</f>
        <v>0</v>
      </c>
      <c r="IZ116" s="3">
        <f>IY116*M116</f>
        <v>0</v>
      </c>
      <c r="JB116">
        <f>VLOOKUP(E116,Afgr,Data!$AQ$3)*PlantevJust</f>
        <v>0</v>
      </c>
      <c r="JC116" s="3">
        <f>IF(Mark!ES116&lt;&gt;"",Mark!ES116,JB116)</f>
        <v>0</v>
      </c>
      <c r="JD116" s="3">
        <f>JC116*M116</f>
        <v>0</v>
      </c>
      <c r="JF116">
        <f>VLOOKUP(E116,Afgr,Data!$AR$3)+BI116*VLOOKUP(E116,Afgr,Data!$BH$3)</f>
        <v>0</v>
      </c>
      <c r="JG116" s="3">
        <f>IF(Mark!EY116&lt;&gt;"",Mark!EY116,JF116)</f>
        <v>0</v>
      </c>
      <c r="JH116">
        <f>JG116*M116</f>
        <v>0</v>
      </c>
      <c r="JJ116">
        <f>IC116+IY116+JC116+JG116</f>
        <v>0</v>
      </c>
      <c r="JL116">
        <f>IF(VLOOKUP(E116,Afgr,Data!$BY$3)&gt;0,Data!$K$259*PlojJB3,0)</f>
        <v>0</v>
      </c>
      <c r="JM116">
        <f>IF(VLOOKUP(E116,Afgr,Data!$BZ$3)&gt;0,Data!$K$260*PlojJB3,0)</f>
        <v>0</v>
      </c>
      <c r="JN116">
        <f>(JL116+JM116)*MaskJust</f>
        <v>0</v>
      </c>
      <c r="JO116" s="3">
        <f>IF(Mark!FE116&lt;&gt;"",Mark!FE116,JN116)</f>
        <v>0</v>
      </c>
      <c r="JP116" s="3">
        <f>JO116*M116</f>
        <v>0</v>
      </c>
      <c r="JR116">
        <f>IF(VLOOKUP(E116,Afgr,Data!$CA$3)&gt;0,VLOOKUP(E116,Afgr,Data!$CA$3)*Data!$K$261*SaaJB3,0)</f>
        <v>0</v>
      </c>
      <c r="JS116">
        <f>IF(VLOOKUP(E116,Afgr,Data!$CC$3)&gt;0,Data!$K$262*SaaJB3,0)</f>
        <v>0</v>
      </c>
      <c r="JT116">
        <f>IF(VLOOKUP(E116,Afgr,Data!$CD$3)&gt;0,VLOOKUP(E116,Afgr,Data!$CD$3)*Data!$K$263*SaaJB3,0)</f>
        <v>0</v>
      </c>
      <c r="JU116">
        <f>IF(VLOOKUP(E116,Afgr,Data!$CE$3)&gt;0,Data!$K$264*SaaJB3,0)</f>
        <v>0</v>
      </c>
      <c r="JV116">
        <f>IF(VLOOKUP(E116,Afgr,Data!$CF$3)&gt;0,Data!$K$265*SaaJB3,0)</f>
        <v>0</v>
      </c>
      <c r="JW116">
        <f>IF(VLOOKUP(E116,Afgr,Data!$CV$3)&gt;0,Data!$K$266,0)</f>
        <v>0</v>
      </c>
      <c r="JX116">
        <f>IF(VLOOKUP(E116,Afgr,Data!$CG$3)&gt;0,Data!$K$267*SaaJB3,0)</f>
        <v>0</v>
      </c>
      <c r="JY116">
        <f>(JR116+JS116+JT116+JU116+JV116+JW116+JX116)*MaskJust</f>
        <v>0</v>
      </c>
      <c r="JZ116" s="3">
        <f>IF(Mark!FK116&lt;&gt;"",Mark!FK116,JY116)</f>
        <v>0</v>
      </c>
      <c r="KA116" s="3">
        <f>JZ116*M116</f>
        <v>0</v>
      </c>
      <c r="KC116">
        <f>IF(VLOOKUP(E116,Afgr,Data!$CJ$3)&gt;0,VLOOKUP(E116,Afgr,Data!$CJ$3)*Data!$K$268*SaaJB3,0)*MaskJust</f>
        <v>0</v>
      </c>
      <c r="KD116" s="3">
        <f>IF(Mark!FQ116&lt;&gt;"",Mark!FQ116,KC116)</f>
        <v>0</v>
      </c>
      <c r="KE116" s="3">
        <f>KD116*M116</f>
        <v>0</v>
      </c>
      <c r="KG116">
        <f>IF(VLOOKUP(E116,Afgr,Data!$CI$3)&gt;0,VLOOKUP(E116,Afgr,Data!$CI$3)*Data!$K$269,0)*MaskJust</f>
        <v>0</v>
      </c>
      <c r="KH116" s="3">
        <f>IF(Mark!FW116&lt;&gt;"",Mark!FW116,KG116)</f>
        <v>0</v>
      </c>
      <c r="KI116" s="3">
        <f>KH116*M116</f>
        <v>0</v>
      </c>
      <c r="KK116">
        <f>IF(Markvand3=2,VLOOKUP($E116,Afgr,Data!$CY$3),0)</f>
        <v>0</v>
      </c>
      <c r="KL116">
        <f>IF(Mark!GC116&lt;&gt;"",Mark!GC116,$KK116)</f>
        <v>0</v>
      </c>
      <c r="KM116">
        <f>IF(AND(E116&gt;1,Markvand3=2),Vandmaskin+$KL116*Flytning/mmprgang+$KL116*Prisprmm,0)</f>
        <v>0</v>
      </c>
      <c r="KN116" s="3">
        <f>IF(Mark!GI116&lt;&gt;"",Mark!GI116,$KM116)</f>
        <v>0</v>
      </c>
      <c r="KO116" s="3">
        <f>KN116*M116</f>
        <v>0</v>
      </c>
      <c r="KQ116">
        <f>IF(VLOOKUP($E116,Afgr,Data!$CK$3)&gt;0,((1+Regn!$BI116/VLOOKUP($E116,Afgr,Data!$CK$3))/2)*VLOOKUP($E116,Afgr,Data!$CL$3)*VLOOKUP($E116,Afgr,Data!$CN$3)+VLOOKUP($E116,Afgr,Data!$CM$3),0)</f>
        <v>0</v>
      </c>
      <c r="KR116">
        <f>IF(VLOOKUP($E116,Afgr,Data!$CK$3)&gt;0,IF(AND($F116=2,$BW116&gt;0),Data!$K$271,0),0)</f>
        <v>0</v>
      </c>
      <c r="KS116">
        <f>IF(VLOOKUP($E116,Afgr,Data!$CK$3)&gt;0,(Regn!$BI116/VLOOKUP($E116,Afgr,Data!$CK$3))*VLOOKUP($E116,Afgr,Data!$CO$3)*VLOOKUP($E116,Afgr,Data!$CN$3),0)</f>
        <v>0</v>
      </c>
      <c r="KT116">
        <f>(KQ116+KR116+KS116)*MaskJust</f>
        <v>0</v>
      </c>
      <c r="KU116" s="3">
        <f>IF(Mark!GO116&lt;&gt;"",Mark!GO116,KT116)</f>
        <v>0</v>
      </c>
      <c r="KV116" s="3">
        <f>KU116*M116</f>
        <v>0</v>
      </c>
      <c r="KW116" s="3"/>
      <c r="KX116">
        <f>IF(AND($F116=1,VLOOKUP($E116,Afgr,Data!$CP$3)&gt;0),((1+$BY116/VLOOKUP($E116,Afgr,Data!$CP$3))/2)*VLOOKUP($E116,Afgr,Data!$CQ$3),0)</f>
        <v>0</v>
      </c>
      <c r="KY116">
        <f>IF(AND($F116=1,VLOOKUP($E116,Afgr,Data!$CP$3)&gt;0),($BY116/VLOOKUP($E116,Afgr,Data!$CP$3))*VLOOKUP($E116,Afgr,Data!$CR$3),0)</f>
        <v>0</v>
      </c>
      <c r="KZ116">
        <f>(KX116+KY116)*MaskJust</f>
        <v>0</v>
      </c>
      <c r="LA116" s="3">
        <f>IF(Mark!GU116&lt;&gt;"",Mark!GU116,KZ116)</f>
        <v>0</v>
      </c>
      <c r="LB116" s="3">
        <f>LA116*M116</f>
        <v>0</v>
      </c>
      <c r="LD116">
        <f>$BI116*VLOOKUP($E116,Afgr,Data!$CS$3)*IF($I116=1,VLOOKUP($E116,Afgr,Data!$CT$3),IF($I116=2,VLOOKUP($E116,Afgr,Data!$CU$3),0))</f>
        <v>0</v>
      </c>
      <c r="LE116" s="3">
        <f>IF(Mark!HD116&lt;&gt;"",Mark!HD116,LD116)</f>
        <v>0</v>
      </c>
      <c r="LF116" s="3">
        <f>LE116*M116</f>
        <v>0</v>
      </c>
      <c r="LH116">
        <f>VLOOKUP($G116,Efgr,Data!$AC$53)*UdsaedJust</f>
        <v>0</v>
      </c>
      <c r="LI116" s="3">
        <f>IF(Mark!$HL116&lt;&gt;"",Mark!$HL116,LH116)</f>
        <v>0</v>
      </c>
      <c r="LJ116" s="3">
        <f>LI116*M116</f>
        <v>0</v>
      </c>
      <c r="LL116" s="3">
        <f>IF(HdgVaerdi=1,($CM116-$CX116)*Npris,$CM116*Npris)</f>
        <v>0</v>
      </c>
      <c r="LM116" s="3">
        <f>LL116*M116</f>
        <v>0</v>
      </c>
      <c r="LO116">
        <f>$ET116</f>
        <v>0</v>
      </c>
      <c r="LP116">
        <f>IF(HdgDyreart=2,$CU116*NPforholdSvin,$CU116*NPforholdKvaeg)</f>
        <v>0</v>
      </c>
      <c r="LQ116">
        <f>IF($LO116&gt;$LP116,($LO116-$LP116),0)</f>
        <v>0</v>
      </c>
      <c r="LR116" s="3">
        <f>IF(HdgVaerdi=1,IF($LO116&gt;$LP116,($LO116-$LP116)*Ppris,0),$LO116*Ppris)</f>
        <v>0</v>
      </c>
      <c r="LS116" s="3">
        <f>LR116*M116</f>
        <v>0</v>
      </c>
      <c r="LU116">
        <f>$EW116</f>
        <v>0</v>
      </c>
      <c r="LV116">
        <f>IF(HdgDyreart=2,$CU116*NKforholdSvin,$CU116*NkforholdKvaeg)</f>
        <v>0</v>
      </c>
      <c r="LW116">
        <f>IF($LU116&gt;$LV116,($LU116-$LV116),0)</f>
        <v>0</v>
      </c>
      <c r="LX116" s="3">
        <f>IF(HdgVaerdi=1,IF($LU116&gt;$LV116,($LU116-$LV116)*Ppris,0),$LU116*Ppris)</f>
        <v>0</v>
      </c>
      <c r="LY116" s="3">
        <f>LX116*M116</f>
        <v>0</v>
      </c>
      <c r="MA116">
        <f>LL116+LR116+LX116</f>
        <v>0</v>
      </c>
      <c r="MB116" s="3">
        <f>IF(Mark!HR116&lt;&gt;"",Mark!HR116,$MA116)</f>
        <v>0</v>
      </c>
      <c r="MC116" s="3">
        <f>MB116*M116</f>
        <v>0</v>
      </c>
      <c r="ME116">
        <f>VLOOKUP($G116,Efgr,Data!$AE$53)*PlantevJust</f>
        <v>0</v>
      </c>
      <c r="MF116" s="3">
        <f>IF(Mark!HX116&lt;&gt;"",Mark!HX116,ME116)</f>
        <v>0</v>
      </c>
      <c r="MG116" s="3">
        <f>MF116*M116</f>
        <v>0</v>
      </c>
      <c r="MI116">
        <f>VLOOKUP($G116,Efgr,Data!$AF$53)+$DD116*VLOOKUP($G116,Efgr,Data!$AL$53)</f>
        <v>0</v>
      </c>
      <c r="MJ116" s="3">
        <f>IF(Mark!ID116&lt;&gt;"",Mark!ID116,MI116)</f>
        <v>0</v>
      </c>
      <c r="MK116" s="3">
        <f>MJ116*M116</f>
        <v>0</v>
      </c>
      <c r="MM116">
        <f>LI116+MB116+MF116+MJ116</f>
        <v>0</v>
      </c>
      <c r="MO116">
        <f>VLOOKUP($G116,Efgr,Data!$AU$53)*SaaJB3*MaskJust</f>
        <v>0</v>
      </c>
      <c r="MP116" s="3">
        <f>IF(Mark!IJ116&lt;&gt;"",Mark!IJ116,MO116)</f>
        <v>0</v>
      </c>
      <c r="MQ116" s="3">
        <f>MP116*M116</f>
        <v>0</v>
      </c>
      <c r="MS116">
        <f>VLOOKUP($G116,Efgr,Data!$AW$53)*Data!$K$268*SaaJB3*MaskJust</f>
        <v>0</v>
      </c>
      <c r="MT116" s="3">
        <f>IF(Mark!IP116&lt;&gt;"",Mark!IP116,MS116)</f>
        <v>0</v>
      </c>
      <c r="MU116" s="3">
        <f>MT116*M116</f>
        <v>0</v>
      </c>
      <c r="MW116">
        <f>VLOOKUP($G116,Efgr,Data!$AV$53)*Data!$K$269*MaskJust</f>
        <v>0</v>
      </c>
      <c r="MX116" s="3">
        <f>IF(Mark!IV116&lt;&gt;"",Mark!IV116,MW116)</f>
        <v>0</v>
      </c>
      <c r="MY116" s="3">
        <f>MX116*M116</f>
        <v>0</v>
      </c>
      <c r="NA116">
        <f>IF(Markvand3=2,VLOOKUP($G116,Efgr,Data!$BC$53),0)</f>
        <v>0</v>
      </c>
      <c r="NB116">
        <f>IF(Mark!JB116&lt;&gt;"",Mark!JB116,$NA116)</f>
        <v>0</v>
      </c>
      <c r="NC116">
        <f>IF(Markvand3=2,$NB116*Flytning/mmprgang+$NB116*Prisprmm,0)</f>
        <v>0</v>
      </c>
      <c r="ND116" s="3">
        <f>IF(Mark!JH116&lt;&gt;"",Mark!JH116,$NC116)</f>
        <v>0</v>
      </c>
      <c r="NE116" s="3">
        <f>ND116*M116</f>
        <v>0</v>
      </c>
      <c r="NG116">
        <f>IF(VLOOKUP($G116,Efgr,Data!$AX$53)&gt;0,((1+Regn!DD116/VLOOKUP($G116,Efgr,Data!$AX$53))/2)*VLOOKUP($G116,Efgr,Data!$AY$53)*VLOOKUP($G116,Efgr,Data!$BA$53)+VLOOKUP($G116,Efgr,Data!$AZ$53),0)</f>
        <v>0</v>
      </c>
      <c r="NH116">
        <f>IF(VLOOKUP($G116,Efgr,Data!$AX$53)&gt;0,($DD116/VLOOKUP($G116,Efgr,Data!$AX$53))*VLOOKUP($G116,Efgr,Data!$BB$53)*VLOOKUP($G116,Efgr,Data!$BA$53),0)</f>
        <v>0</v>
      </c>
      <c r="NI116">
        <f>(NG116+NH116)*MaskJust</f>
        <v>0</v>
      </c>
      <c r="NJ116" s="3">
        <f>IF(Mark!JN116&lt;&gt;"",Mark!JN116,NI116)</f>
        <v>0</v>
      </c>
      <c r="NK116" s="3">
        <f>NJ116*M116</f>
        <v>0</v>
      </c>
      <c r="NM116">
        <f>IF($H116=2,Data!$K$304,IF($H116=3,Data!$K$305,0))*MaskJust</f>
        <v>0</v>
      </c>
      <c r="NN116" s="3">
        <f>IF(Mark!JT116&lt;&gt;"",Mark!JT116,NM116)</f>
        <v>0</v>
      </c>
      <c r="NO116" s="3">
        <f>NN116*M116</f>
        <v>0</v>
      </c>
      <c r="NQ116">
        <f>HY116</f>
        <v>0</v>
      </c>
      <c r="NR116">
        <f>JJ116+MM116</f>
        <v>0</v>
      </c>
      <c r="NS116">
        <f>NQ116-NR116</f>
        <v>0</v>
      </c>
      <c r="NT116">
        <f>NS116*M116</f>
        <v>0</v>
      </c>
      <c r="NW116">
        <f>VLOOKUP($B116,Afgr,Data!$BP$3)+VLOOKUP($C116,Efgr,Data!$AM$53)</f>
        <v>0</v>
      </c>
      <c r="NX116" s="3">
        <f>NW116*M116</f>
        <v>0</v>
      </c>
      <c r="NY116">
        <f>VLOOKUP($E116,Afgr,Data!$BP$3)+VLOOKUP($G116,Efgr,Data!$AM$53)</f>
        <v>0</v>
      </c>
      <c r="NZ116" s="3">
        <f>NY116*M116</f>
        <v>0</v>
      </c>
      <c r="OB116">
        <f>VLOOKUP($C116,Efgr,Data!$AN$53)</f>
        <v>0</v>
      </c>
      <c r="OC116">
        <f>VLOOKUP($B116,Afgr,Data!$BQ$3)</f>
        <v>0</v>
      </c>
      <c r="OD116">
        <f>VLOOKUP($E116,Afgr,Data!$BR$3)</f>
        <v>1</v>
      </c>
      <c r="OE116">
        <f>OB116*OC116*OD116</f>
        <v>0</v>
      </c>
      <c r="OF116" s="3">
        <f>OE116*M116</f>
        <v>0</v>
      </c>
      <c r="OG116" s="3">
        <f>IF(D116,1,0)*OF116</f>
        <v>0</v>
      </c>
      <c r="OI116">
        <f>VLOOKUP($G116,Efgr,Data!$AN$53)</f>
        <v>0</v>
      </c>
      <c r="OJ116">
        <f>VLOOKUP($E116,Afgr,Data!$BQ$3)</f>
        <v>0</v>
      </c>
      <c r="OK116">
        <f>VLOOKUP($K116,Afgr,Data!$BR$3)</f>
        <v>1</v>
      </c>
      <c r="OL116">
        <f>OI116*OJ116*OK116</f>
        <v>0</v>
      </c>
      <c r="OM116" s="3">
        <f>OL116*M116</f>
        <v>0</v>
      </c>
      <c r="OO116">
        <f>VLOOKUP($G116,Efgr,Data!$AO$53)</f>
        <v>0</v>
      </c>
      <c r="OP116">
        <f>VLOOKUP($B116,Afgr,Data!$BQ$3)</f>
        <v>0</v>
      </c>
      <c r="OQ116">
        <f>VLOOKUP($E116,Afgr,Data!$BS$3)</f>
        <v>0</v>
      </c>
      <c r="OR116" s="3">
        <f>OO116*OP116*OQ116*$M116</f>
        <v>0</v>
      </c>
      <c r="OT116">
        <f>VLOOKUP($G116,Efgr,Data!$AO$53)</f>
        <v>0</v>
      </c>
      <c r="OU116">
        <f>VLOOKUP($E116,Afgr,Data!$BQ$3)</f>
        <v>0</v>
      </c>
      <c r="OV116">
        <f>VLOOKUP($K116,Afgr,Data!$BS$3)</f>
        <v>0</v>
      </c>
      <c r="OW116" s="3">
        <f>OT116*OU116*OV116*$M116</f>
        <v>0</v>
      </c>
      <c r="OX116" s="3"/>
      <c r="OY116" s="3">
        <f>VLOOKUP($B116,Afgr,Data!$BU$3)</f>
        <v>0</v>
      </c>
      <c r="OZ116" s="3">
        <f>OY116*M116</f>
        <v>0</v>
      </c>
      <c r="PA116" s="3">
        <f>VLOOKUP($E116,Afgr,Data!$BU$3)</f>
        <v>0</v>
      </c>
      <c r="PB116" s="3">
        <f>PA116*M116</f>
        <v>0</v>
      </c>
      <c r="PD116">
        <f>VLOOKUP(E116,Afgr,Data!$BX$3)+VLOOKUP(G116,Efgr,Data!$AQ$53)</f>
        <v>0</v>
      </c>
      <c r="PE116">
        <f>IF(PD116&gt;0,M116,0)</f>
        <v>0</v>
      </c>
      <c r="PG116">
        <f>VLOOKUP($B116,Afgr,Data!$BT$3)</f>
        <v>0</v>
      </c>
      <c r="PH116" s="3">
        <f>PG116*M116</f>
        <v>0</v>
      </c>
      <c r="PI116">
        <f>VLOOKUP($E116,Afgr,Data!$BT$3)</f>
        <v>0</v>
      </c>
      <c r="PJ116" s="3">
        <f>PI116*M116</f>
        <v>0</v>
      </c>
      <c r="PL116">
        <f>VLOOKUP($E116,Afgr,Data!$BV$3)</f>
        <v>0</v>
      </c>
      <c r="PM116">
        <f>PL116*M116</f>
        <v>0</v>
      </c>
      <c r="PO116">
        <f>VLOOKUP($E116,Afgr,Data!$BW$3)</f>
        <v>0</v>
      </c>
      <c r="PP116">
        <f>PO116*M116</f>
        <v>0</v>
      </c>
      <c r="PR116">
        <f>BI116*IF(VLOOKUP($E116,Afgr,Data!$BJ$3)&gt;0,1,0)</f>
        <v>0</v>
      </c>
      <c r="PS116">
        <f>PR116*M116</f>
        <v>0</v>
      </c>
      <c r="PU116">
        <f>BI116*VLOOKUP(E116,Afgr,Data!$BK$3)</f>
        <v>0</v>
      </c>
      <c r="PV116">
        <f>M116*PU116</f>
        <v>0</v>
      </c>
      <c r="PW116">
        <f>$BI116*VLOOKUP($E116,Afgr,Data!$BL$3)+$DD116*VLOOKUP($G116,Efgr,Data!$AP$53)</f>
        <v>0</v>
      </c>
      <c r="PX116">
        <f>PW116*M116</f>
        <v>0</v>
      </c>
      <c r="PY116">
        <f>$BI116*VLOOKUP($E116,Afgr,Data!$BM$3)</f>
        <v>0</v>
      </c>
      <c r="PZ116">
        <f>PY116*M116</f>
        <v>0</v>
      </c>
      <c r="QA116">
        <f>$BI116*VLOOKUP($E116,Afgr,Data!$BN$3)</f>
        <v>0</v>
      </c>
      <c r="QB116">
        <f>QA116*M116</f>
        <v>0</v>
      </c>
      <c r="QE116">
        <f>IF(VLOOKUP($E116,Afgr,Data!$DA$3)="Vårbyg",$BJ116,0)*VLOOKUP($E116,Afgr,Data!$BJ$3)</f>
        <v>0</v>
      </c>
      <c r="QF116">
        <f>IF(VLOOKUP($E116,Afgr,Data!$DA$3)="Vinterbyg",$BJ116,0)*VLOOKUP($E116,Afgr,Data!$BJ$3)</f>
        <v>0</v>
      </c>
      <c r="QG116">
        <f>IF(VLOOKUP($E116,Afgr,Data!$DA$3)="Havre",$BJ116,0)*VLOOKUP($E116,Afgr,Data!$BJ$3)</f>
        <v>0</v>
      </c>
      <c r="QH116">
        <f>IF(VLOOKUP($E116,Afgr,Data!$DA$3)="Hvede",$BJ116,0)*VLOOKUP($E116,Afgr,Data!$BJ$3)</f>
        <v>0</v>
      </c>
      <c r="QI116">
        <f>IF(VLOOKUP($E116,Afgr,Data!$DA$3)="Triticale",$BJ116,0)*VLOOKUP($E116,Afgr,Data!$BJ$3)</f>
        <v>0</v>
      </c>
      <c r="QJ116">
        <f>IF(VLOOKUP($E116,Afgr,Data!$DA$3)="Rug",$BJ116,0)*VLOOKUP($E116,Afgr,Data!$BJ$3)</f>
        <v>0</v>
      </c>
      <c r="QK116">
        <f>IF(VLOOKUP($E116,Afgr,Data!$DA$3)="Majs",$BJ116,0)*VLOOKUP($E116,Afgr,Data!$BJ$3)</f>
        <v>0</v>
      </c>
      <c r="QN116">
        <f>IF(OI116+OO116&gt;0,1,0)</f>
        <v>0</v>
      </c>
      <c r="QO116">
        <f>QN116*LJ116</f>
        <v>0</v>
      </c>
      <c r="QP116">
        <f>QN116*MG116</f>
        <v>0</v>
      </c>
      <c r="QQ116">
        <f>MQ116</f>
        <v>0</v>
      </c>
      <c r="QR116">
        <f>QN116*NO116</f>
        <v>0</v>
      </c>
    </row>
    <row r="117" spans="1:460" x14ac:dyDescent="0.25">
      <c r="GG117" s="12"/>
    </row>
    <row r="118" spans="1:460" x14ac:dyDescent="0.25">
      <c r="A118">
        <v>2</v>
      </c>
      <c r="B118">
        <v>1</v>
      </c>
      <c r="C118">
        <v>1</v>
      </c>
      <c r="D118" t="b">
        <v>0</v>
      </c>
      <c r="E118">
        <v>1</v>
      </c>
      <c r="F118">
        <v>1</v>
      </c>
      <c r="G118">
        <v>1</v>
      </c>
      <c r="H118">
        <v>1</v>
      </c>
      <c r="I118">
        <v>1</v>
      </c>
      <c r="K118">
        <v>1</v>
      </c>
      <c r="M118">
        <f>IF(ISERROR(N118*Areal3/$N$132),0,N118*Areal3/$N$132)</f>
        <v>0</v>
      </c>
      <c r="N118">
        <f>Mark!Z118</f>
        <v>0</v>
      </c>
      <c r="P118">
        <f>VLOOKUP($E118,Afgr,NnormKolonneNr3)</f>
        <v>0</v>
      </c>
      <c r="Q118">
        <f>VLOOKUP($B118,Afgr,Data!$AI$3)*VLOOKUP(E118,Afgr,Data!$AJ$3)</f>
        <v>0</v>
      </c>
      <c r="R118">
        <f>IF($D118,0,VLOOKUP($C118,Efgr,(Data!$W$53+$G$28-1)))</f>
        <v>0</v>
      </c>
      <c r="S118">
        <f>P118-Q118-R118</f>
        <v>0</v>
      </c>
      <c r="T118">
        <f>S118*M118</f>
        <v>0</v>
      </c>
      <c r="U118">
        <f>IF(Nmodel34=1,S118*Nniveau34*0.01,AO118)</f>
        <v>0</v>
      </c>
      <c r="V118" s="3">
        <f>IF(Mark!CI118&lt;&gt;"",Mark!CI118,U118)</f>
        <v>0</v>
      </c>
      <c r="W118" s="3">
        <f>V118*M118</f>
        <v>0</v>
      </c>
      <c r="Y118">
        <f>S118/NoptFaktor</f>
        <v>0</v>
      </c>
      <c r="Z118" s="3">
        <f>IF(Mark!BZ118&lt;&gt;"",Mark!BZ118,Y118)</f>
        <v>0</v>
      </c>
      <c r="AB118">
        <f>VLOOKUP($E118,Afgr,Data!$DE$3)</f>
        <v>0</v>
      </c>
      <c r="AC118">
        <f>VLOOKUP($E118,Afgr,Data!$DD$3)</f>
        <v>0</v>
      </c>
      <c r="AD118">
        <f>VLOOKUP($E118,Afgr,Data!$DC$3)</f>
        <v>0</v>
      </c>
      <c r="AE118">
        <f>IF(ISERROR($Z118+(-PrisN/$AD118-$AB118)/(2*$AC118)),0,($Z118+(-PrisN/$AD118-$AB118)/(2*$AC118)))</f>
        <v>0</v>
      </c>
      <c r="AF118">
        <f>($BD118+$BE118+$BF118)*1.03333</f>
        <v>0</v>
      </c>
      <c r="AG118">
        <f>$AF118-($AB118*($AE118-$Z118)+$AC118*($AE118-$Z118)^2)</f>
        <v>0</v>
      </c>
      <c r="AH118">
        <f>IF(Nmodel12=1,$AB118*($AE118-$S118)+$AC118*($AE118-$S118)^2,$AB118*($AE118-$AO118)+$AC118*($AE118-$AO118)^2)</f>
        <v>0</v>
      </c>
      <c r="AI118">
        <f>IF(Nmodel34=1,$AB118*($AE118-$V118)+$AC118*($AE118-$V118)^2,$AB118*($AE118-AO118)+$AC118*($AE118-AO118)^2)</f>
        <v>0</v>
      </c>
      <c r="AJ118">
        <f>AG118+AH118-BG118</f>
        <v>0</v>
      </c>
      <c r="AK118">
        <f>AG118+AI118-AJ118</f>
        <v>0</v>
      </c>
      <c r="AM118">
        <f>VLOOKUP(E118,Afgr,Data!$DF$3+SandLer3)</f>
        <v>0</v>
      </c>
      <c r="AN118">
        <f>IF(ISERROR(((-(PrisN+Pantafgift)+AM118*Pantfaktor*Pantafgift)/AD118-AB118)/(2*AC118)),0,((-(PrisN+Pantafgift)+AM118*Pantfaktor*Pantafgift)/AD118-AB118)/(2*AC118))</f>
        <v>0</v>
      </c>
      <c r="AO118">
        <f>AE118-AN118</f>
        <v>0</v>
      </c>
      <c r="AQ118">
        <f>IF(AT118&gt;0,0,W118)</f>
        <v>0</v>
      </c>
      <c r="AR118">
        <f>IF(ISERROR(W118*HdgNTilFordeling34/NnormIaltFordel34),0,W118*HdgNTilFordeling34/NnormIaltFordel34)</f>
        <v>0</v>
      </c>
      <c r="AS118">
        <f>IF(ISERROR($AR118/$M118),0,$AR118/$M118)</f>
        <v>0</v>
      </c>
      <c r="AT118">
        <f>IF(Mark!CO118&lt;&gt;"",Mark!CO118,0)</f>
        <v>0</v>
      </c>
      <c r="AU118">
        <f>$AT118*$M118</f>
        <v>0</v>
      </c>
      <c r="AV118" s="3">
        <f>IF(AT118&gt;0,AT118,AS118)</f>
        <v>0</v>
      </c>
      <c r="AW118" s="3">
        <f>AV118*M118</f>
        <v>0</v>
      </c>
      <c r="AY118">
        <f>UdnKrav*$AV118/100</f>
        <v>0</v>
      </c>
      <c r="BA118">
        <f>AV118*VLOOKUP($E118,Afgr,Data!$DJ$3)</f>
        <v>0</v>
      </c>
      <c r="BB118">
        <f>UdnKrav*$BA118/100</f>
        <v>0</v>
      </c>
      <c r="BD118">
        <f>VLOOKUP(E118,Afgr,NormudbKolonneNr3)</f>
        <v>0</v>
      </c>
      <c r="BE118">
        <f>VLOOKUP(B118,Afgr,Data!$AL$3)*VLOOKUP(E118,Afgr,MerudbKolonneNr3)</f>
        <v>0</v>
      </c>
      <c r="BF118">
        <f>VLOOKUP(C118,Efgr,(Data!$Y$53+EftervirkningUdb3))</f>
        <v>0</v>
      </c>
      <c r="BG118">
        <f>BD118+BE118+BF118</f>
        <v>0</v>
      </c>
      <c r="BH118">
        <f>IF(OR(V118&lt;&gt;S118,Nmodel34=2),AK118,BD118+BE118+BF118)</f>
        <v>0</v>
      </c>
      <c r="BI118" s="3">
        <f>IF(Mark!AK118&lt;&gt;"",Mark!AK118,BH118)</f>
        <v>0</v>
      </c>
      <c r="BJ118">
        <f>BI118*M118</f>
        <v>0</v>
      </c>
      <c r="BK118">
        <f>VLOOKUP(E118,Afgr,3)</f>
        <v>0</v>
      </c>
      <c r="BL118">
        <f>IF(BK118="FE",VLOOKUP($E118,Afgr,Data!$AV$3),0)</f>
        <v>0</v>
      </c>
      <c r="BN118">
        <f>VLOOKUP(E118,Afgr,4)</f>
        <v>0</v>
      </c>
      <c r="BO118" s="3">
        <f>IF(Mark!AW118&lt;&gt;"",Mark!AW118,Regn!BN118)</f>
        <v>0</v>
      </c>
      <c r="BP118" s="3">
        <f>BI118*BO118</f>
        <v>0</v>
      </c>
      <c r="BQ118" s="3">
        <f>BJ118*BO118</f>
        <v>0</v>
      </c>
      <c r="BS118">
        <f>VLOOKUP(E118,Afgr,Data!$AN$3)</f>
        <v>0</v>
      </c>
      <c r="BT118" s="3">
        <f>IF(Mark!BC118&lt;&gt;"",Mark!BC118,BS118)</f>
        <v>0</v>
      </c>
      <c r="BU118" s="3">
        <f>BT118*M118</f>
        <v>0</v>
      </c>
      <c r="BW118">
        <f>VLOOKUP(E118,Afgr,HalmudbKolonneNr3)</f>
        <v>0</v>
      </c>
      <c r="BX118">
        <f>IF(ISERROR(BW118*BI118/BG118),0,(BW118*BI118/BG118))</f>
        <v>0</v>
      </c>
      <c r="BY118" s="3">
        <f>IF(Mark!BI118&lt;&gt;"",Mark!BI118,BX118)</f>
        <v>0</v>
      </c>
      <c r="BZ118">
        <f>BY118*M118</f>
        <v>0</v>
      </c>
      <c r="CC118">
        <f>IF($F118=1,BY118,0)</f>
        <v>0</v>
      </c>
      <c r="CD118">
        <f>IF(F118=1,BZ118,0)</f>
        <v>0</v>
      </c>
      <c r="CE118">
        <f>VLOOKUP(E118,Afgr,Data!$AM$3)</f>
        <v>0</v>
      </c>
      <c r="CF118">
        <f>IF(Mark!BR118&lt;&gt;"",Mark!BR118,CE118)</f>
        <v>0</v>
      </c>
      <c r="CG118">
        <f>CC118*CF118</f>
        <v>0</v>
      </c>
      <c r="CH118">
        <f>CD118*CF118</f>
        <v>0</v>
      </c>
      <c r="CJ118">
        <f>VLOOKUP($G118,Efgr,NnormKolonneEfgr3)</f>
        <v>0</v>
      </c>
      <c r="CK118">
        <f>CJ118*M118</f>
        <v>0</v>
      </c>
      <c r="CL118">
        <f>CJ118*Nniveau34*0.01</f>
        <v>0</v>
      </c>
      <c r="CM118" s="3">
        <f>IF(Mark!DM118&lt;&gt;"",Mark!DM118,CL118)</f>
        <v>0</v>
      </c>
      <c r="CN118" s="3">
        <f>$CM118*$M118</f>
        <v>0</v>
      </c>
      <c r="CP118">
        <f>IF(CS118&gt;0,0,CN118)</f>
        <v>0</v>
      </c>
      <c r="CQ118" s="12">
        <f>IF(ISERROR(CN118*HdgNTilFordeling34/NnormIaltFordel34),0,CN118*HdgNTilFordeling34/NnormIaltFordel34)</f>
        <v>0</v>
      </c>
      <c r="CR118">
        <f>IF(ISERROR($CQ118/$M118),0,$CQ118/$M118)</f>
        <v>0</v>
      </c>
      <c r="CS118">
        <f>IF(Mark!DS118&lt;&gt;"",Mark!DS118,0)</f>
        <v>0</v>
      </c>
      <c r="CT118">
        <f>$CS118*$M118</f>
        <v>0</v>
      </c>
      <c r="CU118" s="3">
        <f>IF($CS118&gt;0,$CS118,$CR118)</f>
        <v>0</v>
      </c>
      <c r="CV118" s="3">
        <f>CU118*M118</f>
        <v>0</v>
      </c>
      <c r="CX118">
        <f>UdnKrav*$CU118/100</f>
        <v>0</v>
      </c>
      <c r="CZ118">
        <f>$CU118*VLOOKUP($G118,Efgr,Data!$BG$53)</f>
        <v>0</v>
      </c>
      <c r="DA118">
        <f>UdnKrav*$CZ118/100</f>
        <v>0</v>
      </c>
      <c r="DC118">
        <f>VLOOKUP(G118,Efgr,NormudbKolonneNrEfgr3)</f>
        <v>0</v>
      </c>
      <c r="DD118" s="3">
        <f>IF(Mark!DC118&lt;&gt;"",Mark!DC118,DC118)</f>
        <v>0</v>
      </c>
      <c r="DE118">
        <f>DD118*M118</f>
        <v>0</v>
      </c>
      <c r="DF118" t="s">
        <v>37</v>
      </c>
      <c r="DG118">
        <f>DD118*Efterslaetpris</f>
        <v>0</v>
      </c>
      <c r="DH118">
        <f>DE118*Efterslaetpris</f>
        <v>0</v>
      </c>
      <c r="DI118">
        <f>VLOOKUP(G118,Efgr,Data!$AG$53)</f>
        <v>0</v>
      </c>
      <c r="DJ118">
        <f>DD118*DI118</f>
        <v>0</v>
      </c>
      <c r="DL118">
        <f>VLOOKUP($E118,Afgr,Data!$AW$3)</f>
        <v>0</v>
      </c>
      <c r="DM118">
        <f>IF(BK118="FE",$BI118*$BL118*$DL118*0.01,$BI118*100*$DR118*0.01*$DL118*0.01)</f>
        <v>0</v>
      </c>
      <c r="DN118">
        <f>IF(VLOOKUP(E118,Afgr,Data!$BO$3)=1,DM118,0)*M118</f>
        <v>0</v>
      </c>
      <c r="DO118" s="12">
        <f>IF(Nmodel34=1,(V118-S118)*VLOOKUP($E118,Afgr,Data!$AX$3),(AO118-S118)*VLOOKUP(E118,Afgr,Data!$AX$3))</f>
        <v>0</v>
      </c>
      <c r="DP118">
        <f>DL118+DO118</f>
        <v>0</v>
      </c>
      <c r="DQ118">
        <f>IF(Mark!AQ118&lt;&gt;"",Mark!AQ118,DP118)</f>
        <v>0</v>
      </c>
      <c r="DR118">
        <f>VLOOKUP(E118,Afgr,Data!$AT$3)</f>
        <v>0</v>
      </c>
      <c r="DS118">
        <f>IF($BK118="FE",$BI118*$BL118*$DQ118*0.01,$BI118*100*$DR118*0.01*DQ118*0.01)</f>
        <v>0</v>
      </c>
      <c r="DT118">
        <f>IF(VLOOKUP(E118,Afgr,Data!$BO$3)=1,DS118,0)*M118</f>
        <v>0</v>
      </c>
      <c r="DU118">
        <f>IF(ISERROR(DS118/VLOOKUP(E118,Afgr,Data!$AY$3)),0,DS118/VLOOKUP(E118,Afgr,Data!$AY$3))</f>
        <v>0</v>
      </c>
      <c r="DV118">
        <f>DU118*M118</f>
        <v>0</v>
      </c>
      <c r="DX118">
        <f>IF($BK118="FE",$BI118*$BL118*VLOOKUP($E118,Afgr,Data!$BC$3)*0.001,$BI118*100*$DR118*0.01*VLOOKUP($E118,Afgr,Data!$BC$3)*0.001)</f>
        <v>0</v>
      </c>
      <c r="DY118">
        <f>DX118*M118</f>
        <v>0</v>
      </c>
      <c r="EA118">
        <f>IF($BK118="FE",$BI118*$BL118*VLOOKUP($E118,Afgr,Data!$BF$3)*0.001,$BI118*100*$DR118*0.01*VLOOKUP($E118,Afgr,Data!$BF$3)*0.001)</f>
        <v>0</v>
      </c>
      <c r="EB118">
        <f>EA118*M118</f>
        <v>0</v>
      </c>
      <c r="ED118">
        <f>IF(ISERROR(VLOOKUP(E118,Afgr,Data!$AZ$3)*DQ118/DL118),0,VLOOKUP(E118,Afgr,Data!$AZ$3)*DQ118/DL118)</f>
        <v>0</v>
      </c>
      <c r="EE118">
        <f>VLOOKUP(E118,Afgr,Data!$AU$3)</f>
        <v>0</v>
      </c>
      <c r="EF118">
        <f>IF($F118=1,$BY118*$EE118*0.01*ED118*0.01,0)</f>
        <v>0</v>
      </c>
      <c r="EG118">
        <f>EF118/6.25</f>
        <v>0</v>
      </c>
      <c r="EH118">
        <f>EG118*M118</f>
        <v>0</v>
      </c>
      <c r="EJ118">
        <f>IF($F118=1,$BY118*$EE118*0.01*VLOOKUP($E118,Afgr,Data!$BD$3)*0.001,0)</f>
        <v>0</v>
      </c>
      <c r="EK118">
        <f>EJ118*M118</f>
        <v>0</v>
      </c>
      <c r="EM118">
        <f>IF($F118=1,$BY118*$EE118*0.01*VLOOKUP($E118,Afgr,Data!$BG$3)*0.001,0)</f>
        <v>0</v>
      </c>
      <c r="EN118">
        <f>EM118*M118</f>
        <v>0</v>
      </c>
      <c r="EP118">
        <f>VLOOKUP(G118,Efgr,Data!$AI$53)</f>
        <v>0</v>
      </c>
      <c r="EQ118">
        <f>DJ118*EP118*0.01/6.25</f>
        <v>0</v>
      </c>
      <c r="ER118">
        <f>EQ118*M118</f>
        <v>0</v>
      </c>
      <c r="ET118">
        <f>$DJ118*VLOOKUP($G118,Efgr,Data!$AJ$53)*0.001</f>
        <v>0</v>
      </c>
      <c r="EU118">
        <f>ET118*M118</f>
        <v>0</v>
      </c>
      <c r="EW118">
        <f>$DJ118*VLOOKUP($G118,Efgr,Data!$AK$53)*0.001</f>
        <v>0</v>
      </c>
      <c r="EX118">
        <f>EW118*M118</f>
        <v>0</v>
      </c>
      <c r="EZ118">
        <f>IF(VLOOKUP(E118,Afgr,Data!$DS$3)=1,DU118*VLOOKUP(E118,Afgr,(Data!$DT$3+EftervirkningUdb3))*VLOOKUP(E118,Afgr,Data!$DV$3),0)</f>
        <v>0</v>
      </c>
      <c r="FA118">
        <f>IF(VLOOKUP(E118,Afgr,Data!$DS$3)=2,VLOOKUP(E118,Afgr,Data!$DX$3),0)</f>
        <v>0</v>
      </c>
      <c r="FB118">
        <f>IF(VLOOKUP(E118,Afgr,Data!$DS$3)=3,$DU118*VLOOKUP($E118,Afgr,IF(Jordtype3&lt;5,Data!$DT$3,Data!$DU$3))*VLOOKUP($E118,Afgr,Data!$DV$3),0)</f>
        <v>0</v>
      </c>
      <c r="FC118">
        <f>IF(VLOOKUP(E118,Afgr,Data!$DS$3)=4,(1.232+0.00469*BI118*100+(0.000256*BI118*100+0.089)*60),0)</f>
        <v>0</v>
      </c>
      <c r="FD118">
        <f>$V118+IF($AY118-$BB118&gt;$V118,$AY118-$V118,0)-$BB118</f>
        <v>0</v>
      </c>
      <c r="FE118">
        <f>IF(VLOOKUP($E118,Afgr,Data!$DS$3)=5,($BI118*0.02742-$BI118*0.0001*$FD118+$BI118*0.0000001111*$FD118*$FD118),0)</f>
        <v>0</v>
      </c>
      <c r="FF118">
        <f>$CM118+IF($CX118-$DA118&gt;$CM118,$CX118-$CM118,0)-$DA118</f>
        <v>0</v>
      </c>
      <c r="FG118">
        <f>IF(VLOOKUP($G118,Efgr,Data!$BH$53)=5,($DD118*0.02742-$DD118*0.0001*$FF118+$DD118*0.0000001111*$FF118*$FF118),0)</f>
        <v>0</v>
      </c>
      <c r="FH118" s="3">
        <f>EZ118+FA118+FB118+FC118+FE118+FG118</f>
        <v>0</v>
      </c>
      <c r="FI118" s="3">
        <f>FH118*M118</f>
        <v>0</v>
      </c>
      <c r="FK118">
        <f>$V118+$CM118</f>
        <v>0</v>
      </c>
      <c r="FL118">
        <f>($AV118-$AY118)+IF($AY118&gt;$V118,$AY118-$V118,0)+($CU118-$CX118)+IF($CX118&gt;$CM118,$CX118-$CM118,0)</f>
        <v>0</v>
      </c>
      <c r="FM118">
        <f>VLOOKUP($E118,Afgr,Data!$DK$3)*VLOOKUP($E118,Afgr,Data!$AT$3)*0.01*VLOOKUP($E118,Afgr,Data!$AW$3)*0.01/6.25</f>
        <v>0</v>
      </c>
      <c r="FN118" s="4">
        <f>IF(E118&gt;1,Deposition,0)</f>
        <v>0</v>
      </c>
      <c r="FO118">
        <f>FH118</f>
        <v>0</v>
      </c>
      <c r="FP118">
        <f>SUM(FK118:FO118)</f>
        <v>0</v>
      </c>
      <c r="FQ118">
        <f>DU118+EG118+EQ118</f>
        <v>0</v>
      </c>
      <c r="FR118" s="3">
        <f>FP118-FQ118</f>
        <v>0</v>
      </c>
      <c r="FS118" s="19">
        <f>FP118*M118</f>
        <v>0</v>
      </c>
      <c r="FT118" s="19">
        <f>FQ118*M118</f>
        <v>0</v>
      </c>
      <c r="FU118" s="3">
        <f>FR118*M118</f>
        <v>0</v>
      </c>
      <c r="FW118">
        <f>IL118+IM118+LP118+LQ118</f>
        <v>0</v>
      </c>
      <c r="FX118">
        <f>IK118+LO118</f>
        <v>0</v>
      </c>
      <c r="FY118">
        <f>FW118-FX118</f>
        <v>0</v>
      </c>
      <c r="FZ118">
        <f>FY118*M118</f>
        <v>0</v>
      </c>
      <c r="GB118">
        <f>IS118+IT118+LV118+LW118</f>
        <v>0</v>
      </c>
      <c r="GC118">
        <f>IR118+LU118</f>
        <v>0</v>
      </c>
      <c r="GD118">
        <f>GB118-GC118</f>
        <v>0</v>
      </c>
      <c r="GE118">
        <f>GD118*M118</f>
        <v>0</v>
      </c>
      <c r="GG118" s="149">
        <f>IF(OR(VLOOKUP(E118,Afgr,Data!$BV$3)=1,VLOOKUP(E118,Afgr,Data!$BW$3)=1),0,NniveauDelsaedsk3)</f>
        <v>0</v>
      </c>
      <c r="GH118" s="1">
        <v>0.32550000000000001</v>
      </c>
      <c r="GI118" s="6">
        <v>0</v>
      </c>
      <c r="GJ118" s="24">
        <f>IF(($V118-BB118+$CM118-DA118)&lt;0,0,$V118-BB118+$CM118-DA118)</f>
        <v>0</v>
      </c>
      <c r="GK118" s="6">
        <f>$FO118</f>
        <v>0</v>
      </c>
      <c r="GL118" s="1">
        <v>0.25280000000000002</v>
      </c>
      <c r="GM118">
        <f>$BA118+$CZ118</f>
        <v>0</v>
      </c>
      <c r="GN118" s="1">
        <v>0.376</v>
      </c>
      <c r="GO118" s="6">
        <v>0</v>
      </c>
      <c r="GP118" s="1">
        <f>IF(SandLer3&gt;1,0.3539,1.0749)</f>
        <v>0.35389999999999999</v>
      </c>
      <c r="GQ118" s="11">
        <f>$FQ118</f>
        <v>0</v>
      </c>
      <c r="GR118" s="1">
        <v>0.19359999999999999</v>
      </c>
      <c r="GS118" s="1">
        <f>VLOOKUP($E118,Afgr,Data!$DM$3)</f>
        <v>0</v>
      </c>
      <c r="GT118" s="24">
        <f>IF($GS118&gt;1,0,(VLOOKUP($K118,Afgr,Data!$DP$3)+IF(VLOOKUP($K118,Afgr,Data!$DP$3)=0,VLOOKUP($G118,Efgr,Data!$BI$53,0))))+IF(AND($GS118=7,VLOOKUP($K118,Afgr,Data!$DQ$3)=-2),-2,0)+IF(AND($GS118=6,VLOOKUP($G118,Efgr,Data!$BI$53)=2),8,0)</f>
        <v>0</v>
      </c>
      <c r="GU118" s="6" t="e">
        <f>VLOOKUP(SUM(GS118:GT118),Nlesafgr,3)</f>
        <v>#N/A</v>
      </c>
      <c r="GV118" s="7">
        <f>VLOOKUP($B118,Afgr,Data!$DN$3)</f>
        <v>0</v>
      </c>
      <c r="GW118" s="24">
        <f>IF(GV118&gt;1,0,VLOOKUP($E118,Afgr,Data!$DO$3)+IF(VLOOKUP($E118,Afgr,Data!$DO$3)=1,0,VLOOKUP($C118,Efgr,Data!$BJ$53)))</f>
        <v>0</v>
      </c>
      <c r="GX118" s="6" t="e">
        <f>VLOOKUP(SUM(GV118:GW118),Nlesforfrugt,3)</f>
        <v>#N/A</v>
      </c>
      <c r="GY118" s="1" t="e">
        <f>GH118*GG118+GL118*(GJ118+GK118)+GN118*GM118+GP118*GO118-GR118*GQ118+GU118+GX118</f>
        <v>#N/A</v>
      </c>
      <c r="GZ118" s="1">
        <f>Nlesafskaering</f>
        <v>59.6</v>
      </c>
      <c r="HA118" s="1">
        <f>Teknologi1</f>
        <v>2455</v>
      </c>
      <c r="HB118" s="6">
        <v>2001</v>
      </c>
      <c r="HC118" s="1">
        <f>Teknologi2</f>
        <v>1962.2</v>
      </c>
      <c r="HD118" s="1">
        <f>Tandel</f>
        <v>0.54659999999999997</v>
      </c>
      <c r="HE118" s="1" t="e">
        <f>IF(OR(GY118&gt;0,GY118=0),GZ118+HA118/(HB118-HC118),GZ118+HA118/(HB118-HC118)+HD118*GY118)</f>
        <v>#N/A</v>
      </c>
      <c r="HF118" s="1" t="e">
        <f>IF(GY118&gt;0,GY118,0.001)</f>
        <v>#N/A</v>
      </c>
      <c r="HG118" s="1">
        <v>1.5020000000000001E-3</v>
      </c>
      <c r="HH118" s="24">
        <f>IF(E118=1,0,VLOOKUP(Postnr,AfstromData,VLOOKUP($E118,Afgr,Data!$DL$3)+IF(Jordtype1&lt;7,Jordtype1,6),FALSE)-VLOOKUP(G118,Efgr,Data!$AA$53))</f>
        <v>0</v>
      </c>
      <c r="HI118" s="1">
        <v>5.5400000000000002E-4</v>
      </c>
      <c r="HJ118" s="24">
        <f>IF(E118=1,0,VLOOKUP(Postnr,AfstromData,VLOOKUP($B118,Afgr,Data!$DL$3)+IF(Jordtype1&lt;7,Jordtype1,6),FALSE)-VLOOKUP(C118,Efgr,Data!$AA$53))</f>
        <v>0</v>
      </c>
      <c r="HK118" s="1">
        <v>0.10639999999999999</v>
      </c>
      <c r="HL118" s="6">
        <f>VLOOKUP(Jordtype3,Jordtype,Data!$W$112)</f>
        <v>3</v>
      </c>
      <c r="HM118" s="1">
        <v>3.2500000000000001E-2</v>
      </c>
      <c r="HN118" s="6">
        <f>VLOOKUP(Jordtype3,Jordtype,Data!$X$112)</f>
        <v>12</v>
      </c>
      <c r="HO118" s="1">
        <v>1.2453000000000001</v>
      </c>
      <c r="HP118" s="1">
        <f>IF(VLOOKUP(G118,Efgr,Data!$AO$53)=1,MlafgrNUdvask,0)</f>
        <v>0</v>
      </c>
      <c r="HQ118" s="20">
        <f>IF(ISERROR((HE118+POWER(HF118,1.2))*(1-EXP(-HG118*HH118))*EXP(-HI118*HJ118)*EXP(-HK118*HL118)*EXP(-HM118*HN118)*HO118),0,(HE118+POWER(HF118,1.2))*(1-EXP(-HG118*HH118))*EXP(-HI118*HJ118)*EXP(-HK118*HL118)*EXP(-HM118*HN118)*HO118+HP118)</f>
        <v>0</v>
      </c>
      <c r="HR118">
        <f>HQ118*M118</f>
        <v>0</v>
      </c>
      <c r="HS118">
        <f>HQ118*(100-Retention3)*0.01</f>
        <v>0</v>
      </c>
      <c r="HT118">
        <f>HS118*M118</f>
        <v>0</v>
      </c>
      <c r="HU118" s="2">
        <f>HH118*10000</f>
        <v>0</v>
      </c>
      <c r="HV118" s="2">
        <f>HU118*M118</f>
        <v>0</v>
      </c>
      <c r="HW118">
        <f>IF(ISERROR(HQ118*1000*1000/HU118),0,HQ118*1000*1000/HU118)</f>
        <v>0</v>
      </c>
      <c r="HY118">
        <f>BP118+BT118+CG118+DG118</f>
        <v>0</v>
      </c>
      <c r="IB118">
        <f>VLOOKUP(E118,Afgr,Data!$AP$3)*UdsaedJust</f>
        <v>0</v>
      </c>
      <c r="IC118" s="3">
        <f>IF(Mark!EG118&lt;&gt;"",Mark!EG118,Regn!IB118)</f>
        <v>0</v>
      </c>
      <c r="ID118" s="3">
        <f>IC118*M118</f>
        <v>0</v>
      </c>
      <c r="IF118" s="3">
        <f>IF(HdgVaerdi=1,($V118-$AY118)*Npris,$V118*Npris)</f>
        <v>0</v>
      </c>
      <c r="IG118" s="3">
        <f>IF118*M118</f>
        <v>0</v>
      </c>
      <c r="II118">
        <f>VLOOKUP($E118,Afgr,Data!$BA$3)</f>
        <v>0</v>
      </c>
      <c r="IJ118">
        <f>VLOOKUP($E118,Afgr,Data!$BB$3)</f>
        <v>0</v>
      </c>
      <c r="IK118">
        <f>$DX118+$EJ118</f>
        <v>0</v>
      </c>
      <c r="IL118">
        <f>IF(HdgDyreart=2,$AV118*NPforholdSvin,$AV118*NPforholdKvaeg)</f>
        <v>0</v>
      </c>
      <c r="IM118">
        <f>II118+IF($IJ118+$IK118&gt;$IL118,($IJ118+$IK118-$IL118),0)</f>
        <v>0</v>
      </c>
      <c r="IN118" s="3">
        <f>IF(HdgVaerdi=1,($II118*Ppris+IF($IJ118+$IK118&gt;$IL118,($IJ118+$IK118-$IL118)*Ppris,0)),($II118+$IJ118+$IK118)*Ppris)</f>
        <v>0</v>
      </c>
      <c r="IO118" s="3">
        <f>IN118*M118</f>
        <v>0</v>
      </c>
      <c r="IQ118">
        <f>IF(AND(E118&gt;1,OR(Jordtype3=1,Jordtype3=3,Markvand3=2)),Kudvask,0)</f>
        <v>0</v>
      </c>
      <c r="IR118">
        <f>$EA118+$EM118</f>
        <v>0</v>
      </c>
      <c r="IS118">
        <f>IF(HdgDyreart=2,$AV118*NKforholdSvin,$AV118*NkforholdKvaeg)</f>
        <v>0</v>
      </c>
      <c r="IT118">
        <f>IF($IQ118+$IR118&gt;$IS118,($IQ118+$IR118-$IS118),0)</f>
        <v>0</v>
      </c>
      <c r="IU118" s="3">
        <f>IF(HdgVaerdi=1,IF($IQ118+$IR118&gt;$IS118,($IQ118+$IR118-$IS118)*Kpris,0),($IQ118+$IR118)*Kpris)</f>
        <v>0</v>
      </c>
      <c r="IV118" s="3">
        <f>IU118*M118</f>
        <v>0</v>
      </c>
      <c r="IX118">
        <f>IF118+IN118+IU118</f>
        <v>0</v>
      </c>
      <c r="IY118" s="3">
        <f>IF(Mark!EM118&lt;&gt;"",Mark!EM118,$IX118)</f>
        <v>0</v>
      </c>
      <c r="IZ118" s="3">
        <f>IY118*M118</f>
        <v>0</v>
      </c>
      <c r="JB118">
        <f>VLOOKUP(E118,Afgr,Data!$AQ$3)*PlantevJust</f>
        <v>0</v>
      </c>
      <c r="JC118" s="3">
        <f>IF(Mark!ES118&lt;&gt;"",Mark!ES118,JB118)</f>
        <v>0</v>
      </c>
      <c r="JD118" s="3">
        <f>JC118*M118</f>
        <v>0</v>
      </c>
      <c r="JF118">
        <f>VLOOKUP(E118,Afgr,Data!$AR$3)+BI118*VLOOKUP(E118,Afgr,Data!$BH$3)</f>
        <v>0</v>
      </c>
      <c r="JG118" s="3">
        <f>IF(Mark!EY118&lt;&gt;"",Mark!EY118,JF118)</f>
        <v>0</v>
      </c>
      <c r="JH118">
        <f>JG118*M118</f>
        <v>0</v>
      </c>
      <c r="JJ118">
        <f>IC118+IY118+JC118+JG118</f>
        <v>0</v>
      </c>
      <c r="JL118">
        <f>IF(VLOOKUP(E118,Afgr,Data!$BY$3)&gt;0,Data!$K$259*PlojJB3,0)</f>
        <v>0</v>
      </c>
      <c r="JM118">
        <f>IF(VLOOKUP(E118,Afgr,Data!$BZ$3)&gt;0,Data!$K$260*PlojJB3,0)</f>
        <v>0</v>
      </c>
      <c r="JN118">
        <f>(JL118+JM118)*MaskJust</f>
        <v>0</v>
      </c>
      <c r="JO118" s="3">
        <f>IF(Mark!FE118&lt;&gt;"",Mark!FE118,JN118)</f>
        <v>0</v>
      </c>
      <c r="JP118" s="3">
        <f>JO118*M118</f>
        <v>0</v>
      </c>
      <c r="JR118">
        <f>IF(VLOOKUP(E118,Afgr,Data!$CA$3)&gt;0,VLOOKUP(E118,Afgr,Data!$CA$3)*Data!$K$261*SaaJB3,0)</f>
        <v>0</v>
      </c>
      <c r="JS118">
        <f>IF(VLOOKUP(E118,Afgr,Data!$CC$3)&gt;0,Data!$K$262*SaaJB3,0)</f>
        <v>0</v>
      </c>
      <c r="JT118">
        <f>IF(VLOOKUP(E118,Afgr,Data!$CD$3)&gt;0,VLOOKUP(E118,Afgr,Data!$CD$3)*Data!$K$263*SaaJB3,0)</f>
        <v>0</v>
      </c>
      <c r="JU118">
        <f>IF(VLOOKUP(E118,Afgr,Data!$CE$3)&gt;0,Data!$K$264*SaaJB3,0)</f>
        <v>0</v>
      </c>
      <c r="JV118">
        <f>IF(VLOOKUP(E118,Afgr,Data!$CF$3)&gt;0,Data!$K$265*SaaJB3,0)</f>
        <v>0</v>
      </c>
      <c r="JW118">
        <f>IF(VLOOKUP(E118,Afgr,Data!$CV$3)&gt;0,Data!$K$266,0)</f>
        <v>0</v>
      </c>
      <c r="JX118">
        <f>IF(VLOOKUP(E118,Afgr,Data!$CG$3)&gt;0,Data!$K$267*SaaJB3,0)</f>
        <v>0</v>
      </c>
      <c r="JY118">
        <f>(JR118+JS118+JT118+JU118+JV118+JW118+JX118)*MaskJust</f>
        <v>0</v>
      </c>
      <c r="JZ118" s="3">
        <f>IF(Mark!FK118&lt;&gt;"",Mark!FK118,JY118)</f>
        <v>0</v>
      </c>
      <c r="KA118" s="3">
        <f>JZ118*M118</f>
        <v>0</v>
      </c>
      <c r="KC118">
        <f>IF(VLOOKUP(E118,Afgr,Data!$CJ$3)&gt;0,VLOOKUP(E118,Afgr,Data!$CJ$3)*Data!$K$268*SaaJB3,0)*MaskJust</f>
        <v>0</v>
      </c>
      <c r="KD118" s="3">
        <f>IF(Mark!FQ118&lt;&gt;"",Mark!FQ118,KC118)</f>
        <v>0</v>
      </c>
      <c r="KE118" s="3">
        <f>KD118*M118</f>
        <v>0</v>
      </c>
      <c r="KG118">
        <f>IF(VLOOKUP(E118,Afgr,Data!$CI$3)&gt;0,VLOOKUP(E118,Afgr,Data!$CI$3)*Data!$K$269,0)*MaskJust</f>
        <v>0</v>
      </c>
      <c r="KH118" s="3">
        <f>IF(Mark!FW118&lt;&gt;"",Mark!FW118,KG118)</f>
        <v>0</v>
      </c>
      <c r="KI118" s="3">
        <f>KH118*M118</f>
        <v>0</v>
      </c>
      <c r="KK118">
        <f>IF(Markvand3=2,VLOOKUP($E118,Afgr,Data!$CY$3),0)</f>
        <v>0</v>
      </c>
      <c r="KL118">
        <f>IF(Mark!GC118&lt;&gt;"",Mark!GC118,$KK118)</f>
        <v>0</v>
      </c>
      <c r="KM118">
        <f>IF(AND(E118&gt;1,Markvand3=2),Vandmaskin+$KL118*Flytning/mmprgang+$KL118*Prisprmm,0)</f>
        <v>0</v>
      </c>
      <c r="KN118" s="3">
        <f>IF(Mark!GI118&lt;&gt;"",Mark!GI118,$KM118)</f>
        <v>0</v>
      </c>
      <c r="KO118" s="3">
        <f>KN118*M118</f>
        <v>0</v>
      </c>
      <c r="KQ118">
        <f>IF(VLOOKUP($E118,Afgr,Data!$CK$3)&gt;0,((1+Regn!$BI118/VLOOKUP($E118,Afgr,Data!$CK$3))/2)*VLOOKUP($E118,Afgr,Data!$CL$3)*VLOOKUP($E118,Afgr,Data!$CN$3)+VLOOKUP($E118,Afgr,Data!$CM$3),0)</f>
        <v>0</v>
      </c>
      <c r="KR118">
        <f>IF(VLOOKUP($E118,Afgr,Data!$CK$3)&gt;0,IF(AND($F118=2,$BW118&gt;0),Data!$K$271,0),0)</f>
        <v>0</v>
      </c>
      <c r="KS118">
        <f>IF(VLOOKUP($E118,Afgr,Data!$CK$3)&gt;0,(Regn!$BI118/VLOOKUP($E118,Afgr,Data!$CK$3))*VLOOKUP($E118,Afgr,Data!$CO$3)*VLOOKUP($E118,Afgr,Data!$CN$3),0)</f>
        <v>0</v>
      </c>
      <c r="KT118">
        <f>(KQ118+KR118+KS118)*MaskJust</f>
        <v>0</v>
      </c>
      <c r="KU118" s="3">
        <f>IF(Mark!GO118&lt;&gt;"",Mark!GO118,KT118)</f>
        <v>0</v>
      </c>
      <c r="KV118" s="3">
        <f>KU118*M118</f>
        <v>0</v>
      </c>
      <c r="KW118" s="3"/>
      <c r="KX118">
        <f>IF(AND($F118=1,VLOOKUP($E118,Afgr,Data!$CP$3)&gt;0),((1+$BY118/VLOOKUP($E118,Afgr,Data!$CP$3))/2)*VLOOKUP($E118,Afgr,Data!$CQ$3),0)</f>
        <v>0</v>
      </c>
      <c r="KY118">
        <f>IF(AND($F118=1,VLOOKUP($E118,Afgr,Data!$CP$3)&gt;0),($BY118/VLOOKUP($E118,Afgr,Data!$CP$3))*VLOOKUP($E118,Afgr,Data!$CR$3),0)</f>
        <v>0</v>
      </c>
      <c r="KZ118">
        <f>(KX118+KY118)*MaskJust</f>
        <v>0</v>
      </c>
      <c r="LA118" s="3">
        <f>IF(Mark!GU118&lt;&gt;"",Mark!GU118,KZ118)</f>
        <v>0</v>
      </c>
      <c r="LB118" s="3">
        <f>LA118*M118</f>
        <v>0</v>
      </c>
      <c r="LD118">
        <f>$BI118*VLOOKUP($E118,Afgr,Data!$CS$3)*IF($I118=1,VLOOKUP($E118,Afgr,Data!$CT$3),IF($I118=2,VLOOKUP($E118,Afgr,Data!$CU$3),0))</f>
        <v>0</v>
      </c>
      <c r="LE118" s="3">
        <f>IF(Mark!HD118&lt;&gt;"",Mark!HD118,LD118)</f>
        <v>0</v>
      </c>
      <c r="LF118" s="3">
        <f>LE118*M118</f>
        <v>0</v>
      </c>
      <c r="LH118">
        <f>VLOOKUP($G118,Efgr,Data!$AC$53)*UdsaedJust</f>
        <v>0</v>
      </c>
      <c r="LI118" s="3">
        <f>IF(Mark!$HL118&lt;&gt;"",Mark!$HL118,LH118)</f>
        <v>0</v>
      </c>
      <c r="LJ118" s="3">
        <f>LI118*M118</f>
        <v>0</v>
      </c>
      <c r="LL118" s="3">
        <f>IF(HdgVaerdi=1,($CM118-$CX118)*Npris,$CM118*Npris)</f>
        <v>0</v>
      </c>
      <c r="LM118" s="3">
        <f>LL118*M118</f>
        <v>0</v>
      </c>
      <c r="LO118">
        <f>$ET118</f>
        <v>0</v>
      </c>
      <c r="LP118">
        <f>IF(HdgDyreart=2,$CU118*NPforholdSvin,$CU118*NPforholdKvaeg)</f>
        <v>0</v>
      </c>
      <c r="LQ118">
        <f>IF($LO118&gt;$LP118,($LO118-$LP118),0)</f>
        <v>0</v>
      </c>
      <c r="LR118" s="3">
        <f>IF(HdgVaerdi=1,IF($LO118&gt;$LP118,($LO118-$LP118)*Ppris,0),$LO118*Ppris)</f>
        <v>0</v>
      </c>
      <c r="LS118" s="3">
        <f>LR118*M118</f>
        <v>0</v>
      </c>
      <c r="LU118">
        <f>$EW118</f>
        <v>0</v>
      </c>
      <c r="LV118">
        <f>IF(HdgDyreart=2,$CU118*NKforholdSvin,$CU118*NkforholdKvaeg)</f>
        <v>0</v>
      </c>
      <c r="LW118">
        <f>IF($LU118&gt;$LV118,($LU118-$LV118),0)</f>
        <v>0</v>
      </c>
      <c r="LX118" s="3">
        <f>IF(HdgVaerdi=1,IF($LU118&gt;$LV118,($LU118-$LV118)*Ppris,0),$LU118*Ppris)</f>
        <v>0</v>
      </c>
      <c r="LY118" s="3">
        <f>LX118*M118</f>
        <v>0</v>
      </c>
      <c r="MA118">
        <f>LL118+LR118+LX118</f>
        <v>0</v>
      </c>
      <c r="MB118" s="3">
        <f>IF(Mark!HR118&lt;&gt;"",Mark!HR118,$MA118)</f>
        <v>0</v>
      </c>
      <c r="MC118" s="3">
        <f>MB118*M118</f>
        <v>0</v>
      </c>
      <c r="ME118">
        <f>VLOOKUP($G118,Efgr,Data!$AE$53)*PlantevJust</f>
        <v>0</v>
      </c>
      <c r="MF118" s="3">
        <f>IF(Mark!HX118&lt;&gt;"",Mark!HX118,ME118)</f>
        <v>0</v>
      </c>
      <c r="MG118" s="3">
        <f>MF118*M118</f>
        <v>0</v>
      </c>
      <c r="MI118">
        <f>VLOOKUP($G118,Efgr,Data!$AF$53)+$DD118*VLOOKUP($G118,Efgr,Data!$AL$53)</f>
        <v>0</v>
      </c>
      <c r="MJ118" s="3">
        <f>IF(Mark!ID118&lt;&gt;"",Mark!ID118,MI118)</f>
        <v>0</v>
      </c>
      <c r="MK118" s="3">
        <f>MJ118*M118</f>
        <v>0</v>
      </c>
      <c r="MM118">
        <f>LI118+MB118+MF118+MJ118</f>
        <v>0</v>
      </c>
      <c r="MO118">
        <f>VLOOKUP($G118,Efgr,Data!$AU$53)*SaaJB3*MaskJust</f>
        <v>0</v>
      </c>
      <c r="MP118" s="3">
        <f>IF(Mark!IJ118&lt;&gt;"",Mark!IJ118,MO118)</f>
        <v>0</v>
      </c>
      <c r="MQ118" s="3">
        <f>MP118*M118</f>
        <v>0</v>
      </c>
      <c r="MS118">
        <f>VLOOKUP($G118,Efgr,Data!$AW$53)*Data!$K$268*SaaJB3*MaskJust</f>
        <v>0</v>
      </c>
      <c r="MT118" s="3">
        <f>IF(Mark!IP118&lt;&gt;"",Mark!IP118,MS118)</f>
        <v>0</v>
      </c>
      <c r="MU118" s="3">
        <f>MT118*M118</f>
        <v>0</v>
      </c>
      <c r="MW118">
        <f>VLOOKUP($G118,Efgr,Data!$AV$53)*Data!$K$269*MaskJust</f>
        <v>0</v>
      </c>
      <c r="MX118" s="3">
        <f>IF(Mark!IV118&lt;&gt;"",Mark!IV118,MW118)</f>
        <v>0</v>
      </c>
      <c r="MY118" s="3">
        <f>MX118*M118</f>
        <v>0</v>
      </c>
      <c r="NA118">
        <f>IF(Markvand3=2,VLOOKUP($G118,Efgr,Data!$BC$53),0)</f>
        <v>0</v>
      </c>
      <c r="NB118">
        <f>IF(Mark!JB118&lt;&gt;"",Mark!JB118,$NA118)</f>
        <v>0</v>
      </c>
      <c r="NC118">
        <f>IF(Markvand3=2,$NB118*Flytning/mmprgang+$NB118*Prisprmm,0)</f>
        <v>0</v>
      </c>
      <c r="ND118" s="3">
        <f>IF(Mark!JH118&lt;&gt;"",Mark!JH118,$NC118)</f>
        <v>0</v>
      </c>
      <c r="NE118" s="3">
        <f>ND118*M118</f>
        <v>0</v>
      </c>
      <c r="NG118">
        <f>IF(VLOOKUP($G118,Efgr,Data!$AX$53)&gt;0,((1+Regn!DD118/VLOOKUP($G118,Efgr,Data!$AX$53))/2)*VLOOKUP($G118,Efgr,Data!$AY$53)*VLOOKUP($G118,Efgr,Data!$BA$53)+VLOOKUP($G118,Efgr,Data!$AZ$53),0)</f>
        <v>0</v>
      </c>
      <c r="NH118">
        <f>IF(VLOOKUP($G118,Efgr,Data!$AX$53)&gt;0,($DD118/VLOOKUP($G118,Efgr,Data!$AX$53))*VLOOKUP($G118,Efgr,Data!$BB$53)*VLOOKUP($G118,Efgr,Data!$BA$53),0)</f>
        <v>0</v>
      </c>
      <c r="NI118">
        <f>(NG118+NH118)*MaskJust</f>
        <v>0</v>
      </c>
      <c r="NJ118" s="3">
        <f>IF(Mark!JN118&lt;&gt;"",Mark!JN118,NI118)</f>
        <v>0</v>
      </c>
      <c r="NK118" s="3">
        <f>NJ118*M118</f>
        <v>0</v>
      </c>
      <c r="NM118">
        <f>IF($H118=2,Data!$K$304,IF($H118=3,Data!$K$305,0))*MaskJust</f>
        <v>0</v>
      </c>
      <c r="NN118" s="3">
        <f>IF(Mark!JT118&lt;&gt;"",Mark!JT118,NM118)</f>
        <v>0</v>
      </c>
      <c r="NO118" s="3">
        <f>NN118*M118</f>
        <v>0</v>
      </c>
      <c r="NQ118">
        <f>HY118</f>
        <v>0</v>
      </c>
      <c r="NR118">
        <f>JJ118+MM118</f>
        <v>0</v>
      </c>
      <c r="NS118">
        <f>NQ118-NR118</f>
        <v>0</v>
      </c>
      <c r="NT118">
        <f>NS118*M118</f>
        <v>0</v>
      </c>
      <c r="NW118">
        <f>VLOOKUP($B118,Afgr,Data!$BP$3)+VLOOKUP($C118,Efgr,Data!$AM$53)</f>
        <v>0</v>
      </c>
      <c r="NX118" s="3">
        <f>NW118*M118</f>
        <v>0</v>
      </c>
      <c r="NY118">
        <f>VLOOKUP($E118,Afgr,Data!$BP$3)+VLOOKUP($G118,Efgr,Data!$AM$53)</f>
        <v>0</v>
      </c>
      <c r="NZ118" s="3">
        <f>NY118*M118</f>
        <v>0</v>
      </c>
      <c r="OB118">
        <f>VLOOKUP($C118,Efgr,Data!$AN$53)</f>
        <v>0</v>
      </c>
      <c r="OC118">
        <f>VLOOKUP($B118,Afgr,Data!$BQ$3)</f>
        <v>0</v>
      </c>
      <c r="OD118">
        <f>VLOOKUP($E118,Afgr,Data!$BR$3)</f>
        <v>1</v>
      </c>
      <c r="OE118">
        <f>OB118*OC118*OD118</f>
        <v>0</v>
      </c>
      <c r="OF118" s="3">
        <f>OE118*M118</f>
        <v>0</v>
      </c>
      <c r="OG118" s="3">
        <f>IF(D118,1,0)*OF118</f>
        <v>0</v>
      </c>
      <c r="OI118">
        <f>VLOOKUP($G118,Efgr,Data!$AN$53)</f>
        <v>0</v>
      </c>
      <c r="OJ118">
        <f>VLOOKUP($E118,Afgr,Data!$BQ$3)</f>
        <v>0</v>
      </c>
      <c r="OK118">
        <f>VLOOKUP($K118,Afgr,Data!$BR$3)</f>
        <v>1</v>
      </c>
      <c r="OL118">
        <f>OI118*OJ118*OK118</f>
        <v>0</v>
      </c>
      <c r="OM118" s="3">
        <f>OL118*M118</f>
        <v>0</v>
      </c>
      <c r="OO118">
        <f>VLOOKUP($G118,Efgr,Data!$AO$53)</f>
        <v>0</v>
      </c>
      <c r="OP118">
        <f>VLOOKUP($B118,Afgr,Data!$BQ$3)</f>
        <v>0</v>
      </c>
      <c r="OQ118">
        <f>VLOOKUP($E118,Afgr,Data!$BS$3)</f>
        <v>0</v>
      </c>
      <c r="OR118" s="3">
        <f>OO118*OP118*OQ118*$M118</f>
        <v>0</v>
      </c>
      <c r="OT118">
        <f>VLOOKUP($G118,Efgr,Data!$AO$53)</f>
        <v>0</v>
      </c>
      <c r="OU118">
        <f>VLOOKUP($E118,Afgr,Data!$BQ$3)</f>
        <v>0</v>
      </c>
      <c r="OV118">
        <f>VLOOKUP($K118,Afgr,Data!$BS$3)</f>
        <v>0</v>
      </c>
      <c r="OW118" s="3">
        <f>OT118*OU118*OV118*$M118</f>
        <v>0</v>
      </c>
      <c r="OX118" s="3"/>
      <c r="OY118" s="3">
        <f>VLOOKUP($B118,Afgr,Data!$BU$3)</f>
        <v>0</v>
      </c>
      <c r="OZ118" s="3">
        <f>OY118*M118</f>
        <v>0</v>
      </c>
      <c r="PA118" s="3">
        <f>VLOOKUP($E118,Afgr,Data!$BU$3)</f>
        <v>0</v>
      </c>
      <c r="PB118" s="3">
        <f>PA118*M118</f>
        <v>0</v>
      </c>
      <c r="PD118">
        <f>VLOOKUP(E118,Afgr,Data!$BX$3)+VLOOKUP(G118,Efgr,Data!$AQ$53)</f>
        <v>0</v>
      </c>
      <c r="PE118">
        <f>IF(PD118&gt;0,M118,0)</f>
        <v>0</v>
      </c>
      <c r="PG118">
        <f>VLOOKUP($B118,Afgr,Data!$BT$3)</f>
        <v>0</v>
      </c>
      <c r="PH118" s="3">
        <f>PG118*M118</f>
        <v>0</v>
      </c>
      <c r="PI118">
        <f>VLOOKUP($E118,Afgr,Data!$BT$3)</f>
        <v>0</v>
      </c>
      <c r="PJ118" s="3">
        <f>PI118*M118</f>
        <v>0</v>
      </c>
      <c r="PL118">
        <f>VLOOKUP($E118,Afgr,Data!$BV$3)</f>
        <v>0</v>
      </c>
      <c r="PM118">
        <f>PL118*M118</f>
        <v>0</v>
      </c>
      <c r="PO118">
        <f>VLOOKUP($E118,Afgr,Data!$BW$3)</f>
        <v>0</v>
      </c>
      <c r="PP118">
        <f>PO118*M118</f>
        <v>0</v>
      </c>
      <c r="PR118">
        <f>BI118*IF(VLOOKUP($E118,Afgr,Data!$BJ$3)&gt;0,1,0)</f>
        <v>0</v>
      </c>
      <c r="PS118">
        <f>PR118*M118</f>
        <v>0</v>
      </c>
      <c r="PU118">
        <f>BI118*VLOOKUP(E118,Afgr,Data!$BK$3)</f>
        <v>0</v>
      </c>
      <c r="PV118">
        <f>M118*PU118</f>
        <v>0</v>
      </c>
      <c r="PW118">
        <f>$BI118*VLOOKUP($E118,Afgr,Data!$BL$3)+$DD118*VLOOKUP($G118,Efgr,Data!$AP$53)</f>
        <v>0</v>
      </c>
      <c r="PX118">
        <f>PW118*M118</f>
        <v>0</v>
      </c>
      <c r="PY118">
        <f>$BI118*VLOOKUP($E118,Afgr,Data!$BM$3)</f>
        <v>0</v>
      </c>
      <c r="PZ118">
        <f>PY118*M118</f>
        <v>0</v>
      </c>
      <c r="QA118">
        <f>$BI118*VLOOKUP($E118,Afgr,Data!$BN$3)</f>
        <v>0</v>
      </c>
      <c r="QB118">
        <f>QA118*M118</f>
        <v>0</v>
      </c>
      <c r="QE118">
        <f>IF(VLOOKUP($E118,Afgr,Data!$DA$3)="Vårbyg",$BJ118,0)*VLOOKUP($E118,Afgr,Data!$BJ$3)</f>
        <v>0</v>
      </c>
      <c r="QF118">
        <f>IF(VLOOKUP($E118,Afgr,Data!$DA$3)="Vinterbyg",$BJ118,0)*VLOOKUP($E118,Afgr,Data!$BJ$3)</f>
        <v>0</v>
      </c>
      <c r="QG118">
        <f>IF(VLOOKUP($E118,Afgr,Data!$DA$3)="Havre",$BJ118,0)*VLOOKUP($E118,Afgr,Data!$BJ$3)</f>
        <v>0</v>
      </c>
      <c r="QH118">
        <f>IF(VLOOKUP($E118,Afgr,Data!$DA$3)="Hvede",$BJ118,0)*VLOOKUP($E118,Afgr,Data!$BJ$3)</f>
        <v>0</v>
      </c>
      <c r="QI118">
        <f>IF(VLOOKUP($E118,Afgr,Data!$DA$3)="Triticale",$BJ118,0)*VLOOKUP($E118,Afgr,Data!$BJ$3)</f>
        <v>0</v>
      </c>
      <c r="QJ118">
        <f>IF(VLOOKUP($E118,Afgr,Data!$DA$3)="Rug",$BJ118,0)*VLOOKUP($E118,Afgr,Data!$BJ$3)</f>
        <v>0</v>
      </c>
      <c r="QK118">
        <f>IF(VLOOKUP($E118,Afgr,Data!$DA$3)="Majs",$BJ118,0)*VLOOKUP($E118,Afgr,Data!$BJ$3)</f>
        <v>0</v>
      </c>
      <c r="QN118">
        <f>IF(OI118+OO118&gt;0,1,0)</f>
        <v>0</v>
      </c>
      <c r="QO118">
        <f>QN118*LJ118</f>
        <v>0</v>
      </c>
      <c r="QP118">
        <f>QN118*MG118</f>
        <v>0</v>
      </c>
      <c r="QQ118">
        <f>MQ118</f>
        <v>0</v>
      </c>
      <c r="QR118">
        <f>QN118*NO118</f>
        <v>0</v>
      </c>
    </row>
    <row r="119" spans="1:460" x14ac:dyDescent="0.25">
      <c r="GG119" s="12"/>
    </row>
    <row r="120" spans="1:460" x14ac:dyDescent="0.25">
      <c r="A120">
        <v>3</v>
      </c>
      <c r="B120">
        <v>1</v>
      </c>
      <c r="C120">
        <v>1</v>
      </c>
      <c r="D120" t="b">
        <v>0</v>
      </c>
      <c r="E120">
        <v>1</v>
      </c>
      <c r="F120">
        <v>1</v>
      </c>
      <c r="G120">
        <v>1</v>
      </c>
      <c r="H120">
        <v>1</v>
      </c>
      <c r="I120">
        <v>1</v>
      </c>
      <c r="K120">
        <v>1</v>
      </c>
      <c r="M120">
        <f>IF(ISERROR(N120*Areal3/$N$132),0,N120*Areal3/$N$132)</f>
        <v>0</v>
      </c>
      <c r="N120">
        <f>Mark!Z120</f>
        <v>0</v>
      </c>
      <c r="P120">
        <f>VLOOKUP($E120,Afgr,NnormKolonneNr3)</f>
        <v>0</v>
      </c>
      <c r="Q120">
        <f>VLOOKUP($B120,Afgr,Data!$AI$3)*VLOOKUP(E120,Afgr,Data!$AJ$3)</f>
        <v>0</v>
      </c>
      <c r="R120">
        <f>IF($D120,0,VLOOKUP($C120,Efgr,(Data!$W$53+$G$28-1)))</f>
        <v>0</v>
      </c>
      <c r="S120">
        <f>P120-Q120-R120</f>
        <v>0</v>
      </c>
      <c r="T120">
        <f>S120*M120</f>
        <v>0</v>
      </c>
      <c r="U120">
        <f>IF(Nmodel34=1,S120*Nniveau34*0.01,AO120)</f>
        <v>0</v>
      </c>
      <c r="V120" s="3">
        <f>IF(Mark!CI120&lt;&gt;"",Mark!CI120,U120)</f>
        <v>0</v>
      </c>
      <c r="W120" s="3">
        <f>V120*M120</f>
        <v>0</v>
      </c>
      <c r="Y120">
        <f>S120/NoptFaktor</f>
        <v>0</v>
      </c>
      <c r="Z120" s="3">
        <f>IF(Mark!BZ120&lt;&gt;"",Mark!BZ120,Y120)</f>
        <v>0</v>
      </c>
      <c r="AB120">
        <f>VLOOKUP($E120,Afgr,Data!$DE$3)</f>
        <v>0</v>
      </c>
      <c r="AC120">
        <f>VLOOKUP($E120,Afgr,Data!$DD$3)</f>
        <v>0</v>
      </c>
      <c r="AD120">
        <f>VLOOKUP($E120,Afgr,Data!$DC$3)</f>
        <v>0</v>
      </c>
      <c r="AE120">
        <f>IF(ISERROR($Z120+(-PrisN/$AD120-$AB120)/(2*$AC120)),0,($Z120+(-PrisN/$AD120-$AB120)/(2*$AC120)))</f>
        <v>0</v>
      </c>
      <c r="AF120">
        <f>($BD120+$BE120+$BF120)*1.03333</f>
        <v>0</v>
      </c>
      <c r="AG120">
        <f>$AF120-($AB120*($AE120-$Z120)+$AC120*($AE120-$Z120)^2)</f>
        <v>0</v>
      </c>
      <c r="AH120">
        <f>IF(Nmodel12=1,$AB120*($AE120-$S120)+$AC120*($AE120-$S120)^2,$AB120*($AE120-$AO120)+$AC120*($AE120-$AO120)^2)</f>
        <v>0</v>
      </c>
      <c r="AI120">
        <f>IF(Nmodel34=1,$AB120*($AE120-$V120)+$AC120*($AE120-$V120)^2,$AB120*($AE120-AO120)+$AC120*($AE120-AO120)^2)</f>
        <v>0</v>
      </c>
      <c r="AJ120">
        <f>AG120+AH120-BG120</f>
        <v>0</v>
      </c>
      <c r="AK120">
        <f>AG120+AI120-AJ120</f>
        <v>0</v>
      </c>
      <c r="AM120">
        <f>VLOOKUP(E120,Afgr,Data!$DF$3+SandLer3)</f>
        <v>0</v>
      </c>
      <c r="AN120">
        <f>IF(ISERROR(((-(PrisN+Pantafgift)+AM120*Pantfaktor*Pantafgift)/AD120-AB120)/(2*AC120)),0,((-(PrisN+Pantafgift)+AM120*Pantfaktor*Pantafgift)/AD120-AB120)/(2*AC120))</f>
        <v>0</v>
      </c>
      <c r="AO120">
        <f>AE120-AN120</f>
        <v>0</v>
      </c>
      <c r="AQ120">
        <f>IF(AT120&gt;0,0,W120)</f>
        <v>0</v>
      </c>
      <c r="AR120">
        <f>IF(ISERROR(W120*HdgNTilFordeling34/NnormIaltFordel34),0,W120*HdgNTilFordeling34/NnormIaltFordel34)</f>
        <v>0</v>
      </c>
      <c r="AS120">
        <f>IF(ISERROR($AR120/$M120),0,$AR120/$M120)</f>
        <v>0</v>
      </c>
      <c r="AT120">
        <f>IF(Mark!CO120&lt;&gt;"",Mark!CO120,0)</f>
        <v>0</v>
      </c>
      <c r="AU120">
        <f>$AT120*$M120</f>
        <v>0</v>
      </c>
      <c r="AV120" s="3">
        <f>IF(AT120&gt;0,AT120,AS120)</f>
        <v>0</v>
      </c>
      <c r="AW120" s="3">
        <f>AV120*M120</f>
        <v>0</v>
      </c>
      <c r="AY120">
        <f>UdnKrav*$AV120/100</f>
        <v>0</v>
      </c>
      <c r="BA120">
        <f>AV120*VLOOKUP($E120,Afgr,Data!$DJ$3)</f>
        <v>0</v>
      </c>
      <c r="BB120">
        <f>UdnKrav*$BA120/100</f>
        <v>0</v>
      </c>
      <c r="BD120">
        <f>VLOOKUP(E120,Afgr,NormudbKolonneNr3)</f>
        <v>0</v>
      </c>
      <c r="BE120">
        <f>VLOOKUP(B120,Afgr,Data!$AL$3)*VLOOKUP(E120,Afgr,MerudbKolonneNr3)</f>
        <v>0</v>
      </c>
      <c r="BF120">
        <f>VLOOKUP(C120,Efgr,(Data!$Y$53+EftervirkningUdb3))</f>
        <v>0</v>
      </c>
      <c r="BG120">
        <f>BD120+BE120+BF120</f>
        <v>0</v>
      </c>
      <c r="BH120">
        <f>IF(OR(V120&lt;&gt;S120,Nmodel34=2),AK120,BD120+BE120+BF120)</f>
        <v>0</v>
      </c>
      <c r="BI120" s="3">
        <f>IF(Mark!AK120&lt;&gt;"",Mark!AK120,BH120)</f>
        <v>0</v>
      </c>
      <c r="BJ120">
        <f>BI120*M120</f>
        <v>0</v>
      </c>
      <c r="BK120">
        <f>VLOOKUP(E120,Afgr,3)</f>
        <v>0</v>
      </c>
      <c r="BL120">
        <f>IF(BK120="FE",VLOOKUP($E120,Afgr,Data!$AV$3),0)</f>
        <v>0</v>
      </c>
      <c r="BN120">
        <f>VLOOKUP(E120,Afgr,4)</f>
        <v>0</v>
      </c>
      <c r="BO120" s="3">
        <f>IF(Mark!AW120&lt;&gt;"",Mark!AW120,Regn!BN120)</f>
        <v>0</v>
      </c>
      <c r="BP120" s="3">
        <f>BI120*BO120</f>
        <v>0</v>
      </c>
      <c r="BQ120" s="3">
        <f>BJ120*BO120</f>
        <v>0</v>
      </c>
      <c r="BS120">
        <f>VLOOKUP(E120,Afgr,Data!$AN$3)</f>
        <v>0</v>
      </c>
      <c r="BT120" s="3">
        <f>IF(Mark!BC120&lt;&gt;"",Mark!BC120,BS120)</f>
        <v>0</v>
      </c>
      <c r="BU120" s="3">
        <f>BT120*M120</f>
        <v>0</v>
      </c>
      <c r="BW120">
        <f>VLOOKUP(E120,Afgr,HalmudbKolonneNr3)</f>
        <v>0</v>
      </c>
      <c r="BX120">
        <f>IF(ISERROR(BW120*BI120/BG120),0,(BW120*BI120/BG120))</f>
        <v>0</v>
      </c>
      <c r="BY120" s="3">
        <f>IF(Mark!BI120&lt;&gt;"",Mark!BI120,BX120)</f>
        <v>0</v>
      </c>
      <c r="BZ120">
        <f>BY120*M120</f>
        <v>0</v>
      </c>
      <c r="CC120">
        <f>IF($F120=1,BY120,0)</f>
        <v>0</v>
      </c>
      <c r="CD120">
        <f>IF(F120=1,BZ120,0)</f>
        <v>0</v>
      </c>
      <c r="CE120">
        <f>VLOOKUP(E120,Afgr,Data!$AM$3)</f>
        <v>0</v>
      </c>
      <c r="CF120">
        <f>IF(Mark!BR120&lt;&gt;"",Mark!BR120,CE120)</f>
        <v>0</v>
      </c>
      <c r="CG120">
        <f>CC120*CF120</f>
        <v>0</v>
      </c>
      <c r="CH120">
        <f>CD120*CF120</f>
        <v>0</v>
      </c>
      <c r="CJ120">
        <f>VLOOKUP($G120,Efgr,NnormKolonneEfgr3)</f>
        <v>0</v>
      </c>
      <c r="CK120">
        <f>CJ120*M120</f>
        <v>0</v>
      </c>
      <c r="CL120">
        <f>CJ120*Nniveau34*0.01</f>
        <v>0</v>
      </c>
      <c r="CM120" s="3">
        <f>IF(Mark!DM120&lt;&gt;"",Mark!DM120,CL120)</f>
        <v>0</v>
      </c>
      <c r="CN120" s="3">
        <f>$CM120*$M120</f>
        <v>0</v>
      </c>
      <c r="CP120">
        <f>IF(CS120&gt;0,0,CN120)</f>
        <v>0</v>
      </c>
      <c r="CQ120" s="12">
        <f>IF(ISERROR(CN120*HdgNTilFordeling34/NnormIaltFordel34),0,CN120*HdgNTilFordeling34/NnormIaltFordel34)</f>
        <v>0</v>
      </c>
      <c r="CR120">
        <f>IF(ISERROR($CQ120/$M120),0,$CQ120/$M120)</f>
        <v>0</v>
      </c>
      <c r="CS120">
        <f>IF(Mark!DS120&lt;&gt;"",Mark!DS120,0)</f>
        <v>0</v>
      </c>
      <c r="CT120">
        <f>$CS120*$M120</f>
        <v>0</v>
      </c>
      <c r="CU120" s="3">
        <f>IF($CS120&gt;0,$CS120,$CR120)</f>
        <v>0</v>
      </c>
      <c r="CV120" s="3">
        <f>CU120*M120</f>
        <v>0</v>
      </c>
      <c r="CX120">
        <f>UdnKrav*$CU120/100</f>
        <v>0</v>
      </c>
      <c r="CZ120">
        <f>$CU120*VLOOKUP($G120,Efgr,Data!$BG$53)</f>
        <v>0</v>
      </c>
      <c r="DA120">
        <f>UdnKrav*$CZ120/100</f>
        <v>0</v>
      </c>
      <c r="DC120">
        <f>VLOOKUP(G120,Efgr,NormudbKolonneNrEfgr3)</f>
        <v>0</v>
      </c>
      <c r="DD120" s="3">
        <f>IF(Mark!DC120&lt;&gt;"",Mark!DC120,DC120)</f>
        <v>0</v>
      </c>
      <c r="DE120">
        <f>DD120*M120</f>
        <v>0</v>
      </c>
      <c r="DF120" t="s">
        <v>37</v>
      </c>
      <c r="DG120">
        <f>DD120*Efterslaetpris</f>
        <v>0</v>
      </c>
      <c r="DH120">
        <f>DE120*Efterslaetpris</f>
        <v>0</v>
      </c>
      <c r="DI120">
        <f>VLOOKUP(G120,Efgr,Data!$AG$53)</f>
        <v>0</v>
      </c>
      <c r="DJ120">
        <f>DD120*DI120</f>
        <v>0</v>
      </c>
      <c r="DL120">
        <f>VLOOKUP($E120,Afgr,Data!$AW$3)</f>
        <v>0</v>
      </c>
      <c r="DM120">
        <f>IF(BK120="FE",$BI120*$BL120*$DL120*0.01,$BI120*100*$DR120*0.01*$DL120*0.01)</f>
        <v>0</v>
      </c>
      <c r="DN120">
        <f>IF(VLOOKUP(E120,Afgr,Data!$BO$3)=1,DM120,0)*M120</f>
        <v>0</v>
      </c>
      <c r="DO120" s="12">
        <f>IF(Nmodel34=1,(V120-S120)*VLOOKUP($E120,Afgr,Data!$AX$3),(AO120-S120)*VLOOKUP(E120,Afgr,Data!$AX$3))</f>
        <v>0</v>
      </c>
      <c r="DP120">
        <f>DL120+DO120</f>
        <v>0</v>
      </c>
      <c r="DQ120">
        <f>IF(Mark!AQ120&lt;&gt;"",Mark!AQ120,DP120)</f>
        <v>0</v>
      </c>
      <c r="DR120">
        <f>VLOOKUP(E120,Afgr,Data!$AT$3)</f>
        <v>0</v>
      </c>
      <c r="DS120">
        <f>IF($BK120="FE",$BI120*$BL120*$DQ120*0.01,$BI120*100*$DR120*0.01*DQ120*0.01)</f>
        <v>0</v>
      </c>
      <c r="DT120">
        <f>IF(VLOOKUP(E120,Afgr,Data!$BO$3)=1,DS120,0)*M120</f>
        <v>0</v>
      </c>
      <c r="DU120">
        <f>IF(ISERROR(DS120/VLOOKUP(E120,Afgr,Data!$AY$3)),0,DS120/VLOOKUP(E120,Afgr,Data!$AY$3))</f>
        <v>0</v>
      </c>
      <c r="DV120">
        <f>DU120*M120</f>
        <v>0</v>
      </c>
      <c r="DX120">
        <f>IF($BK120="FE",$BI120*$BL120*VLOOKUP($E120,Afgr,Data!$BC$3)*0.001,$BI120*100*$DR120*0.01*VLOOKUP($E120,Afgr,Data!$BC$3)*0.001)</f>
        <v>0</v>
      </c>
      <c r="DY120">
        <f>DX120*M120</f>
        <v>0</v>
      </c>
      <c r="EA120">
        <f>IF($BK120="FE",$BI120*$BL120*VLOOKUP($E120,Afgr,Data!$BF$3)*0.001,$BI120*100*$DR120*0.01*VLOOKUP($E120,Afgr,Data!$BF$3)*0.001)</f>
        <v>0</v>
      </c>
      <c r="EB120">
        <f>EA120*M120</f>
        <v>0</v>
      </c>
      <c r="ED120">
        <f>IF(ISERROR(VLOOKUP(E120,Afgr,Data!$AZ$3)*DQ120/DL120),0,VLOOKUP(E120,Afgr,Data!$AZ$3)*DQ120/DL120)</f>
        <v>0</v>
      </c>
      <c r="EE120">
        <f>VLOOKUP(E120,Afgr,Data!$AU$3)</f>
        <v>0</v>
      </c>
      <c r="EF120">
        <f>IF($F120=1,$BY120*$EE120*0.01*ED120*0.01,0)</f>
        <v>0</v>
      </c>
      <c r="EG120">
        <f>EF120/6.25</f>
        <v>0</v>
      </c>
      <c r="EH120">
        <f>EG120*M120</f>
        <v>0</v>
      </c>
      <c r="EJ120">
        <f>IF($F120=1,$BY120*$EE120*0.01*VLOOKUP($E120,Afgr,Data!$BD$3)*0.001,0)</f>
        <v>0</v>
      </c>
      <c r="EK120">
        <f>EJ120*M120</f>
        <v>0</v>
      </c>
      <c r="EM120">
        <f>IF($F120=1,$BY120*$EE120*0.01*VLOOKUP($E120,Afgr,Data!$BG$3)*0.001,0)</f>
        <v>0</v>
      </c>
      <c r="EN120">
        <f>EM120*M120</f>
        <v>0</v>
      </c>
      <c r="EP120">
        <f>VLOOKUP(G120,Efgr,Data!$AI$53)</f>
        <v>0</v>
      </c>
      <c r="EQ120">
        <f>DJ120*EP120*0.01/6.25</f>
        <v>0</v>
      </c>
      <c r="ER120">
        <f>EQ120*M120</f>
        <v>0</v>
      </c>
      <c r="ET120">
        <f>$DJ120*VLOOKUP($G120,Efgr,Data!$AJ$53)*0.001</f>
        <v>0</v>
      </c>
      <c r="EU120">
        <f>ET120*M120</f>
        <v>0</v>
      </c>
      <c r="EW120">
        <f>$DJ120*VLOOKUP($G120,Efgr,Data!$AK$53)*0.001</f>
        <v>0</v>
      </c>
      <c r="EX120">
        <f>EW120*M120</f>
        <v>0</v>
      </c>
      <c r="EZ120">
        <f>IF(VLOOKUP(E120,Afgr,Data!$DS$3)=1,DU120*VLOOKUP(E120,Afgr,(Data!$DT$3+EftervirkningUdb3))*VLOOKUP(E120,Afgr,Data!$DV$3),0)</f>
        <v>0</v>
      </c>
      <c r="FA120">
        <f>IF(VLOOKUP(E120,Afgr,Data!$DS$3)=2,VLOOKUP(E120,Afgr,Data!$DX$3),0)</f>
        <v>0</v>
      </c>
      <c r="FB120">
        <f>IF(VLOOKUP(E120,Afgr,Data!$DS$3)=3,$DU120*VLOOKUP($E120,Afgr,IF(Jordtype3&lt;5,Data!$DT$3,Data!$DU$3))*VLOOKUP($E120,Afgr,Data!$DV$3),0)</f>
        <v>0</v>
      </c>
      <c r="FC120">
        <f>IF(VLOOKUP(E120,Afgr,Data!$DS$3)=4,(1.232+0.00469*BI120*100+(0.000256*BI120*100+0.089)*60),0)</f>
        <v>0</v>
      </c>
      <c r="FD120">
        <f>$V120+IF($AY120-$BB120&gt;$V120,$AY120-$V120,0)-$BB120</f>
        <v>0</v>
      </c>
      <c r="FE120">
        <f>IF(VLOOKUP($E120,Afgr,Data!$DS$3)=5,($BI120*0.02742-$BI120*0.0001*$FD120+$BI120*0.0000001111*$FD120*$FD120),0)</f>
        <v>0</v>
      </c>
      <c r="FF120">
        <f>$CM120+IF($CX120-$DA120&gt;$CM120,$CX120-$CM120,0)-$DA120</f>
        <v>0</v>
      </c>
      <c r="FG120">
        <f>IF(VLOOKUP($G120,Efgr,Data!$BH$53)=5,($DD120*0.02742-$DD120*0.0001*$FF120+$DD120*0.0000001111*$FF120*$FF120),0)</f>
        <v>0</v>
      </c>
      <c r="FH120" s="3">
        <f>EZ120+FA120+FB120+FC120+FE120+FG120</f>
        <v>0</v>
      </c>
      <c r="FI120" s="3">
        <f>FH120*M120</f>
        <v>0</v>
      </c>
      <c r="FK120">
        <f>$V120+$CM120</f>
        <v>0</v>
      </c>
      <c r="FL120">
        <f>($AV120-$AY120)+IF($AY120&gt;$V120,$AY120-$V120,0)+($CU120-$CX120)+IF($CX120&gt;$CM120,$CX120-$CM120,0)</f>
        <v>0</v>
      </c>
      <c r="FM120">
        <f>VLOOKUP($E120,Afgr,Data!$DK$3)*VLOOKUP($E120,Afgr,Data!$AT$3)*0.01*VLOOKUP($E120,Afgr,Data!$AW$3)*0.01/6.25</f>
        <v>0</v>
      </c>
      <c r="FN120" s="4">
        <f>IF(E120&gt;1,Deposition,0)</f>
        <v>0</v>
      </c>
      <c r="FO120">
        <f>FH120</f>
        <v>0</v>
      </c>
      <c r="FP120">
        <f>SUM(FK120:FO120)</f>
        <v>0</v>
      </c>
      <c r="FQ120">
        <f>DU120+EG120+EQ120</f>
        <v>0</v>
      </c>
      <c r="FR120" s="3">
        <f>FP120-FQ120</f>
        <v>0</v>
      </c>
      <c r="FS120" s="19">
        <f>FP120*M120</f>
        <v>0</v>
      </c>
      <c r="FT120" s="19">
        <f>FQ120*M120</f>
        <v>0</v>
      </c>
      <c r="FU120" s="3">
        <f>FR120*M120</f>
        <v>0</v>
      </c>
      <c r="FW120">
        <f>IL120+IM120+LP120+LQ120</f>
        <v>0</v>
      </c>
      <c r="FX120">
        <f>IK120+LO120</f>
        <v>0</v>
      </c>
      <c r="FY120">
        <f>FW120-FX120</f>
        <v>0</v>
      </c>
      <c r="FZ120">
        <f>FY120*M120</f>
        <v>0</v>
      </c>
      <c r="GB120">
        <f>IS120+IT120+LV120+LW120</f>
        <v>0</v>
      </c>
      <c r="GC120">
        <f>IR120+LU120</f>
        <v>0</v>
      </c>
      <c r="GD120">
        <f>GB120-GC120</f>
        <v>0</v>
      </c>
      <c r="GE120">
        <f>GD120*M120</f>
        <v>0</v>
      </c>
      <c r="GG120" s="149">
        <f>IF(OR(VLOOKUP(E120,Afgr,Data!$BV$3)=1,VLOOKUP(E120,Afgr,Data!$BW$3)=1),0,NniveauDelsaedsk3)</f>
        <v>0</v>
      </c>
      <c r="GH120" s="1">
        <v>0.32550000000000001</v>
      </c>
      <c r="GI120" s="6">
        <v>0</v>
      </c>
      <c r="GJ120" s="24">
        <f>IF(($V120-BB120+$CM120-DA120)&lt;0,0,$V120-BB120+$CM120-DA120)</f>
        <v>0</v>
      </c>
      <c r="GK120" s="6">
        <f>$FO120</f>
        <v>0</v>
      </c>
      <c r="GL120" s="1">
        <v>0.25280000000000002</v>
      </c>
      <c r="GM120">
        <f>$BA120+$CZ120</f>
        <v>0</v>
      </c>
      <c r="GN120" s="1">
        <v>0.376</v>
      </c>
      <c r="GO120" s="6">
        <v>0</v>
      </c>
      <c r="GP120" s="1">
        <f>IF(SandLer3&gt;1,0.3539,1.0749)</f>
        <v>0.35389999999999999</v>
      </c>
      <c r="GQ120" s="11">
        <f>$FQ120</f>
        <v>0</v>
      </c>
      <c r="GR120" s="1">
        <v>0.19359999999999999</v>
      </c>
      <c r="GS120" s="1">
        <f>VLOOKUP($E120,Afgr,Data!$DM$3)</f>
        <v>0</v>
      </c>
      <c r="GT120" s="24">
        <f>IF($GS120&gt;1,0,(VLOOKUP($K120,Afgr,Data!$DP$3)+IF(VLOOKUP($K120,Afgr,Data!$DP$3)=0,VLOOKUP($G120,Efgr,Data!$BI$53,0))))+IF(AND($GS120=7,VLOOKUP($K120,Afgr,Data!$DQ$3)=-2),-2,0)+IF(AND($GS120=6,VLOOKUP($G120,Efgr,Data!$BI$53)=2),8,0)</f>
        <v>0</v>
      </c>
      <c r="GU120" s="6" t="e">
        <f>VLOOKUP(SUM(GS120:GT120),Nlesafgr,3)</f>
        <v>#N/A</v>
      </c>
      <c r="GV120" s="7">
        <f>VLOOKUP($B120,Afgr,Data!$DN$3)</f>
        <v>0</v>
      </c>
      <c r="GW120" s="24">
        <f>IF(GV120&gt;1,0,VLOOKUP($E120,Afgr,Data!$DO$3)+IF(VLOOKUP($E120,Afgr,Data!$DO$3)=1,0,VLOOKUP($C120,Efgr,Data!$BJ$53)))</f>
        <v>0</v>
      </c>
      <c r="GX120" s="6" t="e">
        <f>VLOOKUP(SUM(GV120:GW120),Nlesforfrugt,3)</f>
        <v>#N/A</v>
      </c>
      <c r="GY120" s="1" t="e">
        <f>GH120*GG120+GL120*(GJ120+GK120)+GN120*GM120+GP120*GO120-GR120*GQ120+GU120+GX120</f>
        <v>#N/A</v>
      </c>
      <c r="GZ120" s="1">
        <f>Nlesafskaering</f>
        <v>59.6</v>
      </c>
      <c r="HA120" s="1">
        <f>Teknologi1</f>
        <v>2455</v>
      </c>
      <c r="HB120" s="6">
        <v>2001</v>
      </c>
      <c r="HC120" s="1">
        <f>Teknologi2</f>
        <v>1962.2</v>
      </c>
      <c r="HD120" s="1">
        <f>Tandel</f>
        <v>0.54659999999999997</v>
      </c>
      <c r="HE120" s="1" t="e">
        <f>IF(OR(GY120&gt;0,GY120=0),GZ120+HA120/(HB120-HC120),GZ120+HA120/(HB120-HC120)+HD120*GY120)</f>
        <v>#N/A</v>
      </c>
      <c r="HF120" s="1" t="e">
        <f>IF(GY120&gt;0,GY120,0.001)</f>
        <v>#N/A</v>
      </c>
      <c r="HG120" s="1">
        <v>1.5020000000000001E-3</v>
      </c>
      <c r="HH120" s="24">
        <f>IF(E120=1,0,VLOOKUP(Postnr,AfstromData,VLOOKUP($E120,Afgr,Data!$DL$3)+IF(Jordtype1&lt;7,Jordtype1,6),FALSE)-VLOOKUP(G120,Efgr,Data!$AA$53))</f>
        <v>0</v>
      </c>
      <c r="HI120" s="1">
        <v>5.5400000000000002E-4</v>
      </c>
      <c r="HJ120" s="24">
        <f>IF(E120=1,0,VLOOKUP(Postnr,AfstromData,VLOOKUP($B120,Afgr,Data!$DL$3)+IF(Jordtype1&lt;7,Jordtype1,6),FALSE)-VLOOKUP(C120,Efgr,Data!$AA$53))</f>
        <v>0</v>
      </c>
      <c r="HK120" s="1">
        <v>0.10639999999999999</v>
      </c>
      <c r="HL120" s="6">
        <f>VLOOKUP(Jordtype3,Jordtype,Data!$W$112)</f>
        <v>3</v>
      </c>
      <c r="HM120" s="1">
        <v>3.2500000000000001E-2</v>
      </c>
      <c r="HN120" s="6">
        <f>VLOOKUP(Jordtype3,Jordtype,Data!$X$112)</f>
        <v>12</v>
      </c>
      <c r="HO120" s="1">
        <v>1.2453000000000001</v>
      </c>
      <c r="HP120" s="1">
        <f>IF(VLOOKUP(G120,Efgr,Data!$AO$53)=1,MlafgrNUdvask,0)</f>
        <v>0</v>
      </c>
      <c r="HQ120" s="20">
        <f>IF(ISERROR((HE120+POWER(HF120,1.2))*(1-EXP(-HG120*HH120))*EXP(-HI120*HJ120)*EXP(-HK120*HL120)*EXP(-HM120*HN120)*HO120),0,(HE120+POWER(HF120,1.2))*(1-EXP(-HG120*HH120))*EXP(-HI120*HJ120)*EXP(-HK120*HL120)*EXP(-HM120*HN120)*HO120+HP120)</f>
        <v>0</v>
      </c>
      <c r="HR120">
        <f>HQ120*M120</f>
        <v>0</v>
      </c>
      <c r="HS120">
        <f>HQ120*(100-Retention3)*0.01</f>
        <v>0</v>
      </c>
      <c r="HT120">
        <f>HS120*M120</f>
        <v>0</v>
      </c>
      <c r="HU120" s="2">
        <f>HH120*10000</f>
        <v>0</v>
      </c>
      <c r="HV120" s="2">
        <f>HU120*M120</f>
        <v>0</v>
      </c>
      <c r="HW120">
        <f>IF(ISERROR(HQ120*1000*1000/HU120),0,HQ120*1000*1000/HU120)</f>
        <v>0</v>
      </c>
      <c r="HY120">
        <f>BP120+BT120+CG120+DG120</f>
        <v>0</v>
      </c>
      <c r="IB120">
        <f>VLOOKUP(E120,Afgr,Data!$AP$3)*UdsaedJust</f>
        <v>0</v>
      </c>
      <c r="IC120" s="3">
        <f>IF(Mark!EG120&lt;&gt;"",Mark!EG120,Regn!IB120)</f>
        <v>0</v>
      </c>
      <c r="ID120" s="3">
        <f>IC120*M120</f>
        <v>0</v>
      </c>
      <c r="IF120" s="3">
        <f>IF(HdgVaerdi=1,($V120-$AY120)*Npris,$V120*Npris)</f>
        <v>0</v>
      </c>
      <c r="IG120" s="3">
        <f>IF120*M120</f>
        <v>0</v>
      </c>
      <c r="II120">
        <f>VLOOKUP($E120,Afgr,Data!$BA$3)</f>
        <v>0</v>
      </c>
      <c r="IJ120">
        <f>VLOOKUP($E120,Afgr,Data!$BB$3)</f>
        <v>0</v>
      </c>
      <c r="IK120">
        <f>$DX120+$EJ120</f>
        <v>0</v>
      </c>
      <c r="IL120">
        <f>IF(HdgDyreart=2,$AV120*NPforholdSvin,$AV120*NPforholdKvaeg)</f>
        <v>0</v>
      </c>
      <c r="IM120">
        <f>II120+IF($IJ120+$IK120&gt;$IL120,($IJ120+$IK120-$IL120),0)</f>
        <v>0</v>
      </c>
      <c r="IN120" s="3">
        <f>IF(HdgVaerdi=1,($II120*Ppris+IF($IJ120+$IK120&gt;$IL120,($IJ120+$IK120-$IL120)*Ppris,0)),($II120+$IJ120+$IK120)*Ppris)</f>
        <v>0</v>
      </c>
      <c r="IO120" s="3">
        <f>IN120*M120</f>
        <v>0</v>
      </c>
      <c r="IQ120">
        <f>IF(AND(E120&gt;1,OR(Jordtype3=1,Jordtype3=3,Markvand3=2)),Kudvask,0)</f>
        <v>0</v>
      </c>
      <c r="IR120">
        <f>$EA120+$EM120</f>
        <v>0</v>
      </c>
      <c r="IS120">
        <f>IF(HdgDyreart=2,$AV120*NKforholdSvin,$AV120*NkforholdKvaeg)</f>
        <v>0</v>
      </c>
      <c r="IT120">
        <f>IF($IQ120+$IR120&gt;$IS120,($IQ120+$IR120-$IS120),0)</f>
        <v>0</v>
      </c>
      <c r="IU120" s="3">
        <f>IF(HdgVaerdi=1,IF($IQ120+$IR120&gt;$IS120,($IQ120+$IR120-$IS120)*Kpris,0),($IQ120+$IR120)*Kpris)</f>
        <v>0</v>
      </c>
      <c r="IV120" s="3">
        <f>IU120*M120</f>
        <v>0</v>
      </c>
      <c r="IX120">
        <f>IF120+IN120+IU120</f>
        <v>0</v>
      </c>
      <c r="IY120" s="3">
        <f>IF(Mark!EM120&lt;&gt;"",Mark!EM120,$IX120)</f>
        <v>0</v>
      </c>
      <c r="IZ120" s="3">
        <f>IY120*M120</f>
        <v>0</v>
      </c>
      <c r="JB120">
        <f>VLOOKUP(E120,Afgr,Data!$AQ$3)*PlantevJust</f>
        <v>0</v>
      </c>
      <c r="JC120" s="3">
        <f>IF(Mark!ES120&lt;&gt;"",Mark!ES120,JB120)</f>
        <v>0</v>
      </c>
      <c r="JD120" s="3">
        <f>JC120*M120</f>
        <v>0</v>
      </c>
      <c r="JF120">
        <f>VLOOKUP(E120,Afgr,Data!$AR$3)+BI120*VLOOKUP(E120,Afgr,Data!$BH$3)</f>
        <v>0</v>
      </c>
      <c r="JG120" s="3">
        <f>IF(Mark!EY120&lt;&gt;"",Mark!EY120,JF120)</f>
        <v>0</v>
      </c>
      <c r="JH120">
        <f>JG120*M120</f>
        <v>0</v>
      </c>
      <c r="JJ120">
        <f>IC120+IY120+JC120+JG120</f>
        <v>0</v>
      </c>
      <c r="JL120">
        <f>IF(VLOOKUP(E120,Afgr,Data!$BY$3)&gt;0,Data!$K$259*PlojJB3,0)</f>
        <v>0</v>
      </c>
      <c r="JM120">
        <f>IF(VLOOKUP(E120,Afgr,Data!$BZ$3)&gt;0,Data!$K$260*PlojJB3,0)</f>
        <v>0</v>
      </c>
      <c r="JN120">
        <f>(JL120+JM120)*MaskJust</f>
        <v>0</v>
      </c>
      <c r="JO120" s="3">
        <f>IF(Mark!FE120&lt;&gt;"",Mark!FE120,JN120)</f>
        <v>0</v>
      </c>
      <c r="JP120" s="3">
        <f>JO120*M120</f>
        <v>0</v>
      </c>
      <c r="JR120">
        <f>IF(VLOOKUP(E120,Afgr,Data!$CA$3)&gt;0,VLOOKUP(E120,Afgr,Data!$CA$3)*Data!$K$261*SaaJB3,0)</f>
        <v>0</v>
      </c>
      <c r="JS120">
        <f>IF(VLOOKUP(E120,Afgr,Data!$CC$3)&gt;0,Data!$K$262*SaaJB3,0)</f>
        <v>0</v>
      </c>
      <c r="JT120">
        <f>IF(VLOOKUP(E120,Afgr,Data!$CD$3)&gt;0,VLOOKUP(E120,Afgr,Data!$CD$3)*Data!$K$263*SaaJB3,0)</f>
        <v>0</v>
      </c>
      <c r="JU120">
        <f>IF(VLOOKUP(E120,Afgr,Data!$CE$3)&gt;0,Data!$K$264*SaaJB3,0)</f>
        <v>0</v>
      </c>
      <c r="JV120">
        <f>IF(VLOOKUP(E120,Afgr,Data!$CF$3)&gt;0,Data!$K$265*SaaJB3,0)</f>
        <v>0</v>
      </c>
      <c r="JW120">
        <f>IF(VLOOKUP(E120,Afgr,Data!$CV$3)&gt;0,Data!$K$266,0)</f>
        <v>0</v>
      </c>
      <c r="JX120">
        <f>IF(VLOOKUP(E120,Afgr,Data!$CG$3)&gt;0,Data!$K$267*SaaJB3,0)</f>
        <v>0</v>
      </c>
      <c r="JY120">
        <f>(JR120+JS120+JT120+JU120+JV120+JW120+JX120)*MaskJust</f>
        <v>0</v>
      </c>
      <c r="JZ120" s="3">
        <f>IF(Mark!FK120&lt;&gt;"",Mark!FK120,JY120)</f>
        <v>0</v>
      </c>
      <c r="KA120" s="3">
        <f>JZ120*M120</f>
        <v>0</v>
      </c>
      <c r="KC120">
        <f>IF(VLOOKUP(E120,Afgr,Data!$CJ$3)&gt;0,VLOOKUP(E120,Afgr,Data!$CJ$3)*Data!$K$268*SaaJB3,0)*MaskJust</f>
        <v>0</v>
      </c>
      <c r="KD120" s="3">
        <f>IF(Mark!FQ120&lt;&gt;"",Mark!FQ120,KC120)</f>
        <v>0</v>
      </c>
      <c r="KE120" s="3">
        <f>KD120*M120</f>
        <v>0</v>
      </c>
      <c r="KG120">
        <f>IF(VLOOKUP(E120,Afgr,Data!$CI$3)&gt;0,VLOOKUP(E120,Afgr,Data!$CI$3)*Data!$K$269,0)*MaskJust</f>
        <v>0</v>
      </c>
      <c r="KH120" s="3">
        <f>IF(Mark!FW120&lt;&gt;"",Mark!FW120,KG120)</f>
        <v>0</v>
      </c>
      <c r="KI120" s="3">
        <f>KH120*M120</f>
        <v>0</v>
      </c>
      <c r="KK120">
        <f>IF(Markvand3=2,VLOOKUP($E120,Afgr,Data!$CY$3),0)</f>
        <v>0</v>
      </c>
      <c r="KL120">
        <f>IF(Mark!GC120&lt;&gt;"",Mark!GC120,$KK120)</f>
        <v>0</v>
      </c>
      <c r="KM120">
        <f>IF(AND(E120&gt;1,Markvand3=2),Vandmaskin+$KL120*Flytning/mmprgang+$KL120*Prisprmm,0)</f>
        <v>0</v>
      </c>
      <c r="KN120" s="3">
        <f>IF(Mark!GI120&lt;&gt;"",Mark!GI120,$KM120)</f>
        <v>0</v>
      </c>
      <c r="KO120" s="3">
        <f>KN120*M120</f>
        <v>0</v>
      </c>
      <c r="KQ120">
        <f>IF(VLOOKUP($E120,Afgr,Data!$CK$3)&gt;0,((1+Regn!$BI120/VLOOKUP($E120,Afgr,Data!$CK$3))/2)*VLOOKUP($E120,Afgr,Data!$CL$3)*VLOOKUP($E120,Afgr,Data!$CN$3)+VLOOKUP($E120,Afgr,Data!$CM$3),0)</f>
        <v>0</v>
      </c>
      <c r="KR120">
        <f>IF(VLOOKUP($E120,Afgr,Data!$CK$3)&gt;0,IF(AND($F120=2,$BW120&gt;0),Data!$K$271,0),0)</f>
        <v>0</v>
      </c>
      <c r="KS120">
        <f>IF(VLOOKUP($E120,Afgr,Data!$CK$3)&gt;0,(Regn!$BI120/VLOOKUP($E120,Afgr,Data!$CK$3))*VLOOKUP($E120,Afgr,Data!$CO$3)*VLOOKUP($E120,Afgr,Data!$CN$3),0)</f>
        <v>0</v>
      </c>
      <c r="KT120">
        <f>(KQ120+KR120+KS120)*MaskJust</f>
        <v>0</v>
      </c>
      <c r="KU120" s="3">
        <f>IF(Mark!GO120&lt;&gt;"",Mark!GO120,KT120)</f>
        <v>0</v>
      </c>
      <c r="KV120" s="3">
        <f>KU120*M120</f>
        <v>0</v>
      </c>
      <c r="KW120" s="3"/>
      <c r="KX120">
        <f>IF(AND($F120=1,VLOOKUP($E120,Afgr,Data!$CP$3)&gt;0),((1+$BY120/VLOOKUP($E120,Afgr,Data!$CP$3))/2)*VLOOKUP($E120,Afgr,Data!$CQ$3),0)</f>
        <v>0</v>
      </c>
      <c r="KY120">
        <f>IF(AND($F120=1,VLOOKUP($E120,Afgr,Data!$CP$3)&gt;0),($BY120/VLOOKUP($E120,Afgr,Data!$CP$3))*VLOOKUP($E120,Afgr,Data!$CR$3),0)</f>
        <v>0</v>
      </c>
      <c r="KZ120">
        <f>(KX120+KY120)*MaskJust</f>
        <v>0</v>
      </c>
      <c r="LA120" s="3">
        <f>IF(Mark!GU120&lt;&gt;"",Mark!GU120,KZ120)</f>
        <v>0</v>
      </c>
      <c r="LB120" s="3">
        <f>LA120*M120</f>
        <v>0</v>
      </c>
      <c r="LD120">
        <f>$BI120*VLOOKUP($E120,Afgr,Data!$CS$3)*IF($I120=1,VLOOKUP($E120,Afgr,Data!$CT$3),IF($I120=2,VLOOKUP($E120,Afgr,Data!$CU$3),0))</f>
        <v>0</v>
      </c>
      <c r="LE120" s="3">
        <f>IF(Mark!HD120&lt;&gt;"",Mark!HD120,LD120)</f>
        <v>0</v>
      </c>
      <c r="LF120" s="3">
        <f>LE120*M120</f>
        <v>0</v>
      </c>
      <c r="LH120">
        <f>VLOOKUP($G120,Efgr,Data!$AC$53)*UdsaedJust</f>
        <v>0</v>
      </c>
      <c r="LI120" s="3">
        <f>IF(Mark!$HL120&lt;&gt;"",Mark!$HL120,LH120)</f>
        <v>0</v>
      </c>
      <c r="LJ120" s="3">
        <f>LI120*M120</f>
        <v>0</v>
      </c>
      <c r="LL120" s="3">
        <f>IF(HdgVaerdi=1,($CM120-$CX120)*Npris,$CM120*Npris)</f>
        <v>0</v>
      </c>
      <c r="LM120" s="3">
        <f>LL120*M120</f>
        <v>0</v>
      </c>
      <c r="LO120">
        <f>$ET120</f>
        <v>0</v>
      </c>
      <c r="LP120">
        <f>IF(HdgDyreart=2,$CU120*NPforholdSvin,$CU120*NPforholdKvaeg)</f>
        <v>0</v>
      </c>
      <c r="LQ120">
        <f>IF($LO120&gt;$LP120,($LO120-$LP120),0)</f>
        <v>0</v>
      </c>
      <c r="LR120" s="3">
        <f>IF(HdgVaerdi=1,IF($LO120&gt;$LP120,($LO120-$LP120)*Ppris,0),$LO120*Ppris)</f>
        <v>0</v>
      </c>
      <c r="LS120" s="3">
        <f>LR120*M120</f>
        <v>0</v>
      </c>
      <c r="LU120">
        <f>$EW120</f>
        <v>0</v>
      </c>
      <c r="LV120">
        <f>IF(HdgDyreart=2,$CU120*NKforholdSvin,$CU120*NkforholdKvaeg)</f>
        <v>0</v>
      </c>
      <c r="LW120">
        <f>IF($LU120&gt;$LV120,($LU120-$LV120),0)</f>
        <v>0</v>
      </c>
      <c r="LX120" s="3">
        <f>IF(HdgVaerdi=1,IF($LU120&gt;$LV120,($LU120-$LV120)*Ppris,0),$LU120*Ppris)</f>
        <v>0</v>
      </c>
      <c r="LY120" s="3">
        <f>LX120*M120</f>
        <v>0</v>
      </c>
      <c r="MA120">
        <f>LL120+LR120+LX120</f>
        <v>0</v>
      </c>
      <c r="MB120" s="3">
        <f>IF(Mark!HR120&lt;&gt;"",Mark!HR120,$MA120)</f>
        <v>0</v>
      </c>
      <c r="MC120" s="3">
        <f>MB120*M120</f>
        <v>0</v>
      </c>
      <c r="ME120">
        <f>VLOOKUP($G120,Efgr,Data!$AE$53)*PlantevJust</f>
        <v>0</v>
      </c>
      <c r="MF120" s="3">
        <f>IF(Mark!HX120&lt;&gt;"",Mark!HX120,ME120)</f>
        <v>0</v>
      </c>
      <c r="MG120" s="3">
        <f>MF120*M120</f>
        <v>0</v>
      </c>
      <c r="MI120">
        <f>VLOOKUP($G120,Efgr,Data!$AF$53)+$DD120*VLOOKUP($G120,Efgr,Data!$AL$53)</f>
        <v>0</v>
      </c>
      <c r="MJ120" s="3">
        <f>IF(Mark!ID120&lt;&gt;"",Mark!ID120,MI120)</f>
        <v>0</v>
      </c>
      <c r="MK120" s="3">
        <f>MJ120*M120</f>
        <v>0</v>
      </c>
      <c r="MM120">
        <f>LI120+MB120+MF120+MJ120</f>
        <v>0</v>
      </c>
      <c r="MO120">
        <f>VLOOKUP($G120,Efgr,Data!$AU$53)*SaaJB3*MaskJust</f>
        <v>0</v>
      </c>
      <c r="MP120" s="3">
        <f>IF(Mark!IJ120&lt;&gt;"",Mark!IJ120,MO120)</f>
        <v>0</v>
      </c>
      <c r="MQ120" s="3">
        <f>MP120*M120</f>
        <v>0</v>
      </c>
      <c r="MS120">
        <f>VLOOKUP($G120,Efgr,Data!$AW$53)*Data!$K$268*SaaJB3*MaskJust</f>
        <v>0</v>
      </c>
      <c r="MT120" s="3">
        <f>IF(Mark!IP120&lt;&gt;"",Mark!IP120,MS120)</f>
        <v>0</v>
      </c>
      <c r="MU120" s="3">
        <f>MT120*M120</f>
        <v>0</v>
      </c>
      <c r="MW120">
        <f>VLOOKUP($G120,Efgr,Data!$AV$53)*Data!$K$269*MaskJust</f>
        <v>0</v>
      </c>
      <c r="MX120" s="3">
        <f>IF(Mark!IV120&lt;&gt;"",Mark!IV120,MW120)</f>
        <v>0</v>
      </c>
      <c r="MY120" s="3">
        <f>MX120*M120</f>
        <v>0</v>
      </c>
      <c r="NA120">
        <f>IF(Markvand3=2,VLOOKUP($G120,Efgr,Data!$BC$53),0)</f>
        <v>0</v>
      </c>
      <c r="NB120">
        <f>IF(Mark!JB120&lt;&gt;"",Mark!JB120,$NA120)</f>
        <v>0</v>
      </c>
      <c r="NC120">
        <f>IF(Markvand3=2,$NB120*Flytning/mmprgang+$NB120*Prisprmm,0)</f>
        <v>0</v>
      </c>
      <c r="ND120" s="3">
        <f>IF(Mark!JH120&lt;&gt;"",Mark!JH120,$NC120)</f>
        <v>0</v>
      </c>
      <c r="NE120" s="3">
        <f>ND120*M120</f>
        <v>0</v>
      </c>
      <c r="NG120">
        <f>IF(VLOOKUP($G120,Efgr,Data!$AX$53)&gt;0,((1+Regn!DD120/VLOOKUP($G120,Efgr,Data!$AX$53))/2)*VLOOKUP($G120,Efgr,Data!$AY$53)*VLOOKUP($G120,Efgr,Data!$BA$53)+VLOOKUP($G120,Efgr,Data!$AZ$53),0)</f>
        <v>0</v>
      </c>
      <c r="NH120">
        <f>IF(VLOOKUP($G120,Efgr,Data!$AX$53)&gt;0,($DD120/VLOOKUP($G120,Efgr,Data!$AX$53))*VLOOKUP($G120,Efgr,Data!$BB$53)*VLOOKUP($G120,Efgr,Data!$BA$53),0)</f>
        <v>0</v>
      </c>
      <c r="NI120">
        <f>(NG120+NH120)*MaskJust</f>
        <v>0</v>
      </c>
      <c r="NJ120" s="3">
        <f>IF(Mark!JN120&lt;&gt;"",Mark!JN120,NI120)</f>
        <v>0</v>
      </c>
      <c r="NK120" s="3">
        <f>NJ120*M120</f>
        <v>0</v>
      </c>
      <c r="NM120">
        <f>IF($H120=2,Data!$K$304,IF($H120=3,Data!$K$305,0))*MaskJust</f>
        <v>0</v>
      </c>
      <c r="NN120" s="3">
        <f>IF(Mark!JT120&lt;&gt;"",Mark!JT120,NM120)</f>
        <v>0</v>
      </c>
      <c r="NO120" s="3">
        <f>NN120*M120</f>
        <v>0</v>
      </c>
      <c r="NQ120">
        <f>HY120</f>
        <v>0</v>
      </c>
      <c r="NR120">
        <f>JJ120+MM120</f>
        <v>0</v>
      </c>
      <c r="NS120">
        <f>NQ120-NR120</f>
        <v>0</v>
      </c>
      <c r="NT120">
        <f>NS120*M120</f>
        <v>0</v>
      </c>
      <c r="NW120">
        <f>VLOOKUP($B120,Afgr,Data!$BP$3)+VLOOKUP($C120,Efgr,Data!$AM$53)</f>
        <v>0</v>
      </c>
      <c r="NX120" s="3">
        <f>NW120*M120</f>
        <v>0</v>
      </c>
      <c r="NY120">
        <f>VLOOKUP($E120,Afgr,Data!$BP$3)+VLOOKUP($G120,Efgr,Data!$AM$53)</f>
        <v>0</v>
      </c>
      <c r="NZ120" s="3">
        <f>NY120*M120</f>
        <v>0</v>
      </c>
      <c r="OB120">
        <f>VLOOKUP($C120,Efgr,Data!$AN$53)</f>
        <v>0</v>
      </c>
      <c r="OC120">
        <f>VLOOKUP($B120,Afgr,Data!$BQ$3)</f>
        <v>0</v>
      </c>
      <c r="OD120">
        <f>VLOOKUP($E120,Afgr,Data!$BR$3)</f>
        <v>1</v>
      </c>
      <c r="OE120">
        <f>OB120*OC120*OD120</f>
        <v>0</v>
      </c>
      <c r="OF120" s="3">
        <f>OE120*M120</f>
        <v>0</v>
      </c>
      <c r="OG120" s="3">
        <f>IF(D120,1,0)*OF120</f>
        <v>0</v>
      </c>
      <c r="OI120">
        <f>VLOOKUP($G120,Efgr,Data!$AN$53)</f>
        <v>0</v>
      </c>
      <c r="OJ120">
        <f>VLOOKUP($E120,Afgr,Data!$BQ$3)</f>
        <v>0</v>
      </c>
      <c r="OK120">
        <f>VLOOKUP($K120,Afgr,Data!$BR$3)</f>
        <v>1</v>
      </c>
      <c r="OL120">
        <f>OI120*OJ120*OK120</f>
        <v>0</v>
      </c>
      <c r="OM120" s="3">
        <f>OL120*M120</f>
        <v>0</v>
      </c>
      <c r="OO120">
        <f>VLOOKUP($G120,Efgr,Data!$AO$53)</f>
        <v>0</v>
      </c>
      <c r="OP120">
        <f>VLOOKUP($B120,Afgr,Data!$BQ$3)</f>
        <v>0</v>
      </c>
      <c r="OQ120">
        <f>VLOOKUP($E120,Afgr,Data!$BS$3)</f>
        <v>0</v>
      </c>
      <c r="OR120" s="3">
        <f>OO120*OP120*OQ120*$M120</f>
        <v>0</v>
      </c>
      <c r="OT120">
        <f>VLOOKUP($G120,Efgr,Data!$AO$53)</f>
        <v>0</v>
      </c>
      <c r="OU120">
        <f>VLOOKUP($E120,Afgr,Data!$BQ$3)</f>
        <v>0</v>
      </c>
      <c r="OV120">
        <f>VLOOKUP($K120,Afgr,Data!$BS$3)</f>
        <v>0</v>
      </c>
      <c r="OW120" s="3">
        <f>OT120*OU120*OV120*$M120</f>
        <v>0</v>
      </c>
      <c r="OX120" s="3"/>
      <c r="OY120" s="3">
        <f>VLOOKUP($B120,Afgr,Data!$BU$3)</f>
        <v>0</v>
      </c>
      <c r="OZ120" s="3">
        <f>OY120*M120</f>
        <v>0</v>
      </c>
      <c r="PA120" s="3">
        <f>VLOOKUP($E120,Afgr,Data!$BU$3)</f>
        <v>0</v>
      </c>
      <c r="PB120" s="3">
        <f>PA120*M120</f>
        <v>0</v>
      </c>
      <c r="PD120">
        <f>VLOOKUP(E120,Afgr,Data!$BX$3)+VLOOKUP(G120,Efgr,Data!$AQ$53)</f>
        <v>0</v>
      </c>
      <c r="PE120">
        <f>IF(PD120&gt;0,M120,0)</f>
        <v>0</v>
      </c>
      <c r="PG120">
        <f>VLOOKUP($B120,Afgr,Data!$BT$3)</f>
        <v>0</v>
      </c>
      <c r="PH120" s="3">
        <f>PG120*M120</f>
        <v>0</v>
      </c>
      <c r="PI120">
        <f>VLOOKUP($E120,Afgr,Data!$BT$3)</f>
        <v>0</v>
      </c>
      <c r="PJ120" s="3">
        <f>PI120*M120</f>
        <v>0</v>
      </c>
      <c r="PL120">
        <f>VLOOKUP($E120,Afgr,Data!$BV$3)</f>
        <v>0</v>
      </c>
      <c r="PM120">
        <f>PL120*M120</f>
        <v>0</v>
      </c>
      <c r="PO120">
        <f>VLOOKUP($E120,Afgr,Data!$BW$3)</f>
        <v>0</v>
      </c>
      <c r="PP120">
        <f>PO120*M120</f>
        <v>0</v>
      </c>
      <c r="PR120">
        <f>BI120*IF(VLOOKUP($E120,Afgr,Data!$BJ$3)&gt;0,1,0)</f>
        <v>0</v>
      </c>
      <c r="PS120">
        <f>PR120*M120</f>
        <v>0</v>
      </c>
      <c r="PU120">
        <f>BI120*VLOOKUP(E120,Afgr,Data!$BK$3)</f>
        <v>0</v>
      </c>
      <c r="PV120">
        <f>M120*PU120</f>
        <v>0</v>
      </c>
      <c r="PW120">
        <f>$BI120*VLOOKUP($E120,Afgr,Data!$BL$3)+$DD120*VLOOKUP($G120,Efgr,Data!$AP$53)</f>
        <v>0</v>
      </c>
      <c r="PX120">
        <f>PW120*M120</f>
        <v>0</v>
      </c>
      <c r="PY120">
        <f>$BI120*VLOOKUP($E120,Afgr,Data!$BM$3)</f>
        <v>0</v>
      </c>
      <c r="PZ120">
        <f>PY120*M120</f>
        <v>0</v>
      </c>
      <c r="QA120">
        <f>$BI120*VLOOKUP($E120,Afgr,Data!$BN$3)</f>
        <v>0</v>
      </c>
      <c r="QB120">
        <f>QA120*M120</f>
        <v>0</v>
      </c>
      <c r="QE120">
        <f>IF(VLOOKUP($E120,Afgr,Data!$DA$3)="Vårbyg",$BJ120,0)*VLOOKUP($E120,Afgr,Data!$BJ$3)</f>
        <v>0</v>
      </c>
      <c r="QF120">
        <f>IF(VLOOKUP($E120,Afgr,Data!$DA$3)="Vinterbyg",$BJ120,0)*VLOOKUP($E120,Afgr,Data!$BJ$3)</f>
        <v>0</v>
      </c>
      <c r="QG120">
        <f>IF(VLOOKUP($E120,Afgr,Data!$DA$3)="Havre",$BJ120,0)*VLOOKUP($E120,Afgr,Data!$BJ$3)</f>
        <v>0</v>
      </c>
      <c r="QH120">
        <f>IF(VLOOKUP($E120,Afgr,Data!$DA$3)="Hvede",$BJ120,0)*VLOOKUP($E120,Afgr,Data!$BJ$3)</f>
        <v>0</v>
      </c>
      <c r="QI120">
        <f>IF(VLOOKUP($E120,Afgr,Data!$DA$3)="Triticale",$BJ120,0)*VLOOKUP($E120,Afgr,Data!$BJ$3)</f>
        <v>0</v>
      </c>
      <c r="QJ120">
        <f>IF(VLOOKUP($E120,Afgr,Data!$DA$3)="Rug",$BJ120,0)*VLOOKUP($E120,Afgr,Data!$BJ$3)</f>
        <v>0</v>
      </c>
      <c r="QK120">
        <f>IF(VLOOKUP($E120,Afgr,Data!$DA$3)="Majs",$BJ120,0)*VLOOKUP($E120,Afgr,Data!$BJ$3)</f>
        <v>0</v>
      </c>
      <c r="QN120">
        <f>IF(OI120+OO120&gt;0,1,0)</f>
        <v>0</v>
      </c>
      <c r="QO120">
        <f>QN120*LJ120</f>
        <v>0</v>
      </c>
      <c r="QP120">
        <f>QN120*MG120</f>
        <v>0</v>
      </c>
      <c r="QQ120">
        <f>MQ120</f>
        <v>0</v>
      </c>
      <c r="QR120">
        <f>QN120*NO120</f>
        <v>0</v>
      </c>
    </row>
    <row r="121" spans="1:460" x14ac:dyDescent="0.25">
      <c r="GG121" s="12"/>
    </row>
    <row r="122" spans="1:460" x14ac:dyDescent="0.25">
      <c r="A122">
        <v>4</v>
      </c>
      <c r="B122">
        <v>1</v>
      </c>
      <c r="C122">
        <v>1</v>
      </c>
      <c r="D122" t="b">
        <v>0</v>
      </c>
      <c r="E122">
        <v>1</v>
      </c>
      <c r="F122">
        <v>1</v>
      </c>
      <c r="G122">
        <v>1</v>
      </c>
      <c r="H122">
        <v>1</v>
      </c>
      <c r="I122">
        <v>1</v>
      </c>
      <c r="K122">
        <v>1</v>
      </c>
      <c r="M122">
        <f>IF(ISERROR(N122*Areal3/$N$132),0,N122*Areal3/$N$132)</f>
        <v>0</v>
      </c>
      <c r="N122">
        <f>Mark!Z122</f>
        <v>0</v>
      </c>
      <c r="P122">
        <f>VLOOKUP($E122,Afgr,NnormKolonneNr3)</f>
        <v>0</v>
      </c>
      <c r="Q122">
        <f>VLOOKUP($B122,Afgr,Data!$AI$3)*VLOOKUP(E122,Afgr,Data!$AJ$3)</f>
        <v>0</v>
      </c>
      <c r="R122">
        <f>IF($D122,0,VLOOKUP($C122,Efgr,(Data!$W$53+$G$28-1)))</f>
        <v>0</v>
      </c>
      <c r="S122">
        <f>P122-Q122-R122</f>
        <v>0</v>
      </c>
      <c r="T122">
        <f>S122*M122</f>
        <v>0</v>
      </c>
      <c r="U122">
        <f>IF(Nmodel34=1,S122*Nniveau34*0.01,AO122)</f>
        <v>0</v>
      </c>
      <c r="V122" s="3">
        <f>IF(Mark!CI122&lt;&gt;"",Mark!CI122,U122)</f>
        <v>0</v>
      </c>
      <c r="W122" s="3">
        <f>V122*M122</f>
        <v>0</v>
      </c>
      <c r="Y122">
        <f>S122/NoptFaktor</f>
        <v>0</v>
      </c>
      <c r="Z122" s="3">
        <f>IF(Mark!BZ122&lt;&gt;"",Mark!BZ122,Y122)</f>
        <v>0</v>
      </c>
      <c r="AB122">
        <f>VLOOKUP($E122,Afgr,Data!$DE$3)</f>
        <v>0</v>
      </c>
      <c r="AC122">
        <f>VLOOKUP($E122,Afgr,Data!$DD$3)</f>
        <v>0</v>
      </c>
      <c r="AD122">
        <f>VLOOKUP($E122,Afgr,Data!$DC$3)</f>
        <v>0</v>
      </c>
      <c r="AE122">
        <f>IF(ISERROR($Z122+(-PrisN/$AD122-$AB122)/(2*$AC122)),0,($Z122+(-PrisN/$AD122-$AB122)/(2*$AC122)))</f>
        <v>0</v>
      </c>
      <c r="AF122">
        <f>($BD122+$BE122+$BF122)*1.03333</f>
        <v>0</v>
      </c>
      <c r="AG122">
        <f>$AF122-($AB122*($AE122-$Z122)+$AC122*($AE122-$Z122)^2)</f>
        <v>0</v>
      </c>
      <c r="AH122">
        <f>IF(Nmodel12=1,$AB122*($AE122-$S122)+$AC122*($AE122-$S122)^2,$AB122*($AE122-$AO122)+$AC122*($AE122-$AO122)^2)</f>
        <v>0</v>
      </c>
      <c r="AI122">
        <f>IF(Nmodel34=1,$AB122*($AE122-$V122)+$AC122*($AE122-$V122)^2,$AB122*($AE122-AO122)+$AC122*($AE122-AO122)^2)</f>
        <v>0</v>
      </c>
      <c r="AJ122">
        <f>AG122+AH122-BG122</f>
        <v>0</v>
      </c>
      <c r="AK122">
        <f>AG122+AI122-AJ122</f>
        <v>0</v>
      </c>
      <c r="AM122">
        <f>VLOOKUP(E122,Afgr,Data!$DF$3+SandLer3)</f>
        <v>0</v>
      </c>
      <c r="AN122">
        <f>IF(ISERROR(((-(PrisN+Pantafgift)+AM122*Pantfaktor*Pantafgift)/AD122-AB122)/(2*AC122)),0,((-(PrisN+Pantafgift)+AM122*Pantfaktor*Pantafgift)/AD122-AB122)/(2*AC122))</f>
        <v>0</v>
      </c>
      <c r="AO122">
        <f>AE122-AN122</f>
        <v>0</v>
      </c>
      <c r="AQ122">
        <f>IF(AT122&gt;0,0,W122)</f>
        <v>0</v>
      </c>
      <c r="AR122">
        <f>IF(ISERROR(W122*HdgNTilFordeling34/NnormIaltFordel34),0,W122*HdgNTilFordeling34/NnormIaltFordel34)</f>
        <v>0</v>
      </c>
      <c r="AS122">
        <f>IF(ISERROR($AR122/$M122),0,$AR122/$M122)</f>
        <v>0</v>
      </c>
      <c r="AT122">
        <f>IF(Mark!CO122&lt;&gt;"",Mark!CO122,0)</f>
        <v>0</v>
      </c>
      <c r="AU122">
        <f>$AT122*$M122</f>
        <v>0</v>
      </c>
      <c r="AV122" s="3">
        <f>IF(AT122&gt;0,AT122,AS122)</f>
        <v>0</v>
      </c>
      <c r="AW122" s="3">
        <f>AV122*M122</f>
        <v>0</v>
      </c>
      <c r="AY122">
        <f>UdnKrav*$AV122/100</f>
        <v>0</v>
      </c>
      <c r="BA122">
        <f>AV122*VLOOKUP($E122,Afgr,Data!$DJ$3)</f>
        <v>0</v>
      </c>
      <c r="BB122">
        <f>UdnKrav*$BA122/100</f>
        <v>0</v>
      </c>
      <c r="BD122">
        <f>VLOOKUP(E122,Afgr,NormudbKolonneNr3)</f>
        <v>0</v>
      </c>
      <c r="BE122">
        <f>VLOOKUP(B122,Afgr,Data!$AL$3)*VLOOKUP(E122,Afgr,MerudbKolonneNr3)</f>
        <v>0</v>
      </c>
      <c r="BF122">
        <f>VLOOKUP(C122,Efgr,(Data!$Y$53+EftervirkningUdb3))</f>
        <v>0</v>
      </c>
      <c r="BG122">
        <f>BD122+BE122+BF122</f>
        <v>0</v>
      </c>
      <c r="BH122">
        <f>IF(OR(V122&lt;&gt;S122,Nmodel34=2),AK122,BD122+BE122+BF122)</f>
        <v>0</v>
      </c>
      <c r="BI122" s="3">
        <f>IF(Mark!AK122&lt;&gt;"",Mark!AK122,BH122)</f>
        <v>0</v>
      </c>
      <c r="BJ122">
        <f>BI122*M122</f>
        <v>0</v>
      </c>
      <c r="BK122">
        <f>VLOOKUP(E122,Afgr,3)</f>
        <v>0</v>
      </c>
      <c r="BL122">
        <f>IF(BK122="FE",VLOOKUP($E122,Afgr,Data!$AV$3),0)</f>
        <v>0</v>
      </c>
      <c r="BN122">
        <f>VLOOKUP(E122,Afgr,4)</f>
        <v>0</v>
      </c>
      <c r="BO122" s="3">
        <f>IF(Mark!AW122&lt;&gt;"",Mark!AW122,Regn!BN122)</f>
        <v>0</v>
      </c>
      <c r="BP122" s="3">
        <f>BI122*BO122</f>
        <v>0</v>
      </c>
      <c r="BQ122" s="3">
        <f>BJ122*BO122</f>
        <v>0</v>
      </c>
      <c r="BS122">
        <f>VLOOKUP(E122,Afgr,Data!$AN$3)</f>
        <v>0</v>
      </c>
      <c r="BT122" s="3">
        <f>IF(Mark!BC122&lt;&gt;"",Mark!BC122,BS122)</f>
        <v>0</v>
      </c>
      <c r="BU122" s="3">
        <f>BT122*M122</f>
        <v>0</v>
      </c>
      <c r="BW122">
        <f>VLOOKUP(E122,Afgr,HalmudbKolonneNr3)</f>
        <v>0</v>
      </c>
      <c r="BX122">
        <f>IF(ISERROR(BW122*BI122/BG122),0,(BW122*BI122/BG122))</f>
        <v>0</v>
      </c>
      <c r="BY122" s="3">
        <f>IF(Mark!BI122&lt;&gt;"",Mark!BI122,BX122)</f>
        <v>0</v>
      </c>
      <c r="BZ122">
        <f>BY122*M122</f>
        <v>0</v>
      </c>
      <c r="CC122">
        <f>IF($F122=1,BY122,0)</f>
        <v>0</v>
      </c>
      <c r="CD122">
        <f>IF(F122=1,BZ122,0)</f>
        <v>0</v>
      </c>
      <c r="CE122">
        <f>VLOOKUP(E122,Afgr,Data!$AM$3)</f>
        <v>0</v>
      </c>
      <c r="CF122">
        <f>IF(Mark!BR122&lt;&gt;"",Mark!BR122,CE122)</f>
        <v>0</v>
      </c>
      <c r="CG122">
        <f>CC122*CF122</f>
        <v>0</v>
      </c>
      <c r="CH122">
        <f>CD122*CF122</f>
        <v>0</v>
      </c>
      <c r="CJ122">
        <f>VLOOKUP($G122,Efgr,NnormKolonneEfgr3)</f>
        <v>0</v>
      </c>
      <c r="CK122">
        <f>CJ122*M122</f>
        <v>0</v>
      </c>
      <c r="CL122">
        <f>CJ122*Nniveau34*0.01</f>
        <v>0</v>
      </c>
      <c r="CM122" s="3">
        <f>IF(Mark!DM122&lt;&gt;"",Mark!DM122,CL122)</f>
        <v>0</v>
      </c>
      <c r="CN122" s="3">
        <f>$CM122*$M122</f>
        <v>0</v>
      </c>
      <c r="CP122">
        <f>IF(CS122&gt;0,0,CN122)</f>
        <v>0</v>
      </c>
      <c r="CQ122" s="12">
        <f>IF(ISERROR(CN122*HdgNTilFordeling34/NnormIaltFordel34),0,CN122*HdgNTilFordeling34/NnormIaltFordel34)</f>
        <v>0</v>
      </c>
      <c r="CR122">
        <f>IF(ISERROR($CQ122/$M122),0,$CQ122/$M122)</f>
        <v>0</v>
      </c>
      <c r="CS122">
        <f>IF(Mark!DS122&lt;&gt;"",Mark!DS122,0)</f>
        <v>0</v>
      </c>
      <c r="CT122">
        <f>$CS122*$M122</f>
        <v>0</v>
      </c>
      <c r="CU122" s="3">
        <f>IF($CS122&gt;0,$CS122,$CR122)</f>
        <v>0</v>
      </c>
      <c r="CV122" s="3">
        <f>CU122*M122</f>
        <v>0</v>
      </c>
      <c r="CX122">
        <f>UdnKrav*$CU122/100</f>
        <v>0</v>
      </c>
      <c r="CZ122">
        <f>$CU122*VLOOKUP($G122,Efgr,Data!$BG$53)</f>
        <v>0</v>
      </c>
      <c r="DA122">
        <f>UdnKrav*$CZ122/100</f>
        <v>0</v>
      </c>
      <c r="DC122">
        <f>VLOOKUP(G122,Efgr,NormudbKolonneNrEfgr3)</f>
        <v>0</v>
      </c>
      <c r="DD122" s="3">
        <f>IF(Mark!DC122&lt;&gt;"",Mark!DC122,DC122)</f>
        <v>0</v>
      </c>
      <c r="DE122">
        <f>DD122*M122</f>
        <v>0</v>
      </c>
      <c r="DF122" t="s">
        <v>37</v>
      </c>
      <c r="DG122">
        <f>DD122*Efterslaetpris</f>
        <v>0</v>
      </c>
      <c r="DH122">
        <f>DE122*Efterslaetpris</f>
        <v>0</v>
      </c>
      <c r="DI122">
        <f>VLOOKUP(G122,Efgr,Data!$AG$53)</f>
        <v>0</v>
      </c>
      <c r="DJ122">
        <f>DD122*DI122</f>
        <v>0</v>
      </c>
      <c r="DL122">
        <f>VLOOKUP($E122,Afgr,Data!$AW$3)</f>
        <v>0</v>
      </c>
      <c r="DM122">
        <f>IF(BK122="FE",$BI122*$BL122*$DL122*0.01,$BI122*100*$DR122*0.01*$DL122*0.01)</f>
        <v>0</v>
      </c>
      <c r="DN122">
        <f>IF(VLOOKUP(E122,Afgr,Data!$BO$3)=1,DM122,0)*M122</f>
        <v>0</v>
      </c>
      <c r="DO122" s="12">
        <f>IF(Nmodel34=1,(V122-S122)*VLOOKUP($E122,Afgr,Data!$AX$3),(AO122-S122)*VLOOKUP(E122,Afgr,Data!$AX$3))</f>
        <v>0</v>
      </c>
      <c r="DP122">
        <f>DL122+DO122</f>
        <v>0</v>
      </c>
      <c r="DQ122">
        <f>IF(Mark!AQ122&lt;&gt;"",Mark!AQ122,DP122)</f>
        <v>0</v>
      </c>
      <c r="DR122">
        <f>VLOOKUP(E122,Afgr,Data!$AT$3)</f>
        <v>0</v>
      </c>
      <c r="DS122">
        <f>IF($BK122="FE",$BI122*$BL122*$DQ122*0.01,$BI122*100*$DR122*0.01*DQ122*0.01)</f>
        <v>0</v>
      </c>
      <c r="DT122">
        <f>IF(VLOOKUP(E122,Afgr,Data!$BO$3)=1,DS122,0)*M122</f>
        <v>0</v>
      </c>
      <c r="DU122">
        <f>IF(ISERROR(DS122/VLOOKUP(E122,Afgr,Data!$AY$3)),0,DS122/VLOOKUP(E122,Afgr,Data!$AY$3))</f>
        <v>0</v>
      </c>
      <c r="DV122">
        <f>DU122*M122</f>
        <v>0</v>
      </c>
      <c r="DX122">
        <f>IF($BK122="FE",$BI122*$BL122*VLOOKUP($E122,Afgr,Data!$BC$3)*0.001,$BI122*100*$DR122*0.01*VLOOKUP($E122,Afgr,Data!$BC$3)*0.001)</f>
        <v>0</v>
      </c>
      <c r="DY122">
        <f>DX122*M122</f>
        <v>0</v>
      </c>
      <c r="EA122">
        <f>IF($BK122="FE",$BI122*$BL122*VLOOKUP($E122,Afgr,Data!$BF$3)*0.001,$BI122*100*$DR122*0.01*VLOOKUP($E122,Afgr,Data!$BF$3)*0.001)</f>
        <v>0</v>
      </c>
      <c r="EB122">
        <f>EA122*M122</f>
        <v>0</v>
      </c>
      <c r="ED122">
        <f>IF(ISERROR(VLOOKUP(E122,Afgr,Data!$AZ$3)*DQ122/DL122),0,VLOOKUP(E122,Afgr,Data!$AZ$3)*DQ122/DL122)</f>
        <v>0</v>
      </c>
      <c r="EE122">
        <f>VLOOKUP(E122,Afgr,Data!$AU$3)</f>
        <v>0</v>
      </c>
      <c r="EF122">
        <f>IF($F122=1,$BY122*$EE122*0.01*ED122*0.01,0)</f>
        <v>0</v>
      </c>
      <c r="EG122">
        <f>EF122/6.25</f>
        <v>0</v>
      </c>
      <c r="EH122">
        <f>EG122*M122</f>
        <v>0</v>
      </c>
      <c r="EJ122">
        <f>IF($F122=1,$BY122*$EE122*0.01*VLOOKUP($E122,Afgr,Data!$BD$3)*0.001,0)</f>
        <v>0</v>
      </c>
      <c r="EK122">
        <f>EJ122*M122</f>
        <v>0</v>
      </c>
      <c r="EM122">
        <f>IF($F122=1,$BY122*$EE122*0.01*VLOOKUP($E122,Afgr,Data!$BG$3)*0.001,0)</f>
        <v>0</v>
      </c>
      <c r="EN122">
        <f>EM122*M122</f>
        <v>0</v>
      </c>
      <c r="EP122">
        <f>VLOOKUP(G122,Efgr,Data!$AI$53)</f>
        <v>0</v>
      </c>
      <c r="EQ122">
        <f>DJ122*EP122*0.01/6.25</f>
        <v>0</v>
      </c>
      <c r="ER122">
        <f>EQ122*M122</f>
        <v>0</v>
      </c>
      <c r="ET122">
        <f>$DJ122*VLOOKUP($G122,Efgr,Data!$AJ$53)*0.001</f>
        <v>0</v>
      </c>
      <c r="EU122">
        <f>ET122*M122</f>
        <v>0</v>
      </c>
      <c r="EW122">
        <f>$DJ122*VLOOKUP($G122,Efgr,Data!$AK$53)*0.001</f>
        <v>0</v>
      </c>
      <c r="EX122">
        <f>EW122*M122</f>
        <v>0</v>
      </c>
      <c r="EZ122">
        <f>IF(VLOOKUP(E122,Afgr,Data!$DS$3)=1,DU122*VLOOKUP(E122,Afgr,(Data!$DT$3+EftervirkningUdb3))*VLOOKUP(E122,Afgr,Data!$DV$3),0)</f>
        <v>0</v>
      </c>
      <c r="FA122">
        <f>IF(VLOOKUP(E122,Afgr,Data!$DS$3)=2,VLOOKUP(E122,Afgr,Data!$DX$3),0)</f>
        <v>0</v>
      </c>
      <c r="FB122">
        <f>IF(VLOOKUP(E122,Afgr,Data!$DS$3)=3,$DU122*VLOOKUP($E122,Afgr,IF(Jordtype3&lt;5,Data!$DT$3,Data!$DU$3))*VLOOKUP($E122,Afgr,Data!$DV$3),0)</f>
        <v>0</v>
      </c>
      <c r="FC122">
        <f>IF(VLOOKUP(E122,Afgr,Data!$DS$3)=4,(1.232+0.00469*BI122*100+(0.000256*BI122*100+0.089)*60),0)</f>
        <v>0</v>
      </c>
      <c r="FD122">
        <f>$V122+IF($AY122-$BB122&gt;$V122,$AY122-$V122,0)-$BB122</f>
        <v>0</v>
      </c>
      <c r="FE122">
        <f>IF(VLOOKUP($E122,Afgr,Data!$DS$3)=5,($BI122*0.02742-$BI122*0.0001*$FD122+$BI122*0.0000001111*$FD122*$FD122),0)</f>
        <v>0</v>
      </c>
      <c r="FF122">
        <f>$CM122+IF($CX122-$DA122&gt;$CM122,$CX122-$CM122,0)-$DA122</f>
        <v>0</v>
      </c>
      <c r="FG122">
        <f>IF(VLOOKUP($G122,Efgr,Data!$BH$53)=5,($DD122*0.02742-$DD122*0.0001*$FF122+$DD122*0.0000001111*$FF122*$FF122),0)</f>
        <v>0</v>
      </c>
      <c r="FH122" s="3">
        <f>EZ122+FA122+FB122+FC122+FE122+FG122</f>
        <v>0</v>
      </c>
      <c r="FI122" s="3">
        <f>FH122*M122</f>
        <v>0</v>
      </c>
      <c r="FK122">
        <f>$V122+$CM122</f>
        <v>0</v>
      </c>
      <c r="FL122">
        <f>($AV122-$AY122)+IF($AY122&gt;$V122,$AY122-$V122,0)+($CU122-$CX122)+IF($CX122&gt;$CM122,$CX122-$CM122,0)</f>
        <v>0</v>
      </c>
      <c r="FM122">
        <f>VLOOKUP($E122,Afgr,Data!$DK$3)*VLOOKUP($E122,Afgr,Data!$AT$3)*0.01*VLOOKUP($E122,Afgr,Data!$AW$3)*0.01/6.25</f>
        <v>0</v>
      </c>
      <c r="FN122" s="4">
        <f>IF(E122&gt;1,Deposition,0)</f>
        <v>0</v>
      </c>
      <c r="FO122">
        <f>FH122</f>
        <v>0</v>
      </c>
      <c r="FP122">
        <f>SUM(FK122:FO122)</f>
        <v>0</v>
      </c>
      <c r="FQ122">
        <f>DU122+EG122+EQ122</f>
        <v>0</v>
      </c>
      <c r="FR122" s="3">
        <f>FP122-FQ122</f>
        <v>0</v>
      </c>
      <c r="FS122" s="19">
        <f>FP122*M122</f>
        <v>0</v>
      </c>
      <c r="FT122" s="19">
        <f>FQ122*M122</f>
        <v>0</v>
      </c>
      <c r="FU122" s="3">
        <f>FR122*M122</f>
        <v>0</v>
      </c>
      <c r="FW122">
        <f>IL122+IM122+LP122+LQ122</f>
        <v>0</v>
      </c>
      <c r="FX122">
        <f>IK122+LO122</f>
        <v>0</v>
      </c>
      <c r="FY122">
        <f>FW122-FX122</f>
        <v>0</v>
      </c>
      <c r="FZ122">
        <f>FY122*M122</f>
        <v>0</v>
      </c>
      <c r="GB122">
        <f>IS122+IT122+LV122+LW122</f>
        <v>0</v>
      </c>
      <c r="GC122">
        <f>IR122+LU122</f>
        <v>0</v>
      </c>
      <c r="GD122">
        <f>GB122-GC122</f>
        <v>0</v>
      </c>
      <c r="GE122">
        <f>GD122*M122</f>
        <v>0</v>
      </c>
      <c r="GG122" s="149">
        <f>IF(OR(VLOOKUP(E122,Afgr,Data!$BV$3)=1,VLOOKUP(E122,Afgr,Data!$BW$3)=1),0,NniveauDelsaedsk3)</f>
        <v>0</v>
      </c>
      <c r="GH122" s="1">
        <v>0.32550000000000001</v>
      </c>
      <c r="GI122" s="6">
        <v>0</v>
      </c>
      <c r="GJ122" s="24">
        <f>IF(($V122-BB122+$CM122-DA122)&lt;0,0,$V122-BB122+$CM122-DA122)</f>
        <v>0</v>
      </c>
      <c r="GK122" s="6">
        <f>$FO122</f>
        <v>0</v>
      </c>
      <c r="GL122" s="1">
        <v>0.25280000000000002</v>
      </c>
      <c r="GM122">
        <f>$BA122+$CZ122</f>
        <v>0</v>
      </c>
      <c r="GN122" s="1">
        <v>0.376</v>
      </c>
      <c r="GO122" s="6">
        <v>0</v>
      </c>
      <c r="GP122" s="1">
        <f>IF(SandLer3&gt;1,0.3539,1.0749)</f>
        <v>0.35389999999999999</v>
      </c>
      <c r="GQ122" s="11">
        <f>$FQ122</f>
        <v>0</v>
      </c>
      <c r="GR122" s="1">
        <v>0.19359999999999999</v>
      </c>
      <c r="GS122" s="1">
        <f>VLOOKUP($E122,Afgr,Data!$DM$3)</f>
        <v>0</v>
      </c>
      <c r="GT122" s="24">
        <f>IF($GS122&gt;1,0,(VLOOKUP($K122,Afgr,Data!$DP$3)+IF(VLOOKUP($K122,Afgr,Data!$DP$3)=0,VLOOKUP($G122,Efgr,Data!$BI$53,0))))+IF(AND($GS122=7,VLOOKUP($K122,Afgr,Data!$DQ$3)=-2),-2,0)+IF(AND($GS122=6,VLOOKUP($G122,Efgr,Data!$BI$53)=2),8,0)</f>
        <v>0</v>
      </c>
      <c r="GU122" s="6" t="e">
        <f>VLOOKUP(SUM(GS122:GT122),Nlesafgr,3)</f>
        <v>#N/A</v>
      </c>
      <c r="GV122" s="7">
        <f>VLOOKUP($B122,Afgr,Data!$DN$3)</f>
        <v>0</v>
      </c>
      <c r="GW122" s="24">
        <f>IF(GV122&gt;1,0,VLOOKUP($E122,Afgr,Data!$DO$3)+IF(VLOOKUP($E122,Afgr,Data!$DO$3)=1,0,VLOOKUP($C122,Efgr,Data!$BJ$53)))</f>
        <v>0</v>
      </c>
      <c r="GX122" s="6" t="e">
        <f>VLOOKUP(SUM(GV122:GW122),Nlesforfrugt,3)</f>
        <v>#N/A</v>
      </c>
      <c r="GY122" s="1" t="e">
        <f>GH122*GG122+GL122*(GJ122+GK122)+GN122*GM122+GP122*GO122-GR122*GQ122+GU122+GX122</f>
        <v>#N/A</v>
      </c>
      <c r="GZ122" s="1">
        <f>Nlesafskaering</f>
        <v>59.6</v>
      </c>
      <c r="HA122" s="1">
        <f>Teknologi1</f>
        <v>2455</v>
      </c>
      <c r="HB122" s="6">
        <v>2001</v>
      </c>
      <c r="HC122" s="1">
        <f>Teknologi2</f>
        <v>1962.2</v>
      </c>
      <c r="HD122" s="1">
        <f>Tandel</f>
        <v>0.54659999999999997</v>
      </c>
      <c r="HE122" s="1" t="e">
        <f>IF(OR(GY122&gt;0,GY122=0),GZ122+HA122/(HB122-HC122),GZ122+HA122/(HB122-HC122)+HD122*GY122)</f>
        <v>#N/A</v>
      </c>
      <c r="HF122" s="1" t="e">
        <f>IF(GY122&gt;0,GY122,0.001)</f>
        <v>#N/A</v>
      </c>
      <c r="HG122" s="1">
        <v>1.5020000000000001E-3</v>
      </c>
      <c r="HH122" s="24">
        <f>IF(E122=1,0,VLOOKUP(Postnr,AfstromData,VLOOKUP($E122,Afgr,Data!$DL$3)+IF(Jordtype1&lt;7,Jordtype1,6),FALSE)-VLOOKUP(G122,Efgr,Data!$AA$53))</f>
        <v>0</v>
      </c>
      <c r="HI122" s="1">
        <v>5.5400000000000002E-4</v>
      </c>
      <c r="HJ122" s="24">
        <f>IF(E122=1,0,VLOOKUP(Postnr,AfstromData,VLOOKUP($B122,Afgr,Data!$DL$3)+IF(Jordtype1&lt;7,Jordtype1,6),FALSE)-VLOOKUP(C122,Efgr,Data!$AA$53))</f>
        <v>0</v>
      </c>
      <c r="HK122" s="1">
        <v>0.10639999999999999</v>
      </c>
      <c r="HL122" s="6">
        <f>VLOOKUP(Jordtype3,Jordtype,Data!$W$112)</f>
        <v>3</v>
      </c>
      <c r="HM122" s="1">
        <v>3.2500000000000001E-2</v>
      </c>
      <c r="HN122" s="6">
        <f>VLOOKUP(Jordtype3,Jordtype,Data!$X$112)</f>
        <v>12</v>
      </c>
      <c r="HO122" s="1">
        <v>1.2453000000000001</v>
      </c>
      <c r="HP122" s="1">
        <f>IF(VLOOKUP(G122,Efgr,Data!$AO$53)=1,MlafgrNUdvask,0)</f>
        <v>0</v>
      </c>
      <c r="HQ122" s="20">
        <f>IF(ISERROR((HE122+POWER(HF122,1.2))*(1-EXP(-HG122*HH122))*EXP(-HI122*HJ122)*EXP(-HK122*HL122)*EXP(-HM122*HN122)*HO122),0,(HE122+POWER(HF122,1.2))*(1-EXP(-HG122*HH122))*EXP(-HI122*HJ122)*EXP(-HK122*HL122)*EXP(-HM122*HN122)*HO122+HP122)</f>
        <v>0</v>
      </c>
      <c r="HR122">
        <f>HQ122*M122</f>
        <v>0</v>
      </c>
      <c r="HS122">
        <f>HQ122*(100-Retention3)*0.01</f>
        <v>0</v>
      </c>
      <c r="HT122">
        <f>HS122*M122</f>
        <v>0</v>
      </c>
      <c r="HU122" s="2">
        <f>HH122*10000</f>
        <v>0</v>
      </c>
      <c r="HV122" s="2">
        <f>HU122*M122</f>
        <v>0</v>
      </c>
      <c r="HW122">
        <f>IF(ISERROR(HQ122*1000*1000/HU122),0,HQ122*1000*1000/HU122)</f>
        <v>0</v>
      </c>
      <c r="HY122">
        <f>BP122+BT122+CG122+DG122</f>
        <v>0</v>
      </c>
      <c r="IB122">
        <f>VLOOKUP(E122,Afgr,Data!$AP$3)*UdsaedJust</f>
        <v>0</v>
      </c>
      <c r="IC122" s="3">
        <f>IF(Mark!EG122&lt;&gt;"",Mark!EG122,Regn!IB122)</f>
        <v>0</v>
      </c>
      <c r="ID122" s="3">
        <f>IC122*M122</f>
        <v>0</v>
      </c>
      <c r="IF122" s="3">
        <f>IF(HdgVaerdi=1,($V122-$AY122)*Npris,$V122*Npris)</f>
        <v>0</v>
      </c>
      <c r="IG122" s="3">
        <f>IF122*M122</f>
        <v>0</v>
      </c>
      <c r="II122">
        <f>VLOOKUP($E122,Afgr,Data!$BA$3)</f>
        <v>0</v>
      </c>
      <c r="IJ122">
        <f>VLOOKUP($E122,Afgr,Data!$BB$3)</f>
        <v>0</v>
      </c>
      <c r="IK122">
        <f>$DX122+$EJ122</f>
        <v>0</v>
      </c>
      <c r="IL122">
        <f>IF(HdgDyreart=2,$AV122*NPforholdSvin,$AV122*NPforholdKvaeg)</f>
        <v>0</v>
      </c>
      <c r="IM122">
        <f>II122+IF($IJ122+$IK122&gt;$IL122,($IJ122+$IK122-$IL122),0)</f>
        <v>0</v>
      </c>
      <c r="IN122" s="3">
        <f>IF(HdgVaerdi=1,($II122*Ppris+IF($IJ122+$IK122&gt;$IL122,($IJ122+$IK122-$IL122)*Ppris,0)),($II122+$IJ122+$IK122)*Ppris)</f>
        <v>0</v>
      </c>
      <c r="IO122" s="3">
        <f>IN122*M122</f>
        <v>0</v>
      </c>
      <c r="IQ122">
        <f>IF(AND(E122&gt;1,OR(Jordtype3=1,Jordtype3=3,Markvand3=2)),Kudvask,0)</f>
        <v>0</v>
      </c>
      <c r="IR122">
        <f>$EA122+$EM122</f>
        <v>0</v>
      </c>
      <c r="IS122">
        <f>IF(HdgDyreart=2,$AV122*NKforholdSvin,$AV122*NkforholdKvaeg)</f>
        <v>0</v>
      </c>
      <c r="IT122">
        <f>IF($IQ122+$IR122&gt;$IS122,($IQ122+$IR122-$IS122),0)</f>
        <v>0</v>
      </c>
      <c r="IU122" s="3">
        <f>IF(HdgVaerdi=1,IF($IQ122+$IR122&gt;$IS122,($IQ122+$IR122-$IS122)*Kpris,0),($IQ122+$IR122)*Kpris)</f>
        <v>0</v>
      </c>
      <c r="IV122" s="3">
        <f>IU122*M122</f>
        <v>0</v>
      </c>
      <c r="IX122">
        <f>IF122+IN122+IU122</f>
        <v>0</v>
      </c>
      <c r="IY122" s="3">
        <f>IF(Mark!EM122&lt;&gt;"",Mark!EM122,$IX122)</f>
        <v>0</v>
      </c>
      <c r="IZ122" s="3">
        <f>IY122*M122</f>
        <v>0</v>
      </c>
      <c r="JB122">
        <f>VLOOKUP(E122,Afgr,Data!$AQ$3)*PlantevJust</f>
        <v>0</v>
      </c>
      <c r="JC122" s="3">
        <f>IF(Mark!ES122&lt;&gt;"",Mark!ES122,JB122)</f>
        <v>0</v>
      </c>
      <c r="JD122" s="3">
        <f>JC122*M122</f>
        <v>0</v>
      </c>
      <c r="JF122">
        <f>VLOOKUP(E122,Afgr,Data!$AR$3)+BI122*VLOOKUP(E122,Afgr,Data!$BH$3)</f>
        <v>0</v>
      </c>
      <c r="JG122" s="3">
        <f>IF(Mark!EY122&lt;&gt;"",Mark!EY122,JF122)</f>
        <v>0</v>
      </c>
      <c r="JH122">
        <f>JG122*M122</f>
        <v>0</v>
      </c>
      <c r="JJ122">
        <f>IC122+IY122+JC122+JG122</f>
        <v>0</v>
      </c>
      <c r="JL122">
        <f>IF(VLOOKUP(E122,Afgr,Data!$BY$3)&gt;0,Data!$K$259*PlojJB3,0)</f>
        <v>0</v>
      </c>
      <c r="JM122">
        <f>IF(VLOOKUP(E122,Afgr,Data!$BZ$3)&gt;0,Data!$K$260*PlojJB3,0)</f>
        <v>0</v>
      </c>
      <c r="JN122">
        <f>(JL122+JM122)*MaskJust</f>
        <v>0</v>
      </c>
      <c r="JO122" s="3">
        <f>IF(Mark!FE122&lt;&gt;"",Mark!FE122,JN122)</f>
        <v>0</v>
      </c>
      <c r="JP122" s="3">
        <f>JO122*M122</f>
        <v>0</v>
      </c>
      <c r="JR122">
        <f>IF(VLOOKUP(E122,Afgr,Data!$CA$3)&gt;0,VLOOKUP(E122,Afgr,Data!$CA$3)*Data!$K$261*SaaJB3,0)</f>
        <v>0</v>
      </c>
      <c r="JS122">
        <f>IF(VLOOKUP(E122,Afgr,Data!$CC$3)&gt;0,Data!$K$262*SaaJB3,0)</f>
        <v>0</v>
      </c>
      <c r="JT122">
        <f>IF(VLOOKUP(E122,Afgr,Data!$CD$3)&gt;0,VLOOKUP(E122,Afgr,Data!$CD$3)*Data!$K$263*SaaJB3,0)</f>
        <v>0</v>
      </c>
      <c r="JU122">
        <f>IF(VLOOKUP(E122,Afgr,Data!$CE$3)&gt;0,Data!$K$264*SaaJB3,0)</f>
        <v>0</v>
      </c>
      <c r="JV122">
        <f>IF(VLOOKUP(E122,Afgr,Data!$CF$3)&gt;0,Data!$K$265*SaaJB3,0)</f>
        <v>0</v>
      </c>
      <c r="JW122">
        <f>IF(VLOOKUP(E122,Afgr,Data!$CV$3)&gt;0,Data!$K$266,0)</f>
        <v>0</v>
      </c>
      <c r="JX122">
        <f>IF(VLOOKUP(E122,Afgr,Data!$CG$3)&gt;0,Data!$K$267*SaaJB3,0)</f>
        <v>0</v>
      </c>
      <c r="JY122">
        <f>(JR122+JS122+JT122+JU122+JV122+JW122+JX122)*MaskJust</f>
        <v>0</v>
      </c>
      <c r="JZ122" s="3">
        <f>IF(Mark!FK122&lt;&gt;"",Mark!FK122,JY122)</f>
        <v>0</v>
      </c>
      <c r="KA122" s="3">
        <f>JZ122*M122</f>
        <v>0</v>
      </c>
      <c r="KC122">
        <f>IF(VLOOKUP(E122,Afgr,Data!$CJ$3)&gt;0,VLOOKUP(E122,Afgr,Data!$CJ$3)*Data!$K$268*SaaJB3,0)*MaskJust</f>
        <v>0</v>
      </c>
      <c r="KD122" s="3">
        <f>IF(Mark!FQ122&lt;&gt;"",Mark!FQ122,KC122)</f>
        <v>0</v>
      </c>
      <c r="KE122" s="3">
        <f>KD122*M122</f>
        <v>0</v>
      </c>
      <c r="KG122">
        <f>IF(VLOOKUP(E122,Afgr,Data!$CI$3)&gt;0,VLOOKUP(E122,Afgr,Data!$CI$3)*Data!$K$269,0)*MaskJust</f>
        <v>0</v>
      </c>
      <c r="KH122" s="3">
        <f>IF(Mark!FW122&lt;&gt;"",Mark!FW122,KG122)</f>
        <v>0</v>
      </c>
      <c r="KI122" s="3">
        <f>KH122*M122</f>
        <v>0</v>
      </c>
      <c r="KK122">
        <f>IF(Markvand3=2,VLOOKUP($E122,Afgr,Data!$CY$3),0)</f>
        <v>0</v>
      </c>
      <c r="KL122">
        <f>IF(Mark!GC122&lt;&gt;"",Mark!GC122,$KK122)</f>
        <v>0</v>
      </c>
      <c r="KM122">
        <f>IF(AND(E122&gt;1,Markvand3=2),Vandmaskin+$KL122*Flytning/mmprgang+$KL122*Prisprmm,0)</f>
        <v>0</v>
      </c>
      <c r="KN122" s="3">
        <f>IF(Mark!GI122&lt;&gt;"",Mark!GI122,$KM122)</f>
        <v>0</v>
      </c>
      <c r="KO122" s="3">
        <f>KN122*M122</f>
        <v>0</v>
      </c>
      <c r="KQ122">
        <f>IF(VLOOKUP($E122,Afgr,Data!$CK$3)&gt;0,((1+Regn!$BI122/VLOOKUP($E122,Afgr,Data!$CK$3))/2)*VLOOKUP($E122,Afgr,Data!$CL$3)*VLOOKUP($E122,Afgr,Data!$CN$3)+VLOOKUP($E122,Afgr,Data!$CM$3),0)</f>
        <v>0</v>
      </c>
      <c r="KR122">
        <f>IF(VLOOKUP($E122,Afgr,Data!$CK$3)&gt;0,IF(AND($F122=2,$BW122&gt;0),Data!$K$271,0),0)</f>
        <v>0</v>
      </c>
      <c r="KS122">
        <f>IF(VLOOKUP($E122,Afgr,Data!$CK$3)&gt;0,(Regn!$BI122/VLOOKUP($E122,Afgr,Data!$CK$3))*VLOOKUP($E122,Afgr,Data!$CO$3)*VLOOKUP($E122,Afgr,Data!$CN$3),0)</f>
        <v>0</v>
      </c>
      <c r="KT122">
        <f>(KQ122+KR122+KS122)*MaskJust</f>
        <v>0</v>
      </c>
      <c r="KU122" s="3">
        <f>IF(Mark!GO122&lt;&gt;"",Mark!GO122,KT122)</f>
        <v>0</v>
      </c>
      <c r="KV122" s="3">
        <f>KU122*M122</f>
        <v>0</v>
      </c>
      <c r="KW122" s="3"/>
      <c r="KX122">
        <f>IF(AND($F122=1,VLOOKUP($E122,Afgr,Data!$CP$3)&gt;0),((1+$BY122/VLOOKUP($E122,Afgr,Data!$CP$3))/2)*VLOOKUP($E122,Afgr,Data!$CQ$3),0)</f>
        <v>0</v>
      </c>
      <c r="KY122">
        <f>IF(AND($F122=1,VLOOKUP($E122,Afgr,Data!$CP$3)&gt;0),($BY122/VLOOKUP($E122,Afgr,Data!$CP$3))*VLOOKUP($E122,Afgr,Data!$CR$3),0)</f>
        <v>0</v>
      </c>
      <c r="KZ122">
        <f>(KX122+KY122)*MaskJust</f>
        <v>0</v>
      </c>
      <c r="LA122" s="3">
        <f>IF(Mark!GU122&lt;&gt;"",Mark!GU122,KZ122)</f>
        <v>0</v>
      </c>
      <c r="LB122" s="3">
        <f>LA122*M122</f>
        <v>0</v>
      </c>
      <c r="LD122">
        <f>$BI122*VLOOKUP($E122,Afgr,Data!$CS$3)*IF($I122=1,VLOOKUP($E122,Afgr,Data!$CT$3),IF($I122=2,VLOOKUP($E122,Afgr,Data!$CU$3),0))</f>
        <v>0</v>
      </c>
      <c r="LE122" s="3">
        <f>IF(Mark!HD122&lt;&gt;"",Mark!HD122,LD122)</f>
        <v>0</v>
      </c>
      <c r="LF122" s="3">
        <f>LE122*M122</f>
        <v>0</v>
      </c>
      <c r="LH122">
        <f>VLOOKUP($G122,Efgr,Data!$AC$53)*UdsaedJust</f>
        <v>0</v>
      </c>
      <c r="LI122" s="3">
        <f>IF(Mark!$HL122&lt;&gt;"",Mark!$HL122,LH122)</f>
        <v>0</v>
      </c>
      <c r="LJ122" s="3">
        <f>LI122*M122</f>
        <v>0</v>
      </c>
      <c r="LL122" s="3">
        <f>IF(HdgVaerdi=1,($CM122-$CX122)*Npris,$CM122*Npris)</f>
        <v>0</v>
      </c>
      <c r="LM122" s="3">
        <f>LL122*M122</f>
        <v>0</v>
      </c>
      <c r="LO122">
        <f>$ET122</f>
        <v>0</v>
      </c>
      <c r="LP122">
        <f>IF(HdgDyreart=2,$CU122*NPforholdSvin,$CU122*NPforholdKvaeg)</f>
        <v>0</v>
      </c>
      <c r="LQ122">
        <f>IF($LO122&gt;$LP122,($LO122-$LP122),0)</f>
        <v>0</v>
      </c>
      <c r="LR122" s="3">
        <f>IF(HdgVaerdi=1,IF($LO122&gt;$LP122,($LO122-$LP122)*Ppris,0),$LO122*Ppris)</f>
        <v>0</v>
      </c>
      <c r="LS122" s="3">
        <f>LR122*M122</f>
        <v>0</v>
      </c>
      <c r="LU122">
        <f>$EW122</f>
        <v>0</v>
      </c>
      <c r="LV122">
        <f>IF(HdgDyreart=2,$CU122*NKforholdSvin,$CU122*NkforholdKvaeg)</f>
        <v>0</v>
      </c>
      <c r="LW122">
        <f>IF($LU122&gt;$LV122,($LU122-$LV122),0)</f>
        <v>0</v>
      </c>
      <c r="LX122" s="3">
        <f>IF(HdgVaerdi=1,IF($LU122&gt;$LV122,($LU122-$LV122)*Ppris,0),$LU122*Ppris)</f>
        <v>0</v>
      </c>
      <c r="LY122" s="3">
        <f>LX122*M122</f>
        <v>0</v>
      </c>
      <c r="MA122">
        <f>LL122+LR122+LX122</f>
        <v>0</v>
      </c>
      <c r="MB122" s="3">
        <f>IF(Mark!HR122&lt;&gt;"",Mark!HR122,$MA122)</f>
        <v>0</v>
      </c>
      <c r="MC122" s="3">
        <f>MB122*M122</f>
        <v>0</v>
      </c>
      <c r="ME122">
        <f>VLOOKUP($G122,Efgr,Data!$AE$53)*PlantevJust</f>
        <v>0</v>
      </c>
      <c r="MF122" s="3">
        <f>IF(Mark!HX122&lt;&gt;"",Mark!HX122,ME122)</f>
        <v>0</v>
      </c>
      <c r="MG122" s="3">
        <f>MF122*M122</f>
        <v>0</v>
      </c>
      <c r="MI122">
        <f>VLOOKUP($G122,Efgr,Data!$AF$53)+$DD122*VLOOKUP($G122,Efgr,Data!$AL$53)</f>
        <v>0</v>
      </c>
      <c r="MJ122" s="3">
        <f>IF(Mark!ID122&lt;&gt;"",Mark!ID122,MI122)</f>
        <v>0</v>
      </c>
      <c r="MK122" s="3">
        <f>MJ122*M122</f>
        <v>0</v>
      </c>
      <c r="MM122">
        <f>LI122+MB122+MF122+MJ122</f>
        <v>0</v>
      </c>
      <c r="MO122">
        <f>VLOOKUP($G122,Efgr,Data!$AU$53)*SaaJB3*MaskJust</f>
        <v>0</v>
      </c>
      <c r="MP122" s="3">
        <f>IF(Mark!IJ122&lt;&gt;"",Mark!IJ122,MO122)</f>
        <v>0</v>
      </c>
      <c r="MQ122" s="3">
        <f>MP122*M122</f>
        <v>0</v>
      </c>
      <c r="MS122">
        <f>VLOOKUP($G122,Efgr,Data!$AW$53)*Data!$K$268*SaaJB3*MaskJust</f>
        <v>0</v>
      </c>
      <c r="MT122" s="3">
        <f>IF(Mark!IP122&lt;&gt;"",Mark!IP122,MS122)</f>
        <v>0</v>
      </c>
      <c r="MU122" s="3">
        <f>MT122*M122</f>
        <v>0</v>
      </c>
      <c r="MW122">
        <f>VLOOKUP($G122,Efgr,Data!$AV$53)*Data!$K$269*MaskJust</f>
        <v>0</v>
      </c>
      <c r="MX122" s="3">
        <f>IF(Mark!IV122&lt;&gt;"",Mark!IV122,MW122)</f>
        <v>0</v>
      </c>
      <c r="MY122" s="3">
        <f>MX122*M122</f>
        <v>0</v>
      </c>
      <c r="NA122">
        <f>IF(Markvand3=2,VLOOKUP($G122,Efgr,Data!$BC$53),0)</f>
        <v>0</v>
      </c>
      <c r="NB122">
        <f>IF(Mark!JB122&lt;&gt;"",Mark!JB122,$NA122)</f>
        <v>0</v>
      </c>
      <c r="NC122">
        <f>IF(Markvand3=2,$NB122*Flytning/mmprgang+$NB122*Prisprmm,0)</f>
        <v>0</v>
      </c>
      <c r="ND122" s="3">
        <f>IF(Mark!JH122&lt;&gt;"",Mark!JH122,$NC122)</f>
        <v>0</v>
      </c>
      <c r="NE122" s="3">
        <f>ND122*M122</f>
        <v>0</v>
      </c>
      <c r="NG122">
        <f>IF(VLOOKUP($G122,Efgr,Data!$AX$53)&gt;0,((1+Regn!DD122/VLOOKUP($G122,Efgr,Data!$AX$53))/2)*VLOOKUP($G122,Efgr,Data!$AY$53)*VLOOKUP($G122,Efgr,Data!$BA$53)+VLOOKUP($G122,Efgr,Data!$AZ$53),0)</f>
        <v>0</v>
      </c>
      <c r="NH122">
        <f>IF(VLOOKUP($G122,Efgr,Data!$AX$53)&gt;0,($DD122/VLOOKUP($G122,Efgr,Data!$AX$53))*VLOOKUP($G122,Efgr,Data!$BB$53)*VLOOKUP($G122,Efgr,Data!$BA$53),0)</f>
        <v>0</v>
      </c>
      <c r="NI122">
        <f>(NG122+NH122)*MaskJust</f>
        <v>0</v>
      </c>
      <c r="NJ122" s="3">
        <f>IF(Mark!JN122&lt;&gt;"",Mark!JN122,NI122)</f>
        <v>0</v>
      </c>
      <c r="NK122" s="3">
        <f>NJ122*M122</f>
        <v>0</v>
      </c>
      <c r="NM122">
        <f>IF($H122=2,Data!$K$304,IF($H122=3,Data!$K$305,0))*MaskJust</f>
        <v>0</v>
      </c>
      <c r="NN122" s="3">
        <f>IF(Mark!JT122&lt;&gt;"",Mark!JT122,NM122)</f>
        <v>0</v>
      </c>
      <c r="NO122" s="3">
        <f>NN122*M122</f>
        <v>0</v>
      </c>
      <c r="NQ122">
        <f>HY122</f>
        <v>0</v>
      </c>
      <c r="NR122">
        <f>JJ122+MM122</f>
        <v>0</v>
      </c>
      <c r="NS122">
        <f>NQ122-NR122</f>
        <v>0</v>
      </c>
      <c r="NT122">
        <f>NS122*M122</f>
        <v>0</v>
      </c>
      <c r="NW122">
        <f>VLOOKUP($B122,Afgr,Data!$BP$3)+VLOOKUP($C122,Efgr,Data!$AM$53)</f>
        <v>0</v>
      </c>
      <c r="NX122" s="3">
        <f>NW122*M122</f>
        <v>0</v>
      </c>
      <c r="NY122">
        <f>VLOOKUP($E122,Afgr,Data!$BP$3)+VLOOKUP($G122,Efgr,Data!$AM$53)</f>
        <v>0</v>
      </c>
      <c r="NZ122" s="3">
        <f>NY122*M122</f>
        <v>0</v>
      </c>
      <c r="OB122">
        <f>VLOOKUP($C122,Efgr,Data!$AN$53)</f>
        <v>0</v>
      </c>
      <c r="OC122">
        <f>VLOOKUP($B122,Afgr,Data!$BQ$3)</f>
        <v>0</v>
      </c>
      <c r="OD122">
        <f>VLOOKUP($E122,Afgr,Data!$BR$3)</f>
        <v>1</v>
      </c>
      <c r="OE122">
        <f>OB122*OC122*OD122</f>
        <v>0</v>
      </c>
      <c r="OF122" s="3">
        <f>OE122*M122</f>
        <v>0</v>
      </c>
      <c r="OG122" s="3">
        <f>IF(D122,1,0)*OF122</f>
        <v>0</v>
      </c>
      <c r="OI122">
        <f>VLOOKUP($G122,Efgr,Data!$AN$53)</f>
        <v>0</v>
      </c>
      <c r="OJ122">
        <f>VLOOKUP($E122,Afgr,Data!$BQ$3)</f>
        <v>0</v>
      </c>
      <c r="OK122">
        <f>VLOOKUP($K122,Afgr,Data!$BR$3)</f>
        <v>1</v>
      </c>
      <c r="OL122">
        <f>OI122*OJ122*OK122</f>
        <v>0</v>
      </c>
      <c r="OM122" s="3">
        <f>OL122*M122</f>
        <v>0</v>
      </c>
      <c r="OO122">
        <f>VLOOKUP($G122,Efgr,Data!$AO$53)</f>
        <v>0</v>
      </c>
      <c r="OP122">
        <f>VLOOKUP($B122,Afgr,Data!$BQ$3)</f>
        <v>0</v>
      </c>
      <c r="OQ122">
        <f>VLOOKUP($E122,Afgr,Data!$BS$3)</f>
        <v>0</v>
      </c>
      <c r="OR122" s="3">
        <f>OO122*OP122*OQ122*$M122</f>
        <v>0</v>
      </c>
      <c r="OT122">
        <f>VLOOKUP($G122,Efgr,Data!$AO$53)</f>
        <v>0</v>
      </c>
      <c r="OU122">
        <f>VLOOKUP($E122,Afgr,Data!$BQ$3)</f>
        <v>0</v>
      </c>
      <c r="OV122">
        <f>VLOOKUP($K122,Afgr,Data!$BS$3)</f>
        <v>0</v>
      </c>
      <c r="OW122" s="3">
        <f>OT122*OU122*OV122*$M122</f>
        <v>0</v>
      </c>
      <c r="OX122" s="3"/>
      <c r="OY122" s="3">
        <f>VLOOKUP($B122,Afgr,Data!$BU$3)</f>
        <v>0</v>
      </c>
      <c r="OZ122" s="3">
        <f>OY122*M122</f>
        <v>0</v>
      </c>
      <c r="PA122" s="3">
        <f>VLOOKUP($E122,Afgr,Data!$BU$3)</f>
        <v>0</v>
      </c>
      <c r="PB122" s="3">
        <f>PA122*M122</f>
        <v>0</v>
      </c>
      <c r="PD122">
        <f>VLOOKUP(E122,Afgr,Data!$BX$3)+VLOOKUP(G122,Efgr,Data!$AQ$53)</f>
        <v>0</v>
      </c>
      <c r="PE122">
        <f>IF(PD122&gt;0,M122,0)</f>
        <v>0</v>
      </c>
      <c r="PG122">
        <f>VLOOKUP($B122,Afgr,Data!$BT$3)</f>
        <v>0</v>
      </c>
      <c r="PH122" s="3">
        <f>PG122*M122</f>
        <v>0</v>
      </c>
      <c r="PI122">
        <f>VLOOKUP($E122,Afgr,Data!$BT$3)</f>
        <v>0</v>
      </c>
      <c r="PJ122" s="3">
        <f>PI122*M122</f>
        <v>0</v>
      </c>
      <c r="PL122">
        <f>VLOOKUP($E122,Afgr,Data!$BV$3)</f>
        <v>0</v>
      </c>
      <c r="PM122">
        <f>PL122*M122</f>
        <v>0</v>
      </c>
      <c r="PO122">
        <f>VLOOKUP($E122,Afgr,Data!$BW$3)</f>
        <v>0</v>
      </c>
      <c r="PP122">
        <f>PO122*M122</f>
        <v>0</v>
      </c>
      <c r="PR122">
        <f>BI122*IF(VLOOKUP($E122,Afgr,Data!$BJ$3)&gt;0,1,0)</f>
        <v>0</v>
      </c>
      <c r="PS122">
        <f>PR122*M122</f>
        <v>0</v>
      </c>
      <c r="PU122">
        <f>BI122*VLOOKUP(E122,Afgr,Data!$BK$3)</f>
        <v>0</v>
      </c>
      <c r="PV122">
        <f>M122*PU122</f>
        <v>0</v>
      </c>
      <c r="PW122">
        <f>$BI122*VLOOKUP($E122,Afgr,Data!$BL$3)+$DD122*VLOOKUP($G122,Efgr,Data!$AP$53)</f>
        <v>0</v>
      </c>
      <c r="PX122">
        <f>PW122*M122</f>
        <v>0</v>
      </c>
      <c r="PY122">
        <f>$BI122*VLOOKUP($E122,Afgr,Data!$BM$3)</f>
        <v>0</v>
      </c>
      <c r="PZ122">
        <f>PY122*M122</f>
        <v>0</v>
      </c>
      <c r="QA122">
        <f>$BI122*VLOOKUP($E122,Afgr,Data!$BN$3)</f>
        <v>0</v>
      </c>
      <c r="QB122">
        <f>QA122*M122</f>
        <v>0</v>
      </c>
      <c r="QE122">
        <f>IF(VLOOKUP($E122,Afgr,Data!$DA$3)="Vårbyg",$BJ122,0)*VLOOKUP($E122,Afgr,Data!$BJ$3)</f>
        <v>0</v>
      </c>
      <c r="QF122">
        <f>IF(VLOOKUP($E122,Afgr,Data!$DA$3)="Vinterbyg",$BJ122,0)*VLOOKUP($E122,Afgr,Data!$BJ$3)</f>
        <v>0</v>
      </c>
      <c r="QG122">
        <f>IF(VLOOKUP($E122,Afgr,Data!$DA$3)="Havre",$BJ122,0)*VLOOKUP($E122,Afgr,Data!$BJ$3)</f>
        <v>0</v>
      </c>
      <c r="QH122">
        <f>IF(VLOOKUP($E122,Afgr,Data!$DA$3)="Hvede",$BJ122,0)*VLOOKUP($E122,Afgr,Data!$BJ$3)</f>
        <v>0</v>
      </c>
      <c r="QI122">
        <f>IF(VLOOKUP($E122,Afgr,Data!$DA$3)="Triticale",$BJ122,0)*VLOOKUP($E122,Afgr,Data!$BJ$3)</f>
        <v>0</v>
      </c>
      <c r="QJ122">
        <f>IF(VLOOKUP($E122,Afgr,Data!$DA$3)="Rug",$BJ122,0)*VLOOKUP($E122,Afgr,Data!$BJ$3)</f>
        <v>0</v>
      </c>
      <c r="QK122">
        <f>IF(VLOOKUP($E122,Afgr,Data!$DA$3)="Majs",$BJ122,0)*VLOOKUP($E122,Afgr,Data!$BJ$3)</f>
        <v>0</v>
      </c>
      <c r="QN122">
        <f>IF(OI122+OO122&gt;0,1,0)</f>
        <v>0</v>
      </c>
      <c r="QO122">
        <f>QN122*LJ122</f>
        <v>0</v>
      </c>
      <c r="QP122">
        <f>QN122*MG122</f>
        <v>0</v>
      </c>
      <c r="QQ122">
        <f>MQ122</f>
        <v>0</v>
      </c>
      <c r="QR122">
        <f>QN122*NO122</f>
        <v>0</v>
      </c>
    </row>
    <row r="123" spans="1:460" x14ac:dyDescent="0.25">
      <c r="GG123" s="12"/>
    </row>
    <row r="124" spans="1:460" x14ac:dyDescent="0.25">
      <c r="A124">
        <v>5</v>
      </c>
      <c r="B124">
        <v>1</v>
      </c>
      <c r="C124">
        <v>1</v>
      </c>
      <c r="D124" t="b">
        <v>0</v>
      </c>
      <c r="E124">
        <v>1</v>
      </c>
      <c r="F124">
        <v>1</v>
      </c>
      <c r="G124">
        <v>1</v>
      </c>
      <c r="H124">
        <v>1</v>
      </c>
      <c r="I124">
        <v>1</v>
      </c>
      <c r="K124">
        <v>1</v>
      </c>
      <c r="M124">
        <f>IF(ISERROR(N124*Areal3/$N$132),0,N124*Areal3/$N$132)</f>
        <v>0</v>
      </c>
      <c r="N124">
        <f>Mark!Z124</f>
        <v>0</v>
      </c>
      <c r="P124">
        <f>VLOOKUP($E124,Afgr,NnormKolonneNr3)</f>
        <v>0</v>
      </c>
      <c r="Q124">
        <f>VLOOKUP($B124,Afgr,Data!$AI$3)*VLOOKUP(E124,Afgr,Data!$AJ$3)</f>
        <v>0</v>
      </c>
      <c r="R124">
        <f>IF($D124,0,VLOOKUP($C124,Efgr,(Data!$W$53+$G$28-1)))</f>
        <v>0</v>
      </c>
      <c r="S124">
        <f>P124-Q124-R124</f>
        <v>0</v>
      </c>
      <c r="T124">
        <f>S124*M124</f>
        <v>0</v>
      </c>
      <c r="U124">
        <f>IF(Nmodel34=1,S124*Nniveau34*0.01,AO124)</f>
        <v>0</v>
      </c>
      <c r="V124" s="3">
        <f>IF(Mark!CI124&lt;&gt;"",Mark!CI124,U124)</f>
        <v>0</v>
      </c>
      <c r="W124" s="3">
        <f>V124*M124</f>
        <v>0</v>
      </c>
      <c r="Y124">
        <f>S124/NoptFaktor</f>
        <v>0</v>
      </c>
      <c r="Z124" s="3">
        <f>IF(Mark!BZ124&lt;&gt;"",Mark!BZ124,Y124)</f>
        <v>0</v>
      </c>
      <c r="AB124">
        <f>VLOOKUP($E124,Afgr,Data!$DE$3)</f>
        <v>0</v>
      </c>
      <c r="AC124">
        <f>VLOOKUP($E124,Afgr,Data!$DD$3)</f>
        <v>0</v>
      </c>
      <c r="AD124">
        <f>VLOOKUP($E124,Afgr,Data!$DC$3)</f>
        <v>0</v>
      </c>
      <c r="AE124">
        <f>IF(ISERROR($Z124+(-PrisN/$AD124-$AB124)/(2*$AC124)),0,($Z124+(-PrisN/$AD124-$AB124)/(2*$AC124)))</f>
        <v>0</v>
      </c>
      <c r="AF124">
        <f>($BD124+$BE124+$BF124)*1.03333</f>
        <v>0</v>
      </c>
      <c r="AG124">
        <f>$AF124-($AB124*($AE124-$Z124)+$AC124*($AE124-$Z124)^2)</f>
        <v>0</v>
      </c>
      <c r="AH124">
        <f>IF(Nmodel12=1,$AB124*($AE124-$S124)+$AC124*($AE124-$S124)^2,$AB124*($AE124-$AO124)+$AC124*($AE124-$AO124)^2)</f>
        <v>0</v>
      </c>
      <c r="AI124">
        <f>IF(Nmodel34=1,$AB124*($AE124-$V124)+$AC124*($AE124-$V124)^2,$AB124*($AE124-AO124)+$AC124*($AE124-AO124)^2)</f>
        <v>0</v>
      </c>
      <c r="AJ124">
        <f>AG124+AH124-BG124</f>
        <v>0</v>
      </c>
      <c r="AK124">
        <f>AG124+AI124-AJ124</f>
        <v>0</v>
      </c>
      <c r="AM124">
        <f>VLOOKUP(E124,Afgr,Data!$DF$3+SandLer3)</f>
        <v>0</v>
      </c>
      <c r="AN124">
        <f>IF(ISERROR(((-(PrisN+Pantafgift)+AM124*Pantfaktor*Pantafgift)/AD124-AB124)/(2*AC124)),0,((-(PrisN+Pantafgift)+AM124*Pantfaktor*Pantafgift)/AD124-AB124)/(2*AC124))</f>
        <v>0</v>
      </c>
      <c r="AO124">
        <f>AE124-AN124</f>
        <v>0</v>
      </c>
      <c r="AQ124">
        <f>IF(AT124&gt;0,0,W124)</f>
        <v>0</v>
      </c>
      <c r="AR124">
        <f>IF(ISERROR(W124*HdgNTilFordeling34/NnormIaltFordel34),0,W124*HdgNTilFordeling34/NnormIaltFordel34)</f>
        <v>0</v>
      </c>
      <c r="AS124">
        <f>IF(ISERROR($AR124/$M124),0,$AR124/$M124)</f>
        <v>0</v>
      </c>
      <c r="AT124">
        <f>IF(Mark!CO124&lt;&gt;"",Mark!CO124,0)</f>
        <v>0</v>
      </c>
      <c r="AU124">
        <f>$AT124*$M124</f>
        <v>0</v>
      </c>
      <c r="AV124" s="3">
        <f>IF(AT124&gt;0,AT124,AS124)</f>
        <v>0</v>
      </c>
      <c r="AW124" s="3">
        <f>AV124*M124</f>
        <v>0</v>
      </c>
      <c r="AY124">
        <f>UdnKrav*$AV124/100</f>
        <v>0</v>
      </c>
      <c r="BA124">
        <f>AV124*VLOOKUP($E124,Afgr,Data!$DJ$3)</f>
        <v>0</v>
      </c>
      <c r="BB124">
        <f>UdnKrav*$BA124/100</f>
        <v>0</v>
      </c>
      <c r="BD124">
        <f>VLOOKUP(E124,Afgr,NormudbKolonneNr3)</f>
        <v>0</v>
      </c>
      <c r="BE124">
        <f>VLOOKUP(B124,Afgr,Data!$AL$3)*VLOOKUP(E124,Afgr,MerudbKolonneNr3)</f>
        <v>0</v>
      </c>
      <c r="BF124">
        <f>VLOOKUP(C124,Efgr,(Data!$Y$53+EftervirkningUdb3))</f>
        <v>0</v>
      </c>
      <c r="BG124">
        <f>BD124+BE124+BF124</f>
        <v>0</v>
      </c>
      <c r="BH124">
        <f>IF(OR(V124&lt;&gt;S124,Nmodel34=2),AK124,BD124+BE124+BF124)</f>
        <v>0</v>
      </c>
      <c r="BI124" s="3">
        <f>IF(Mark!AK124&lt;&gt;"",Mark!AK124,BH124)</f>
        <v>0</v>
      </c>
      <c r="BJ124">
        <f>BI124*M124</f>
        <v>0</v>
      </c>
      <c r="BK124">
        <f>VLOOKUP(E124,Afgr,3)</f>
        <v>0</v>
      </c>
      <c r="BL124">
        <f>IF(BK124="FE",VLOOKUP($E124,Afgr,Data!$AV$3),0)</f>
        <v>0</v>
      </c>
      <c r="BN124">
        <f>VLOOKUP(E124,Afgr,4)</f>
        <v>0</v>
      </c>
      <c r="BO124" s="3">
        <f>IF(Mark!AW124&lt;&gt;"",Mark!AW124,Regn!BN124)</f>
        <v>0</v>
      </c>
      <c r="BP124" s="3">
        <f>BI124*BO124</f>
        <v>0</v>
      </c>
      <c r="BQ124" s="3">
        <f>BJ124*BO124</f>
        <v>0</v>
      </c>
      <c r="BS124">
        <f>VLOOKUP(E124,Afgr,Data!$AN$3)</f>
        <v>0</v>
      </c>
      <c r="BT124" s="3">
        <f>IF(Mark!BC124&lt;&gt;"",Mark!BC124,BS124)</f>
        <v>0</v>
      </c>
      <c r="BU124" s="3">
        <f>BT124*M124</f>
        <v>0</v>
      </c>
      <c r="BW124">
        <f>VLOOKUP(E124,Afgr,HalmudbKolonneNr3)</f>
        <v>0</v>
      </c>
      <c r="BX124">
        <f>IF(ISERROR(BW124*BI124/BG124),0,(BW124*BI124/BG124))</f>
        <v>0</v>
      </c>
      <c r="BY124" s="3">
        <f>IF(Mark!BI124&lt;&gt;"",Mark!BI124,BX124)</f>
        <v>0</v>
      </c>
      <c r="BZ124">
        <f>BY124*M124</f>
        <v>0</v>
      </c>
      <c r="CC124">
        <f>IF($F124=1,BY124,0)</f>
        <v>0</v>
      </c>
      <c r="CD124">
        <f>IF(F124=1,BZ124,0)</f>
        <v>0</v>
      </c>
      <c r="CE124">
        <f>VLOOKUP(E124,Afgr,Data!$AM$3)</f>
        <v>0</v>
      </c>
      <c r="CF124">
        <f>IF(Mark!BR124&lt;&gt;"",Mark!BR124,CE124)</f>
        <v>0</v>
      </c>
      <c r="CG124">
        <f>CC124*CF124</f>
        <v>0</v>
      </c>
      <c r="CH124">
        <f>CD124*CF124</f>
        <v>0</v>
      </c>
      <c r="CJ124">
        <f>VLOOKUP($G124,Efgr,NnormKolonneEfgr3)</f>
        <v>0</v>
      </c>
      <c r="CK124">
        <f>CJ124*M124</f>
        <v>0</v>
      </c>
      <c r="CL124">
        <f>CJ124*Nniveau34*0.01</f>
        <v>0</v>
      </c>
      <c r="CM124" s="3">
        <f>IF(Mark!DM124&lt;&gt;"",Mark!DM124,CL124)</f>
        <v>0</v>
      </c>
      <c r="CN124" s="3">
        <f>$CM124*$M124</f>
        <v>0</v>
      </c>
      <c r="CP124">
        <f>IF(CS124&gt;0,0,CN124)</f>
        <v>0</v>
      </c>
      <c r="CQ124" s="12">
        <f>IF(ISERROR(CN124*HdgNTilFordeling34/NnormIaltFordel34),0,CN124*HdgNTilFordeling34/NnormIaltFordel34)</f>
        <v>0</v>
      </c>
      <c r="CR124">
        <f>IF(ISERROR($CQ124/$M124),0,$CQ124/$M124)</f>
        <v>0</v>
      </c>
      <c r="CS124">
        <f>IF(Mark!DS124&lt;&gt;"",Mark!DS124,0)</f>
        <v>0</v>
      </c>
      <c r="CT124">
        <f>$CS124*$M124</f>
        <v>0</v>
      </c>
      <c r="CU124" s="3">
        <f>IF($CS124&gt;0,$CS124,$CR124)</f>
        <v>0</v>
      </c>
      <c r="CV124" s="3">
        <f>CU124*M124</f>
        <v>0</v>
      </c>
      <c r="CX124">
        <f>UdnKrav*$CU124/100</f>
        <v>0</v>
      </c>
      <c r="CZ124">
        <f>$CU124*VLOOKUP($G124,Efgr,Data!$BG$53)</f>
        <v>0</v>
      </c>
      <c r="DA124">
        <f>UdnKrav*$CZ124/100</f>
        <v>0</v>
      </c>
      <c r="DC124">
        <f>VLOOKUP(G124,Efgr,NormudbKolonneNrEfgr3)</f>
        <v>0</v>
      </c>
      <c r="DD124" s="3">
        <f>IF(Mark!DC124&lt;&gt;"",Mark!DC124,DC124)</f>
        <v>0</v>
      </c>
      <c r="DE124">
        <f>DD124*M124</f>
        <v>0</v>
      </c>
      <c r="DF124" t="s">
        <v>37</v>
      </c>
      <c r="DG124">
        <f>DD124*Efterslaetpris</f>
        <v>0</v>
      </c>
      <c r="DH124">
        <f>DE124*Efterslaetpris</f>
        <v>0</v>
      </c>
      <c r="DI124">
        <f>VLOOKUP(G124,Efgr,Data!$AG$53)</f>
        <v>0</v>
      </c>
      <c r="DJ124">
        <f>DD124*DI124</f>
        <v>0</v>
      </c>
      <c r="DL124">
        <f>VLOOKUP($E124,Afgr,Data!$AW$3)</f>
        <v>0</v>
      </c>
      <c r="DM124">
        <f>IF(BK124="FE",$BI124*$BL124*$DL124*0.01,$BI124*100*$DR124*0.01*$DL124*0.01)</f>
        <v>0</v>
      </c>
      <c r="DN124">
        <f>IF(VLOOKUP(E124,Afgr,Data!$BO$3)=1,DM124,0)*M124</f>
        <v>0</v>
      </c>
      <c r="DO124" s="12">
        <f>IF(Nmodel34=1,(V124-S124)*VLOOKUP($E124,Afgr,Data!$AX$3),(AO124-S124)*VLOOKUP(E124,Afgr,Data!$AX$3))</f>
        <v>0</v>
      </c>
      <c r="DP124">
        <f>DL124+DO124</f>
        <v>0</v>
      </c>
      <c r="DQ124">
        <f>IF(Mark!AQ124&lt;&gt;"",Mark!AQ124,DP124)</f>
        <v>0</v>
      </c>
      <c r="DR124">
        <f>VLOOKUP(E124,Afgr,Data!$AT$3)</f>
        <v>0</v>
      </c>
      <c r="DS124">
        <f>IF($BK124="FE",$BI124*$BL124*$DQ124*0.01,$BI124*100*$DR124*0.01*DQ124*0.01)</f>
        <v>0</v>
      </c>
      <c r="DT124">
        <f>IF(VLOOKUP(E124,Afgr,Data!$BO$3)=1,DS124,0)*M124</f>
        <v>0</v>
      </c>
      <c r="DU124">
        <f>IF(ISERROR(DS124/VLOOKUP(E124,Afgr,Data!$AY$3)),0,DS124/VLOOKUP(E124,Afgr,Data!$AY$3))</f>
        <v>0</v>
      </c>
      <c r="DV124">
        <f>DU124*M124</f>
        <v>0</v>
      </c>
      <c r="DX124">
        <f>IF($BK124="FE",$BI124*$BL124*VLOOKUP($E124,Afgr,Data!$BC$3)*0.001,$BI124*100*$DR124*0.01*VLOOKUP($E124,Afgr,Data!$BC$3)*0.001)</f>
        <v>0</v>
      </c>
      <c r="DY124">
        <f>DX124*M124</f>
        <v>0</v>
      </c>
      <c r="EA124">
        <f>IF($BK124="FE",$BI124*$BL124*VLOOKUP($E124,Afgr,Data!$BF$3)*0.001,$BI124*100*$DR124*0.01*VLOOKUP($E124,Afgr,Data!$BF$3)*0.001)</f>
        <v>0</v>
      </c>
      <c r="EB124">
        <f>EA124*M124</f>
        <v>0</v>
      </c>
      <c r="ED124">
        <f>IF(ISERROR(VLOOKUP(E124,Afgr,Data!$AZ$3)*DQ124/DL124),0,VLOOKUP(E124,Afgr,Data!$AZ$3)*DQ124/DL124)</f>
        <v>0</v>
      </c>
      <c r="EE124">
        <f>VLOOKUP(E124,Afgr,Data!$AU$3)</f>
        <v>0</v>
      </c>
      <c r="EF124">
        <f>IF($F124=1,$BY124*$EE124*0.01*ED124*0.01,0)</f>
        <v>0</v>
      </c>
      <c r="EG124">
        <f>EF124/6.25</f>
        <v>0</v>
      </c>
      <c r="EH124">
        <f>EG124*M124</f>
        <v>0</v>
      </c>
      <c r="EJ124">
        <f>IF($F124=1,$BY124*$EE124*0.01*VLOOKUP($E124,Afgr,Data!$BD$3)*0.001,0)</f>
        <v>0</v>
      </c>
      <c r="EK124">
        <f>EJ124*M124</f>
        <v>0</v>
      </c>
      <c r="EM124">
        <f>IF($F124=1,$BY124*$EE124*0.01*VLOOKUP($E124,Afgr,Data!$BG$3)*0.001,0)</f>
        <v>0</v>
      </c>
      <c r="EN124">
        <f>EM124*M124</f>
        <v>0</v>
      </c>
      <c r="EP124">
        <f>VLOOKUP(G124,Efgr,Data!$AI$53)</f>
        <v>0</v>
      </c>
      <c r="EQ124">
        <f>DJ124*EP124*0.01/6.25</f>
        <v>0</v>
      </c>
      <c r="ER124">
        <f>EQ124*M124</f>
        <v>0</v>
      </c>
      <c r="ET124">
        <f>$DJ124*VLOOKUP($G124,Efgr,Data!$AJ$53)*0.001</f>
        <v>0</v>
      </c>
      <c r="EU124">
        <f>ET124*M124</f>
        <v>0</v>
      </c>
      <c r="EW124">
        <f>$DJ124*VLOOKUP($G124,Efgr,Data!$AK$53)*0.001</f>
        <v>0</v>
      </c>
      <c r="EX124">
        <f>EW124*M124</f>
        <v>0</v>
      </c>
      <c r="EZ124">
        <f>IF(VLOOKUP(E124,Afgr,Data!$DS$3)=1,DU124*VLOOKUP(E124,Afgr,(Data!$DT$3+EftervirkningUdb3))*VLOOKUP(E124,Afgr,Data!$DV$3),0)</f>
        <v>0</v>
      </c>
      <c r="FA124">
        <f>IF(VLOOKUP(E124,Afgr,Data!$DS$3)=2,VLOOKUP(E124,Afgr,Data!$DX$3),0)</f>
        <v>0</v>
      </c>
      <c r="FB124">
        <f>IF(VLOOKUP(E124,Afgr,Data!$DS$3)=3,$DU124*VLOOKUP($E124,Afgr,IF(Jordtype3&lt;5,Data!$DT$3,Data!$DU$3))*VLOOKUP($E124,Afgr,Data!$DV$3),0)</f>
        <v>0</v>
      </c>
      <c r="FC124">
        <f>IF(VLOOKUP(E124,Afgr,Data!$DS$3)=4,(1.232+0.00469*BI124*100+(0.000256*BI124*100+0.089)*60),0)</f>
        <v>0</v>
      </c>
      <c r="FD124">
        <f>$V124+IF($AY124-$BB124&gt;$V124,$AY124-$V124,0)-$BB124</f>
        <v>0</v>
      </c>
      <c r="FE124">
        <f>IF(VLOOKUP($E124,Afgr,Data!$DS$3)=5,($BI124*0.02742-$BI124*0.0001*$FD124+$BI124*0.0000001111*$FD124*$FD124),0)</f>
        <v>0</v>
      </c>
      <c r="FF124">
        <f>$CM124+IF($CX124-$DA124&gt;$CM124,$CX124-$CM124,0)-$DA124</f>
        <v>0</v>
      </c>
      <c r="FG124">
        <f>IF(VLOOKUP($G124,Efgr,Data!$BH$53)=5,($DD124*0.02742-$DD124*0.0001*$FF124+$DD124*0.0000001111*$FF124*$FF124),0)</f>
        <v>0</v>
      </c>
      <c r="FH124" s="3">
        <f>EZ124+FA124+FB124+FC124+FE124+FG124</f>
        <v>0</v>
      </c>
      <c r="FI124" s="3">
        <f>FH124*M124</f>
        <v>0</v>
      </c>
      <c r="FK124">
        <f>$V124+$CM124</f>
        <v>0</v>
      </c>
      <c r="FL124">
        <f>($AV124-$AY124)+IF($AY124&gt;$V124,$AY124-$V124,0)+($CU124-$CX124)+IF($CX124&gt;$CM124,$CX124-$CM124,0)</f>
        <v>0</v>
      </c>
      <c r="FM124">
        <f>VLOOKUP($E124,Afgr,Data!$DK$3)*VLOOKUP($E124,Afgr,Data!$AT$3)*0.01*VLOOKUP($E124,Afgr,Data!$AW$3)*0.01/6.25</f>
        <v>0</v>
      </c>
      <c r="FN124" s="4">
        <f>IF(E124&gt;1,Deposition,0)</f>
        <v>0</v>
      </c>
      <c r="FO124">
        <f>FH124</f>
        <v>0</v>
      </c>
      <c r="FP124">
        <f>SUM(FK124:FO124)</f>
        <v>0</v>
      </c>
      <c r="FQ124">
        <f>DU124+EG124+EQ124</f>
        <v>0</v>
      </c>
      <c r="FR124" s="3">
        <f>FP124-FQ124</f>
        <v>0</v>
      </c>
      <c r="FS124" s="19">
        <f>FP124*M124</f>
        <v>0</v>
      </c>
      <c r="FT124" s="19">
        <f>FQ124*M124</f>
        <v>0</v>
      </c>
      <c r="FU124" s="3">
        <f>FR124*M124</f>
        <v>0</v>
      </c>
      <c r="FW124">
        <f>IL124+IM124+LP124+LQ124</f>
        <v>0</v>
      </c>
      <c r="FX124">
        <f>IK124+LO124</f>
        <v>0</v>
      </c>
      <c r="FY124">
        <f>FW124-FX124</f>
        <v>0</v>
      </c>
      <c r="FZ124">
        <f>FY124*M124</f>
        <v>0</v>
      </c>
      <c r="GB124">
        <f>IS124+IT124+LV124+LW124</f>
        <v>0</v>
      </c>
      <c r="GC124">
        <f>IR124+LU124</f>
        <v>0</v>
      </c>
      <c r="GD124">
        <f>GB124-GC124</f>
        <v>0</v>
      </c>
      <c r="GE124">
        <f>GD124*M124</f>
        <v>0</v>
      </c>
      <c r="GG124" s="149">
        <f>IF(OR(VLOOKUP(E124,Afgr,Data!$BV$3)=1,VLOOKUP(E124,Afgr,Data!$BW$3)=1),0,NniveauDelsaedsk3)</f>
        <v>0</v>
      </c>
      <c r="GH124" s="1">
        <v>0.32550000000000001</v>
      </c>
      <c r="GI124" s="6">
        <v>0</v>
      </c>
      <c r="GJ124" s="24">
        <f>IF(($V124-BB124+$CM124-DA124)&lt;0,0,$V124-BB124+$CM124-DA124)</f>
        <v>0</v>
      </c>
      <c r="GK124" s="6">
        <f>$FO124</f>
        <v>0</v>
      </c>
      <c r="GL124" s="1">
        <v>0.25280000000000002</v>
      </c>
      <c r="GM124">
        <f>$BA124+$CZ124</f>
        <v>0</v>
      </c>
      <c r="GN124" s="1">
        <v>0.376</v>
      </c>
      <c r="GO124" s="6">
        <v>0</v>
      </c>
      <c r="GP124" s="1">
        <f>IF(SandLer3&gt;1,0.3539,1.0749)</f>
        <v>0.35389999999999999</v>
      </c>
      <c r="GQ124" s="11">
        <f>$FQ124</f>
        <v>0</v>
      </c>
      <c r="GR124" s="1">
        <v>0.19359999999999999</v>
      </c>
      <c r="GS124" s="1">
        <f>VLOOKUP($E124,Afgr,Data!$DM$3)</f>
        <v>0</v>
      </c>
      <c r="GT124" s="24">
        <f>IF($GS124&gt;1,0,(VLOOKUP($K124,Afgr,Data!$DP$3)+IF(VLOOKUP($K124,Afgr,Data!$DP$3)=0,VLOOKUP($G124,Efgr,Data!$BI$53,0))))+IF(AND($GS124=7,VLOOKUP($K124,Afgr,Data!$DQ$3)=-2),-2,0)+IF(AND($GS124=6,VLOOKUP($G124,Efgr,Data!$BI$53)=2),8,0)</f>
        <v>0</v>
      </c>
      <c r="GU124" s="6" t="e">
        <f>VLOOKUP(SUM(GS124:GT124),Nlesafgr,3)</f>
        <v>#N/A</v>
      </c>
      <c r="GV124" s="7">
        <f>VLOOKUP($B124,Afgr,Data!$DN$3)</f>
        <v>0</v>
      </c>
      <c r="GW124" s="24">
        <f>IF(GV124&gt;1,0,VLOOKUP($E124,Afgr,Data!$DO$3)+IF(VLOOKUP($E124,Afgr,Data!$DO$3)=1,0,VLOOKUP($C124,Efgr,Data!$BJ$53)))</f>
        <v>0</v>
      </c>
      <c r="GX124" s="6" t="e">
        <f>VLOOKUP(SUM(GV124:GW124),Nlesforfrugt,3)</f>
        <v>#N/A</v>
      </c>
      <c r="GY124" s="1" t="e">
        <f>GH124*GG124+GL124*(GJ124+GK124)+GN124*GM124+GP124*GO124-GR124*GQ124+GU124+GX124</f>
        <v>#N/A</v>
      </c>
      <c r="GZ124" s="1">
        <f>Nlesafskaering</f>
        <v>59.6</v>
      </c>
      <c r="HA124" s="1">
        <f>Teknologi1</f>
        <v>2455</v>
      </c>
      <c r="HB124" s="6">
        <v>2001</v>
      </c>
      <c r="HC124" s="1">
        <f>Teknologi2</f>
        <v>1962.2</v>
      </c>
      <c r="HD124" s="1">
        <f>Tandel</f>
        <v>0.54659999999999997</v>
      </c>
      <c r="HE124" s="1" t="e">
        <f>IF(OR(GY124&gt;0,GY124=0),GZ124+HA124/(HB124-HC124),GZ124+HA124/(HB124-HC124)+HD124*GY124)</f>
        <v>#N/A</v>
      </c>
      <c r="HF124" s="1" t="e">
        <f>IF(GY124&gt;0,GY124,0.001)</f>
        <v>#N/A</v>
      </c>
      <c r="HG124" s="1">
        <v>1.5020000000000001E-3</v>
      </c>
      <c r="HH124" s="24">
        <f>IF(E124=1,0,VLOOKUP(Postnr,AfstromData,VLOOKUP($E124,Afgr,Data!$DL$3)+IF(Jordtype1&lt;7,Jordtype1,6),FALSE)-VLOOKUP(G124,Efgr,Data!$AA$53))</f>
        <v>0</v>
      </c>
      <c r="HI124" s="1">
        <v>5.5400000000000002E-4</v>
      </c>
      <c r="HJ124" s="24">
        <f>IF(E124=1,0,VLOOKUP(Postnr,AfstromData,VLOOKUP($B124,Afgr,Data!$DL$3)+IF(Jordtype1&lt;7,Jordtype1,6),FALSE)-VLOOKUP(C124,Efgr,Data!$AA$53))</f>
        <v>0</v>
      </c>
      <c r="HK124" s="1">
        <v>0.10639999999999999</v>
      </c>
      <c r="HL124" s="6">
        <f>VLOOKUP(Jordtype3,Jordtype,Data!$W$112)</f>
        <v>3</v>
      </c>
      <c r="HM124" s="1">
        <v>3.2500000000000001E-2</v>
      </c>
      <c r="HN124" s="6">
        <f>VLOOKUP(Jordtype3,Jordtype,Data!$X$112)</f>
        <v>12</v>
      </c>
      <c r="HO124" s="1">
        <v>1.2453000000000001</v>
      </c>
      <c r="HP124" s="1">
        <f>IF(VLOOKUP(G124,Efgr,Data!$AO$53)=1,MlafgrNUdvask,0)</f>
        <v>0</v>
      </c>
      <c r="HQ124" s="20">
        <f>IF(ISERROR((HE124+POWER(HF124,1.2))*(1-EXP(-HG124*HH124))*EXP(-HI124*HJ124)*EXP(-HK124*HL124)*EXP(-HM124*HN124)*HO124),0,(HE124+POWER(HF124,1.2))*(1-EXP(-HG124*HH124))*EXP(-HI124*HJ124)*EXP(-HK124*HL124)*EXP(-HM124*HN124)*HO124+HP124)</f>
        <v>0</v>
      </c>
      <c r="HR124">
        <f>HQ124*M124</f>
        <v>0</v>
      </c>
      <c r="HS124">
        <f>HQ124*(100-Retention3)*0.01</f>
        <v>0</v>
      </c>
      <c r="HT124">
        <f>HS124*M124</f>
        <v>0</v>
      </c>
      <c r="HU124" s="2">
        <f>HH124*10000</f>
        <v>0</v>
      </c>
      <c r="HV124" s="2">
        <f>HU124*M124</f>
        <v>0</v>
      </c>
      <c r="HW124">
        <f>IF(ISERROR(HQ124*1000*1000/HU124),0,HQ124*1000*1000/HU124)</f>
        <v>0</v>
      </c>
      <c r="HY124">
        <f>BP124+BT124+CG124+DG124</f>
        <v>0</v>
      </c>
      <c r="IB124">
        <f>VLOOKUP(E124,Afgr,Data!$AP$3)*UdsaedJust</f>
        <v>0</v>
      </c>
      <c r="IC124" s="3">
        <f>IF(Mark!EG124&lt;&gt;"",Mark!EG124,Regn!IB124)</f>
        <v>0</v>
      </c>
      <c r="ID124" s="3">
        <f>IC124*M124</f>
        <v>0</v>
      </c>
      <c r="IF124" s="3">
        <f>IF(HdgVaerdi=1,($V124-$AY124)*Npris,$V124*Npris)</f>
        <v>0</v>
      </c>
      <c r="IG124" s="3">
        <f>IF124*M124</f>
        <v>0</v>
      </c>
      <c r="II124">
        <f>VLOOKUP($E124,Afgr,Data!$BA$3)</f>
        <v>0</v>
      </c>
      <c r="IJ124">
        <f>VLOOKUP($E124,Afgr,Data!$BB$3)</f>
        <v>0</v>
      </c>
      <c r="IK124">
        <f>$DX124+$EJ124</f>
        <v>0</v>
      </c>
      <c r="IL124">
        <f>IF(HdgDyreart=2,$AV124*NPforholdSvin,$AV124*NPforholdKvaeg)</f>
        <v>0</v>
      </c>
      <c r="IM124">
        <f>II124+IF($IJ124+$IK124&gt;$IL124,($IJ124+$IK124-$IL124),0)</f>
        <v>0</v>
      </c>
      <c r="IN124" s="3">
        <f>IF(HdgVaerdi=1,($II124*Ppris+IF($IJ124+$IK124&gt;$IL124,($IJ124+$IK124-$IL124)*Ppris,0)),($II124+$IJ124+$IK124)*Ppris)</f>
        <v>0</v>
      </c>
      <c r="IO124" s="3">
        <f>IN124*M124</f>
        <v>0</v>
      </c>
      <c r="IQ124">
        <f>IF(AND(E124&gt;1,OR(Jordtype3=1,Jordtype3=3,Markvand3=2)),Kudvask,0)</f>
        <v>0</v>
      </c>
      <c r="IR124">
        <f>$EA124+$EM124</f>
        <v>0</v>
      </c>
      <c r="IS124">
        <f>IF(HdgDyreart=2,$AV124*NKforholdSvin,$AV124*NkforholdKvaeg)</f>
        <v>0</v>
      </c>
      <c r="IT124">
        <f>IF($IQ124+$IR124&gt;$IS124,($IQ124+$IR124-$IS124),0)</f>
        <v>0</v>
      </c>
      <c r="IU124" s="3">
        <f>IF(HdgVaerdi=1,IF($IQ124+$IR124&gt;$IS124,($IQ124+$IR124-$IS124)*Kpris,0),($IQ124+$IR124)*Kpris)</f>
        <v>0</v>
      </c>
      <c r="IV124" s="3">
        <f>IU124*M124</f>
        <v>0</v>
      </c>
      <c r="IX124">
        <f>IF124+IN124+IU124</f>
        <v>0</v>
      </c>
      <c r="IY124" s="3">
        <f>IF(Mark!EM124&lt;&gt;"",Mark!EM124,$IX124)</f>
        <v>0</v>
      </c>
      <c r="IZ124" s="3">
        <f>IY124*M124</f>
        <v>0</v>
      </c>
      <c r="JB124">
        <f>VLOOKUP(E124,Afgr,Data!$AQ$3)*PlantevJust</f>
        <v>0</v>
      </c>
      <c r="JC124" s="3">
        <f>IF(Mark!ES124&lt;&gt;"",Mark!ES124,JB124)</f>
        <v>0</v>
      </c>
      <c r="JD124" s="3">
        <f>JC124*M124</f>
        <v>0</v>
      </c>
      <c r="JF124">
        <f>VLOOKUP(E124,Afgr,Data!$AR$3)+BI124*VLOOKUP(E124,Afgr,Data!$BH$3)</f>
        <v>0</v>
      </c>
      <c r="JG124" s="3">
        <f>IF(Mark!EY124&lt;&gt;"",Mark!EY124,JF124)</f>
        <v>0</v>
      </c>
      <c r="JH124">
        <f>JG124*M124</f>
        <v>0</v>
      </c>
      <c r="JJ124">
        <f>IC124+IY124+JC124+JG124</f>
        <v>0</v>
      </c>
      <c r="JL124">
        <f>IF(VLOOKUP(E124,Afgr,Data!$BY$3)&gt;0,Data!$K$259*PlojJB3,0)</f>
        <v>0</v>
      </c>
      <c r="JM124">
        <f>IF(VLOOKUP(E124,Afgr,Data!$BZ$3)&gt;0,Data!$K$260*PlojJB3,0)</f>
        <v>0</v>
      </c>
      <c r="JN124">
        <f>(JL124+JM124)*MaskJust</f>
        <v>0</v>
      </c>
      <c r="JO124" s="3">
        <f>IF(Mark!FE124&lt;&gt;"",Mark!FE124,JN124)</f>
        <v>0</v>
      </c>
      <c r="JP124" s="3">
        <f>JO124*M124</f>
        <v>0</v>
      </c>
      <c r="JR124">
        <f>IF(VLOOKUP(E124,Afgr,Data!$CA$3)&gt;0,VLOOKUP(E124,Afgr,Data!$CA$3)*Data!$K$261*SaaJB3,0)</f>
        <v>0</v>
      </c>
      <c r="JS124">
        <f>IF(VLOOKUP(E124,Afgr,Data!$CC$3)&gt;0,Data!$K$262*SaaJB3,0)</f>
        <v>0</v>
      </c>
      <c r="JT124">
        <f>IF(VLOOKUP(E124,Afgr,Data!$CD$3)&gt;0,VLOOKUP(E124,Afgr,Data!$CD$3)*Data!$K$263*SaaJB3,0)</f>
        <v>0</v>
      </c>
      <c r="JU124">
        <f>IF(VLOOKUP(E124,Afgr,Data!$CE$3)&gt;0,Data!$K$264*SaaJB3,0)</f>
        <v>0</v>
      </c>
      <c r="JV124">
        <f>IF(VLOOKUP(E124,Afgr,Data!$CF$3)&gt;0,Data!$K$265*SaaJB3,0)</f>
        <v>0</v>
      </c>
      <c r="JW124">
        <f>IF(VLOOKUP(E124,Afgr,Data!$CV$3)&gt;0,Data!$K$266,0)</f>
        <v>0</v>
      </c>
      <c r="JX124">
        <f>IF(VLOOKUP(E124,Afgr,Data!$CG$3)&gt;0,Data!$K$267*SaaJB3,0)</f>
        <v>0</v>
      </c>
      <c r="JY124">
        <f>(JR124+JS124+JT124+JU124+JV124+JW124+JX124)*MaskJust</f>
        <v>0</v>
      </c>
      <c r="JZ124" s="3">
        <f>IF(Mark!FK124&lt;&gt;"",Mark!FK124,JY124)</f>
        <v>0</v>
      </c>
      <c r="KA124" s="3">
        <f>JZ124*M124</f>
        <v>0</v>
      </c>
      <c r="KC124">
        <f>IF(VLOOKUP(E124,Afgr,Data!$CJ$3)&gt;0,VLOOKUP(E124,Afgr,Data!$CJ$3)*Data!$K$268*SaaJB3,0)*MaskJust</f>
        <v>0</v>
      </c>
      <c r="KD124" s="3">
        <f>IF(Mark!FQ124&lt;&gt;"",Mark!FQ124,KC124)</f>
        <v>0</v>
      </c>
      <c r="KE124" s="3">
        <f>KD124*M124</f>
        <v>0</v>
      </c>
      <c r="KG124">
        <f>IF(VLOOKUP(E124,Afgr,Data!$CI$3)&gt;0,VLOOKUP(E124,Afgr,Data!$CI$3)*Data!$K$269,0)*MaskJust</f>
        <v>0</v>
      </c>
      <c r="KH124" s="3">
        <f>IF(Mark!FW124&lt;&gt;"",Mark!FW124,KG124)</f>
        <v>0</v>
      </c>
      <c r="KI124" s="3">
        <f>KH124*M124</f>
        <v>0</v>
      </c>
      <c r="KK124">
        <f>IF(Markvand3=2,VLOOKUP($E124,Afgr,Data!$CY$3),0)</f>
        <v>0</v>
      </c>
      <c r="KL124">
        <f>IF(Mark!GC124&lt;&gt;"",Mark!GC124,$KK124)</f>
        <v>0</v>
      </c>
      <c r="KM124">
        <f>IF(AND(E124&gt;1,Markvand3=2),Vandmaskin+$KL124*Flytning/mmprgang+$KL124*Prisprmm,0)</f>
        <v>0</v>
      </c>
      <c r="KN124" s="3">
        <f>IF(Mark!GI124&lt;&gt;"",Mark!GI124,$KM124)</f>
        <v>0</v>
      </c>
      <c r="KO124" s="3">
        <f>KN124*M124</f>
        <v>0</v>
      </c>
      <c r="KQ124">
        <f>IF(VLOOKUP($E124,Afgr,Data!$CK$3)&gt;0,((1+Regn!$BI124/VLOOKUP($E124,Afgr,Data!$CK$3))/2)*VLOOKUP($E124,Afgr,Data!$CL$3)*VLOOKUP($E124,Afgr,Data!$CN$3)+VLOOKUP($E124,Afgr,Data!$CM$3),0)</f>
        <v>0</v>
      </c>
      <c r="KR124">
        <f>IF(VLOOKUP($E124,Afgr,Data!$CK$3)&gt;0,IF(AND($F124=2,$BW124&gt;0),Data!$K$271,0),0)</f>
        <v>0</v>
      </c>
      <c r="KS124">
        <f>IF(VLOOKUP($E124,Afgr,Data!$CK$3)&gt;0,(Regn!$BI124/VLOOKUP($E124,Afgr,Data!$CK$3))*VLOOKUP($E124,Afgr,Data!$CO$3)*VLOOKUP($E124,Afgr,Data!$CN$3),0)</f>
        <v>0</v>
      </c>
      <c r="KT124">
        <f>(KQ124+KR124+KS124)*MaskJust</f>
        <v>0</v>
      </c>
      <c r="KU124" s="3">
        <f>IF(Mark!GO124&lt;&gt;"",Mark!GO124,KT124)</f>
        <v>0</v>
      </c>
      <c r="KV124" s="3">
        <f>KU124*M124</f>
        <v>0</v>
      </c>
      <c r="KW124" s="3"/>
      <c r="KX124">
        <f>IF(AND($F124=1,VLOOKUP($E124,Afgr,Data!$CP$3)&gt;0),((1+$BY124/VLOOKUP($E124,Afgr,Data!$CP$3))/2)*VLOOKUP($E124,Afgr,Data!$CQ$3),0)</f>
        <v>0</v>
      </c>
      <c r="KY124">
        <f>IF(AND($F124=1,VLOOKUP($E124,Afgr,Data!$CP$3)&gt;0),($BY124/VLOOKUP($E124,Afgr,Data!$CP$3))*VLOOKUP($E124,Afgr,Data!$CR$3),0)</f>
        <v>0</v>
      </c>
      <c r="KZ124">
        <f>(KX124+KY124)*MaskJust</f>
        <v>0</v>
      </c>
      <c r="LA124" s="3">
        <f>IF(Mark!GU124&lt;&gt;"",Mark!GU124,KZ124)</f>
        <v>0</v>
      </c>
      <c r="LB124" s="3">
        <f>LA124*M124</f>
        <v>0</v>
      </c>
      <c r="LD124">
        <f>$BI124*VLOOKUP($E124,Afgr,Data!$CS$3)*IF($I124=1,VLOOKUP($E124,Afgr,Data!$CT$3),IF($I124=2,VLOOKUP($E124,Afgr,Data!$CU$3),0))</f>
        <v>0</v>
      </c>
      <c r="LE124" s="3">
        <f>IF(Mark!HD124&lt;&gt;"",Mark!HD124,LD124)</f>
        <v>0</v>
      </c>
      <c r="LF124" s="3">
        <f>LE124*M124</f>
        <v>0</v>
      </c>
      <c r="LH124">
        <f>VLOOKUP($G124,Efgr,Data!$AC$53)*UdsaedJust</f>
        <v>0</v>
      </c>
      <c r="LI124" s="3">
        <f>IF(Mark!$HL124&lt;&gt;"",Mark!$HL124,LH124)</f>
        <v>0</v>
      </c>
      <c r="LJ124" s="3">
        <f>LI124*M124</f>
        <v>0</v>
      </c>
      <c r="LL124" s="3">
        <f>IF(HdgVaerdi=1,($CM124-$CX124)*Npris,$CM124*Npris)</f>
        <v>0</v>
      </c>
      <c r="LM124" s="3">
        <f>LL124*M124</f>
        <v>0</v>
      </c>
      <c r="LO124">
        <f>$ET124</f>
        <v>0</v>
      </c>
      <c r="LP124">
        <f>IF(HdgDyreart=2,$CU124*NPforholdSvin,$CU124*NPforholdKvaeg)</f>
        <v>0</v>
      </c>
      <c r="LQ124">
        <f>IF($LO124&gt;$LP124,($LO124-$LP124),0)</f>
        <v>0</v>
      </c>
      <c r="LR124" s="3">
        <f>IF(HdgVaerdi=1,IF($LO124&gt;$LP124,($LO124-$LP124)*Ppris,0),$LO124*Ppris)</f>
        <v>0</v>
      </c>
      <c r="LS124" s="3">
        <f>LR124*M124</f>
        <v>0</v>
      </c>
      <c r="LU124">
        <f>$EW124</f>
        <v>0</v>
      </c>
      <c r="LV124">
        <f>IF(HdgDyreart=2,$CU124*NKforholdSvin,$CU124*NkforholdKvaeg)</f>
        <v>0</v>
      </c>
      <c r="LW124">
        <f>IF($LU124&gt;$LV124,($LU124-$LV124),0)</f>
        <v>0</v>
      </c>
      <c r="LX124" s="3">
        <f>IF(HdgVaerdi=1,IF($LU124&gt;$LV124,($LU124-$LV124)*Ppris,0),$LU124*Ppris)</f>
        <v>0</v>
      </c>
      <c r="LY124" s="3">
        <f>LX124*M124</f>
        <v>0</v>
      </c>
      <c r="MA124">
        <f>LL124+LR124+LX124</f>
        <v>0</v>
      </c>
      <c r="MB124" s="3">
        <f>IF(Mark!HR124&lt;&gt;"",Mark!HR124,$MA124)</f>
        <v>0</v>
      </c>
      <c r="MC124" s="3">
        <f>MB124*M124</f>
        <v>0</v>
      </c>
      <c r="ME124">
        <f>VLOOKUP($G124,Efgr,Data!$AE$53)*PlantevJust</f>
        <v>0</v>
      </c>
      <c r="MF124" s="3">
        <f>IF(Mark!HX124&lt;&gt;"",Mark!HX124,ME124)</f>
        <v>0</v>
      </c>
      <c r="MG124" s="3">
        <f>MF124*M124</f>
        <v>0</v>
      </c>
      <c r="MI124">
        <f>VLOOKUP($G124,Efgr,Data!$AF$53)+$DD124*VLOOKUP($G124,Efgr,Data!$AL$53)</f>
        <v>0</v>
      </c>
      <c r="MJ124" s="3">
        <f>IF(Mark!ID124&lt;&gt;"",Mark!ID124,MI124)</f>
        <v>0</v>
      </c>
      <c r="MK124" s="3">
        <f>MJ124*M124</f>
        <v>0</v>
      </c>
      <c r="MM124">
        <f>LI124+MB124+MF124+MJ124</f>
        <v>0</v>
      </c>
      <c r="MO124">
        <f>VLOOKUP($G124,Efgr,Data!$AU$53)*SaaJB3*MaskJust</f>
        <v>0</v>
      </c>
      <c r="MP124" s="3">
        <f>IF(Mark!IJ124&lt;&gt;"",Mark!IJ124,MO124)</f>
        <v>0</v>
      </c>
      <c r="MQ124" s="3">
        <f>MP124*M124</f>
        <v>0</v>
      </c>
      <c r="MS124">
        <f>VLOOKUP($G124,Efgr,Data!$AW$53)*Data!$K$268*SaaJB3*MaskJust</f>
        <v>0</v>
      </c>
      <c r="MT124" s="3">
        <f>IF(Mark!IP124&lt;&gt;"",Mark!IP124,MS124)</f>
        <v>0</v>
      </c>
      <c r="MU124" s="3">
        <f>MT124*M124</f>
        <v>0</v>
      </c>
      <c r="MW124">
        <f>VLOOKUP($G124,Efgr,Data!$AV$53)*Data!$K$269*MaskJust</f>
        <v>0</v>
      </c>
      <c r="MX124" s="3">
        <f>IF(Mark!IV124&lt;&gt;"",Mark!IV124,MW124)</f>
        <v>0</v>
      </c>
      <c r="MY124" s="3">
        <f>MX124*M124</f>
        <v>0</v>
      </c>
      <c r="NA124">
        <f>IF(Markvand3=2,VLOOKUP($G124,Efgr,Data!$BC$53),0)</f>
        <v>0</v>
      </c>
      <c r="NB124">
        <f>IF(Mark!JB124&lt;&gt;"",Mark!JB124,$NA124)</f>
        <v>0</v>
      </c>
      <c r="NC124">
        <f>IF(Markvand3=2,$NB124*Flytning/mmprgang+$NB124*Prisprmm,0)</f>
        <v>0</v>
      </c>
      <c r="ND124" s="3">
        <f>IF(Mark!JH124&lt;&gt;"",Mark!JH124,$NC124)</f>
        <v>0</v>
      </c>
      <c r="NE124" s="3">
        <f>ND124*M124</f>
        <v>0</v>
      </c>
      <c r="NG124">
        <f>IF(VLOOKUP($G124,Efgr,Data!$AX$53)&gt;0,((1+Regn!DD124/VLOOKUP($G124,Efgr,Data!$AX$53))/2)*VLOOKUP($G124,Efgr,Data!$AY$53)*VLOOKUP($G124,Efgr,Data!$BA$53)+VLOOKUP($G124,Efgr,Data!$AZ$53),0)</f>
        <v>0</v>
      </c>
      <c r="NH124">
        <f>IF(VLOOKUP($G124,Efgr,Data!$AX$53)&gt;0,($DD124/VLOOKUP($G124,Efgr,Data!$AX$53))*VLOOKUP($G124,Efgr,Data!$BB$53)*VLOOKUP($G124,Efgr,Data!$BA$53),0)</f>
        <v>0</v>
      </c>
      <c r="NI124">
        <f>(NG124+NH124)*MaskJust</f>
        <v>0</v>
      </c>
      <c r="NJ124" s="3">
        <f>IF(Mark!JN124&lt;&gt;"",Mark!JN124,NI124)</f>
        <v>0</v>
      </c>
      <c r="NK124" s="3">
        <f>NJ124*M124</f>
        <v>0</v>
      </c>
      <c r="NM124">
        <f>IF($H124=2,Data!$K$304,IF($H124=3,Data!$K$305,0))*MaskJust</f>
        <v>0</v>
      </c>
      <c r="NN124" s="3">
        <f>IF(Mark!JT124&lt;&gt;"",Mark!JT124,NM124)</f>
        <v>0</v>
      </c>
      <c r="NO124" s="3">
        <f>NN124*M124</f>
        <v>0</v>
      </c>
      <c r="NQ124">
        <f>HY124</f>
        <v>0</v>
      </c>
      <c r="NR124">
        <f>JJ124+MM124</f>
        <v>0</v>
      </c>
      <c r="NS124">
        <f>NQ124-NR124</f>
        <v>0</v>
      </c>
      <c r="NT124">
        <f>NS124*M124</f>
        <v>0</v>
      </c>
      <c r="NW124">
        <f>VLOOKUP($B124,Afgr,Data!$BP$3)+VLOOKUP($C124,Efgr,Data!$AM$53)</f>
        <v>0</v>
      </c>
      <c r="NX124" s="3">
        <f>NW124*M124</f>
        <v>0</v>
      </c>
      <c r="NY124">
        <f>VLOOKUP($E124,Afgr,Data!$BP$3)+VLOOKUP($G124,Efgr,Data!$AM$53)</f>
        <v>0</v>
      </c>
      <c r="NZ124" s="3">
        <f>NY124*M124</f>
        <v>0</v>
      </c>
      <c r="OB124">
        <f>VLOOKUP($C124,Efgr,Data!$AN$53)</f>
        <v>0</v>
      </c>
      <c r="OC124">
        <f>VLOOKUP($B124,Afgr,Data!$BQ$3)</f>
        <v>0</v>
      </c>
      <c r="OD124">
        <f>VLOOKUP($E124,Afgr,Data!$BR$3)</f>
        <v>1</v>
      </c>
      <c r="OE124">
        <f>OB124*OC124*OD124</f>
        <v>0</v>
      </c>
      <c r="OF124" s="3">
        <f>OE124*M124</f>
        <v>0</v>
      </c>
      <c r="OG124" s="3">
        <f>IF(D124,1,0)*OF124</f>
        <v>0</v>
      </c>
      <c r="OI124">
        <f>VLOOKUP($G124,Efgr,Data!$AN$53)</f>
        <v>0</v>
      </c>
      <c r="OJ124">
        <f>VLOOKUP($E124,Afgr,Data!$BQ$3)</f>
        <v>0</v>
      </c>
      <c r="OK124">
        <f>VLOOKUP($K124,Afgr,Data!$BR$3)</f>
        <v>1</v>
      </c>
      <c r="OL124">
        <f>OI124*OJ124*OK124</f>
        <v>0</v>
      </c>
      <c r="OM124" s="3">
        <f>OL124*M124</f>
        <v>0</v>
      </c>
      <c r="OO124">
        <f>VLOOKUP($G124,Efgr,Data!$AO$53)</f>
        <v>0</v>
      </c>
      <c r="OP124">
        <f>VLOOKUP($B124,Afgr,Data!$BQ$3)</f>
        <v>0</v>
      </c>
      <c r="OQ124">
        <f>VLOOKUP($E124,Afgr,Data!$BS$3)</f>
        <v>0</v>
      </c>
      <c r="OR124" s="3">
        <f>OO124*OP124*OQ124*$M124</f>
        <v>0</v>
      </c>
      <c r="OT124">
        <f>VLOOKUP($G124,Efgr,Data!$AO$53)</f>
        <v>0</v>
      </c>
      <c r="OU124">
        <f>VLOOKUP($E124,Afgr,Data!$BQ$3)</f>
        <v>0</v>
      </c>
      <c r="OV124">
        <f>VLOOKUP($K124,Afgr,Data!$BS$3)</f>
        <v>0</v>
      </c>
      <c r="OW124" s="3">
        <f>OT124*OU124*OV124*$M124</f>
        <v>0</v>
      </c>
      <c r="OX124" s="3"/>
      <c r="OY124" s="3">
        <f>VLOOKUP($B124,Afgr,Data!$BU$3)</f>
        <v>0</v>
      </c>
      <c r="OZ124" s="3">
        <f>OY124*M124</f>
        <v>0</v>
      </c>
      <c r="PA124" s="3">
        <f>VLOOKUP($E124,Afgr,Data!$BU$3)</f>
        <v>0</v>
      </c>
      <c r="PB124" s="3">
        <f>PA124*M124</f>
        <v>0</v>
      </c>
      <c r="PD124">
        <f>VLOOKUP(E124,Afgr,Data!$BX$3)+VLOOKUP(G124,Efgr,Data!$AQ$53)</f>
        <v>0</v>
      </c>
      <c r="PE124">
        <f>IF(PD124&gt;0,M124,0)</f>
        <v>0</v>
      </c>
      <c r="PG124">
        <f>VLOOKUP($B124,Afgr,Data!$BT$3)</f>
        <v>0</v>
      </c>
      <c r="PH124" s="3">
        <f>PG124*M124</f>
        <v>0</v>
      </c>
      <c r="PI124">
        <f>VLOOKUP($E124,Afgr,Data!$BT$3)</f>
        <v>0</v>
      </c>
      <c r="PJ124" s="3">
        <f>PI124*M124</f>
        <v>0</v>
      </c>
      <c r="PL124">
        <f>VLOOKUP($E124,Afgr,Data!$BV$3)</f>
        <v>0</v>
      </c>
      <c r="PM124">
        <f>PL124*M124</f>
        <v>0</v>
      </c>
      <c r="PO124">
        <f>VLOOKUP($E124,Afgr,Data!$BW$3)</f>
        <v>0</v>
      </c>
      <c r="PP124">
        <f>PO124*M124</f>
        <v>0</v>
      </c>
      <c r="PR124">
        <f>BI124*IF(VLOOKUP($E124,Afgr,Data!$BJ$3)&gt;0,1,0)</f>
        <v>0</v>
      </c>
      <c r="PS124">
        <f>PR124*M124</f>
        <v>0</v>
      </c>
      <c r="PU124">
        <f>BI124*VLOOKUP(E124,Afgr,Data!$BK$3)</f>
        <v>0</v>
      </c>
      <c r="PV124">
        <f>M124*PU124</f>
        <v>0</v>
      </c>
      <c r="PW124">
        <f>$BI124*VLOOKUP($E124,Afgr,Data!$BL$3)+$DD124*VLOOKUP($G124,Efgr,Data!$AP$53)</f>
        <v>0</v>
      </c>
      <c r="PX124">
        <f>PW124*M124</f>
        <v>0</v>
      </c>
      <c r="PY124">
        <f>$BI124*VLOOKUP($E124,Afgr,Data!$BM$3)</f>
        <v>0</v>
      </c>
      <c r="PZ124">
        <f>PY124*M124</f>
        <v>0</v>
      </c>
      <c r="QA124">
        <f>$BI124*VLOOKUP($E124,Afgr,Data!$BN$3)</f>
        <v>0</v>
      </c>
      <c r="QB124">
        <f>QA124*M124</f>
        <v>0</v>
      </c>
      <c r="QE124">
        <f>IF(VLOOKUP($E124,Afgr,Data!$DA$3)="Vårbyg",$BJ124,0)*VLOOKUP($E124,Afgr,Data!$BJ$3)</f>
        <v>0</v>
      </c>
      <c r="QF124">
        <f>IF(VLOOKUP($E124,Afgr,Data!$DA$3)="Vinterbyg",$BJ124,0)*VLOOKUP($E124,Afgr,Data!$BJ$3)</f>
        <v>0</v>
      </c>
      <c r="QG124">
        <f>IF(VLOOKUP($E124,Afgr,Data!$DA$3)="Havre",$BJ124,0)*VLOOKUP($E124,Afgr,Data!$BJ$3)</f>
        <v>0</v>
      </c>
      <c r="QH124">
        <f>IF(VLOOKUP($E124,Afgr,Data!$DA$3)="Hvede",$BJ124,0)*VLOOKUP($E124,Afgr,Data!$BJ$3)</f>
        <v>0</v>
      </c>
      <c r="QI124">
        <f>IF(VLOOKUP($E124,Afgr,Data!$DA$3)="Triticale",$BJ124,0)*VLOOKUP($E124,Afgr,Data!$BJ$3)</f>
        <v>0</v>
      </c>
      <c r="QJ124">
        <f>IF(VLOOKUP($E124,Afgr,Data!$DA$3)="Rug",$BJ124,0)*VLOOKUP($E124,Afgr,Data!$BJ$3)</f>
        <v>0</v>
      </c>
      <c r="QK124">
        <f>IF(VLOOKUP($E124,Afgr,Data!$DA$3)="Majs",$BJ124,0)*VLOOKUP($E124,Afgr,Data!$BJ$3)</f>
        <v>0</v>
      </c>
      <c r="QN124">
        <f>IF(OI124+OO124&gt;0,1,0)</f>
        <v>0</v>
      </c>
      <c r="QO124">
        <f>QN124*LJ124</f>
        <v>0</v>
      </c>
      <c r="QP124">
        <f>QN124*MG124</f>
        <v>0</v>
      </c>
      <c r="QQ124">
        <f>MQ124</f>
        <v>0</v>
      </c>
      <c r="QR124">
        <f>QN124*NO124</f>
        <v>0</v>
      </c>
    </row>
    <row r="125" spans="1:460" x14ac:dyDescent="0.25">
      <c r="GG125" s="12"/>
    </row>
    <row r="126" spans="1:460" x14ac:dyDescent="0.25">
      <c r="A126">
        <v>6</v>
      </c>
      <c r="B126">
        <v>1</v>
      </c>
      <c r="C126">
        <v>1</v>
      </c>
      <c r="D126" t="b">
        <v>0</v>
      </c>
      <c r="E126">
        <v>1</v>
      </c>
      <c r="F126">
        <v>1</v>
      </c>
      <c r="G126">
        <v>1</v>
      </c>
      <c r="H126">
        <v>1</v>
      </c>
      <c r="I126">
        <v>1</v>
      </c>
      <c r="K126">
        <v>1</v>
      </c>
      <c r="M126">
        <f>IF(ISERROR(N126*Areal3/$N$132),0,N126*Areal3/$N$132)</f>
        <v>0</v>
      </c>
      <c r="N126">
        <f>Mark!Z126</f>
        <v>0</v>
      </c>
      <c r="P126">
        <f>VLOOKUP($E126,Afgr,NnormKolonneNr3)</f>
        <v>0</v>
      </c>
      <c r="Q126">
        <f>VLOOKUP($B126,Afgr,Data!$AI$3)*VLOOKUP(E126,Afgr,Data!$AJ$3)</f>
        <v>0</v>
      </c>
      <c r="R126">
        <f>IF($D126,0,VLOOKUP($C126,Efgr,(Data!$W$53+$G$28-1)))</f>
        <v>0</v>
      </c>
      <c r="S126">
        <f>P126-Q126-R126</f>
        <v>0</v>
      </c>
      <c r="T126">
        <f>S126*M126</f>
        <v>0</v>
      </c>
      <c r="U126">
        <f>IF(Nmodel34=1,S126*Nniveau34*0.01,AO126)</f>
        <v>0</v>
      </c>
      <c r="V126" s="3">
        <f>IF(Mark!CI126&lt;&gt;"",Mark!CI126,U126)</f>
        <v>0</v>
      </c>
      <c r="W126" s="3">
        <f>V126*M126</f>
        <v>0</v>
      </c>
      <c r="Y126">
        <f>S126/NoptFaktor</f>
        <v>0</v>
      </c>
      <c r="Z126" s="3">
        <f>IF(Mark!BZ126&lt;&gt;"",Mark!BZ126,Y126)</f>
        <v>0</v>
      </c>
      <c r="AB126">
        <f>VLOOKUP($E126,Afgr,Data!$DE$3)</f>
        <v>0</v>
      </c>
      <c r="AC126">
        <f>VLOOKUP($E126,Afgr,Data!$DD$3)</f>
        <v>0</v>
      </c>
      <c r="AD126">
        <f>VLOOKUP($E126,Afgr,Data!$DC$3)</f>
        <v>0</v>
      </c>
      <c r="AE126">
        <f>IF(ISERROR($Z126+(-PrisN/$AD126-$AB126)/(2*$AC126)),0,($Z126+(-PrisN/$AD126-$AB126)/(2*$AC126)))</f>
        <v>0</v>
      </c>
      <c r="AF126">
        <f>($BD126+$BE126+$BF126)*1.03333</f>
        <v>0</v>
      </c>
      <c r="AG126">
        <f>$AF126-($AB126*($AE126-$Z126)+$AC126*($AE126-$Z126)^2)</f>
        <v>0</v>
      </c>
      <c r="AH126">
        <f>IF(Nmodel12=1,$AB126*($AE126-$S126)+$AC126*($AE126-$S126)^2,$AB126*($AE126-$AO126)+$AC126*($AE126-$AO126)^2)</f>
        <v>0</v>
      </c>
      <c r="AI126">
        <f>IF(Nmodel34=1,$AB126*($AE126-$V126)+$AC126*($AE126-$V126)^2,$AB126*($AE126-AO126)+$AC126*($AE126-AO126)^2)</f>
        <v>0</v>
      </c>
      <c r="AJ126">
        <f>AG126+AH126-BG126</f>
        <v>0</v>
      </c>
      <c r="AK126">
        <f>AG126+AI126-AJ126</f>
        <v>0</v>
      </c>
      <c r="AM126">
        <f>VLOOKUP(E126,Afgr,Data!$DF$3+SandLer3)</f>
        <v>0</v>
      </c>
      <c r="AN126">
        <f>IF(ISERROR(((-(PrisN+Pantafgift)+AM126*Pantfaktor*Pantafgift)/AD126-AB126)/(2*AC126)),0,((-(PrisN+Pantafgift)+AM126*Pantfaktor*Pantafgift)/AD126-AB126)/(2*AC126))</f>
        <v>0</v>
      </c>
      <c r="AO126">
        <f>AE126-AN126</f>
        <v>0</v>
      </c>
      <c r="AQ126">
        <f>IF(AT126&gt;0,0,W126)</f>
        <v>0</v>
      </c>
      <c r="AR126">
        <f>IF(ISERROR(W126*HdgNTilFordeling34/NnormIaltFordel34),0,W126*HdgNTilFordeling34/NnormIaltFordel34)</f>
        <v>0</v>
      </c>
      <c r="AS126">
        <f>IF(ISERROR($AR126/$M126),0,$AR126/$M126)</f>
        <v>0</v>
      </c>
      <c r="AT126">
        <f>IF(Mark!CO126&lt;&gt;"",Mark!CO126,0)</f>
        <v>0</v>
      </c>
      <c r="AU126">
        <f>$AT126*$M126</f>
        <v>0</v>
      </c>
      <c r="AV126" s="3">
        <f>IF(AT126&gt;0,AT126,AS126)</f>
        <v>0</v>
      </c>
      <c r="AW126" s="3">
        <f>AV126*M126</f>
        <v>0</v>
      </c>
      <c r="AY126">
        <f>UdnKrav*$AV126/100</f>
        <v>0</v>
      </c>
      <c r="BA126">
        <f>AV126*VLOOKUP($E126,Afgr,Data!$DJ$3)</f>
        <v>0</v>
      </c>
      <c r="BB126">
        <f>UdnKrav*$BA126/100</f>
        <v>0</v>
      </c>
      <c r="BD126">
        <f>VLOOKUP(E126,Afgr,NormudbKolonneNr3)</f>
        <v>0</v>
      </c>
      <c r="BE126">
        <f>VLOOKUP(B126,Afgr,Data!$AL$3)*VLOOKUP(E126,Afgr,MerudbKolonneNr3)</f>
        <v>0</v>
      </c>
      <c r="BF126">
        <f>VLOOKUP(C126,Efgr,(Data!$Y$53+EftervirkningUdb3))</f>
        <v>0</v>
      </c>
      <c r="BG126">
        <f>BD126+BE126+BF126</f>
        <v>0</v>
      </c>
      <c r="BH126">
        <f>IF(OR(V126&lt;&gt;S126,Nmodel34=2),AK126,BD126+BE126+BF126)</f>
        <v>0</v>
      </c>
      <c r="BI126" s="3">
        <f>IF(Mark!AK126&lt;&gt;"",Mark!AK126,BH126)</f>
        <v>0</v>
      </c>
      <c r="BJ126">
        <f>BI126*M126</f>
        <v>0</v>
      </c>
      <c r="BK126">
        <f>VLOOKUP(E126,Afgr,3)</f>
        <v>0</v>
      </c>
      <c r="BL126">
        <f>IF(BK126="FE",VLOOKUP($E126,Afgr,Data!$AV$3),0)</f>
        <v>0</v>
      </c>
      <c r="BN126">
        <f>VLOOKUP(E126,Afgr,4)</f>
        <v>0</v>
      </c>
      <c r="BO126" s="3">
        <f>IF(Mark!AW126&lt;&gt;"",Mark!AW126,Regn!BN126)</f>
        <v>0</v>
      </c>
      <c r="BP126" s="3">
        <f>BI126*BO126</f>
        <v>0</v>
      </c>
      <c r="BQ126" s="3">
        <f>BJ126*BO126</f>
        <v>0</v>
      </c>
      <c r="BS126">
        <f>VLOOKUP(E126,Afgr,Data!$AN$3)</f>
        <v>0</v>
      </c>
      <c r="BT126" s="3">
        <f>IF(Mark!BC126&lt;&gt;"",Mark!BC126,BS126)</f>
        <v>0</v>
      </c>
      <c r="BU126" s="3">
        <f>BT126*M126</f>
        <v>0</v>
      </c>
      <c r="BW126">
        <f>VLOOKUP(E126,Afgr,HalmudbKolonneNr3)</f>
        <v>0</v>
      </c>
      <c r="BX126">
        <f>IF(ISERROR(BW126*BI126/BG126),0,(BW126*BI126/BG126))</f>
        <v>0</v>
      </c>
      <c r="BY126" s="3">
        <f>IF(Mark!BI126&lt;&gt;"",Mark!BI126,BX126)</f>
        <v>0</v>
      </c>
      <c r="BZ126">
        <f>BY126*M126</f>
        <v>0</v>
      </c>
      <c r="CC126">
        <f>IF($F126=1,BY126,0)</f>
        <v>0</v>
      </c>
      <c r="CD126">
        <f>IF(F126=1,BZ126,0)</f>
        <v>0</v>
      </c>
      <c r="CE126">
        <f>VLOOKUP(E126,Afgr,Data!$AM$3)</f>
        <v>0</v>
      </c>
      <c r="CF126">
        <f>IF(Mark!BR126&lt;&gt;"",Mark!BR126,CE126)</f>
        <v>0</v>
      </c>
      <c r="CG126">
        <f>CC126*CF126</f>
        <v>0</v>
      </c>
      <c r="CH126">
        <f>CD126*CF126</f>
        <v>0</v>
      </c>
      <c r="CJ126">
        <f>VLOOKUP($G126,Efgr,NnormKolonneEfgr3)</f>
        <v>0</v>
      </c>
      <c r="CK126">
        <f>CJ126*M126</f>
        <v>0</v>
      </c>
      <c r="CL126">
        <f>CJ126*Nniveau34*0.01</f>
        <v>0</v>
      </c>
      <c r="CM126" s="3">
        <f>IF(Mark!DM126&lt;&gt;"",Mark!DM126,CL126)</f>
        <v>0</v>
      </c>
      <c r="CN126" s="3">
        <f>$CM126*$M126</f>
        <v>0</v>
      </c>
      <c r="CP126">
        <f>IF(CS126&gt;0,0,CN126)</f>
        <v>0</v>
      </c>
      <c r="CQ126" s="12">
        <f>IF(ISERROR(CN126*HdgNTilFordeling34/NnormIaltFordel34),0,CN126*HdgNTilFordeling34/NnormIaltFordel34)</f>
        <v>0</v>
      </c>
      <c r="CR126">
        <f>IF(ISERROR($CQ126/$M126),0,$CQ126/$M126)</f>
        <v>0</v>
      </c>
      <c r="CS126">
        <f>IF(Mark!DS126&lt;&gt;"",Mark!DS126,0)</f>
        <v>0</v>
      </c>
      <c r="CT126">
        <f>$CS126*$M126</f>
        <v>0</v>
      </c>
      <c r="CU126" s="3">
        <f>IF($CS126&gt;0,$CS126,$CR126)</f>
        <v>0</v>
      </c>
      <c r="CV126" s="3">
        <f>CU126*M126</f>
        <v>0</v>
      </c>
      <c r="CX126">
        <f>UdnKrav*$CU126/100</f>
        <v>0</v>
      </c>
      <c r="CZ126">
        <f>$CU126*VLOOKUP($G126,Efgr,Data!$BG$53)</f>
        <v>0</v>
      </c>
      <c r="DA126">
        <f>UdnKrav*$CZ126/100</f>
        <v>0</v>
      </c>
      <c r="DC126">
        <f>VLOOKUP(G126,Efgr,NormudbKolonneNrEfgr3)</f>
        <v>0</v>
      </c>
      <c r="DD126" s="3">
        <f>IF(Mark!DC126&lt;&gt;"",Mark!DC126,DC126)</f>
        <v>0</v>
      </c>
      <c r="DE126">
        <f>DD126*M126</f>
        <v>0</v>
      </c>
      <c r="DF126" t="s">
        <v>37</v>
      </c>
      <c r="DG126">
        <f>DD126*Efterslaetpris</f>
        <v>0</v>
      </c>
      <c r="DH126">
        <f>DE126*Efterslaetpris</f>
        <v>0</v>
      </c>
      <c r="DI126">
        <f>VLOOKUP(G126,Efgr,Data!$AG$53)</f>
        <v>0</v>
      </c>
      <c r="DJ126">
        <f>DD126*DI126</f>
        <v>0</v>
      </c>
      <c r="DL126">
        <f>VLOOKUP($E126,Afgr,Data!$AW$3)</f>
        <v>0</v>
      </c>
      <c r="DM126">
        <f>IF(BK126="FE",$BI126*$BL126*$DL126*0.01,$BI126*100*$DR126*0.01*$DL126*0.01)</f>
        <v>0</v>
      </c>
      <c r="DN126">
        <f>IF(VLOOKUP(E126,Afgr,Data!$BO$3)=1,DM126,0)*M126</f>
        <v>0</v>
      </c>
      <c r="DO126" s="12">
        <f>IF(Nmodel34=1,(V126-S126)*VLOOKUP($E126,Afgr,Data!$AX$3),(AO126-S126)*VLOOKUP(E126,Afgr,Data!$AX$3))</f>
        <v>0</v>
      </c>
      <c r="DP126">
        <f>DL126+DO126</f>
        <v>0</v>
      </c>
      <c r="DQ126">
        <f>IF(Mark!AQ126&lt;&gt;"",Mark!AQ126,DP126)</f>
        <v>0</v>
      </c>
      <c r="DR126">
        <f>VLOOKUP(E126,Afgr,Data!$AT$3)</f>
        <v>0</v>
      </c>
      <c r="DS126">
        <f>IF($BK126="FE",$BI126*$BL126*$DQ126*0.01,$BI126*100*$DR126*0.01*DQ126*0.01)</f>
        <v>0</v>
      </c>
      <c r="DT126">
        <f>IF(VLOOKUP(E126,Afgr,Data!$BO$3)=1,DS126,0)*M126</f>
        <v>0</v>
      </c>
      <c r="DU126">
        <f>IF(ISERROR(DS126/VLOOKUP(E126,Afgr,Data!$AY$3)),0,DS126/VLOOKUP(E126,Afgr,Data!$AY$3))</f>
        <v>0</v>
      </c>
      <c r="DV126">
        <f>DU126*M126</f>
        <v>0</v>
      </c>
      <c r="DX126">
        <f>IF($BK126="FE",$BI126*$BL126*VLOOKUP($E126,Afgr,Data!$BC$3)*0.001,$BI126*100*$DR126*0.01*VLOOKUP($E126,Afgr,Data!$BC$3)*0.001)</f>
        <v>0</v>
      </c>
      <c r="DY126">
        <f>DX126*M126</f>
        <v>0</v>
      </c>
      <c r="EA126">
        <f>IF($BK126="FE",$BI126*$BL126*VLOOKUP($E126,Afgr,Data!$BF$3)*0.001,$BI126*100*$DR126*0.01*VLOOKUP($E126,Afgr,Data!$BF$3)*0.001)</f>
        <v>0</v>
      </c>
      <c r="EB126">
        <f>EA126*M126</f>
        <v>0</v>
      </c>
      <c r="ED126">
        <f>IF(ISERROR(VLOOKUP(E126,Afgr,Data!$AZ$3)*DQ126/DL126),0,VLOOKUP(E126,Afgr,Data!$AZ$3)*DQ126/DL126)</f>
        <v>0</v>
      </c>
      <c r="EE126">
        <f>VLOOKUP(E126,Afgr,Data!$AU$3)</f>
        <v>0</v>
      </c>
      <c r="EF126">
        <f>IF($F126=1,$BY126*$EE126*0.01*ED126*0.01,0)</f>
        <v>0</v>
      </c>
      <c r="EG126">
        <f>EF126/6.25</f>
        <v>0</v>
      </c>
      <c r="EH126">
        <f>EG126*M126</f>
        <v>0</v>
      </c>
      <c r="EJ126">
        <f>IF($F126=1,$BY126*$EE126*0.01*VLOOKUP($E126,Afgr,Data!$BD$3)*0.001,0)</f>
        <v>0</v>
      </c>
      <c r="EK126">
        <f>EJ126*M126</f>
        <v>0</v>
      </c>
      <c r="EM126">
        <f>IF($F126=1,$BY126*$EE126*0.01*VLOOKUP($E126,Afgr,Data!$BG$3)*0.001,0)</f>
        <v>0</v>
      </c>
      <c r="EN126">
        <f>EM126*M126</f>
        <v>0</v>
      </c>
      <c r="EP126">
        <f>VLOOKUP(G126,Efgr,Data!$AI$53)</f>
        <v>0</v>
      </c>
      <c r="EQ126">
        <f>DJ126*EP126*0.01/6.25</f>
        <v>0</v>
      </c>
      <c r="ER126">
        <f>EQ126*M126</f>
        <v>0</v>
      </c>
      <c r="ET126">
        <f>$DJ126*VLOOKUP($G126,Efgr,Data!$AJ$53)*0.001</f>
        <v>0</v>
      </c>
      <c r="EU126">
        <f>ET126*M126</f>
        <v>0</v>
      </c>
      <c r="EW126">
        <f>$DJ126*VLOOKUP($G126,Efgr,Data!$AK$53)*0.001</f>
        <v>0</v>
      </c>
      <c r="EX126">
        <f>EW126*M126</f>
        <v>0</v>
      </c>
      <c r="EZ126">
        <f>IF(VLOOKUP(E126,Afgr,Data!$DS$3)=1,DU126*VLOOKUP(E126,Afgr,(Data!$DT$3+EftervirkningUdb3))*VLOOKUP(E126,Afgr,Data!$DV$3),0)</f>
        <v>0</v>
      </c>
      <c r="FA126">
        <f>IF(VLOOKUP(E126,Afgr,Data!$DS$3)=2,VLOOKUP(E126,Afgr,Data!$DX$3),0)</f>
        <v>0</v>
      </c>
      <c r="FB126">
        <f>IF(VLOOKUP(E126,Afgr,Data!$DS$3)=3,$DU126*VLOOKUP($E126,Afgr,IF(Jordtype3&lt;5,Data!$DT$3,Data!$DU$3))*VLOOKUP($E126,Afgr,Data!$DV$3),0)</f>
        <v>0</v>
      </c>
      <c r="FC126">
        <f>IF(VLOOKUP(E126,Afgr,Data!$DS$3)=4,(1.232+0.00469*BI126*100+(0.000256*BI126*100+0.089)*60),0)</f>
        <v>0</v>
      </c>
      <c r="FD126">
        <f>$V126+IF($AY126-$BB126&gt;$V126,$AY126-$V126,0)-$BB126</f>
        <v>0</v>
      </c>
      <c r="FE126">
        <f>IF(VLOOKUP($E126,Afgr,Data!$DS$3)=5,($BI126*0.02742-$BI126*0.0001*$FD126+$BI126*0.0000001111*$FD126*$FD126),0)</f>
        <v>0</v>
      </c>
      <c r="FF126">
        <f>$CM126+IF($CX126-$DA126&gt;$CM126,$CX126-$CM126,0)-$DA126</f>
        <v>0</v>
      </c>
      <c r="FG126">
        <f>IF(VLOOKUP($G126,Efgr,Data!$BH$53)=5,($DD126*0.02742-$DD126*0.0001*$FF126+$DD126*0.0000001111*$FF126*$FF126),0)</f>
        <v>0</v>
      </c>
      <c r="FH126" s="3">
        <f>EZ126+FA126+FB126+FC126+FE126+FG126</f>
        <v>0</v>
      </c>
      <c r="FI126" s="3">
        <f>FH126*M126</f>
        <v>0</v>
      </c>
      <c r="FK126">
        <f>$V126+$CM126</f>
        <v>0</v>
      </c>
      <c r="FL126">
        <f>($AV126-$AY126)+IF($AY126&gt;$V126,$AY126-$V126,0)+($CU126-$CX126)+IF($CX126&gt;$CM126,$CX126-$CM126,0)</f>
        <v>0</v>
      </c>
      <c r="FM126">
        <f>VLOOKUP($E126,Afgr,Data!$DK$3)*VLOOKUP($E126,Afgr,Data!$AT$3)*0.01*VLOOKUP($E126,Afgr,Data!$AW$3)*0.01/6.25</f>
        <v>0</v>
      </c>
      <c r="FN126" s="4">
        <f>IF(E126&gt;1,Deposition,0)</f>
        <v>0</v>
      </c>
      <c r="FO126">
        <f>FH126</f>
        <v>0</v>
      </c>
      <c r="FP126">
        <f>SUM(FK126:FO126)</f>
        <v>0</v>
      </c>
      <c r="FQ126">
        <f>DU126+EG126+EQ126</f>
        <v>0</v>
      </c>
      <c r="FR126" s="3">
        <f>FP126-FQ126</f>
        <v>0</v>
      </c>
      <c r="FS126" s="19">
        <f>FP126*M126</f>
        <v>0</v>
      </c>
      <c r="FT126" s="19">
        <f>FQ126*M126</f>
        <v>0</v>
      </c>
      <c r="FU126" s="3">
        <f>FR126*M126</f>
        <v>0</v>
      </c>
      <c r="FW126">
        <f>IL126+IM126+LP126+LQ126</f>
        <v>0</v>
      </c>
      <c r="FX126">
        <f>IK126+LO126</f>
        <v>0</v>
      </c>
      <c r="FY126">
        <f>FW126-FX126</f>
        <v>0</v>
      </c>
      <c r="FZ126">
        <f>FY126*M126</f>
        <v>0</v>
      </c>
      <c r="GB126">
        <f>IS126+IT126+LV126+LW126</f>
        <v>0</v>
      </c>
      <c r="GC126">
        <f>IR126+LU126</f>
        <v>0</v>
      </c>
      <c r="GD126">
        <f>GB126-GC126</f>
        <v>0</v>
      </c>
      <c r="GE126">
        <f>GD126*M126</f>
        <v>0</v>
      </c>
      <c r="GG126" s="149">
        <f>IF(OR(VLOOKUP(E126,Afgr,Data!$BV$3)=1,VLOOKUP(E126,Afgr,Data!$BW$3)=1),0,NniveauDelsaedsk3)</f>
        <v>0</v>
      </c>
      <c r="GH126" s="1">
        <v>0.32550000000000001</v>
      </c>
      <c r="GI126" s="6">
        <v>0</v>
      </c>
      <c r="GJ126" s="24">
        <f>IF(($V126-BB126+$CM126-DA126)&lt;0,0,$V126-BB126+$CM126-DA126)</f>
        <v>0</v>
      </c>
      <c r="GK126" s="6">
        <f>$FO126</f>
        <v>0</v>
      </c>
      <c r="GL126" s="1">
        <v>0.25280000000000002</v>
      </c>
      <c r="GM126">
        <f>$BA126+$CZ126</f>
        <v>0</v>
      </c>
      <c r="GN126" s="1">
        <v>0.376</v>
      </c>
      <c r="GO126" s="6">
        <v>0</v>
      </c>
      <c r="GP126" s="1">
        <f>IF(SandLer3&gt;1,0.3539,1.0749)</f>
        <v>0.35389999999999999</v>
      </c>
      <c r="GQ126" s="11">
        <f>$FQ126</f>
        <v>0</v>
      </c>
      <c r="GR126" s="1">
        <v>0.19359999999999999</v>
      </c>
      <c r="GS126" s="1">
        <f>VLOOKUP($E126,Afgr,Data!$DM$3)</f>
        <v>0</v>
      </c>
      <c r="GT126" s="24">
        <f>IF($GS126&gt;1,0,(VLOOKUP($K126,Afgr,Data!$DP$3)+IF(VLOOKUP($K126,Afgr,Data!$DP$3)=0,VLOOKUP($G126,Efgr,Data!$BI$53,0))))+IF(AND($GS126=7,VLOOKUP($K126,Afgr,Data!$DQ$3)=-2),-2,0)+IF(AND($GS126=6,VLOOKUP($G126,Efgr,Data!$BI$53)=2),8,0)</f>
        <v>0</v>
      </c>
      <c r="GU126" s="6" t="e">
        <f>VLOOKUP(SUM(GS126:GT126),Nlesafgr,3)</f>
        <v>#N/A</v>
      </c>
      <c r="GV126" s="7">
        <f>VLOOKUP($B126,Afgr,Data!$DN$3)</f>
        <v>0</v>
      </c>
      <c r="GW126" s="24">
        <f>IF(GV126&gt;1,0,VLOOKUP($E126,Afgr,Data!$DO$3)+IF(VLOOKUP($E126,Afgr,Data!$DO$3)=1,0,VLOOKUP($C126,Efgr,Data!$BJ$53)))</f>
        <v>0</v>
      </c>
      <c r="GX126" s="6" t="e">
        <f>VLOOKUP(SUM(GV126:GW126),Nlesforfrugt,3)</f>
        <v>#N/A</v>
      </c>
      <c r="GY126" s="1" t="e">
        <f>GH126*GG126+GL126*(GJ126+GK126)+GN126*GM126+GP126*GO126-GR126*GQ126+GU126+GX126</f>
        <v>#N/A</v>
      </c>
      <c r="GZ126" s="1">
        <f>Nlesafskaering</f>
        <v>59.6</v>
      </c>
      <c r="HA126" s="1">
        <f>Teknologi1</f>
        <v>2455</v>
      </c>
      <c r="HB126" s="6">
        <v>2001</v>
      </c>
      <c r="HC126" s="1">
        <f>Teknologi2</f>
        <v>1962.2</v>
      </c>
      <c r="HD126" s="1">
        <f>Tandel</f>
        <v>0.54659999999999997</v>
      </c>
      <c r="HE126" s="1" t="e">
        <f>IF(OR(GY126&gt;0,GY126=0),GZ126+HA126/(HB126-HC126),GZ126+HA126/(HB126-HC126)+HD126*GY126)</f>
        <v>#N/A</v>
      </c>
      <c r="HF126" s="1" t="e">
        <f>IF(GY126&gt;0,GY126,0.001)</f>
        <v>#N/A</v>
      </c>
      <c r="HG126" s="1">
        <v>1.5020000000000001E-3</v>
      </c>
      <c r="HH126" s="24">
        <f>IF(E126=1,0,VLOOKUP(Postnr,AfstromData,VLOOKUP($E126,Afgr,Data!$DL$3)+IF(Jordtype1&lt;7,Jordtype1,6),FALSE)-VLOOKUP(G126,Efgr,Data!$AA$53))</f>
        <v>0</v>
      </c>
      <c r="HI126" s="1">
        <v>5.5400000000000002E-4</v>
      </c>
      <c r="HJ126" s="24">
        <f>IF(E126=1,0,VLOOKUP(Postnr,AfstromData,VLOOKUP($B126,Afgr,Data!$DL$3)+IF(Jordtype1&lt;7,Jordtype1,6),FALSE)-VLOOKUP(C126,Efgr,Data!$AA$53))</f>
        <v>0</v>
      </c>
      <c r="HK126" s="1">
        <v>0.10639999999999999</v>
      </c>
      <c r="HL126" s="6">
        <f>VLOOKUP(Jordtype3,Jordtype,Data!$W$112)</f>
        <v>3</v>
      </c>
      <c r="HM126" s="1">
        <v>3.2500000000000001E-2</v>
      </c>
      <c r="HN126" s="6">
        <f>VLOOKUP(Jordtype3,Jordtype,Data!$X$112)</f>
        <v>12</v>
      </c>
      <c r="HO126" s="1">
        <v>1.2453000000000001</v>
      </c>
      <c r="HP126" s="1">
        <f>IF(VLOOKUP(G126,Efgr,Data!$AO$53)=1,MlafgrNUdvask,0)</f>
        <v>0</v>
      </c>
      <c r="HQ126" s="20">
        <f>IF(ISERROR((HE126+POWER(HF126,1.2))*(1-EXP(-HG126*HH126))*EXP(-HI126*HJ126)*EXP(-HK126*HL126)*EXP(-HM126*HN126)*HO126),0,(HE126+POWER(HF126,1.2))*(1-EXP(-HG126*HH126))*EXP(-HI126*HJ126)*EXP(-HK126*HL126)*EXP(-HM126*HN126)*HO126+HP126)</f>
        <v>0</v>
      </c>
      <c r="HR126">
        <f>HQ126*M126</f>
        <v>0</v>
      </c>
      <c r="HS126">
        <f>HQ126*(100-Retention3)*0.01</f>
        <v>0</v>
      </c>
      <c r="HT126">
        <f>HS126*M126</f>
        <v>0</v>
      </c>
      <c r="HU126" s="2">
        <f>HH126*10000</f>
        <v>0</v>
      </c>
      <c r="HV126" s="2">
        <f>HU126*M126</f>
        <v>0</v>
      </c>
      <c r="HW126">
        <f>IF(ISERROR(HQ126*1000*1000/HU126),0,HQ126*1000*1000/HU126)</f>
        <v>0</v>
      </c>
      <c r="HY126">
        <f>BP126+BT126+CG126+DG126</f>
        <v>0</v>
      </c>
      <c r="IB126">
        <f>VLOOKUP(E126,Afgr,Data!$AP$3)*UdsaedJust</f>
        <v>0</v>
      </c>
      <c r="IC126" s="3">
        <f>IF(Mark!EG126&lt;&gt;"",Mark!EG126,Regn!IB126)</f>
        <v>0</v>
      </c>
      <c r="ID126" s="3">
        <f>IC126*M126</f>
        <v>0</v>
      </c>
      <c r="IF126" s="3">
        <f>IF(HdgVaerdi=1,($V126-$AY126)*Npris,$V126*Npris)</f>
        <v>0</v>
      </c>
      <c r="IG126" s="3">
        <f>IF126*M126</f>
        <v>0</v>
      </c>
      <c r="II126">
        <f>VLOOKUP($E126,Afgr,Data!$BA$3)</f>
        <v>0</v>
      </c>
      <c r="IJ126">
        <f>VLOOKUP($E126,Afgr,Data!$BB$3)</f>
        <v>0</v>
      </c>
      <c r="IK126">
        <f>$DX126+$EJ126</f>
        <v>0</v>
      </c>
      <c r="IL126">
        <f>IF(HdgDyreart=2,$AV126*NPforholdSvin,$AV126*NPforholdKvaeg)</f>
        <v>0</v>
      </c>
      <c r="IM126">
        <f>II126+IF($IJ126+$IK126&gt;$IL126,($IJ126+$IK126-$IL126),0)</f>
        <v>0</v>
      </c>
      <c r="IN126" s="3">
        <f>IF(HdgVaerdi=1,($II126*Ppris+IF($IJ126+$IK126&gt;$IL126,($IJ126+$IK126-$IL126)*Ppris,0)),($II126+$IJ126+$IK126)*Ppris)</f>
        <v>0</v>
      </c>
      <c r="IO126" s="3">
        <f>IN126*M126</f>
        <v>0</v>
      </c>
      <c r="IQ126">
        <f>IF(AND(E126&gt;1,OR(Jordtype3=1,Jordtype3=3,Markvand3=2)),Kudvask,0)</f>
        <v>0</v>
      </c>
      <c r="IR126">
        <f>$EA126+$EM126</f>
        <v>0</v>
      </c>
      <c r="IS126">
        <f>IF(HdgDyreart=2,$AV126*NKforholdSvin,$AV126*NkforholdKvaeg)</f>
        <v>0</v>
      </c>
      <c r="IT126">
        <f>IF($IQ126+$IR126&gt;$IS126,($IQ126+$IR126-$IS126),0)</f>
        <v>0</v>
      </c>
      <c r="IU126" s="3">
        <f>IF(HdgVaerdi=1,IF($IQ126+$IR126&gt;$IS126,($IQ126+$IR126-$IS126)*Kpris,0),($IQ126+$IR126)*Kpris)</f>
        <v>0</v>
      </c>
      <c r="IV126" s="3">
        <f>IU126*M126</f>
        <v>0</v>
      </c>
      <c r="IX126">
        <f>IF126+IN126+IU126</f>
        <v>0</v>
      </c>
      <c r="IY126" s="3">
        <f>IF(Mark!EM126&lt;&gt;"",Mark!EM126,$IX126)</f>
        <v>0</v>
      </c>
      <c r="IZ126" s="3">
        <f>IY126*M126</f>
        <v>0</v>
      </c>
      <c r="JB126">
        <f>VLOOKUP(E126,Afgr,Data!$AQ$3)*PlantevJust</f>
        <v>0</v>
      </c>
      <c r="JC126" s="3">
        <f>IF(Mark!ES126&lt;&gt;"",Mark!ES126,JB126)</f>
        <v>0</v>
      </c>
      <c r="JD126" s="3">
        <f>JC126*M126</f>
        <v>0</v>
      </c>
      <c r="JF126">
        <f>VLOOKUP(E126,Afgr,Data!$AR$3)+BI126*VLOOKUP(E126,Afgr,Data!$BH$3)</f>
        <v>0</v>
      </c>
      <c r="JG126" s="3">
        <f>IF(Mark!EY126&lt;&gt;"",Mark!EY126,JF126)</f>
        <v>0</v>
      </c>
      <c r="JH126">
        <f>JG126*M126</f>
        <v>0</v>
      </c>
      <c r="JJ126">
        <f>IC126+IY126+JC126+JG126</f>
        <v>0</v>
      </c>
      <c r="JL126">
        <f>IF(VLOOKUP(E126,Afgr,Data!$BY$3)&gt;0,Data!$K$259*PlojJB3,0)</f>
        <v>0</v>
      </c>
      <c r="JM126">
        <f>IF(VLOOKUP(E126,Afgr,Data!$BZ$3)&gt;0,Data!$K$260*PlojJB3,0)</f>
        <v>0</v>
      </c>
      <c r="JN126">
        <f>(JL126+JM126)*MaskJust</f>
        <v>0</v>
      </c>
      <c r="JO126" s="3">
        <f>IF(Mark!FE126&lt;&gt;"",Mark!FE126,JN126)</f>
        <v>0</v>
      </c>
      <c r="JP126" s="3">
        <f>JO126*M126</f>
        <v>0</v>
      </c>
      <c r="JR126">
        <f>IF(VLOOKUP(E126,Afgr,Data!$CA$3)&gt;0,VLOOKUP(E126,Afgr,Data!$CA$3)*Data!$K$261*SaaJB3,0)</f>
        <v>0</v>
      </c>
      <c r="JS126">
        <f>IF(VLOOKUP(E126,Afgr,Data!$CC$3)&gt;0,Data!$K$262*SaaJB3,0)</f>
        <v>0</v>
      </c>
      <c r="JT126">
        <f>IF(VLOOKUP(E126,Afgr,Data!$CD$3)&gt;0,VLOOKUP(E126,Afgr,Data!$CD$3)*Data!$K$263*SaaJB3,0)</f>
        <v>0</v>
      </c>
      <c r="JU126">
        <f>IF(VLOOKUP(E126,Afgr,Data!$CE$3)&gt;0,Data!$K$264*SaaJB3,0)</f>
        <v>0</v>
      </c>
      <c r="JV126">
        <f>IF(VLOOKUP(E126,Afgr,Data!$CF$3)&gt;0,Data!$K$265*SaaJB3,0)</f>
        <v>0</v>
      </c>
      <c r="JW126">
        <f>IF(VLOOKUP(E126,Afgr,Data!$CV$3)&gt;0,Data!$K$266,0)</f>
        <v>0</v>
      </c>
      <c r="JX126">
        <f>IF(VLOOKUP(E126,Afgr,Data!$CG$3)&gt;0,Data!$K$267*SaaJB3,0)</f>
        <v>0</v>
      </c>
      <c r="JY126">
        <f>(JR126+JS126+JT126+JU126+JV126+JW126+JX126)*MaskJust</f>
        <v>0</v>
      </c>
      <c r="JZ126" s="3">
        <f>IF(Mark!FK126&lt;&gt;"",Mark!FK126,JY126)</f>
        <v>0</v>
      </c>
      <c r="KA126" s="3">
        <f>JZ126*M126</f>
        <v>0</v>
      </c>
      <c r="KC126">
        <f>IF(VLOOKUP(E126,Afgr,Data!$CJ$3)&gt;0,VLOOKUP(E126,Afgr,Data!$CJ$3)*Data!$K$268*SaaJB3,0)*MaskJust</f>
        <v>0</v>
      </c>
      <c r="KD126" s="3">
        <f>IF(Mark!FQ126&lt;&gt;"",Mark!FQ126,KC126)</f>
        <v>0</v>
      </c>
      <c r="KE126" s="3">
        <f>KD126*M126</f>
        <v>0</v>
      </c>
      <c r="KG126">
        <f>IF(VLOOKUP(E126,Afgr,Data!$CI$3)&gt;0,VLOOKUP(E126,Afgr,Data!$CI$3)*Data!$K$269,0)*MaskJust</f>
        <v>0</v>
      </c>
      <c r="KH126" s="3">
        <f>IF(Mark!FW126&lt;&gt;"",Mark!FW126,KG126)</f>
        <v>0</v>
      </c>
      <c r="KI126" s="3">
        <f>KH126*M126</f>
        <v>0</v>
      </c>
      <c r="KK126">
        <f>IF(Markvand3=2,VLOOKUP($E126,Afgr,Data!$CY$3),0)</f>
        <v>0</v>
      </c>
      <c r="KL126">
        <f>IF(Mark!GC126&lt;&gt;"",Mark!GC126,$KK126)</f>
        <v>0</v>
      </c>
      <c r="KM126">
        <f>IF(AND(E126&gt;1,Markvand3=2),Vandmaskin+$KL126*Flytning/mmprgang+$KL126*Prisprmm,0)</f>
        <v>0</v>
      </c>
      <c r="KN126" s="3">
        <f>IF(Mark!GI126&lt;&gt;"",Mark!GI126,$KM126)</f>
        <v>0</v>
      </c>
      <c r="KO126" s="3">
        <f>KN126*M126</f>
        <v>0</v>
      </c>
      <c r="KQ126">
        <f>IF(VLOOKUP($E126,Afgr,Data!$CK$3)&gt;0,((1+Regn!$BI126/VLOOKUP($E126,Afgr,Data!$CK$3))/2)*VLOOKUP($E126,Afgr,Data!$CL$3)*VLOOKUP($E126,Afgr,Data!$CN$3)+VLOOKUP($E126,Afgr,Data!$CM$3),0)</f>
        <v>0</v>
      </c>
      <c r="KR126">
        <f>IF(VLOOKUP($E126,Afgr,Data!$CK$3)&gt;0,IF(AND($F126=2,$BW126&gt;0),Data!$K$271,0),0)</f>
        <v>0</v>
      </c>
      <c r="KS126">
        <f>IF(VLOOKUP($E126,Afgr,Data!$CK$3)&gt;0,(Regn!$BI126/VLOOKUP($E126,Afgr,Data!$CK$3))*VLOOKUP($E126,Afgr,Data!$CO$3)*VLOOKUP($E126,Afgr,Data!$CN$3),0)</f>
        <v>0</v>
      </c>
      <c r="KT126">
        <f>(KQ126+KR126+KS126)*MaskJust</f>
        <v>0</v>
      </c>
      <c r="KU126" s="3">
        <f>IF(Mark!GO126&lt;&gt;"",Mark!GO126,KT126)</f>
        <v>0</v>
      </c>
      <c r="KV126" s="3">
        <f>KU126*M126</f>
        <v>0</v>
      </c>
      <c r="KW126" s="3"/>
      <c r="KX126">
        <f>IF(AND($F126=1,VLOOKUP($E126,Afgr,Data!$CP$3)&gt;0),((1+$BY126/VLOOKUP($E126,Afgr,Data!$CP$3))/2)*VLOOKUP($E126,Afgr,Data!$CQ$3),0)</f>
        <v>0</v>
      </c>
      <c r="KY126">
        <f>IF(AND($F126=1,VLOOKUP($E126,Afgr,Data!$CP$3)&gt;0),($BY126/VLOOKUP($E126,Afgr,Data!$CP$3))*VLOOKUP($E126,Afgr,Data!$CR$3),0)</f>
        <v>0</v>
      </c>
      <c r="KZ126">
        <f>(KX126+KY126)*MaskJust</f>
        <v>0</v>
      </c>
      <c r="LA126" s="3">
        <f>IF(Mark!GU126&lt;&gt;"",Mark!GU126,KZ126)</f>
        <v>0</v>
      </c>
      <c r="LB126" s="3">
        <f>LA126*M126</f>
        <v>0</v>
      </c>
      <c r="LD126">
        <f>$BI126*VLOOKUP($E126,Afgr,Data!$CS$3)*IF($I126=1,VLOOKUP($E126,Afgr,Data!$CT$3),IF($I126=2,VLOOKUP($E126,Afgr,Data!$CU$3),0))</f>
        <v>0</v>
      </c>
      <c r="LE126" s="3">
        <f>IF(Mark!HD126&lt;&gt;"",Mark!HD126,LD126)</f>
        <v>0</v>
      </c>
      <c r="LF126" s="3">
        <f>LE126*M126</f>
        <v>0</v>
      </c>
      <c r="LH126">
        <f>VLOOKUP($G126,Efgr,Data!$AC$53)*UdsaedJust</f>
        <v>0</v>
      </c>
      <c r="LI126" s="3">
        <f>IF(Mark!$HL126&lt;&gt;"",Mark!$HL126,LH126)</f>
        <v>0</v>
      </c>
      <c r="LJ126" s="3">
        <f>LI126*M126</f>
        <v>0</v>
      </c>
      <c r="LL126" s="3">
        <f>IF(HdgVaerdi=1,($CM126-$CX126)*Npris,$CM126*Npris)</f>
        <v>0</v>
      </c>
      <c r="LM126" s="3">
        <f>LL126*M126</f>
        <v>0</v>
      </c>
      <c r="LO126">
        <f>$ET126</f>
        <v>0</v>
      </c>
      <c r="LP126">
        <f>IF(HdgDyreart=2,$CU126*NPforholdSvin,$CU126*NPforholdKvaeg)</f>
        <v>0</v>
      </c>
      <c r="LQ126">
        <f>IF($LO126&gt;$LP126,($LO126-$LP126),0)</f>
        <v>0</v>
      </c>
      <c r="LR126" s="3">
        <f>IF(HdgVaerdi=1,IF($LO126&gt;$LP126,($LO126-$LP126)*Ppris,0),$LO126*Ppris)</f>
        <v>0</v>
      </c>
      <c r="LS126" s="3">
        <f>LR126*M126</f>
        <v>0</v>
      </c>
      <c r="LU126">
        <f>$EW126</f>
        <v>0</v>
      </c>
      <c r="LV126">
        <f>IF(HdgDyreart=2,$CU126*NKforholdSvin,$CU126*NkforholdKvaeg)</f>
        <v>0</v>
      </c>
      <c r="LW126">
        <f>IF($LU126&gt;$LV126,($LU126-$LV126),0)</f>
        <v>0</v>
      </c>
      <c r="LX126" s="3">
        <f>IF(HdgVaerdi=1,IF($LU126&gt;$LV126,($LU126-$LV126)*Ppris,0),$LU126*Ppris)</f>
        <v>0</v>
      </c>
      <c r="LY126" s="3">
        <f>LX126*M126</f>
        <v>0</v>
      </c>
      <c r="MA126">
        <f>LL126+LR126+LX126</f>
        <v>0</v>
      </c>
      <c r="MB126" s="3">
        <f>IF(Mark!HR126&lt;&gt;"",Mark!HR126,$MA126)</f>
        <v>0</v>
      </c>
      <c r="MC126" s="3">
        <f>MB126*M126</f>
        <v>0</v>
      </c>
      <c r="ME126">
        <f>VLOOKUP($G126,Efgr,Data!$AE$53)*PlantevJust</f>
        <v>0</v>
      </c>
      <c r="MF126" s="3">
        <f>IF(Mark!HX126&lt;&gt;"",Mark!HX126,ME126)</f>
        <v>0</v>
      </c>
      <c r="MG126" s="3">
        <f>MF126*M126</f>
        <v>0</v>
      </c>
      <c r="MI126">
        <f>VLOOKUP($G126,Efgr,Data!$AF$53)+$DD126*VLOOKUP($G126,Efgr,Data!$AL$53)</f>
        <v>0</v>
      </c>
      <c r="MJ126" s="3">
        <f>IF(Mark!ID126&lt;&gt;"",Mark!ID126,MI126)</f>
        <v>0</v>
      </c>
      <c r="MK126" s="3">
        <f>MJ126*M126</f>
        <v>0</v>
      </c>
      <c r="MM126">
        <f>LI126+MB126+MF126+MJ126</f>
        <v>0</v>
      </c>
      <c r="MO126">
        <f>VLOOKUP($G126,Efgr,Data!$AU$53)*SaaJB3*MaskJust</f>
        <v>0</v>
      </c>
      <c r="MP126" s="3">
        <f>IF(Mark!IJ126&lt;&gt;"",Mark!IJ126,MO126)</f>
        <v>0</v>
      </c>
      <c r="MQ126" s="3">
        <f>MP126*M126</f>
        <v>0</v>
      </c>
      <c r="MS126">
        <f>VLOOKUP($G126,Efgr,Data!$AW$53)*Data!$K$268*SaaJB3*MaskJust</f>
        <v>0</v>
      </c>
      <c r="MT126" s="3">
        <f>IF(Mark!IP126&lt;&gt;"",Mark!IP126,MS126)</f>
        <v>0</v>
      </c>
      <c r="MU126" s="3">
        <f>MT126*M126</f>
        <v>0</v>
      </c>
      <c r="MW126">
        <f>VLOOKUP($G126,Efgr,Data!$AV$53)*Data!$K$269*MaskJust</f>
        <v>0</v>
      </c>
      <c r="MX126" s="3">
        <f>IF(Mark!IV126&lt;&gt;"",Mark!IV126,MW126)</f>
        <v>0</v>
      </c>
      <c r="MY126" s="3">
        <f>MX126*M126</f>
        <v>0</v>
      </c>
      <c r="NA126">
        <f>IF(Markvand3=2,VLOOKUP($G126,Efgr,Data!$BC$53),0)</f>
        <v>0</v>
      </c>
      <c r="NB126">
        <f>IF(Mark!JB126&lt;&gt;"",Mark!JB126,$NA126)</f>
        <v>0</v>
      </c>
      <c r="NC126">
        <f>IF(Markvand3=2,$NB126*Flytning/mmprgang+$NB126*Prisprmm,0)</f>
        <v>0</v>
      </c>
      <c r="ND126" s="3">
        <f>IF(Mark!JH126&lt;&gt;"",Mark!JH126,$NC126)</f>
        <v>0</v>
      </c>
      <c r="NE126" s="3">
        <f>ND126*M126</f>
        <v>0</v>
      </c>
      <c r="NG126">
        <f>IF(VLOOKUP($G126,Efgr,Data!$AX$53)&gt;0,((1+Regn!DD126/VLOOKUP($G126,Efgr,Data!$AX$53))/2)*VLOOKUP($G126,Efgr,Data!$AY$53)*VLOOKUP($G126,Efgr,Data!$BA$53)+VLOOKUP($G126,Efgr,Data!$AZ$53),0)</f>
        <v>0</v>
      </c>
      <c r="NH126">
        <f>IF(VLOOKUP($G126,Efgr,Data!$AX$53)&gt;0,($DD126/VLOOKUP($G126,Efgr,Data!$AX$53))*VLOOKUP($G126,Efgr,Data!$BB$53)*VLOOKUP($G126,Efgr,Data!$BA$53),0)</f>
        <v>0</v>
      </c>
      <c r="NI126">
        <f>(NG126+NH126)*MaskJust</f>
        <v>0</v>
      </c>
      <c r="NJ126" s="3">
        <f>IF(Mark!JN126&lt;&gt;"",Mark!JN126,NI126)</f>
        <v>0</v>
      </c>
      <c r="NK126" s="3">
        <f>NJ126*M126</f>
        <v>0</v>
      </c>
      <c r="NM126">
        <f>IF($H126=2,Data!$K$304,IF($H126=3,Data!$K$305,0))*MaskJust</f>
        <v>0</v>
      </c>
      <c r="NN126" s="3">
        <f>IF(Mark!JT126&lt;&gt;"",Mark!JT126,NM126)</f>
        <v>0</v>
      </c>
      <c r="NO126" s="3">
        <f>NN126*M126</f>
        <v>0</v>
      </c>
      <c r="NQ126">
        <f>HY126</f>
        <v>0</v>
      </c>
      <c r="NR126">
        <f>JJ126+MM126</f>
        <v>0</v>
      </c>
      <c r="NS126">
        <f>NQ126-NR126</f>
        <v>0</v>
      </c>
      <c r="NT126">
        <f>NS126*M126</f>
        <v>0</v>
      </c>
      <c r="NW126">
        <f>VLOOKUP($B126,Afgr,Data!$BP$3)+VLOOKUP($C126,Efgr,Data!$AM$53)</f>
        <v>0</v>
      </c>
      <c r="NX126" s="3">
        <f>NW126*M126</f>
        <v>0</v>
      </c>
      <c r="NY126">
        <f>VLOOKUP($E126,Afgr,Data!$BP$3)+VLOOKUP($G126,Efgr,Data!$AM$53)</f>
        <v>0</v>
      </c>
      <c r="NZ126" s="3">
        <f>NY126*M126</f>
        <v>0</v>
      </c>
      <c r="OB126">
        <f>VLOOKUP($C126,Efgr,Data!$AN$53)</f>
        <v>0</v>
      </c>
      <c r="OC126">
        <f>VLOOKUP($B126,Afgr,Data!$BQ$3)</f>
        <v>0</v>
      </c>
      <c r="OD126">
        <f>VLOOKUP($E126,Afgr,Data!$BR$3)</f>
        <v>1</v>
      </c>
      <c r="OE126">
        <f>OB126*OC126*OD126</f>
        <v>0</v>
      </c>
      <c r="OF126" s="3">
        <f>OE126*M126</f>
        <v>0</v>
      </c>
      <c r="OG126" s="3">
        <f>IF(D126,1,0)*OF126</f>
        <v>0</v>
      </c>
      <c r="OI126">
        <f>VLOOKUP($G126,Efgr,Data!$AN$53)</f>
        <v>0</v>
      </c>
      <c r="OJ126">
        <f>VLOOKUP($E126,Afgr,Data!$BQ$3)</f>
        <v>0</v>
      </c>
      <c r="OK126">
        <f>VLOOKUP($K126,Afgr,Data!$BR$3)</f>
        <v>1</v>
      </c>
      <c r="OL126">
        <f>OI126*OJ126*OK126</f>
        <v>0</v>
      </c>
      <c r="OM126" s="3">
        <f>OL126*M126</f>
        <v>0</v>
      </c>
      <c r="OO126">
        <f>VLOOKUP($G126,Efgr,Data!$AO$53)</f>
        <v>0</v>
      </c>
      <c r="OP126">
        <f>VLOOKUP($B126,Afgr,Data!$BQ$3)</f>
        <v>0</v>
      </c>
      <c r="OQ126">
        <f>VLOOKUP($E126,Afgr,Data!$BS$3)</f>
        <v>0</v>
      </c>
      <c r="OR126" s="3">
        <f>OO126*OP126*OQ126*$M126</f>
        <v>0</v>
      </c>
      <c r="OT126">
        <f>VLOOKUP($G126,Efgr,Data!$AO$53)</f>
        <v>0</v>
      </c>
      <c r="OU126">
        <f>VLOOKUP($E126,Afgr,Data!$BQ$3)</f>
        <v>0</v>
      </c>
      <c r="OV126">
        <f>VLOOKUP($K126,Afgr,Data!$BS$3)</f>
        <v>0</v>
      </c>
      <c r="OW126" s="3">
        <f>OT126*OU126*OV126*$M126</f>
        <v>0</v>
      </c>
      <c r="OX126" s="3"/>
      <c r="OY126" s="3">
        <f>VLOOKUP($B126,Afgr,Data!$BU$3)</f>
        <v>0</v>
      </c>
      <c r="OZ126" s="3">
        <f>OY126*M126</f>
        <v>0</v>
      </c>
      <c r="PA126" s="3">
        <f>VLOOKUP($E126,Afgr,Data!$BU$3)</f>
        <v>0</v>
      </c>
      <c r="PB126" s="3">
        <f>PA126*M126</f>
        <v>0</v>
      </c>
      <c r="PD126">
        <f>VLOOKUP(E126,Afgr,Data!$BX$3)+VLOOKUP(G126,Efgr,Data!$AQ$53)</f>
        <v>0</v>
      </c>
      <c r="PE126">
        <f>IF(PD126&gt;0,M126,0)</f>
        <v>0</v>
      </c>
      <c r="PG126">
        <f>VLOOKUP($B126,Afgr,Data!$BT$3)</f>
        <v>0</v>
      </c>
      <c r="PH126" s="3">
        <f>PG126*M126</f>
        <v>0</v>
      </c>
      <c r="PI126">
        <f>VLOOKUP($E126,Afgr,Data!$BT$3)</f>
        <v>0</v>
      </c>
      <c r="PJ126" s="3">
        <f>PI126*M126</f>
        <v>0</v>
      </c>
      <c r="PL126">
        <f>VLOOKUP($E126,Afgr,Data!$BV$3)</f>
        <v>0</v>
      </c>
      <c r="PM126">
        <f>PL126*M126</f>
        <v>0</v>
      </c>
      <c r="PO126">
        <f>VLOOKUP($E126,Afgr,Data!$BW$3)</f>
        <v>0</v>
      </c>
      <c r="PP126">
        <f>PO126*M126</f>
        <v>0</v>
      </c>
      <c r="PR126">
        <f>BI126*IF(VLOOKUP($E126,Afgr,Data!$BJ$3)&gt;0,1,0)</f>
        <v>0</v>
      </c>
      <c r="PS126">
        <f>PR126*M126</f>
        <v>0</v>
      </c>
      <c r="PU126">
        <f>BI126*VLOOKUP(E126,Afgr,Data!$BK$3)</f>
        <v>0</v>
      </c>
      <c r="PV126">
        <f>M126*PU126</f>
        <v>0</v>
      </c>
      <c r="PW126">
        <f>$BI126*VLOOKUP($E126,Afgr,Data!$BL$3)+$DD126*VLOOKUP($G126,Efgr,Data!$AP$53)</f>
        <v>0</v>
      </c>
      <c r="PX126">
        <f>PW126*M126</f>
        <v>0</v>
      </c>
      <c r="PY126">
        <f>$BI126*VLOOKUP($E126,Afgr,Data!$BM$3)</f>
        <v>0</v>
      </c>
      <c r="PZ126">
        <f>PY126*M126</f>
        <v>0</v>
      </c>
      <c r="QA126">
        <f>$BI126*VLOOKUP($E126,Afgr,Data!$BN$3)</f>
        <v>0</v>
      </c>
      <c r="QB126">
        <f>QA126*M126</f>
        <v>0</v>
      </c>
      <c r="QE126">
        <f>IF(VLOOKUP($E126,Afgr,Data!$DA$3)="Vårbyg",$BJ126,0)*VLOOKUP($E126,Afgr,Data!$BJ$3)</f>
        <v>0</v>
      </c>
      <c r="QF126">
        <f>IF(VLOOKUP($E126,Afgr,Data!$DA$3)="Vinterbyg",$BJ126,0)*VLOOKUP($E126,Afgr,Data!$BJ$3)</f>
        <v>0</v>
      </c>
      <c r="QG126">
        <f>IF(VLOOKUP($E126,Afgr,Data!$DA$3)="Havre",$BJ126,0)*VLOOKUP($E126,Afgr,Data!$BJ$3)</f>
        <v>0</v>
      </c>
      <c r="QH126">
        <f>IF(VLOOKUP($E126,Afgr,Data!$DA$3)="Hvede",$BJ126,0)*VLOOKUP($E126,Afgr,Data!$BJ$3)</f>
        <v>0</v>
      </c>
      <c r="QI126">
        <f>IF(VLOOKUP($E126,Afgr,Data!$DA$3)="Triticale",$BJ126,0)*VLOOKUP($E126,Afgr,Data!$BJ$3)</f>
        <v>0</v>
      </c>
      <c r="QJ126">
        <f>IF(VLOOKUP($E126,Afgr,Data!$DA$3)="Rug",$BJ126,0)*VLOOKUP($E126,Afgr,Data!$BJ$3)</f>
        <v>0</v>
      </c>
      <c r="QK126">
        <f>IF(VLOOKUP($E126,Afgr,Data!$DA$3)="Majs",$BJ126,0)*VLOOKUP($E126,Afgr,Data!$BJ$3)</f>
        <v>0</v>
      </c>
      <c r="QN126">
        <f>IF(OI126+OO126&gt;0,1,0)</f>
        <v>0</v>
      </c>
      <c r="QO126">
        <f>QN126*LJ126</f>
        <v>0</v>
      </c>
      <c r="QP126">
        <f>QN126*MG126</f>
        <v>0</v>
      </c>
      <c r="QQ126">
        <f>MQ126</f>
        <v>0</v>
      </c>
      <c r="QR126">
        <f>QN126*NO126</f>
        <v>0</v>
      </c>
    </row>
    <row r="127" spans="1:460" x14ac:dyDescent="0.25">
      <c r="GG127" s="12"/>
    </row>
    <row r="128" spans="1:460" x14ac:dyDescent="0.25">
      <c r="A128">
        <v>7</v>
      </c>
      <c r="B128">
        <v>1</v>
      </c>
      <c r="C128">
        <v>1</v>
      </c>
      <c r="D128" t="b">
        <v>0</v>
      </c>
      <c r="E128">
        <v>1</v>
      </c>
      <c r="F128">
        <v>1</v>
      </c>
      <c r="G128">
        <v>1</v>
      </c>
      <c r="H128">
        <v>1</v>
      </c>
      <c r="I128">
        <v>1</v>
      </c>
      <c r="K128">
        <v>1</v>
      </c>
      <c r="M128">
        <f>IF(ISERROR(N128*Areal3/$N$132),0,N128*Areal3/$N$132)</f>
        <v>0</v>
      </c>
      <c r="N128">
        <f>Mark!Z128</f>
        <v>0</v>
      </c>
      <c r="P128">
        <f>VLOOKUP($E128,Afgr,NnormKolonneNr3)</f>
        <v>0</v>
      </c>
      <c r="Q128">
        <f>VLOOKUP($B128,Afgr,Data!$AI$3)*VLOOKUP(E128,Afgr,Data!$AJ$3)</f>
        <v>0</v>
      </c>
      <c r="R128">
        <f>IF($D128,0,VLOOKUP($C128,Efgr,(Data!$W$53+$G$28-1)))</f>
        <v>0</v>
      </c>
      <c r="S128">
        <f>P128-Q128-R128</f>
        <v>0</v>
      </c>
      <c r="T128">
        <f>S128*M128</f>
        <v>0</v>
      </c>
      <c r="U128">
        <f>IF(Nmodel34=1,S128*Nniveau34*0.01,AO128)</f>
        <v>0</v>
      </c>
      <c r="V128" s="3">
        <f>IF(Mark!CI128&lt;&gt;"",Mark!CI128,U128)</f>
        <v>0</v>
      </c>
      <c r="W128" s="3">
        <f>V128*M128</f>
        <v>0</v>
      </c>
      <c r="Y128">
        <f>S128/NoptFaktor</f>
        <v>0</v>
      </c>
      <c r="Z128" s="3">
        <f>IF(Mark!BZ128&lt;&gt;"",Mark!BZ128,Y128)</f>
        <v>0</v>
      </c>
      <c r="AB128">
        <f>VLOOKUP($E128,Afgr,Data!$DE$3)</f>
        <v>0</v>
      </c>
      <c r="AC128">
        <f>VLOOKUP($E128,Afgr,Data!$DD$3)</f>
        <v>0</v>
      </c>
      <c r="AD128">
        <f>VLOOKUP($E128,Afgr,Data!$DC$3)</f>
        <v>0</v>
      </c>
      <c r="AE128">
        <f>IF(ISERROR($Z128+(-PrisN/$AD128-$AB128)/(2*$AC128)),0,($Z128+(-PrisN/$AD128-$AB128)/(2*$AC128)))</f>
        <v>0</v>
      </c>
      <c r="AF128">
        <f>($BD128+$BE128+$BF128)*1.03333</f>
        <v>0</v>
      </c>
      <c r="AG128">
        <f>$AF128-($AB128*($AE128-$Z128)+$AC128*($AE128-$Z128)^2)</f>
        <v>0</v>
      </c>
      <c r="AH128">
        <f>IF(Nmodel12=1,$AB128*($AE128-$S128)+$AC128*($AE128-$S128)^2,$AB128*($AE128-$AO128)+$AC128*($AE128-$AO128)^2)</f>
        <v>0</v>
      </c>
      <c r="AI128">
        <f>IF(Nmodel34=1,$AB128*($AE128-$V128)+$AC128*($AE128-$V128)^2,$AB128*($AE128-AO128)+$AC128*($AE128-AO128)^2)</f>
        <v>0</v>
      </c>
      <c r="AJ128">
        <f>AG128+AH128-BG128</f>
        <v>0</v>
      </c>
      <c r="AK128">
        <f>AG128+AI128-AJ128</f>
        <v>0</v>
      </c>
      <c r="AM128">
        <f>VLOOKUP(E128,Afgr,Data!$DF$3+SandLer3)</f>
        <v>0</v>
      </c>
      <c r="AN128">
        <f>IF(ISERROR(((-(PrisN+Pantafgift)+AM128*Pantfaktor*Pantafgift)/AD128-AB128)/(2*AC128)),0,((-(PrisN+Pantafgift)+AM128*Pantfaktor*Pantafgift)/AD128-AB128)/(2*AC128))</f>
        <v>0</v>
      </c>
      <c r="AO128">
        <f>AE128-AN128</f>
        <v>0</v>
      </c>
      <c r="AQ128">
        <f>IF(AT128&gt;0,0,W128)</f>
        <v>0</v>
      </c>
      <c r="AR128">
        <f>IF(ISERROR(W128*HdgNTilFordeling34/NnormIaltFordel34),0,W128*HdgNTilFordeling34/NnormIaltFordel34)</f>
        <v>0</v>
      </c>
      <c r="AS128">
        <f>IF(ISERROR($AR128/$M128),0,$AR128/$M128)</f>
        <v>0</v>
      </c>
      <c r="AT128">
        <f>IF(Mark!CO128&lt;&gt;"",Mark!CO128,0)</f>
        <v>0</v>
      </c>
      <c r="AU128">
        <f>$AT128*$M128</f>
        <v>0</v>
      </c>
      <c r="AV128" s="3">
        <f>IF(AT128&gt;0,AT128,AS128)</f>
        <v>0</v>
      </c>
      <c r="AW128" s="3">
        <f>AV128*M128</f>
        <v>0</v>
      </c>
      <c r="AY128">
        <f>UdnKrav*$AV128/100</f>
        <v>0</v>
      </c>
      <c r="BA128">
        <f>AV128*VLOOKUP($E128,Afgr,Data!$DJ$3)</f>
        <v>0</v>
      </c>
      <c r="BB128">
        <f>UdnKrav*$BA128/100</f>
        <v>0</v>
      </c>
      <c r="BD128">
        <f>VLOOKUP(E128,Afgr,NormudbKolonneNr3)</f>
        <v>0</v>
      </c>
      <c r="BE128">
        <f>VLOOKUP(B128,Afgr,Data!$AL$3)*VLOOKUP(E128,Afgr,MerudbKolonneNr3)</f>
        <v>0</v>
      </c>
      <c r="BF128">
        <f>VLOOKUP(C128,Efgr,(Data!$Y$53+EftervirkningUdb3))</f>
        <v>0</v>
      </c>
      <c r="BG128">
        <f>BD128+BE128+BF128</f>
        <v>0</v>
      </c>
      <c r="BH128">
        <f>IF(OR(V128&lt;&gt;S128,Nmodel34=2),AK128,BD128+BE128+BF128)</f>
        <v>0</v>
      </c>
      <c r="BI128" s="3">
        <f>IF(Mark!AK128&lt;&gt;"",Mark!AK128,BH128)</f>
        <v>0</v>
      </c>
      <c r="BJ128">
        <f>BI128*M128</f>
        <v>0</v>
      </c>
      <c r="BK128">
        <f>VLOOKUP(E128,Afgr,3)</f>
        <v>0</v>
      </c>
      <c r="BL128">
        <f>IF(BK128="FE",VLOOKUP($E128,Afgr,Data!$AV$3),0)</f>
        <v>0</v>
      </c>
      <c r="BN128">
        <f>VLOOKUP(E128,Afgr,4)</f>
        <v>0</v>
      </c>
      <c r="BO128" s="3">
        <f>IF(Mark!AW128&lt;&gt;"",Mark!AW128,Regn!BN128)</f>
        <v>0</v>
      </c>
      <c r="BP128" s="3">
        <f>BI128*BO128</f>
        <v>0</v>
      </c>
      <c r="BQ128" s="3">
        <f>BJ128*BO128</f>
        <v>0</v>
      </c>
      <c r="BS128">
        <f>VLOOKUP(E128,Afgr,Data!$AN$3)</f>
        <v>0</v>
      </c>
      <c r="BT128" s="3">
        <f>IF(Mark!BC128&lt;&gt;"",Mark!BC128,BS128)</f>
        <v>0</v>
      </c>
      <c r="BU128" s="3">
        <f>BT128*M128</f>
        <v>0</v>
      </c>
      <c r="BW128">
        <f>VLOOKUP(E128,Afgr,HalmudbKolonneNr3)</f>
        <v>0</v>
      </c>
      <c r="BX128">
        <f>IF(ISERROR(BW128*BI128/BG128),0,(BW128*BI128/BG128))</f>
        <v>0</v>
      </c>
      <c r="BY128" s="3">
        <f>IF(Mark!BI128&lt;&gt;"",Mark!BI128,BX128)</f>
        <v>0</v>
      </c>
      <c r="BZ128">
        <f>BY128*M128</f>
        <v>0</v>
      </c>
      <c r="CC128">
        <f>IF($F128=1,BY128,0)</f>
        <v>0</v>
      </c>
      <c r="CD128">
        <f>IF(F128=1,BZ128,0)</f>
        <v>0</v>
      </c>
      <c r="CE128">
        <f>VLOOKUP(E128,Afgr,Data!$AM$3)</f>
        <v>0</v>
      </c>
      <c r="CF128">
        <f>IF(Mark!BR128&lt;&gt;"",Mark!BR128,CE128)</f>
        <v>0</v>
      </c>
      <c r="CG128">
        <f>CC128*CF128</f>
        <v>0</v>
      </c>
      <c r="CH128">
        <f>CD128*CF128</f>
        <v>0</v>
      </c>
      <c r="CJ128">
        <f>VLOOKUP($G128,Efgr,NnormKolonneEfgr3)</f>
        <v>0</v>
      </c>
      <c r="CK128">
        <f>CJ128*M128</f>
        <v>0</v>
      </c>
      <c r="CL128">
        <f>CJ128*Nniveau34*0.01</f>
        <v>0</v>
      </c>
      <c r="CM128" s="3">
        <f>IF(Mark!DM128&lt;&gt;"",Mark!DM128,CL128)</f>
        <v>0</v>
      </c>
      <c r="CN128" s="3">
        <f>$CM128*$M128</f>
        <v>0</v>
      </c>
      <c r="CP128">
        <f>IF(CS128&gt;0,0,CN128)</f>
        <v>0</v>
      </c>
      <c r="CQ128" s="12">
        <f>IF(ISERROR(CN128*HdgNTilFordeling34/NnormIaltFordel34),0,CN128*HdgNTilFordeling34/NnormIaltFordel34)</f>
        <v>0</v>
      </c>
      <c r="CR128">
        <f>IF(ISERROR($CQ128/$M128),0,$CQ128/$M128)</f>
        <v>0</v>
      </c>
      <c r="CS128">
        <f>IF(Mark!DS128&lt;&gt;"",Mark!DS128,0)</f>
        <v>0</v>
      </c>
      <c r="CT128">
        <f>$CS128*$M128</f>
        <v>0</v>
      </c>
      <c r="CU128" s="3">
        <f>IF($CS128&gt;0,$CS128,$CR128)</f>
        <v>0</v>
      </c>
      <c r="CV128" s="3">
        <f>CU128*M128</f>
        <v>0</v>
      </c>
      <c r="CX128">
        <f>UdnKrav*$CU128/100</f>
        <v>0</v>
      </c>
      <c r="CZ128">
        <f>$CU128*VLOOKUP($G128,Efgr,Data!$BG$53)</f>
        <v>0</v>
      </c>
      <c r="DA128">
        <f>UdnKrav*$CZ128/100</f>
        <v>0</v>
      </c>
      <c r="DC128">
        <f>VLOOKUP(G128,Efgr,NormudbKolonneNrEfgr3)</f>
        <v>0</v>
      </c>
      <c r="DD128" s="3">
        <f>IF(Mark!DC128&lt;&gt;"",Mark!DC128,DC128)</f>
        <v>0</v>
      </c>
      <c r="DE128">
        <f>DD128*M128</f>
        <v>0</v>
      </c>
      <c r="DF128" t="s">
        <v>37</v>
      </c>
      <c r="DG128">
        <f>DD128*Efterslaetpris</f>
        <v>0</v>
      </c>
      <c r="DH128">
        <f>DE128*Efterslaetpris</f>
        <v>0</v>
      </c>
      <c r="DI128">
        <f>VLOOKUP(G128,Efgr,Data!$AG$53)</f>
        <v>0</v>
      </c>
      <c r="DJ128">
        <f>DD128*DI128</f>
        <v>0</v>
      </c>
      <c r="DL128">
        <f>VLOOKUP($E128,Afgr,Data!$AW$3)</f>
        <v>0</v>
      </c>
      <c r="DM128">
        <f>IF(BK128="FE",$BI128*$BL128*$DL128*0.01,$BI128*100*$DR128*0.01*$DL128*0.01)</f>
        <v>0</v>
      </c>
      <c r="DN128">
        <f>IF(VLOOKUP(E128,Afgr,Data!$BO$3)=1,DM128,0)*M128</f>
        <v>0</v>
      </c>
      <c r="DO128" s="12">
        <f>IF(Nmodel34=1,(V128-S128)*VLOOKUP($E128,Afgr,Data!$AX$3),(AO128-S128)*VLOOKUP(E128,Afgr,Data!$AX$3))</f>
        <v>0</v>
      </c>
      <c r="DP128">
        <f>DL128+DO128</f>
        <v>0</v>
      </c>
      <c r="DQ128">
        <f>IF(Mark!AQ128&lt;&gt;"",Mark!AQ128,DP128)</f>
        <v>0</v>
      </c>
      <c r="DR128">
        <f>VLOOKUP(E128,Afgr,Data!$AT$3)</f>
        <v>0</v>
      </c>
      <c r="DS128">
        <f>IF($BK128="FE",$BI128*$BL128*$DQ128*0.01,$BI128*100*$DR128*0.01*DQ128*0.01)</f>
        <v>0</v>
      </c>
      <c r="DT128">
        <f>IF(VLOOKUP(E128,Afgr,Data!$BO$3)=1,DS128,0)*M128</f>
        <v>0</v>
      </c>
      <c r="DU128">
        <f>IF(ISERROR(DS128/VLOOKUP(E128,Afgr,Data!$AY$3)),0,DS128/VLOOKUP(E128,Afgr,Data!$AY$3))</f>
        <v>0</v>
      </c>
      <c r="DV128">
        <f>DU128*M128</f>
        <v>0</v>
      </c>
      <c r="DX128">
        <f>IF($BK128="FE",$BI128*$BL128*VLOOKUP($E128,Afgr,Data!$BC$3)*0.001,$BI128*100*$DR128*0.01*VLOOKUP($E128,Afgr,Data!$BC$3)*0.001)</f>
        <v>0</v>
      </c>
      <c r="DY128">
        <f>DX128*M128</f>
        <v>0</v>
      </c>
      <c r="EA128">
        <f>IF($BK128="FE",$BI128*$BL128*VLOOKUP($E128,Afgr,Data!$BF$3)*0.001,$BI128*100*$DR128*0.01*VLOOKUP($E128,Afgr,Data!$BF$3)*0.001)</f>
        <v>0</v>
      </c>
      <c r="EB128">
        <f>EA128*M128</f>
        <v>0</v>
      </c>
      <c r="ED128">
        <f>IF(ISERROR(VLOOKUP(E128,Afgr,Data!$AZ$3)*DQ128/DL128),0,VLOOKUP(E128,Afgr,Data!$AZ$3)*DQ128/DL128)</f>
        <v>0</v>
      </c>
      <c r="EE128">
        <f>VLOOKUP(E128,Afgr,Data!$AU$3)</f>
        <v>0</v>
      </c>
      <c r="EF128">
        <f>IF($F128=1,$BY128*$EE128*0.01*ED128*0.01,0)</f>
        <v>0</v>
      </c>
      <c r="EG128">
        <f>EF128/6.25</f>
        <v>0</v>
      </c>
      <c r="EH128">
        <f>EG128*M128</f>
        <v>0</v>
      </c>
      <c r="EJ128">
        <f>IF($F128=1,$BY128*$EE128*0.01*VLOOKUP($E128,Afgr,Data!$BD$3)*0.001,0)</f>
        <v>0</v>
      </c>
      <c r="EK128">
        <f>EJ128*M128</f>
        <v>0</v>
      </c>
      <c r="EM128">
        <f>IF($F128=1,$BY128*$EE128*0.01*VLOOKUP($E128,Afgr,Data!$BG$3)*0.001,0)</f>
        <v>0</v>
      </c>
      <c r="EN128">
        <f>EM128*M128</f>
        <v>0</v>
      </c>
      <c r="EP128">
        <f>VLOOKUP(G128,Efgr,Data!$AI$53)</f>
        <v>0</v>
      </c>
      <c r="EQ128">
        <f>DJ128*EP128*0.01/6.25</f>
        <v>0</v>
      </c>
      <c r="ER128">
        <f>EQ128*M128</f>
        <v>0</v>
      </c>
      <c r="ET128">
        <f>$DJ128*VLOOKUP($G128,Efgr,Data!$AJ$53)*0.001</f>
        <v>0</v>
      </c>
      <c r="EU128">
        <f>ET128*M128</f>
        <v>0</v>
      </c>
      <c r="EW128">
        <f>$DJ128*VLOOKUP($G128,Efgr,Data!$AK$53)*0.001</f>
        <v>0</v>
      </c>
      <c r="EX128">
        <f>EW128*M128</f>
        <v>0</v>
      </c>
      <c r="EZ128">
        <f>IF(VLOOKUP(E128,Afgr,Data!$DS$3)=1,DU128*VLOOKUP(E128,Afgr,(Data!$DT$3+EftervirkningUdb3))*VLOOKUP(E128,Afgr,Data!$DV$3),0)</f>
        <v>0</v>
      </c>
      <c r="FA128">
        <f>IF(VLOOKUP(E128,Afgr,Data!$DS$3)=2,VLOOKUP(E128,Afgr,Data!$DX$3),0)</f>
        <v>0</v>
      </c>
      <c r="FB128">
        <f>IF(VLOOKUP(E128,Afgr,Data!$DS$3)=3,$DU128*VLOOKUP($E128,Afgr,IF(Jordtype3&lt;5,Data!$DT$3,Data!$DU$3))*VLOOKUP($E128,Afgr,Data!$DV$3),0)</f>
        <v>0</v>
      </c>
      <c r="FC128">
        <f>IF(VLOOKUP(E128,Afgr,Data!$DS$3)=4,(1.232+0.00469*BI128*100+(0.000256*BI128*100+0.089)*60),0)</f>
        <v>0</v>
      </c>
      <c r="FD128">
        <f>$V128+IF($AY128-$BB128&gt;$V128,$AY128-$V128,0)-$BB128</f>
        <v>0</v>
      </c>
      <c r="FE128">
        <f>IF(VLOOKUP($E128,Afgr,Data!$DS$3)=5,($BI128*0.02742-$BI128*0.0001*$FD128+$BI128*0.0000001111*$FD128*$FD128),0)</f>
        <v>0</v>
      </c>
      <c r="FF128">
        <f>$CM128+IF($CX128-$DA128&gt;$CM128,$CX128-$CM128,0)-$DA128</f>
        <v>0</v>
      </c>
      <c r="FG128">
        <f>IF(VLOOKUP($G128,Efgr,Data!$BH$53)=5,($DD128*0.02742-$DD128*0.0001*$FF128+$DD128*0.0000001111*$FF128*$FF128),0)</f>
        <v>0</v>
      </c>
      <c r="FH128" s="3">
        <f>EZ128+FA128+FB128+FC128+FE128+FG128</f>
        <v>0</v>
      </c>
      <c r="FI128" s="3">
        <f>FH128*M128</f>
        <v>0</v>
      </c>
      <c r="FK128">
        <f>$V128+$CM128</f>
        <v>0</v>
      </c>
      <c r="FL128">
        <f>($AV128-$AY128)+IF($AY128&gt;$V128,$AY128-$V128,0)+($CU128-$CX128)+IF($CX128&gt;$CM128,$CX128-$CM128,0)</f>
        <v>0</v>
      </c>
      <c r="FM128">
        <f>VLOOKUP($E128,Afgr,Data!$DK$3)*VLOOKUP($E128,Afgr,Data!$AT$3)*0.01*VLOOKUP($E128,Afgr,Data!$AW$3)*0.01/6.25</f>
        <v>0</v>
      </c>
      <c r="FN128" s="4">
        <f>IF(E128&gt;1,Deposition,0)</f>
        <v>0</v>
      </c>
      <c r="FO128">
        <f>FH128</f>
        <v>0</v>
      </c>
      <c r="FP128">
        <f>SUM(FK128:FO128)</f>
        <v>0</v>
      </c>
      <c r="FQ128">
        <f>DU128+EG128+EQ128</f>
        <v>0</v>
      </c>
      <c r="FR128" s="3">
        <f>FP128-FQ128</f>
        <v>0</v>
      </c>
      <c r="FS128" s="19">
        <f>FP128*M128</f>
        <v>0</v>
      </c>
      <c r="FT128" s="19">
        <f>FQ128*M128</f>
        <v>0</v>
      </c>
      <c r="FU128" s="3">
        <f>FR128*M128</f>
        <v>0</v>
      </c>
      <c r="FW128">
        <f>IL128+IM128+LP128+LQ128</f>
        <v>0</v>
      </c>
      <c r="FX128">
        <f>IK128+LO128</f>
        <v>0</v>
      </c>
      <c r="FY128">
        <f>FW128-FX128</f>
        <v>0</v>
      </c>
      <c r="FZ128">
        <f>FY128*M128</f>
        <v>0</v>
      </c>
      <c r="GB128">
        <f>IS128+IT128+LV128+LW128</f>
        <v>0</v>
      </c>
      <c r="GC128">
        <f>IR128+LU128</f>
        <v>0</v>
      </c>
      <c r="GD128">
        <f>GB128-GC128</f>
        <v>0</v>
      </c>
      <c r="GE128">
        <f>GD128*M128</f>
        <v>0</v>
      </c>
      <c r="GG128" s="149">
        <f>IF(OR(VLOOKUP(E128,Afgr,Data!$BV$3)=1,VLOOKUP(E128,Afgr,Data!$BW$3)=1),0,NniveauDelsaedsk3)</f>
        <v>0</v>
      </c>
      <c r="GH128" s="1">
        <v>0.32550000000000001</v>
      </c>
      <c r="GI128" s="6">
        <v>0</v>
      </c>
      <c r="GJ128" s="24">
        <f>IF(($V128-BB128+$CM128-DA128)&lt;0,0,$V128-BB128+$CM128-DA128)</f>
        <v>0</v>
      </c>
      <c r="GK128" s="6">
        <f>$FO128</f>
        <v>0</v>
      </c>
      <c r="GL128" s="1">
        <v>0.25280000000000002</v>
      </c>
      <c r="GM128">
        <f>$BA128+$CZ128</f>
        <v>0</v>
      </c>
      <c r="GN128" s="1">
        <v>0.376</v>
      </c>
      <c r="GO128" s="6">
        <v>0</v>
      </c>
      <c r="GP128" s="1">
        <f>IF(SandLer3&gt;1,0.3539,1.0749)</f>
        <v>0.35389999999999999</v>
      </c>
      <c r="GQ128" s="11">
        <f>$FQ128</f>
        <v>0</v>
      </c>
      <c r="GR128" s="1">
        <v>0.19359999999999999</v>
      </c>
      <c r="GS128" s="1">
        <f>VLOOKUP($E128,Afgr,Data!$DM$3)</f>
        <v>0</v>
      </c>
      <c r="GT128" s="24">
        <f>IF($GS128&gt;1,0,(VLOOKUP($K128,Afgr,Data!$DP$3)+IF(VLOOKUP($K128,Afgr,Data!$DP$3)=0,VLOOKUP($G128,Efgr,Data!$BI$53,0))))+IF(AND($GS128=7,VLOOKUP($K128,Afgr,Data!$DQ$3)=-2),-2,0)+IF(AND($GS128=6,VLOOKUP($G128,Efgr,Data!$BI$53)=2),8,0)</f>
        <v>0</v>
      </c>
      <c r="GU128" s="6" t="e">
        <f>VLOOKUP(SUM(GS128:GT128),Nlesafgr,3)</f>
        <v>#N/A</v>
      </c>
      <c r="GV128" s="7">
        <f>VLOOKUP($B128,Afgr,Data!$DN$3)</f>
        <v>0</v>
      </c>
      <c r="GW128" s="24">
        <f>IF(GV128&gt;1,0,VLOOKUP($E128,Afgr,Data!$DO$3)+IF(VLOOKUP($E128,Afgr,Data!$DO$3)=1,0,VLOOKUP($C128,Efgr,Data!$BJ$53)))</f>
        <v>0</v>
      </c>
      <c r="GX128" s="6" t="e">
        <f>VLOOKUP(SUM(GV128:GW128),Nlesforfrugt,3)</f>
        <v>#N/A</v>
      </c>
      <c r="GY128" s="1" t="e">
        <f>GH128*GG128+GL128*(GJ128+GK128)+GN128*GM128+GP128*GO128-GR128*GQ128+GU128+GX128</f>
        <v>#N/A</v>
      </c>
      <c r="GZ128" s="1">
        <f>Nlesafskaering</f>
        <v>59.6</v>
      </c>
      <c r="HA128" s="1">
        <f>Teknologi1</f>
        <v>2455</v>
      </c>
      <c r="HB128" s="6">
        <v>2001</v>
      </c>
      <c r="HC128" s="1">
        <f>Teknologi2</f>
        <v>1962.2</v>
      </c>
      <c r="HD128" s="1">
        <f>Tandel</f>
        <v>0.54659999999999997</v>
      </c>
      <c r="HE128" s="1" t="e">
        <f>IF(OR(GY128&gt;0,GY128=0),GZ128+HA128/(HB128-HC128),GZ128+HA128/(HB128-HC128)+HD128*GY128)</f>
        <v>#N/A</v>
      </c>
      <c r="HF128" s="1" t="e">
        <f>IF(GY128&gt;0,GY128,0.001)</f>
        <v>#N/A</v>
      </c>
      <c r="HG128" s="1">
        <v>1.5020000000000001E-3</v>
      </c>
      <c r="HH128" s="24">
        <f>IF(E128=1,0,VLOOKUP(Postnr,AfstromData,VLOOKUP($E128,Afgr,Data!$DL$3)+IF(Jordtype1&lt;7,Jordtype1,6),FALSE)-VLOOKUP(G128,Efgr,Data!$AA$53))</f>
        <v>0</v>
      </c>
      <c r="HI128" s="1">
        <v>5.5400000000000002E-4</v>
      </c>
      <c r="HJ128" s="24">
        <f>IF(E128=1,0,VLOOKUP(Postnr,AfstromData,VLOOKUP($B128,Afgr,Data!$DL$3)+IF(Jordtype1&lt;7,Jordtype1,6),FALSE)-VLOOKUP(C128,Efgr,Data!$AA$53))</f>
        <v>0</v>
      </c>
      <c r="HK128" s="1">
        <v>0.10639999999999999</v>
      </c>
      <c r="HL128" s="6">
        <f>VLOOKUP(Jordtype3,Jordtype,Data!$W$112)</f>
        <v>3</v>
      </c>
      <c r="HM128" s="1">
        <v>3.2500000000000001E-2</v>
      </c>
      <c r="HN128" s="6">
        <f>VLOOKUP(Jordtype3,Jordtype,Data!$X$112)</f>
        <v>12</v>
      </c>
      <c r="HO128" s="1">
        <v>1.2453000000000001</v>
      </c>
      <c r="HP128" s="1">
        <f>IF(VLOOKUP(G128,Efgr,Data!$AO$53)=1,MlafgrNUdvask,0)</f>
        <v>0</v>
      </c>
      <c r="HQ128" s="20">
        <f>IF(ISERROR((HE128+POWER(HF128,1.2))*(1-EXP(-HG128*HH128))*EXP(-HI128*HJ128)*EXP(-HK128*HL128)*EXP(-HM128*HN128)*HO128),0,(HE128+POWER(HF128,1.2))*(1-EXP(-HG128*HH128))*EXP(-HI128*HJ128)*EXP(-HK128*HL128)*EXP(-HM128*HN128)*HO128+HP128)</f>
        <v>0</v>
      </c>
      <c r="HR128">
        <f>HQ128*M128</f>
        <v>0</v>
      </c>
      <c r="HS128">
        <f>HQ128*(100-Retention3)*0.01</f>
        <v>0</v>
      </c>
      <c r="HT128">
        <f>HS128*M128</f>
        <v>0</v>
      </c>
      <c r="HU128" s="2">
        <f>HH128*10000</f>
        <v>0</v>
      </c>
      <c r="HV128" s="2">
        <f>HU128*M128</f>
        <v>0</v>
      </c>
      <c r="HW128">
        <f>IF(ISERROR(HQ128*1000*1000/HU128),0,HQ128*1000*1000/HU128)</f>
        <v>0</v>
      </c>
      <c r="HY128">
        <f>BP128+BT128+CG128+DG128</f>
        <v>0</v>
      </c>
      <c r="IB128">
        <f>VLOOKUP(E128,Afgr,Data!$AP$3)*UdsaedJust</f>
        <v>0</v>
      </c>
      <c r="IC128" s="3">
        <f>IF(Mark!EG128&lt;&gt;"",Mark!EG128,Regn!IB128)</f>
        <v>0</v>
      </c>
      <c r="ID128" s="3">
        <f>IC128*M128</f>
        <v>0</v>
      </c>
      <c r="IF128" s="3">
        <f>IF(HdgVaerdi=1,($V128-$AY128)*Npris,$V128*Npris)</f>
        <v>0</v>
      </c>
      <c r="IG128" s="3">
        <f>IF128*M128</f>
        <v>0</v>
      </c>
      <c r="II128">
        <f>VLOOKUP($E128,Afgr,Data!$BA$3)</f>
        <v>0</v>
      </c>
      <c r="IJ128">
        <f>VLOOKUP($E128,Afgr,Data!$BB$3)</f>
        <v>0</v>
      </c>
      <c r="IK128">
        <f>$DX128+$EJ128</f>
        <v>0</v>
      </c>
      <c r="IL128">
        <f>IF(HdgDyreart=2,$AV128*NPforholdSvin,$AV128*NPforholdKvaeg)</f>
        <v>0</v>
      </c>
      <c r="IM128">
        <f>II128+IF($IJ128+$IK128&gt;$IL128,($IJ128+$IK128-$IL128),0)</f>
        <v>0</v>
      </c>
      <c r="IN128" s="3">
        <f>IF(HdgVaerdi=1,($II128*Ppris+IF($IJ128+$IK128&gt;$IL128,($IJ128+$IK128-$IL128)*Ppris,0)),($II128+$IJ128+$IK128)*Ppris)</f>
        <v>0</v>
      </c>
      <c r="IO128" s="3">
        <f>IN128*M128</f>
        <v>0</v>
      </c>
      <c r="IQ128">
        <f>IF(AND(E128&gt;1,OR(Jordtype3=1,Jordtype3=3,Markvand3=2)),Kudvask,0)</f>
        <v>0</v>
      </c>
      <c r="IR128">
        <f>$EA128+$EM128</f>
        <v>0</v>
      </c>
      <c r="IS128">
        <f>IF(HdgDyreart=2,$AV128*NKforholdSvin,$AV128*NkforholdKvaeg)</f>
        <v>0</v>
      </c>
      <c r="IT128">
        <f>IF($IQ128+$IR128&gt;$IS128,($IQ128+$IR128-$IS128),0)</f>
        <v>0</v>
      </c>
      <c r="IU128" s="3">
        <f>IF(HdgVaerdi=1,IF($IQ128+$IR128&gt;$IS128,($IQ128+$IR128-$IS128)*Kpris,0),($IQ128+$IR128)*Kpris)</f>
        <v>0</v>
      </c>
      <c r="IV128" s="3">
        <f>IU128*M128</f>
        <v>0</v>
      </c>
      <c r="IX128">
        <f>IF128+IN128+IU128</f>
        <v>0</v>
      </c>
      <c r="IY128" s="3">
        <f>IF(Mark!EM128&lt;&gt;"",Mark!EM128,$IX128)</f>
        <v>0</v>
      </c>
      <c r="IZ128" s="3">
        <f>IY128*M128</f>
        <v>0</v>
      </c>
      <c r="JB128">
        <f>VLOOKUP(E128,Afgr,Data!$AQ$3)*PlantevJust</f>
        <v>0</v>
      </c>
      <c r="JC128" s="3">
        <f>IF(Mark!ES128&lt;&gt;"",Mark!ES128,JB128)</f>
        <v>0</v>
      </c>
      <c r="JD128" s="3">
        <f>JC128*M128</f>
        <v>0</v>
      </c>
      <c r="JF128">
        <f>VLOOKUP(E128,Afgr,Data!$AR$3)+BI128*VLOOKUP(E128,Afgr,Data!$BH$3)</f>
        <v>0</v>
      </c>
      <c r="JG128" s="3">
        <f>IF(Mark!EY128&lt;&gt;"",Mark!EY128,JF128)</f>
        <v>0</v>
      </c>
      <c r="JH128">
        <f>JG128*M128</f>
        <v>0</v>
      </c>
      <c r="JJ128">
        <f>IC128+IY128+JC128+JG128</f>
        <v>0</v>
      </c>
      <c r="JL128">
        <f>IF(VLOOKUP(E128,Afgr,Data!$BY$3)&gt;0,Data!$K$259*PlojJB3,0)</f>
        <v>0</v>
      </c>
      <c r="JM128">
        <f>IF(VLOOKUP(E128,Afgr,Data!$BZ$3)&gt;0,Data!$K$260*PlojJB3,0)</f>
        <v>0</v>
      </c>
      <c r="JN128">
        <f>(JL128+JM128)*MaskJust</f>
        <v>0</v>
      </c>
      <c r="JO128" s="3">
        <f>IF(Mark!FE128&lt;&gt;"",Mark!FE128,JN128)</f>
        <v>0</v>
      </c>
      <c r="JP128" s="3">
        <f>JO128*M128</f>
        <v>0</v>
      </c>
      <c r="JR128">
        <f>IF(VLOOKUP(E128,Afgr,Data!$CA$3)&gt;0,VLOOKUP(E128,Afgr,Data!$CA$3)*Data!$K$261*SaaJB3,0)</f>
        <v>0</v>
      </c>
      <c r="JS128">
        <f>IF(VLOOKUP(E128,Afgr,Data!$CC$3)&gt;0,Data!$K$262*SaaJB3,0)</f>
        <v>0</v>
      </c>
      <c r="JT128">
        <f>IF(VLOOKUP(E128,Afgr,Data!$CD$3)&gt;0,VLOOKUP(E128,Afgr,Data!$CD$3)*Data!$K$263*SaaJB3,0)</f>
        <v>0</v>
      </c>
      <c r="JU128">
        <f>IF(VLOOKUP(E128,Afgr,Data!$CE$3)&gt;0,Data!$K$264*SaaJB3,0)</f>
        <v>0</v>
      </c>
      <c r="JV128">
        <f>IF(VLOOKUP(E128,Afgr,Data!$CF$3)&gt;0,Data!$K$265*SaaJB3,0)</f>
        <v>0</v>
      </c>
      <c r="JW128">
        <f>IF(VLOOKUP(E128,Afgr,Data!$CV$3)&gt;0,Data!$K$266,0)</f>
        <v>0</v>
      </c>
      <c r="JX128">
        <f>IF(VLOOKUP(E128,Afgr,Data!$CG$3)&gt;0,Data!$K$267*SaaJB3,0)</f>
        <v>0</v>
      </c>
      <c r="JY128">
        <f>(JR128+JS128+JT128+JU128+JV128+JW128+JX128)*MaskJust</f>
        <v>0</v>
      </c>
      <c r="JZ128" s="3">
        <f>IF(Mark!FK128&lt;&gt;"",Mark!FK128,JY128)</f>
        <v>0</v>
      </c>
      <c r="KA128" s="3">
        <f>JZ128*M128</f>
        <v>0</v>
      </c>
      <c r="KC128">
        <f>IF(VLOOKUP(E128,Afgr,Data!$CJ$3)&gt;0,VLOOKUP(E128,Afgr,Data!$CJ$3)*Data!$K$268*SaaJB3,0)*MaskJust</f>
        <v>0</v>
      </c>
      <c r="KD128" s="3">
        <f>IF(Mark!FQ128&lt;&gt;"",Mark!FQ128,KC128)</f>
        <v>0</v>
      </c>
      <c r="KE128" s="3">
        <f>KD128*M128</f>
        <v>0</v>
      </c>
      <c r="KG128">
        <f>IF(VLOOKUP(E128,Afgr,Data!$CI$3)&gt;0,VLOOKUP(E128,Afgr,Data!$CI$3)*Data!$K$269,0)*MaskJust</f>
        <v>0</v>
      </c>
      <c r="KH128" s="3">
        <f>IF(Mark!FW128&lt;&gt;"",Mark!FW128,KG128)</f>
        <v>0</v>
      </c>
      <c r="KI128" s="3">
        <f>KH128*M128</f>
        <v>0</v>
      </c>
      <c r="KK128">
        <f>IF(Markvand3=2,VLOOKUP($E128,Afgr,Data!$CY$3),0)</f>
        <v>0</v>
      </c>
      <c r="KL128">
        <f>IF(Mark!GC128&lt;&gt;"",Mark!GC128,$KK128)</f>
        <v>0</v>
      </c>
      <c r="KM128">
        <f>IF(AND(E128&gt;1,Markvand3=2),Vandmaskin+$KL128*Flytning/mmprgang+$KL128*Prisprmm,0)</f>
        <v>0</v>
      </c>
      <c r="KN128" s="3">
        <f>IF(Mark!GI128&lt;&gt;"",Mark!GI128,$KM128)</f>
        <v>0</v>
      </c>
      <c r="KO128" s="3">
        <f>KN128*M128</f>
        <v>0</v>
      </c>
      <c r="KQ128">
        <f>IF(VLOOKUP($E128,Afgr,Data!$CK$3)&gt;0,((1+Regn!$BI128/VLOOKUP($E128,Afgr,Data!$CK$3))/2)*VLOOKUP($E128,Afgr,Data!$CL$3)*VLOOKUP($E128,Afgr,Data!$CN$3)+VLOOKUP($E128,Afgr,Data!$CM$3),0)</f>
        <v>0</v>
      </c>
      <c r="KR128">
        <f>IF(VLOOKUP($E128,Afgr,Data!$CK$3)&gt;0,IF(AND($F128=2,$BW128&gt;0),Data!$K$271,0),0)</f>
        <v>0</v>
      </c>
      <c r="KS128">
        <f>IF(VLOOKUP($E128,Afgr,Data!$CK$3)&gt;0,(Regn!$BI128/VLOOKUP($E128,Afgr,Data!$CK$3))*VLOOKUP($E128,Afgr,Data!$CO$3)*VLOOKUP($E128,Afgr,Data!$CN$3),0)</f>
        <v>0</v>
      </c>
      <c r="KT128">
        <f>(KQ128+KR128+KS128)*MaskJust</f>
        <v>0</v>
      </c>
      <c r="KU128" s="3">
        <f>IF(Mark!GO128&lt;&gt;"",Mark!GO128,KT128)</f>
        <v>0</v>
      </c>
      <c r="KV128" s="3">
        <f>KU128*M128</f>
        <v>0</v>
      </c>
      <c r="KW128" s="3"/>
      <c r="KX128">
        <f>IF(AND($F128=1,VLOOKUP($E128,Afgr,Data!$CP$3)&gt;0),((1+$BY128/VLOOKUP($E128,Afgr,Data!$CP$3))/2)*VLOOKUP($E128,Afgr,Data!$CQ$3),0)</f>
        <v>0</v>
      </c>
      <c r="KY128">
        <f>IF(AND($F128=1,VLOOKUP($E128,Afgr,Data!$CP$3)&gt;0),($BY128/VLOOKUP($E128,Afgr,Data!$CP$3))*VLOOKUP($E128,Afgr,Data!$CR$3),0)</f>
        <v>0</v>
      </c>
      <c r="KZ128">
        <f>(KX128+KY128)*MaskJust</f>
        <v>0</v>
      </c>
      <c r="LA128" s="3">
        <f>IF(Mark!GU128&lt;&gt;"",Mark!GU128,KZ128)</f>
        <v>0</v>
      </c>
      <c r="LB128" s="3">
        <f>LA128*M128</f>
        <v>0</v>
      </c>
      <c r="LD128">
        <f>$BI128*VLOOKUP($E128,Afgr,Data!$CS$3)*IF($I128=1,VLOOKUP($E128,Afgr,Data!$CT$3),IF($I128=2,VLOOKUP($E128,Afgr,Data!$CU$3),0))</f>
        <v>0</v>
      </c>
      <c r="LE128" s="3">
        <f>IF(Mark!HD128&lt;&gt;"",Mark!HD128,LD128)</f>
        <v>0</v>
      </c>
      <c r="LF128" s="3">
        <f>LE128*M128</f>
        <v>0</v>
      </c>
      <c r="LH128">
        <f>VLOOKUP($G128,Efgr,Data!$AC$53)*UdsaedJust</f>
        <v>0</v>
      </c>
      <c r="LI128" s="3">
        <f>IF(Mark!$HL128&lt;&gt;"",Mark!$HL128,LH128)</f>
        <v>0</v>
      </c>
      <c r="LJ128" s="3">
        <f>LI128*M128</f>
        <v>0</v>
      </c>
      <c r="LL128" s="3">
        <f>IF(HdgVaerdi=1,($CM128-$CX128)*Npris,$CM128*Npris)</f>
        <v>0</v>
      </c>
      <c r="LM128" s="3">
        <f>LL128*M128</f>
        <v>0</v>
      </c>
      <c r="LO128">
        <f>$ET128</f>
        <v>0</v>
      </c>
      <c r="LP128">
        <f>IF(HdgDyreart=2,$CU128*NPforholdSvin,$CU128*NPforholdKvaeg)</f>
        <v>0</v>
      </c>
      <c r="LQ128">
        <f>IF($LO128&gt;$LP128,($LO128-$LP128),0)</f>
        <v>0</v>
      </c>
      <c r="LR128" s="3">
        <f>IF(HdgVaerdi=1,IF($LO128&gt;$LP128,($LO128-$LP128)*Ppris,0),$LO128*Ppris)</f>
        <v>0</v>
      </c>
      <c r="LS128" s="3">
        <f>LR128*M128</f>
        <v>0</v>
      </c>
      <c r="LU128">
        <f>$EW128</f>
        <v>0</v>
      </c>
      <c r="LV128">
        <f>IF(HdgDyreart=2,$CU128*NKforholdSvin,$CU128*NkforholdKvaeg)</f>
        <v>0</v>
      </c>
      <c r="LW128">
        <f>IF($LU128&gt;$LV128,($LU128-$LV128),0)</f>
        <v>0</v>
      </c>
      <c r="LX128" s="3">
        <f>IF(HdgVaerdi=1,IF($LU128&gt;$LV128,($LU128-$LV128)*Ppris,0),$LU128*Ppris)</f>
        <v>0</v>
      </c>
      <c r="LY128" s="3">
        <f>LX128*M128</f>
        <v>0</v>
      </c>
      <c r="MA128">
        <f>LL128+LR128+LX128</f>
        <v>0</v>
      </c>
      <c r="MB128" s="3">
        <f>IF(Mark!HR128&lt;&gt;"",Mark!HR128,$MA128)</f>
        <v>0</v>
      </c>
      <c r="MC128" s="3">
        <f>MB128*M128</f>
        <v>0</v>
      </c>
      <c r="ME128">
        <f>VLOOKUP($G128,Efgr,Data!$AE$53)*PlantevJust</f>
        <v>0</v>
      </c>
      <c r="MF128" s="3">
        <f>IF(Mark!HX128&lt;&gt;"",Mark!HX128,ME128)</f>
        <v>0</v>
      </c>
      <c r="MG128" s="3">
        <f>MF128*M128</f>
        <v>0</v>
      </c>
      <c r="MI128">
        <f>VLOOKUP($G128,Efgr,Data!$AF$53)+$DD128*VLOOKUP($G128,Efgr,Data!$AL$53)</f>
        <v>0</v>
      </c>
      <c r="MJ128" s="3">
        <f>IF(Mark!ID128&lt;&gt;"",Mark!ID128,MI128)</f>
        <v>0</v>
      </c>
      <c r="MK128" s="3">
        <f>MJ128*M128</f>
        <v>0</v>
      </c>
      <c r="MM128">
        <f>LI128+MB128+MF128+MJ128</f>
        <v>0</v>
      </c>
      <c r="MO128">
        <f>VLOOKUP($G128,Efgr,Data!$AU$53)*SaaJB3*MaskJust</f>
        <v>0</v>
      </c>
      <c r="MP128" s="3">
        <f>IF(Mark!IJ128&lt;&gt;"",Mark!IJ128,MO128)</f>
        <v>0</v>
      </c>
      <c r="MQ128" s="3">
        <f>MP128*M128</f>
        <v>0</v>
      </c>
      <c r="MS128">
        <f>VLOOKUP($G128,Efgr,Data!$AW$53)*Data!$K$268*SaaJB3*MaskJust</f>
        <v>0</v>
      </c>
      <c r="MT128" s="3">
        <f>IF(Mark!IP128&lt;&gt;"",Mark!IP128,MS128)</f>
        <v>0</v>
      </c>
      <c r="MU128" s="3">
        <f>MT128*M128</f>
        <v>0</v>
      </c>
      <c r="MW128">
        <f>VLOOKUP($G128,Efgr,Data!$AV$53)*Data!$K$269*MaskJust</f>
        <v>0</v>
      </c>
      <c r="MX128" s="3">
        <f>IF(Mark!IV128&lt;&gt;"",Mark!IV128,MW128)</f>
        <v>0</v>
      </c>
      <c r="MY128" s="3">
        <f>MX128*M128</f>
        <v>0</v>
      </c>
      <c r="NA128">
        <f>IF(Markvand3=2,VLOOKUP($G128,Efgr,Data!$BC$53),0)</f>
        <v>0</v>
      </c>
      <c r="NB128">
        <f>IF(Mark!JB128&lt;&gt;"",Mark!JB128,$NA128)</f>
        <v>0</v>
      </c>
      <c r="NC128">
        <f>IF(Markvand3=2,$NB128*Flytning/mmprgang+$NB128*Prisprmm,0)</f>
        <v>0</v>
      </c>
      <c r="ND128" s="3">
        <f>IF(Mark!JH128&lt;&gt;"",Mark!JH128,$NC128)</f>
        <v>0</v>
      </c>
      <c r="NE128" s="3">
        <f>ND128*M128</f>
        <v>0</v>
      </c>
      <c r="NG128">
        <f>IF(VLOOKUP($G128,Efgr,Data!$AX$53)&gt;0,((1+Regn!DD128/VLOOKUP($G128,Efgr,Data!$AX$53))/2)*VLOOKUP($G128,Efgr,Data!$AY$53)*VLOOKUP($G128,Efgr,Data!$BA$53)+VLOOKUP($G128,Efgr,Data!$AZ$53),0)</f>
        <v>0</v>
      </c>
      <c r="NH128">
        <f>IF(VLOOKUP($G128,Efgr,Data!$AX$53)&gt;0,($DD128/VLOOKUP($G128,Efgr,Data!$AX$53))*VLOOKUP($G128,Efgr,Data!$BB$53)*VLOOKUP($G128,Efgr,Data!$BA$53),0)</f>
        <v>0</v>
      </c>
      <c r="NI128">
        <f>(NG128+NH128)*MaskJust</f>
        <v>0</v>
      </c>
      <c r="NJ128" s="3">
        <f>IF(Mark!JN128&lt;&gt;"",Mark!JN128,NI128)</f>
        <v>0</v>
      </c>
      <c r="NK128" s="3">
        <f>NJ128*M128</f>
        <v>0</v>
      </c>
      <c r="NM128">
        <f>IF($H128=2,Data!$K$304,IF($H128=3,Data!$K$305,0))*MaskJust</f>
        <v>0</v>
      </c>
      <c r="NN128" s="3">
        <f>IF(Mark!JT128&lt;&gt;"",Mark!JT128,NM128)</f>
        <v>0</v>
      </c>
      <c r="NO128" s="3">
        <f>NN128*M128</f>
        <v>0</v>
      </c>
      <c r="NQ128">
        <f>HY128</f>
        <v>0</v>
      </c>
      <c r="NR128">
        <f>JJ128+MM128</f>
        <v>0</v>
      </c>
      <c r="NS128">
        <f>NQ128-NR128</f>
        <v>0</v>
      </c>
      <c r="NT128">
        <f>NS128*M128</f>
        <v>0</v>
      </c>
      <c r="NW128">
        <f>VLOOKUP($B128,Afgr,Data!$BP$3)+VLOOKUP($C128,Efgr,Data!$AM$53)</f>
        <v>0</v>
      </c>
      <c r="NX128" s="3">
        <f>NW128*M128</f>
        <v>0</v>
      </c>
      <c r="NY128">
        <f>VLOOKUP($E128,Afgr,Data!$BP$3)+VLOOKUP($G128,Efgr,Data!$AM$53)</f>
        <v>0</v>
      </c>
      <c r="NZ128" s="3">
        <f>NY128*M128</f>
        <v>0</v>
      </c>
      <c r="OB128">
        <f>VLOOKUP($C128,Efgr,Data!$AN$53)</f>
        <v>0</v>
      </c>
      <c r="OC128">
        <f>VLOOKUP($B128,Afgr,Data!$BQ$3)</f>
        <v>0</v>
      </c>
      <c r="OD128">
        <f>VLOOKUP($E128,Afgr,Data!$BR$3)</f>
        <v>1</v>
      </c>
      <c r="OE128">
        <f>OB128*OC128*OD128</f>
        <v>0</v>
      </c>
      <c r="OF128" s="3">
        <f>OE128*M128</f>
        <v>0</v>
      </c>
      <c r="OG128" s="3">
        <f>IF(D128,1,0)*OF128</f>
        <v>0</v>
      </c>
      <c r="OI128">
        <f>VLOOKUP($G128,Efgr,Data!$AN$53)</f>
        <v>0</v>
      </c>
      <c r="OJ128">
        <f>VLOOKUP($E128,Afgr,Data!$BQ$3)</f>
        <v>0</v>
      </c>
      <c r="OK128">
        <f>VLOOKUP($K128,Afgr,Data!$BR$3)</f>
        <v>1</v>
      </c>
      <c r="OL128">
        <f>OI128*OJ128*OK128</f>
        <v>0</v>
      </c>
      <c r="OM128" s="3">
        <f>OL128*M128</f>
        <v>0</v>
      </c>
      <c r="OO128">
        <f>VLOOKUP($G128,Efgr,Data!$AO$53)</f>
        <v>0</v>
      </c>
      <c r="OP128">
        <f>VLOOKUP($B128,Afgr,Data!$BQ$3)</f>
        <v>0</v>
      </c>
      <c r="OQ128">
        <f>VLOOKUP($E128,Afgr,Data!$BS$3)</f>
        <v>0</v>
      </c>
      <c r="OR128" s="3">
        <f>OO128*OP128*OQ128*$M128</f>
        <v>0</v>
      </c>
      <c r="OT128">
        <f>VLOOKUP($G128,Efgr,Data!$AO$53)</f>
        <v>0</v>
      </c>
      <c r="OU128">
        <f>VLOOKUP($E128,Afgr,Data!$BQ$3)</f>
        <v>0</v>
      </c>
      <c r="OV128">
        <f>VLOOKUP($K128,Afgr,Data!$BS$3)</f>
        <v>0</v>
      </c>
      <c r="OW128" s="3">
        <f>OT128*OU128*OV128*$M128</f>
        <v>0</v>
      </c>
      <c r="OX128" s="3"/>
      <c r="OY128" s="3">
        <f>VLOOKUP($B128,Afgr,Data!$BU$3)</f>
        <v>0</v>
      </c>
      <c r="OZ128" s="3">
        <f>OY128*M128</f>
        <v>0</v>
      </c>
      <c r="PA128" s="3">
        <f>VLOOKUP($E128,Afgr,Data!$BU$3)</f>
        <v>0</v>
      </c>
      <c r="PB128" s="3">
        <f>PA128*M128</f>
        <v>0</v>
      </c>
      <c r="PD128">
        <f>VLOOKUP(E128,Afgr,Data!$BX$3)+VLOOKUP(G128,Efgr,Data!$AQ$53)</f>
        <v>0</v>
      </c>
      <c r="PE128">
        <f>IF(PD128&gt;0,M128,0)</f>
        <v>0</v>
      </c>
      <c r="PG128">
        <f>VLOOKUP($B128,Afgr,Data!$BT$3)</f>
        <v>0</v>
      </c>
      <c r="PH128" s="3">
        <f>PG128*M128</f>
        <v>0</v>
      </c>
      <c r="PI128">
        <f>VLOOKUP($E128,Afgr,Data!$BT$3)</f>
        <v>0</v>
      </c>
      <c r="PJ128" s="3">
        <f>PI128*M128</f>
        <v>0</v>
      </c>
      <c r="PL128">
        <f>VLOOKUP($E128,Afgr,Data!$BV$3)</f>
        <v>0</v>
      </c>
      <c r="PM128">
        <f>PL128*M128</f>
        <v>0</v>
      </c>
      <c r="PO128">
        <f>VLOOKUP($E128,Afgr,Data!$BW$3)</f>
        <v>0</v>
      </c>
      <c r="PP128">
        <f>PO128*M128</f>
        <v>0</v>
      </c>
      <c r="PR128">
        <f>BI128*IF(VLOOKUP($E128,Afgr,Data!$BJ$3)&gt;0,1,0)</f>
        <v>0</v>
      </c>
      <c r="PS128">
        <f>PR128*M128</f>
        <v>0</v>
      </c>
      <c r="PU128">
        <f>BI128*VLOOKUP(E128,Afgr,Data!$BK$3)</f>
        <v>0</v>
      </c>
      <c r="PV128">
        <f>M128*PU128</f>
        <v>0</v>
      </c>
      <c r="PW128">
        <f>$BI128*VLOOKUP($E128,Afgr,Data!$BL$3)+$DD128*VLOOKUP($G128,Efgr,Data!$AP$53)</f>
        <v>0</v>
      </c>
      <c r="PX128">
        <f>PW128*M128</f>
        <v>0</v>
      </c>
      <c r="PY128">
        <f>$BI128*VLOOKUP($E128,Afgr,Data!$BM$3)</f>
        <v>0</v>
      </c>
      <c r="PZ128">
        <f>PY128*M128</f>
        <v>0</v>
      </c>
      <c r="QA128">
        <f>$BI128*VLOOKUP($E128,Afgr,Data!$BN$3)</f>
        <v>0</v>
      </c>
      <c r="QB128">
        <f>QA128*M128</f>
        <v>0</v>
      </c>
      <c r="QE128">
        <f>IF(VLOOKUP($E128,Afgr,Data!$DA$3)="Vårbyg",$BJ128,0)*VLOOKUP($E128,Afgr,Data!$BJ$3)</f>
        <v>0</v>
      </c>
      <c r="QF128">
        <f>IF(VLOOKUP($E128,Afgr,Data!$DA$3)="Vinterbyg",$BJ128,0)*VLOOKUP($E128,Afgr,Data!$BJ$3)</f>
        <v>0</v>
      </c>
      <c r="QG128">
        <f>IF(VLOOKUP($E128,Afgr,Data!$DA$3)="Havre",$BJ128,0)*VLOOKUP($E128,Afgr,Data!$BJ$3)</f>
        <v>0</v>
      </c>
      <c r="QH128">
        <f>IF(VLOOKUP($E128,Afgr,Data!$DA$3)="Hvede",$BJ128,0)*VLOOKUP($E128,Afgr,Data!$BJ$3)</f>
        <v>0</v>
      </c>
      <c r="QI128">
        <f>IF(VLOOKUP($E128,Afgr,Data!$DA$3)="Triticale",$BJ128,0)*VLOOKUP($E128,Afgr,Data!$BJ$3)</f>
        <v>0</v>
      </c>
      <c r="QJ128">
        <f>IF(VLOOKUP($E128,Afgr,Data!$DA$3)="Rug",$BJ128,0)*VLOOKUP($E128,Afgr,Data!$BJ$3)</f>
        <v>0</v>
      </c>
      <c r="QK128">
        <f>IF(VLOOKUP($E128,Afgr,Data!$DA$3)="Majs",$BJ128,0)*VLOOKUP($E128,Afgr,Data!$BJ$3)</f>
        <v>0</v>
      </c>
      <c r="QN128">
        <f>IF(OI128+OO128&gt;0,1,0)</f>
        <v>0</v>
      </c>
      <c r="QO128">
        <f>QN128*LJ128</f>
        <v>0</v>
      </c>
      <c r="QP128">
        <f>QN128*MG128</f>
        <v>0</v>
      </c>
      <c r="QQ128">
        <f>MQ128</f>
        <v>0</v>
      </c>
      <c r="QR128">
        <f>QN128*NO128</f>
        <v>0</v>
      </c>
    </row>
    <row r="129" spans="1:460" x14ac:dyDescent="0.25">
      <c r="GG129" s="12"/>
    </row>
    <row r="130" spans="1:460" x14ac:dyDescent="0.25">
      <c r="A130">
        <v>8</v>
      </c>
      <c r="B130">
        <v>1</v>
      </c>
      <c r="C130">
        <v>1</v>
      </c>
      <c r="D130" t="b">
        <v>0</v>
      </c>
      <c r="E130">
        <v>1</v>
      </c>
      <c r="F130">
        <v>1</v>
      </c>
      <c r="G130">
        <v>1</v>
      </c>
      <c r="H130">
        <v>1</v>
      </c>
      <c r="I130">
        <v>1</v>
      </c>
      <c r="K130">
        <v>1</v>
      </c>
      <c r="M130">
        <f>IF(ISERROR(N130*Areal3/$N$132),0,N130*Areal3/$N$132)</f>
        <v>0</v>
      </c>
      <c r="N130">
        <f>Mark!Z130</f>
        <v>0</v>
      </c>
      <c r="P130">
        <f>VLOOKUP($E130,Afgr,NnormKolonneNr3)</f>
        <v>0</v>
      </c>
      <c r="Q130">
        <f>VLOOKUP($B130,Afgr,Data!$AI$3)*VLOOKUP(E130,Afgr,Data!$AJ$3)</f>
        <v>0</v>
      </c>
      <c r="R130">
        <f>IF($D130,0,VLOOKUP($C130,Efgr,(Data!$W$53+$G$28-1)))</f>
        <v>0</v>
      </c>
      <c r="S130">
        <f>P130-Q130-R130</f>
        <v>0</v>
      </c>
      <c r="T130">
        <f>S130*M130</f>
        <v>0</v>
      </c>
      <c r="U130">
        <f>IF(Nmodel34=1,S130*Nniveau34*0.01,AO130)</f>
        <v>0</v>
      </c>
      <c r="V130" s="3">
        <f>IF(Mark!CI130&lt;&gt;"",Mark!CI130,U130)</f>
        <v>0</v>
      </c>
      <c r="W130" s="3">
        <f>V130*M130</f>
        <v>0</v>
      </c>
      <c r="Y130">
        <f>S130/NoptFaktor</f>
        <v>0</v>
      </c>
      <c r="Z130" s="3">
        <f>IF(Mark!BZ130&lt;&gt;"",Mark!BZ130,Y130)</f>
        <v>0</v>
      </c>
      <c r="AB130">
        <f>VLOOKUP($E130,Afgr,Data!$DE$3)</f>
        <v>0</v>
      </c>
      <c r="AC130">
        <f>VLOOKUP($E130,Afgr,Data!$DD$3)</f>
        <v>0</v>
      </c>
      <c r="AD130">
        <f>VLOOKUP($E130,Afgr,Data!$DC$3)</f>
        <v>0</v>
      </c>
      <c r="AE130">
        <f>IF(ISERROR($Z130+(-PrisN/$AD130-$AB130)/(2*$AC130)),0,($Z130+(-PrisN/$AD130-$AB130)/(2*$AC130)))</f>
        <v>0</v>
      </c>
      <c r="AF130">
        <f>($BD130+$BE130+$BF130)*1.03333</f>
        <v>0</v>
      </c>
      <c r="AG130">
        <f>$AF130-($AB130*($AE130-$Z130)+$AC130*($AE130-$Z130)^2)</f>
        <v>0</v>
      </c>
      <c r="AH130">
        <f>IF(Nmodel12=1,$AB130*($AE130-$S130)+$AC130*($AE130-$S130)^2,$AB130*($AE130-$AO130)+$AC130*($AE130-$AO130)^2)</f>
        <v>0</v>
      </c>
      <c r="AI130">
        <f>IF(Nmodel34=1,$AB130*($AE130-$V130)+$AC130*($AE130-$V130)^2,$AB130*($AE130-AO130)+$AC130*($AE130-AO130)^2)</f>
        <v>0</v>
      </c>
      <c r="AJ130">
        <f>AG130+AH130-BG130</f>
        <v>0</v>
      </c>
      <c r="AK130">
        <f>AG130+AI130-AJ130</f>
        <v>0</v>
      </c>
      <c r="AM130">
        <f>VLOOKUP(E130,Afgr,Data!$DF$3+SandLer3)</f>
        <v>0</v>
      </c>
      <c r="AN130">
        <f>IF(ISERROR(((-(PrisN+Pantafgift)+AM130*Pantfaktor*Pantafgift)/AD130-AB130)/(2*AC130)),0,((-(PrisN+Pantafgift)+AM130*Pantfaktor*Pantafgift)/AD130-AB130)/(2*AC130))</f>
        <v>0</v>
      </c>
      <c r="AO130">
        <f>AE130-AN130</f>
        <v>0</v>
      </c>
      <c r="AQ130">
        <f>IF(AT130&gt;0,0,W130)</f>
        <v>0</v>
      </c>
      <c r="AR130">
        <f>IF(ISERROR(W130*HdgNTilFordeling34/NnormIaltFordel34),0,W130*HdgNTilFordeling34/NnormIaltFordel34)</f>
        <v>0</v>
      </c>
      <c r="AS130">
        <f>IF(ISERROR($AR130/$M130),0,$AR130/$M130)</f>
        <v>0</v>
      </c>
      <c r="AT130">
        <f>IF(Mark!CO130&lt;&gt;"",Mark!CO130,0)</f>
        <v>0</v>
      </c>
      <c r="AU130">
        <f>$AT130*$M130</f>
        <v>0</v>
      </c>
      <c r="AV130" s="3">
        <f>IF(AT130&gt;0,AT130,AS130)</f>
        <v>0</v>
      </c>
      <c r="AW130" s="3">
        <f>AV130*M130</f>
        <v>0</v>
      </c>
      <c r="AY130">
        <f>UdnKrav*$AV130/100</f>
        <v>0</v>
      </c>
      <c r="BA130">
        <f>AV130*VLOOKUP($E130,Afgr,Data!$DJ$3)</f>
        <v>0</v>
      </c>
      <c r="BB130">
        <f>UdnKrav*$BA130/100</f>
        <v>0</v>
      </c>
      <c r="BD130">
        <f>VLOOKUP(E130,Afgr,NormudbKolonneNr3)</f>
        <v>0</v>
      </c>
      <c r="BE130">
        <f>VLOOKUP(B130,Afgr,Data!$AL$3)*VLOOKUP(E130,Afgr,MerudbKolonneNr3)</f>
        <v>0</v>
      </c>
      <c r="BF130">
        <f>VLOOKUP(C130,Efgr,(Data!$Y$53+EftervirkningUdb3))</f>
        <v>0</v>
      </c>
      <c r="BG130">
        <f>BD130+BE130+BF130</f>
        <v>0</v>
      </c>
      <c r="BH130">
        <f>IF(OR(V130&lt;&gt;S130,Nmodel34=2),AK130,BD130+BE130+BF130)</f>
        <v>0</v>
      </c>
      <c r="BI130" s="3">
        <f>IF(Mark!AK130&lt;&gt;"",Mark!AK130,BH130)</f>
        <v>0</v>
      </c>
      <c r="BJ130">
        <f>BI130*M130</f>
        <v>0</v>
      </c>
      <c r="BK130">
        <f>VLOOKUP(E130,Afgr,3)</f>
        <v>0</v>
      </c>
      <c r="BL130">
        <f>IF(BK130="FE",VLOOKUP($E130,Afgr,Data!$AV$3),0)</f>
        <v>0</v>
      </c>
      <c r="BN130">
        <f>VLOOKUP(E130,Afgr,4)</f>
        <v>0</v>
      </c>
      <c r="BO130" s="3">
        <f>IF(Mark!AW130&lt;&gt;"",Mark!AW130,Regn!BN130)</f>
        <v>0</v>
      </c>
      <c r="BP130" s="3">
        <f>BI130*BO130</f>
        <v>0</v>
      </c>
      <c r="BQ130" s="3">
        <f>BJ130*BO130</f>
        <v>0</v>
      </c>
      <c r="BS130">
        <f>VLOOKUP(E130,Afgr,Data!$AN$3)</f>
        <v>0</v>
      </c>
      <c r="BT130" s="3">
        <f>IF(Mark!BC130&lt;&gt;"",Mark!BC130,BS130)</f>
        <v>0</v>
      </c>
      <c r="BU130" s="3">
        <f>BT130*M130</f>
        <v>0</v>
      </c>
      <c r="BW130">
        <f>VLOOKUP(E130,Afgr,HalmudbKolonneNr3)</f>
        <v>0</v>
      </c>
      <c r="BX130">
        <f>IF(ISERROR(BW130*BI130/BG130),0,(BW130*BI130/BG130))</f>
        <v>0</v>
      </c>
      <c r="BY130" s="3">
        <f>IF(Mark!BI130&lt;&gt;"",Mark!BI130,BX130)</f>
        <v>0</v>
      </c>
      <c r="BZ130">
        <f>BY130*M130</f>
        <v>0</v>
      </c>
      <c r="CC130">
        <f>IF($F130=1,BY130,0)</f>
        <v>0</v>
      </c>
      <c r="CD130">
        <f>IF(F130=1,BZ130,0)</f>
        <v>0</v>
      </c>
      <c r="CE130">
        <f>VLOOKUP(E130,Afgr,Data!$AM$3)</f>
        <v>0</v>
      </c>
      <c r="CF130">
        <f>IF(Mark!BR130&lt;&gt;"",Mark!BR130,CE130)</f>
        <v>0</v>
      </c>
      <c r="CG130">
        <f>CC130*CF130</f>
        <v>0</v>
      </c>
      <c r="CH130">
        <f>CD130*CF130</f>
        <v>0</v>
      </c>
      <c r="CJ130">
        <f>VLOOKUP($G130,Efgr,NnormKolonneEfgr3)</f>
        <v>0</v>
      </c>
      <c r="CK130">
        <f>CJ130*M130</f>
        <v>0</v>
      </c>
      <c r="CL130">
        <f>CJ130*Nniveau34*0.01</f>
        <v>0</v>
      </c>
      <c r="CM130" s="3">
        <f>IF(Mark!DM130&lt;&gt;"",Mark!DM130,CL130)</f>
        <v>0</v>
      </c>
      <c r="CN130" s="3">
        <f>$CM130*$M130</f>
        <v>0</v>
      </c>
      <c r="CP130">
        <f>IF(CS130&gt;0,0,CN130)</f>
        <v>0</v>
      </c>
      <c r="CQ130" s="12">
        <f>IF(ISERROR(CN130*HdgNTilFordeling34/NnormIaltFordel34),0,CN130*HdgNTilFordeling34/NnormIaltFordel34)</f>
        <v>0</v>
      </c>
      <c r="CR130">
        <f>IF(ISERROR($CQ130/$M130),0,$CQ130/$M130)</f>
        <v>0</v>
      </c>
      <c r="CS130">
        <f>IF(Mark!DS130&lt;&gt;"",Mark!DS130,0)</f>
        <v>0</v>
      </c>
      <c r="CT130">
        <f>$CS130*$M130</f>
        <v>0</v>
      </c>
      <c r="CU130" s="3">
        <f>IF($CS130&gt;0,$CS130,$CR130)</f>
        <v>0</v>
      </c>
      <c r="CV130" s="3">
        <f>CU130*M130</f>
        <v>0</v>
      </c>
      <c r="CX130">
        <f>UdnKrav*$CU130/100</f>
        <v>0</v>
      </c>
      <c r="CZ130">
        <f>$CU130*VLOOKUP($G130,Efgr,Data!$BG$53)</f>
        <v>0</v>
      </c>
      <c r="DA130">
        <f>UdnKrav*$CZ130/100</f>
        <v>0</v>
      </c>
      <c r="DC130">
        <f>VLOOKUP(G130,Efgr,NormudbKolonneNrEfgr3)</f>
        <v>0</v>
      </c>
      <c r="DD130" s="3">
        <f>IF(Mark!DC130&lt;&gt;"",Mark!DC130,DC130)</f>
        <v>0</v>
      </c>
      <c r="DE130">
        <f>DD130*M130</f>
        <v>0</v>
      </c>
      <c r="DF130" t="s">
        <v>37</v>
      </c>
      <c r="DG130">
        <f>DD130*Efterslaetpris</f>
        <v>0</v>
      </c>
      <c r="DH130">
        <f>DE130*Efterslaetpris</f>
        <v>0</v>
      </c>
      <c r="DI130">
        <f>VLOOKUP(G130,Efgr,Data!$AG$53)</f>
        <v>0</v>
      </c>
      <c r="DJ130">
        <f>DD130*DI130</f>
        <v>0</v>
      </c>
      <c r="DL130">
        <f>VLOOKUP($E130,Afgr,Data!$AW$3)</f>
        <v>0</v>
      </c>
      <c r="DM130">
        <f>IF(BK130="FE",$BI130*$BL130*$DL130*0.01,$BI130*100*$DR130*0.01*$DL130*0.01)</f>
        <v>0</v>
      </c>
      <c r="DN130">
        <f>IF(VLOOKUP(E130,Afgr,Data!$BO$3)=1,DM130,0)*M130</f>
        <v>0</v>
      </c>
      <c r="DO130" s="12">
        <f>IF(Nmodel34=1,(V130-S130)*VLOOKUP($E130,Afgr,Data!$AX$3),(AO130-S130)*VLOOKUP(E130,Afgr,Data!$AX$3))</f>
        <v>0</v>
      </c>
      <c r="DP130">
        <f>DL130+DO130</f>
        <v>0</v>
      </c>
      <c r="DQ130">
        <f>IF(Mark!AQ130&lt;&gt;"",Mark!AQ130,DP130)</f>
        <v>0</v>
      </c>
      <c r="DR130">
        <f>VLOOKUP(E130,Afgr,Data!$AT$3)</f>
        <v>0</v>
      </c>
      <c r="DS130">
        <f>IF($BK130="FE",$BI130*$BL130*$DQ130*0.01,$BI130*100*$DR130*0.01*DQ130*0.01)</f>
        <v>0</v>
      </c>
      <c r="DT130">
        <f>IF(VLOOKUP(E130,Afgr,Data!$BO$3)=1,DS130,0)*M130</f>
        <v>0</v>
      </c>
      <c r="DU130">
        <f>IF(ISERROR(DS130/VLOOKUP(E130,Afgr,Data!$AY$3)),0,DS130/VLOOKUP(E130,Afgr,Data!$AY$3))</f>
        <v>0</v>
      </c>
      <c r="DV130">
        <f>DU130*M130</f>
        <v>0</v>
      </c>
      <c r="DX130">
        <f>IF($BK130="FE",$BI130*$BL130*VLOOKUP($E130,Afgr,Data!$BC$3)*0.001,$BI130*100*$DR130*0.01*VLOOKUP($E130,Afgr,Data!$BC$3)*0.001)</f>
        <v>0</v>
      </c>
      <c r="DY130">
        <f>DX130*M130</f>
        <v>0</v>
      </c>
      <c r="EA130">
        <f>IF($BK130="FE",$BI130*$BL130*VLOOKUP($E130,Afgr,Data!$BF$3)*0.001,$BI130*100*$DR130*0.01*VLOOKUP($E130,Afgr,Data!$BF$3)*0.001)</f>
        <v>0</v>
      </c>
      <c r="EB130">
        <f>EA130*M130</f>
        <v>0</v>
      </c>
      <c r="ED130">
        <f>IF(ISERROR(VLOOKUP(E130,Afgr,Data!$AZ$3)*DQ130/DL130),0,VLOOKUP(E130,Afgr,Data!$AZ$3)*DQ130/DL130)</f>
        <v>0</v>
      </c>
      <c r="EE130">
        <f>VLOOKUP(E130,Afgr,Data!$AU$3)</f>
        <v>0</v>
      </c>
      <c r="EF130">
        <f>IF($F130=1,$BY130*$EE130*0.01*ED130*0.01,0)</f>
        <v>0</v>
      </c>
      <c r="EG130">
        <f>EF130/6.25</f>
        <v>0</v>
      </c>
      <c r="EH130">
        <f>EG130*M130</f>
        <v>0</v>
      </c>
      <c r="EJ130">
        <f>IF($F130=1,$BY130*$EE130*0.01*VLOOKUP($E130,Afgr,Data!$BD$3)*0.001,0)</f>
        <v>0</v>
      </c>
      <c r="EK130">
        <f>EJ130*M130</f>
        <v>0</v>
      </c>
      <c r="EM130">
        <f>IF($F130=1,$BY130*$EE130*0.01*VLOOKUP($E130,Afgr,Data!$BG$3)*0.001,0)</f>
        <v>0</v>
      </c>
      <c r="EN130">
        <f>EM130*M130</f>
        <v>0</v>
      </c>
      <c r="EP130">
        <f>VLOOKUP(G130,Efgr,Data!$AI$53)</f>
        <v>0</v>
      </c>
      <c r="EQ130">
        <f>DJ130*EP130*0.01/6.25</f>
        <v>0</v>
      </c>
      <c r="ER130">
        <f>EQ130*M130</f>
        <v>0</v>
      </c>
      <c r="ET130">
        <f>$DJ130*VLOOKUP($G130,Efgr,Data!$AJ$53)*0.001</f>
        <v>0</v>
      </c>
      <c r="EU130">
        <f>ET130*M130</f>
        <v>0</v>
      </c>
      <c r="EW130">
        <f>$DJ130*VLOOKUP($G130,Efgr,Data!$AK$53)*0.001</f>
        <v>0</v>
      </c>
      <c r="EX130">
        <f>EW130*M130</f>
        <v>0</v>
      </c>
      <c r="EZ130">
        <f>IF(VLOOKUP(E130,Afgr,Data!$DS$3)=1,DU130*VLOOKUP(E130,Afgr,(Data!$DT$3+EftervirkningUdb3))*VLOOKUP(E130,Afgr,Data!$DV$3),0)</f>
        <v>0</v>
      </c>
      <c r="FA130">
        <f>IF(VLOOKUP(E130,Afgr,Data!$DS$3)=2,VLOOKUP(E130,Afgr,Data!$DX$3),0)</f>
        <v>0</v>
      </c>
      <c r="FB130">
        <f>IF(VLOOKUP(E130,Afgr,Data!$DS$3)=3,$DU130*VLOOKUP($E130,Afgr,IF(Jordtype3&lt;5,Data!$DT$3,Data!$DU$3))*VLOOKUP($E130,Afgr,Data!$DV$3),0)</f>
        <v>0</v>
      </c>
      <c r="FC130">
        <f>IF(VLOOKUP(E130,Afgr,Data!$DS$3)=4,(1.232+0.00469*BI130*100+(0.000256*BI130*100+0.089)*60),0)</f>
        <v>0</v>
      </c>
      <c r="FD130">
        <f>$V130+IF($AY130-$BB130&gt;$V130,$AY130-$V130,0)-$BB130</f>
        <v>0</v>
      </c>
      <c r="FE130">
        <f>IF(VLOOKUP($E130,Afgr,Data!$DS$3)=5,($BI130*0.02742-$BI130*0.0001*$FD130+$BI130*0.0000001111*$FD130*$FD130),0)</f>
        <v>0</v>
      </c>
      <c r="FF130">
        <f>$CM130+IF($CX130-$DA130&gt;$CM130,$CX130-$CM130,0)-$DA130</f>
        <v>0</v>
      </c>
      <c r="FG130">
        <f>IF(VLOOKUP($G130,Efgr,Data!$BH$53)=5,($DD130*0.02742-$DD130*0.0001*$FF130+$DD130*0.0000001111*$FF130*$FF130),0)</f>
        <v>0</v>
      </c>
      <c r="FH130" s="3">
        <f>EZ130+FA130+FB130+FC130+FE130+FG130</f>
        <v>0</v>
      </c>
      <c r="FI130" s="3">
        <f>FH130*M130</f>
        <v>0</v>
      </c>
      <c r="FK130">
        <f>$V130+$CM130</f>
        <v>0</v>
      </c>
      <c r="FL130">
        <f>($AV130-$AY130)+IF($AY130&gt;$V130,$AY130-$V130,0)+($CU130-$CX130)+IF($CX130&gt;$CM130,$CX130-$CM130,0)</f>
        <v>0</v>
      </c>
      <c r="FM130">
        <f>VLOOKUP($E130,Afgr,Data!$DK$3)*VLOOKUP($E130,Afgr,Data!$AT$3)*0.01*VLOOKUP($E130,Afgr,Data!$AW$3)*0.01/6.25</f>
        <v>0</v>
      </c>
      <c r="FN130" s="4">
        <f>IF(E130&gt;1,Deposition,0)</f>
        <v>0</v>
      </c>
      <c r="FO130">
        <f>FH130</f>
        <v>0</v>
      </c>
      <c r="FP130">
        <f>SUM(FK130:FO130)</f>
        <v>0</v>
      </c>
      <c r="FQ130">
        <f>DU130+EG130+EQ130</f>
        <v>0</v>
      </c>
      <c r="FR130" s="3">
        <f>FP130-FQ130</f>
        <v>0</v>
      </c>
      <c r="FS130" s="19">
        <f>FP130*M130</f>
        <v>0</v>
      </c>
      <c r="FT130" s="19">
        <f>FQ130*M130</f>
        <v>0</v>
      </c>
      <c r="FU130" s="3">
        <f>FR130*M130</f>
        <v>0</v>
      </c>
      <c r="FW130">
        <f>IL130+IM130+LP130+LQ130</f>
        <v>0</v>
      </c>
      <c r="FX130">
        <f>IK130+LO130</f>
        <v>0</v>
      </c>
      <c r="FY130">
        <f>FW130-FX130</f>
        <v>0</v>
      </c>
      <c r="FZ130">
        <f>FY130*M130</f>
        <v>0</v>
      </c>
      <c r="GB130">
        <f>IS130+IT130+LV130+LW130</f>
        <v>0</v>
      </c>
      <c r="GC130">
        <f>IR130+LU130</f>
        <v>0</v>
      </c>
      <c r="GD130">
        <f>GB130-GC130</f>
        <v>0</v>
      </c>
      <c r="GE130">
        <f>GD130*M130</f>
        <v>0</v>
      </c>
      <c r="GG130" s="149">
        <f>IF(OR(VLOOKUP(E130,Afgr,Data!$BV$3)=1,VLOOKUP(E130,Afgr,Data!$BW$3)=1),0,NniveauDelsaedsk3)</f>
        <v>0</v>
      </c>
      <c r="GH130" s="1">
        <v>0.32550000000000001</v>
      </c>
      <c r="GI130" s="6">
        <v>0</v>
      </c>
      <c r="GJ130" s="24">
        <f>IF(($V130-BB130+$CM130-DA130)&lt;0,0,$V130-BB130+$CM130-DA130)</f>
        <v>0</v>
      </c>
      <c r="GK130" s="6">
        <f>$FO130</f>
        <v>0</v>
      </c>
      <c r="GL130" s="1">
        <v>0.25280000000000002</v>
      </c>
      <c r="GM130">
        <f>$BA130+$CZ130</f>
        <v>0</v>
      </c>
      <c r="GN130" s="1">
        <v>0.376</v>
      </c>
      <c r="GO130" s="6">
        <v>0</v>
      </c>
      <c r="GP130" s="1">
        <f>IF(SandLer3&gt;1,0.3539,1.0749)</f>
        <v>0.35389999999999999</v>
      </c>
      <c r="GQ130" s="11">
        <f>$FQ130</f>
        <v>0</v>
      </c>
      <c r="GR130" s="1">
        <v>0.19359999999999999</v>
      </c>
      <c r="GS130" s="1">
        <f>VLOOKUP($E130,Afgr,Data!$DM$3)</f>
        <v>0</v>
      </c>
      <c r="GT130" s="24">
        <f>IF($GS130&gt;1,0,(VLOOKUP($K130,Afgr,Data!$DP$3)+IF(VLOOKUP($K130,Afgr,Data!$DP$3)=0,VLOOKUP($G130,Efgr,Data!$BI$53,0))))+IF(AND($GS130=7,VLOOKUP($K130,Afgr,Data!$DQ$3)=-2),-2,0)+IF(AND($GS130=6,VLOOKUP($G130,Efgr,Data!$BI$53)=2),8,0)</f>
        <v>0</v>
      </c>
      <c r="GU130" s="6" t="e">
        <f>VLOOKUP(SUM(GS130:GT130),Nlesafgr,3)</f>
        <v>#N/A</v>
      </c>
      <c r="GV130" s="7">
        <f>VLOOKUP($B130,Afgr,Data!$DN$3)</f>
        <v>0</v>
      </c>
      <c r="GW130" s="24">
        <f>IF(GV130&gt;1,0,VLOOKUP($E130,Afgr,Data!$DO$3)+IF(VLOOKUP($E130,Afgr,Data!$DO$3)=1,0,VLOOKUP($C130,Efgr,Data!$BJ$53)))</f>
        <v>0</v>
      </c>
      <c r="GX130" s="6" t="e">
        <f>VLOOKUP(SUM(GV130:GW130),Nlesforfrugt,3)</f>
        <v>#N/A</v>
      </c>
      <c r="GY130" s="1" t="e">
        <f>GH130*GG130+GL130*(GJ130+GK130)+GN130*GM130+GP130*GO130-GR130*GQ130+GU130+GX130</f>
        <v>#N/A</v>
      </c>
      <c r="GZ130" s="1">
        <f>Nlesafskaering</f>
        <v>59.6</v>
      </c>
      <c r="HA130" s="1">
        <f>Teknologi1</f>
        <v>2455</v>
      </c>
      <c r="HB130" s="6">
        <v>2001</v>
      </c>
      <c r="HC130" s="1">
        <f>Teknologi2</f>
        <v>1962.2</v>
      </c>
      <c r="HD130" s="1">
        <f>Tandel</f>
        <v>0.54659999999999997</v>
      </c>
      <c r="HE130" s="1" t="e">
        <f>IF(OR(GY130&gt;0,GY130=0),GZ130+HA130/(HB130-HC130),GZ130+HA130/(HB130-HC130)+HD130*GY130)</f>
        <v>#N/A</v>
      </c>
      <c r="HF130" s="1" t="e">
        <f>IF(GY130&gt;0,GY130,0.001)</f>
        <v>#N/A</v>
      </c>
      <c r="HG130" s="1">
        <v>1.5020000000000001E-3</v>
      </c>
      <c r="HH130" s="24">
        <f>IF(E130=1,0,VLOOKUP(Postnr,AfstromData,VLOOKUP($E130,Afgr,Data!$DL$3)+IF(Jordtype1&lt;7,Jordtype1,6),FALSE)-VLOOKUP(G130,Efgr,Data!$AA$53))</f>
        <v>0</v>
      </c>
      <c r="HI130" s="1">
        <v>5.5400000000000002E-4</v>
      </c>
      <c r="HJ130" s="24">
        <f>IF(E130=1,0,VLOOKUP(Postnr,AfstromData,VLOOKUP($B130,Afgr,Data!$DL$3)+IF(Jordtype1&lt;7,Jordtype1,6),FALSE)-VLOOKUP(C130,Efgr,Data!$AA$53))</f>
        <v>0</v>
      </c>
      <c r="HK130" s="1">
        <v>0.10639999999999999</v>
      </c>
      <c r="HL130" s="6">
        <f>VLOOKUP(Jordtype3,Jordtype,Data!$W$112)</f>
        <v>3</v>
      </c>
      <c r="HM130" s="1">
        <v>3.2500000000000001E-2</v>
      </c>
      <c r="HN130" s="6">
        <f>VLOOKUP(Jordtype3,Jordtype,Data!$X$112)</f>
        <v>12</v>
      </c>
      <c r="HO130" s="1">
        <v>1.2453000000000001</v>
      </c>
      <c r="HP130" s="1">
        <f>IF(VLOOKUP(G130,Efgr,Data!$AO$53)=1,MlafgrNUdvask,0)</f>
        <v>0</v>
      </c>
      <c r="HQ130" s="20">
        <f>IF(ISERROR((HE130+POWER(HF130,1.2))*(1-EXP(-HG130*HH130))*EXP(-HI130*HJ130)*EXP(-HK130*HL130)*EXP(-HM130*HN130)*HO130),0,(HE130+POWER(HF130,1.2))*(1-EXP(-HG130*HH130))*EXP(-HI130*HJ130)*EXP(-HK130*HL130)*EXP(-HM130*HN130)*HO130+HP130)</f>
        <v>0</v>
      </c>
      <c r="HR130">
        <f>HQ130*M130</f>
        <v>0</v>
      </c>
      <c r="HS130">
        <f>HQ130*(100-Retention3)*0.01</f>
        <v>0</v>
      </c>
      <c r="HT130">
        <f>HS130*M130</f>
        <v>0</v>
      </c>
      <c r="HU130" s="2">
        <f>HH130*10000</f>
        <v>0</v>
      </c>
      <c r="HV130" s="2">
        <f>HU130*M130</f>
        <v>0</v>
      </c>
      <c r="HW130">
        <f>IF(ISERROR(HQ130*1000*1000/HU130),0,HQ130*1000*1000/HU130)</f>
        <v>0</v>
      </c>
      <c r="HY130">
        <f>BP130+BT130+CG130+DG130</f>
        <v>0</v>
      </c>
      <c r="IB130">
        <f>VLOOKUP(E130,Afgr,Data!$AP$3)*UdsaedJust</f>
        <v>0</v>
      </c>
      <c r="IC130" s="3">
        <f>IF(Mark!EG130&lt;&gt;"",Mark!EG130,Regn!IB130)</f>
        <v>0</v>
      </c>
      <c r="ID130" s="3">
        <f>IC130*M130</f>
        <v>0</v>
      </c>
      <c r="IF130" s="3">
        <f>IF(HdgVaerdi=1,($V130-$AY130)*Npris,$V130*Npris)</f>
        <v>0</v>
      </c>
      <c r="IG130" s="3">
        <f>IF130*M130</f>
        <v>0</v>
      </c>
      <c r="II130">
        <f>VLOOKUP($E130,Afgr,Data!$BA$3)</f>
        <v>0</v>
      </c>
      <c r="IJ130">
        <f>VLOOKUP($E130,Afgr,Data!$BB$3)</f>
        <v>0</v>
      </c>
      <c r="IK130">
        <f>$DX130+$EJ130</f>
        <v>0</v>
      </c>
      <c r="IL130">
        <f>IF(HdgDyreart=2,$AV130*NPforholdSvin,$AV130*NPforholdKvaeg)</f>
        <v>0</v>
      </c>
      <c r="IM130">
        <f>II130+IF($IJ130+$IK130&gt;$IL130,($IJ130+$IK130-$IL130),0)</f>
        <v>0</v>
      </c>
      <c r="IN130" s="3">
        <f>IF(HdgVaerdi=1,($II130*Ppris+IF($IJ130+$IK130&gt;$IL130,($IJ130+$IK130-$IL130)*Ppris,0)),($II130+$IJ130+$IK130)*Ppris)</f>
        <v>0</v>
      </c>
      <c r="IO130" s="3">
        <f>IN130*M130</f>
        <v>0</v>
      </c>
      <c r="IQ130">
        <f>IF(AND(E130&gt;1,OR(Jordtype3=1,Jordtype3=3,Markvand3=2)),Kudvask,0)</f>
        <v>0</v>
      </c>
      <c r="IR130">
        <f>$EA130+$EM130</f>
        <v>0</v>
      </c>
      <c r="IS130">
        <f>IF(HdgDyreart=2,$AV130*NKforholdSvin,$AV130*NkforholdKvaeg)</f>
        <v>0</v>
      </c>
      <c r="IT130">
        <f>IF($IQ130+$IR130&gt;$IS130,($IQ130+$IR130-$IS130),0)</f>
        <v>0</v>
      </c>
      <c r="IU130" s="3">
        <f>IF(HdgVaerdi=1,IF($IQ130+$IR130&gt;$IS130,($IQ130+$IR130-$IS130)*Kpris,0),($IQ130+$IR130)*Kpris)</f>
        <v>0</v>
      </c>
      <c r="IV130" s="3">
        <f>IU130*M130</f>
        <v>0</v>
      </c>
      <c r="IX130">
        <f>IF130+IN130+IU130</f>
        <v>0</v>
      </c>
      <c r="IY130" s="3">
        <f>IF(Mark!EM130&lt;&gt;"",Mark!EM130,$IX130)</f>
        <v>0</v>
      </c>
      <c r="IZ130" s="3">
        <f>IY130*M130</f>
        <v>0</v>
      </c>
      <c r="JB130">
        <f>VLOOKUP(E130,Afgr,Data!$AQ$3)*PlantevJust</f>
        <v>0</v>
      </c>
      <c r="JC130" s="3">
        <f>IF(Mark!ES130&lt;&gt;"",Mark!ES130,JB130)</f>
        <v>0</v>
      </c>
      <c r="JD130" s="3">
        <f>JC130*M130</f>
        <v>0</v>
      </c>
      <c r="JF130">
        <f>VLOOKUP(E130,Afgr,Data!$AR$3)+BI130*VLOOKUP(E130,Afgr,Data!$BH$3)</f>
        <v>0</v>
      </c>
      <c r="JG130" s="3">
        <f>IF(Mark!EY130&lt;&gt;"",Mark!EY130,JF130)</f>
        <v>0</v>
      </c>
      <c r="JH130">
        <f>JG130*M130</f>
        <v>0</v>
      </c>
      <c r="JJ130">
        <f>IC130+IY130+JC130+JG130</f>
        <v>0</v>
      </c>
      <c r="JL130">
        <f>IF(VLOOKUP(E130,Afgr,Data!$BY$3)&gt;0,Data!$K$259*PlojJB3,0)</f>
        <v>0</v>
      </c>
      <c r="JM130">
        <f>IF(VLOOKUP(E130,Afgr,Data!$BZ$3)&gt;0,Data!$K$260*PlojJB3,0)</f>
        <v>0</v>
      </c>
      <c r="JN130">
        <f>(JL130+JM130)*MaskJust</f>
        <v>0</v>
      </c>
      <c r="JO130" s="3">
        <f>IF(Mark!FE130&lt;&gt;"",Mark!FE130,JN130)</f>
        <v>0</v>
      </c>
      <c r="JP130" s="3">
        <f>JO130*M130</f>
        <v>0</v>
      </c>
      <c r="JR130">
        <f>IF(VLOOKUP(E130,Afgr,Data!$CA$3)&gt;0,VLOOKUP(E130,Afgr,Data!$CA$3)*Data!$K$261*SaaJB3,0)</f>
        <v>0</v>
      </c>
      <c r="JS130">
        <f>IF(VLOOKUP(E130,Afgr,Data!$CC$3)&gt;0,Data!$K$262*SaaJB3,0)</f>
        <v>0</v>
      </c>
      <c r="JT130">
        <f>IF(VLOOKUP(E130,Afgr,Data!$CD$3)&gt;0,VLOOKUP(E130,Afgr,Data!$CD$3)*Data!$K$263*SaaJB3,0)</f>
        <v>0</v>
      </c>
      <c r="JU130">
        <f>IF(VLOOKUP(E130,Afgr,Data!$CE$3)&gt;0,Data!$K$264*SaaJB3,0)</f>
        <v>0</v>
      </c>
      <c r="JV130">
        <f>IF(VLOOKUP(E130,Afgr,Data!$CF$3)&gt;0,Data!$K$265*SaaJB3,0)</f>
        <v>0</v>
      </c>
      <c r="JW130">
        <f>IF(VLOOKUP(E130,Afgr,Data!$CV$3)&gt;0,Data!$K$266,0)</f>
        <v>0</v>
      </c>
      <c r="JX130">
        <f>IF(VLOOKUP(E130,Afgr,Data!$CG$3)&gt;0,Data!$K$267*SaaJB3,0)</f>
        <v>0</v>
      </c>
      <c r="JY130">
        <f>(JR130+JS130+JT130+JU130+JV130+JW130+JX130)*MaskJust</f>
        <v>0</v>
      </c>
      <c r="JZ130" s="3">
        <f>IF(Mark!FK130&lt;&gt;"",Mark!FK130,JY130)</f>
        <v>0</v>
      </c>
      <c r="KA130" s="3">
        <f>JZ130*M130</f>
        <v>0</v>
      </c>
      <c r="KC130">
        <f>IF(VLOOKUP(E130,Afgr,Data!$CJ$3)&gt;0,VLOOKUP(E130,Afgr,Data!$CJ$3)*Data!$K$268*SaaJB3,0)*MaskJust</f>
        <v>0</v>
      </c>
      <c r="KD130" s="3">
        <f>IF(Mark!FQ130&lt;&gt;"",Mark!FQ130,KC130)</f>
        <v>0</v>
      </c>
      <c r="KE130" s="3">
        <f>KD130*M130</f>
        <v>0</v>
      </c>
      <c r="KG130">
        <f>IF(VLOOKUP(E130,Afgr,Data!$CI$3)&gt;0,VLOOKUP(E130,Afgr,Data!$CI$3)*Data!$K$269,0)*MaskJust</f>
        <v>0</v>
      </c>
      <c r="KH130" s="3">
        <f>IF(Mark!FW130&lt;&gt;"",Mark!FW130,KG130)</f>
        <v>0</v>
      </c>
      <c r="KI130" s="3">
        <f>KH130*M130</f>
        <v>0</v>
      </c>
      <c r="KK130">
        <f>IF(Markvand3=2,VLOOKUP($E130,Afgr,Data!$CY$3),0)</f>
        <v>0</v>
      </c>
      <c r="KL130">
        <f>IF(Mark!GC130&lt;&gt;"",Mark!GC130,$KK130)</f>
        <v>0</v>
      </c>
      <c r="KM130">
        <f>IF(AND(E130&gt;1,Markvand3=2),Vandmaskin+$KL130*Flytning/mmprgang+$KL130*Prisprmm,0)</f>
        <v>0</v>
      </c>
      <c r="KN130" s="3">
        <f>IF(Mark!GI130&lt;&gt;"",Mark!GI130,$KM130)</f>
        <v>0</v>
      </c>
      <c r="KO130" s="3">
        <f>KN130*M130</f>
        <v>0</v>
      </c>
      <c r="KQ130">
        <f>IF(VLOOKUP($E130,Afgr,Data!$CK$3)&gt;0,((1+Regn!$BI130/VLOOKUP($E130,Afgr,Data!$CK$3))/2)*VLOOKUP($E130,Afgr,Data!$CL$3)*VLOOKUP($E130,Afgr,Data!$CN$3)+VLOOKUP($E130,Afgr,Data!$CM$3),0)</f>
        <v>0</v>
      </c>
      <c r="KR130">
        <f>IF(VLOOKUP($E130,Afgr,Data!$CK$3)&gt;0,IF(AND($F130=2,$BW130&gt;0),Data!$K$271,0),0)</f>
        <v>0</v>
      </c>
      <c r="KS130">
        <f>IF(VLOOKUP($E130,Afgr,Data!$CK$3)&gt;0,(Regn!$BI130/VLOOKUP($E130,Afgr,Data!$CK$3))*VLOOKUP($E130,Afgr,Data!$CO$3)*VLOOKUP($E130,Afgr,Data!$CN$3),0)</f>
        <v>0</v>
      </c>
      <c r="KT130">
        <f>(KQ130+KR130+KS130)*MaskJust</f>
        <v>0</v>
      </c>
      <c r="KU130" s="3">
        <f>IF(Mark!GO130&lt;&gt;"",Mark!GO130,KT130)</f>
        <v>0</v>
      </c>
      <c r="KV130" s="3">
        <f>KU130*M130</f>
        <v>0</v>
      </c>
      <c r="KW130" s="3"/>
      <c r="KX130">
        <f>IF(AND($F130=1,VLOOKUP($E130,Afgr,Data!$CP$3)&gt;0),((1+$BY130/VLOOKUP($E130,Afgr,Data!$CP$3))/2)*VLOOKUP($E130,Afgr,Data!$CQ$3),0)</f>
        <v>0</v>
      </c>
      <c r="KY130">
        <f>IF(AND($F130=1,VLOOKUP($E130,Afgr,Data!$CP$3)&gt;0),($BY130/VLOOKUP($E130,Afgr,Data!$CP$3))*VLOOKUP($E130,Afgr,Data!$CR$3),0)</f>
        <v>0</v>
      </c>
      <c r="KZ130">
        <f>(KX130+KY130)*MaskJust</f>
        <v>0</v>
      </c>
      <c r="LA130" s="3">
        <f>IF(Mark!GU130&lt;&gt;"",Mark!GU130,KZ130)</f>
        <v>0</v>
      </c>
      <c r="LB130" s="3">
        <f>LA130*M130</f>
        <v>0</v>
      </c>
      <c r="LD130">
        <f>$BI130*VLOOKUP($E130,Afgr,Data!$CS$3)*IF($I130=1,VLOOKUP($E130,Afgr,Data!$CT$3),IF($I130=2,VLOOKUP($E130,Afgr,Data!$CU$3),0))</f>
        <v>0</v>
      </c>
      <c r="LE130" s="3">
        <f>IF(Mark!HD130&lt;&gt;"",Mark!HD130,LD130)</f>
        <v>0</v>
      </c>
      <c r="LF130" s="3">
        <f>LE130*M130</f>
        <v>0</v>
      </c>
      <c r="LH130">
        <f>VLOOKUP($G130,Efgr,Data!$AC$53)*UdsaedJust</f>
        <v>0</v>
      </c>
      <c r="LI130" s="3">
        <f>IF(Mark!$HL130&lt;&gt;"",Mark!$HL130,LH130)</f>
        <v>0</v>
      </c>
      <c r="LJ130" s="3">
        <f>LI130*M130</f>
        <v>0</v>
      </c>
      <c r="LL130" s="3">
        <f>IF(HdgVaerdi=1,($CM130-$CX130)*Npris,$CM130*Npris)</f>
        <v>0</v>
      </c>
      <c r="LM130" s="3">
        <f>LL130*M130</f>
        <v>0</v>
      </c>
      <c r="LO130">
        <f>$ET130</f>
        <v>0</v>
      </c>
      <c r="LP130">
        <f>IF(HdgDyreart=2,$CU130*NPforholdSvin,$CU130*NPforholdKvaeg)</f>
        <v>0</v>
      </c>
      <c r="LQ130">
        <f>IF($LO130&gt;$LP130,($LO130-$LP130),0)</f>
        <v>0</v>
      </c>
      <c r="LR130" s="3">
        <f>IF(HdgVaerdi=1,IF($LO130&gt;$LP130,($LO130-$LP130)*Ppris,0),$LO130*Ppris)</f>
        <v>0</v>
      </c>
      <c r="LS130" s="3">
        <f>LR130*M130</f>
        <v>0</v>
      </c>
      <c r="LU130">
        <f>$EW130</f>
        <v>0</v>
      </c>
      <c r="LV130">
        <f>IF(HdgDyreart=2,$CU130*NKforholdSvin,$CU130*NkforholdKvaeg)</f>
        <v>0</v>
      </c>
      <c r="LW130">
        <f>IF($LU130&gt;$LV130,($LU130-$LV130),0)</f>
        <v>0</v>
      </c>
      <c r="LX130" s="3">
        <f>IF(HdgVaerdi=1,IF($LU130&gt;$LV130,($LU130-$LV130)*Ppris,0),$LU130*Ppris)</f>
        <v>0</v>
      </c>
      <c r="LY130" s="3">
        <f>LX130*M130</f>
        <v>0</v>
      </c>
      <c r="MA130">
        <f>LL130+LR130+LX130</f>
        <v>0</v>
      </c>
      <c r="MB130" s="3">
        <f>IF(Mark!HR130&lt;&gt;"",Mark!HR130,$MA130)</f>
        <v>0</v>
      </c>
      <c r="MC130" s="3">
        <f>MB130*M130</f>
        <v>0</v>
      </c>
      <c r="ME130">
        <f>VLOOKUP($G130,Efgr,Data!$AE$53)*PlantevJust</f>
        <v>0</v>
      </c>
      <c r="MF130" s="3">
        <f>IF(Mark!HX130&lt;&gt;"",Mark!HX130,ME130)</f>
        <v>0</v>
      </c>
      <c r="MG130" s="3">
        <f>MF130*M130</f>
        <v>0</v>
      </c>
      <c r="MI130">
        <f>VLOOKUP($G130,Efgr,Data!$AF$53)+$DD130*VLOOKUP($G130,Efgr,Data!$AL$53)</f>
        <v>0</v>
      </c>
      <c r="MJ130" s="3">
        <f>IF(Mark!ID130&lt;&gt;"",Mark!ID130,MI130)</f>
        <v>0</v>
      </c>
      <c r="MK130" s="3">
        <f>MJ130*M130</f>
        <v>0</v>
      </c>
      <c r="MM130">
        <f>LI130+MB130+MF130+MJ130</f>
        <v>0</v>
      </c>
      <c r="MO130">
        <f>VLOOKUP($G130,Efgr,Data!$AU$53)*SaaJB3*MaskJust</f>
        <v>0</v>
      </c>
      <c r="MP130" s="3">
        <f>IF(Mark!IJ130&lt;&gt;"",Mark!IJ130,MO130)</f>
        <v>0</v>
      </c>
      <c r="MQ130" s="3">
        <f>MP130*M130</f>
        <v>0</v>
      </c>
      <c r="MS130">
        <f>VLOOKUP($G130,Efgr,Data!$AW$53)*Data!$K$268*SaaJB3*MaskJust</f>
        <v>0</v>
      </c>
      <c r="MT130" s="3">
        <f>IF(Mark!IP130&lt;&gt;"",Mark!IP130,MS130)</f>
        <v>0</v>
      </c>
      <c r="MU130" s="3">
        <f>MT130*M130</f>
        <v>0</v>
      </c>
      <c r="MW130">
        <f>VLOOKUP($G130,Efgr,Data!$AV$53)*Data!$K$269*MaskJust</f>
        <v>0</v>
      </c>
      <c r="MX130" s="3">
        <f>IF(Mark!IV130&lt;&gt;"",Mark!IV130,MW130)</f>
        <v>0</v>
      </c>
      <c r="MY130" s="3">
        <f>MX130*M130</f>
        <v>0</v>
      </c>
      <c r="NA130">
        <f>IF(Markvand3=2,VLOOKUP($G130,Efgr,Data!$BC$53),0)</f>
        <v>0</v>
      </c>
      <c r="NB130">
        <f>IF(Mark!JB130&lt;&gt;"",Mark!JB130,$NA130)</f>
        <v>0</v>
      </c>
      <c r="NC130">
        <f>IF(Markvand3=2,$NB130*Flytning/mmprgang+$NB130*Prisprmm,0)</f>
        <v>0</v>
      </c>
      <c r="ND130" s="3">
        <f>IF(Mark!JH130&lt;&gt;"",Mark!JH130,$NC130)</f>
        <v>0</v>
      </c>
      <c r="NE130" s="3">
        <f>ND130*M130</f>
        <v>0</v>
      </c>
      <c r="NG130">
        <f>IF(VLOOKUP($G130,Efgr,Data!$AX$53)&gt;0,((1+Regn!DD130/VLOOKUP($G130,Efgr,Data!$AX$53))/2)*VLOOKUP($G130,Efgr,Data!$AY$53)*VLOOKUP($G130,Efgr,Data!$BA$53)+VLOOKUP($G130,Efgr,Data!$AZ$53),0)</f>
        <v>0</v>
      </c>
      <c r="NH130">
        <f>IF(VLOOKUP($G130,Efgr,Data!$AX$53)&gt;0,($DD130/VLOOKUP($G130,Efgr,Data!$AX$53))*VLOOKUP($G130,Efgr,Data!$BB$53)*VLOOKUP($G130,Efgr,Data!$BA$53),0)</f>
        <v>0</v>
      </c>
      <c r="NI130">
        <f>(NG130+NH130)*MaskJust</f>
        <v>0</v>
      </c>
      <c r="NJ130" s="3">
        <f>IF(Mark!JN130&lt;&gt;"",Mark!JN130,NI130)</f>
        <v>0</v>
      </c>
      <c r="NK130" s="3">
        <f>NJ130*M130</f>
        <v>0</v>
      </c>
      <c r="NM130">
        <f>IF($H130=2,Data!$K$304,IF($H130=3,Data!$K$305,0))*MaskJust</f>
        <v>0</v>
      </c>
      <c r="NN130" s="3">
        <f>IF(Mark!JT130&lt;&gt;"",Mark!JT130,NM130)</f>
        <v>0</v>
      </c>
      <c r="NO130" s="3">
        <f>NN130*M130</f>
        <v>0</v>
      </c>
      <c r="NQ130">
        <f>HY130</f>
        <v>0</v>
      </c>
      <c r="NR130">
        <f>JJ130+MM130</f>
        <v>0</v>
      </c>
      <c r="NS130">
        <f>NQ130-NR130</f>
        <v>0</v>
      </c>
      <c r="NT130">
        <f>NS130*M130</f>
        <v>0</v>
      </c>
      <c r="NW130">
        <f>VLOOKUP($B130,Afgr,Data!$BP$3)+VLOOKUP($C130,Efgr,Data!$AM$53)</f>
        <v>0</v>
      </c>
      <c r="NX130" s="3">
        <f>NW130*M130</f>
        <v>0</v>
      </c>
      <c r="NY130">
        <f>VLOOKUP($E130,Afgr,Data!$BP$3)+VLOOKUP($G130,Efgr,Data!$AM$53)</f>
        <v>0</v>
      </c>
      <c r="NZ130" s="3">
        <f>NY130*M130</f>
        <v>0</v>
      </c>
      <c r="OB130">
        <f>VLOOKUP($C130,Efgr,Data!$AN$53)</f>
        <v>0</v>
      </c>
      <c r="OC130">
        <f>VLOOKUP($B130,Afgr,Data!$BQ$3)</f>
        <v>0</v>
      </c>
      <c r="OD130">
        <f>VLOOKUP($E130,Afgr,Data!$BR$3)</f>
        <v>1</v>
      </c>
      <c r="OE130">
        <f>OB130*OC130*OD130</f>
        <v>0</v>
      </c>
      <c r="OF130" s="3">
        <f>OE130*M130</f>
        <v>0</v>
      </c>
      <c r="OG130" s="3">
        <f>IF(D130,1,0)*OF130</f>
        <v>0</v>
      </c>
      <c r="OI130">
        <f>VLOOKUP($G130,Efgr,Data!$AN$53)</f>
        <v>0</v>
      </c>
      <c r="OJ130">
        <f>VLOOKUP($E130,Afgr,Data!$BQ$3)</f>
        <v>0</v>
      </c>
      <c r="OK130">
        <f>VLOOKUP($K130,Afgr,Data!$BR$3)</f>
        <v>1</v>
      </c>
      <c r="OL130">
        <f>OI130*OJ130*OK130</f>
        <v>0</v>
      </c>
      <c r="OM130" s="3">
        <f>OL130*M130</f>
        <v>0</v>
      </c>
      <c r="OO130">
        <f>VLOOKUP($G130,Efgr,Data!$AO$53)</f>
        <v>0</v>
      </c>
      <c r="OP130">
        <f>VLOOKUP($B130,Afgr,Data!$BQ$3)</f>
        <v>0</v>
      </c>
      <c r="OQ130">
        <f>VLOOKUP($E130,Afgr,Data!$BS$3)</f>
        <v>0</v>
      </c>
      <c r="OR130" s="3">
        <f>OO130*OP130*OQ130*$M130</f>
        <v>0</v>
      </c>
      <c r="OT130">
        <f>VLOOKUP($G130,Efgr,Data!$AO$53)</f>
        <v>0</v>
      </c>
      <c r="OU130">
        <f>VLOOKUP($E130,Afgr,Data!$BQ$3)</f>
        <v>0</v>
      </c>
      <c r="OV130">
        <f>VLOOKUP($K130,Afgr,Data!$BS$3)</f>
        <v>0</v>
      </c>
      <c r="OW130" s="3">
        <f>OT130*OU130*OV130*$M130</f>
        <v>0</v>
      </c>
      <c r="OX130" s="3"/>
      <c r="OY130" s="3">
        <f>VLOOKUP($B130,Afgr,Data!$BU$3)</f>
        <v>0</v>
      </c>
      <c r="OZ130" s="3">
        <f>OY130*M130</f>
        <v>0</v>
      </c>
      <c r="PA130" s="3">
        <f>VLOOKUP($E130,Afgr,Data!$BU$3)</f>
        <v>0</v>
      </c>
      <c r="PB130" s="3">
        <f>PA130*M130</f>
        <v>0</v>
      </c>
      <c r="PD130">
        <f>VLOOKUP(E130,Afgr,Data!$BX$3)+VLOOKUP(G130,Efgr,Data!$AQ$53)</f>
        <v>0</v>
      </c>
      <c r="PE130">
        <f>IF(PD130&gt;0,M130,0)</f>
        <v>0</v>
      </c>
      <c r="PG130">
        <f>VLOOKUP($B130,Afgr,Data!$BT$3)</f>
        <v>0</v>
      </c>
      <c r="PH130" s="3">
        <f>PG130*M130</f>
        <v>0</v>
      </c>
      <c r="PI130">
        <f>VLOOKUP($E130,Afgr,Data!$BT$3)</f>
        <v>0</v>
      </c>
      <c r="PJ130" s="3">
        <f>PI130*M130</f>
        <v>0</v>
      </c>
      <c r="PL130">
        <f>VLOOKUP($E130,Afgr,Data!$BV$3)</f>
        <v>0</v>
      </c>
      <c r="PM130">
        <f>PL130*M130</f>
        <v>0</v>
      </c>
      <c r="PO130">
        <f>VLOOKUP($E130,Afgr,Data!$BW$3)</f>
        <v>0</v>
      </c>
      <c r="PP130">
        <f>PO130*M130</f>
        <v>0</v>
      </c>
      <c r="PR130">
        <f>BI130*IF(VLOOKUP($E130,Afgr,Data!$BJ$3)&gt;0,1,0)</f>
        <v>0</v>
      </c>
      <c r="PS130">
        <f>PR130*M130</f>
        <v>0</v>
      </c>
      <c r="PU130">
        <f>BI130*VLOOKUP(E130,Afgr,Data!$BK$3)</f>
        <v>0</v>
      </c>
      <c r="PV130">
        <f>M130*PU130</f>
        <v>0</v>
      </c>
      <c r="PW130">
        <f>$BI130*VLOOKUP($E130,Afgr,Data!$BL$3)+$DD130*VLOOKUP($G130,Efgr,Data!$AP$53)</f>
        <v>0</v>
      </c>
      <c r="PX130">
        <f>PW130*M130</f>
        <v>0</v>
      </c>
      <c r="PY130">
        <f>$BI130*VLOOKUP($E130,Afgr,Data!$BM$3)</f>
        <v>0</v>
      </c>
      <c r="PZ130">
        <f>PY130*M130</f>
        <v>0</v>
      </c>
      <c r="QA130">
        <f>$BI130*VLOOKUP($E130,Afgr,Data!$BN$3)</f>
        <v>0</v>
      </c>
      <c r="QB130">
        <f>QA130*M130</f>
        <v>0</v>
      </c>
      <c r="QE130">
        <f>IF(VLOOKUP($E130,Afgr,Data!$DA$3)="Vårbyg",$BJ130,0)*VLOOKUP($E130,Afgr,Data!$BJ$3)</f>
        <v>0</v>
      </c>
      <c r="QF130">
        <f>IF(VLOOKUP($E130,Afgr,Data!$DA$3)="Vinterbyg",$BJ130,0)*VLOOKUP($E130,Afgr,Data!$BJ$3)</f>
        <v>0</v>
      </c>
      <c r="QG130">
        <f>IF(VLOOKUP($E130,Afgr,Data!$DA$3)="Havre",$BJ130,0)*VLOOKUP($E130,Afgr,Data!$BJ$3)</f>
        <v>0</v>
      </c>
      <c r="QH130">
        <f>IF(VLOOKUP($E130,Afgr,Data!$DA$3)="Hvede",$BJ130,0)*VLOOKUP($E130,Afgr,Data!$BJ$3)</f>
        <v>0</v>
      </c>
      <c r="QI130">
        <f>IF(VLOOKUP($E130,Afgr,Data!$DA$3)="Triticale",$BJ130,0)*VLOOKUP($E130,Afgr,Data!$BJ$3)</f>
        <v>0</v>
      </c>
      <c r="QJ130">
        <f>IF(VLOOKUP($E130,Afgr,Data!$DA$3)="Rug",$BJ130,0)*VLOOKUP($E130,Afgr,Data!$BJ$3)</f>
        <v>0</v>
      </c>
      <c r="QK130">
        <f>IF(VLOOKUP($E130,Afgr,Data!$DA$3)="Majs",$BJ130,0)*VLOOKUP($E130,Afgr,Data!$BJ$3)</f>
        <v>0</v>
      </c>
      <c r="QN130">
        <f>IF(OI130+OO130&gt;0,1,0)</f>
        <v>0</v>
      </c>
      <c r="QO130">
        <f>QN130*LJ130</f>
        <v>0</v>
      </c>
      <c r="QP130">
        <f>QN130*MG130</f>
        <v>0</v>
      </c>
      <c r="QQ130">
        <f>MQ130</f>
        <v>0</v>
      </c>
      <c r="QR130">
        <f>QN130*NO130</f>
        <v>0</v>
      </c>
    </row>
    <row r="131" spans="1:460" x14ac:dyDescent="0.25">
      <c r="M131" t="s">
        <v>1585</v>
      </c>
      <c r="GG131" t="s">
        <v>1586</v>
      </c>
      <c r="NT131" t="s">
        <v>1875</v>
      </c>
      <c r="NU131" t="s">
        <v>1876</v>
      </c>
    </row>
    <row r="132" spans="1:460" x14ac:dyDescent="0.25">
      <c r="A132" s="3" t="s">
        <v>1280</v>
      </c>
      <c r="M132" s="3">
        <f>SUM(M116,M118,M120,M122,M124,M126,M128,M130)</f>
        <v>0</v>
      </c>
      <c r="N132" s="3">
        <f>SUM(N116,N118,N120,N122,N124,N126,N128,N130)</f>
        <v>0</v>
      </c>
      <c r="O132" s="3"/>
      <c r="W132" s="3">
        <f>SUM(W116,W118,W120,W122,W124,W126,W128,W130)</f>
        <v>0</v>
      </c>
      <c r="AW132" s="3">
        <f>SUM(AW116,AW118,AW120,AW122,AW124,AW126,AW128,AW130)</f>
        <v>0</v>
      </c>
      <c r="FI132" s="3">
        <f>SUM(FI116,FI118,FI120,FI122,FI124,FI126,FI128,FI130)</f>
        <v>0</v>
      </c>
      <c r="GG132" s="3">
        <f>IF(ISERROR((W132+AW132*(100-UdnKrav)*0.01+FI132)/M132),0,(W132+AW132*(100-UdnKrav)*0.01+FI132)/M132)</f>
        <v>0</v>
      </c>
      <c r="NT132" s="3">
        <f>NT116+NT118+NT120+NT122+NT124+NT126+NT128+NT130</f>
        <v>0</v>
      </c>
      <c r="NU132">
        <f>IF(ISERROR(DBIalt3/DyrkAreal3),0,DBIalt3/DyrkAreal3)</f>
        <v>0</v>
      </c>
    </row>
    <row r="133" spans="1:460" x14ac:dyDescent="0.25">
      <c r="B133" t="s">
        <v>1587</v>
      </c>
      <c r="C133" t="s">
        <v>1588</v>
      </c>
      <c r="F133" t="s">
        <v>1589</v>
      </c>
      <c r="G133" t="s">
        <v>1590</v>
      </c>
      <c r="H133" t="s">
        <v>1591</v>
      </c>
      <c r="I133" t="s">
        <v>1592</v>
      </c>
      <c r="J133" t="s">
        <v>1593</v>
      </c>
      <c r="K133" t="s">
        <v>1594</v>
      </c>
      <c r="L133" t="s">
        <v>1595</v>
      </c>
      <c r="N133" t="s">
        <v>1902</v>
      </c>
      <c r="P133" t="s">
        <v>1596</v>
      </c>
      <c r="Q133" t="s">
        <v>1597</v>
      </c>
    </row>
    <row r="134" spans="1:460" x14ac:dyDescent="0.25">
      <c r="B134">
        <v>6</v>
      </c>
      <c r="C134">
        <v>1</v>
      </c>
      <c r="F134">
        <f>IF(Markvand4=1,VLOOKUP(Jordtype4,Jordtype,Data!$K$112),VLOOKUP(Jordtype4,Jordtype,Data!$L$112))</f>
        <v>9</v>
      </c>
      <c r="G134">
        <f>IF(Markvand4=1,VLOOKUP(Jordtype4,Jordtype,Data!$M$112),VLOOKUP(Jordtype4,Jordtype,Data!$N$112))</f>
        <v>14</v>
      </c>
      <c r="H134">
        <f>IF(Markvand4=1,VLOOKUP(Jordtype4,Jordtype,Data!$Q$112),VLOOKUP(Jordtype4,Jordtype,Data!$R$112))</f>
        <v>25</v>
      </c>
      <c r="I134">
        <f>IF(Markvand4=1,VLOOKUP(Jordtype4,Jordtype,Data!$O$112),VLOOKUP(Jordtype4,Jordtype,Data!$P$112))</f>
        <v>19</v>
      </c>
      <c r="J134">
        <f>IF(Jordtype4&lt;5,0,1)</f>
        <v>1</v>
      </c>
      <c r="K134">
        <f>IF(Jordtype4&lt;5,PlojJB,1)</f>
        <v>1</v>
      </c>
      <c r="L134">
        <f>IF(Jordtype4&lt;5,SaaJB,1)</f>
        <v>1</v>
      </c>
      <c r="N134">
        <f>IF(OR(Jordtype4=1,Jordtype4=3),0,IF(OR(Jordtype4=2,Jordtype4=4),1,IF(OR(Jordtype4=5,Jordtype4=6),2,3)))</f>
        <v>2</v>
      </c>
      <c r="P134">
        <f>IF(Markvand4=1,VLOOKUP(Jordtype4,Jordtype,Data!$S$112),VLOOKUP(Jordtype4,Jordtype,Data!$T$112))</f>
        <v>8</v>
      </c>
      <c r="Q134">
        <f>IF(Markvand4=1,VLOOKUP(Jordtype4,Jordtype,Data!$U$112),VLOOKUP(Jordtype4,Jordtype,Data!$V$112))</f>
        <v>13</v>
      </c>
      <c r="AM134" s="3" t="s">
        <v>1895</v>
      </c>
    </row>
    <row r="135" spans="1:460" ht="19.5" customHeight="1" x14ac:dyDescent="0.25">
      <c r="P135" s="3" t="s">
        <v>132</v>
      </c>
      <c r="Y135" s="3" t="s">
        <v>437</v>
      </c>
      <c r="AB135" s="3" t="s">
        <v>450</v>
      </c>
      <c r="AC135" s="3" t="s">
        <v>451</v>
      </c>
      <c r="AD135" s="3" t="s">
        <v>184</v>
      </c>
      <c r="AE135" s="3" t="s">
        <v>446</v>
      </c>
      <c r="AF135" s="3" t="s">
        <v>448</v>
      </c>
      <c r="AG135" s="3" t="s">
        <v>449</v>
      </c>
      <c r="AH135" s="3" t="s">
        <v>1983</v>
      </c>
      <c r="AI135" s="3" t="s">
        <v>1984</v>
      </c>
      <c r="AJ135" s="3" t="s">
        <v>1985</v>
      </c>
      <c r="AK135" s="3" t="s">
        <v>455</v>
      </c>
      <c r="AL135" s="3"/>
      <c r="AM135" s="3" t="s">
        <v>1892</v>
      </c>
      <c r="AN135" s="3" t="s">
        <v>1891</v>
      </c>
      <c r="AO135" s="3" t="s">
        <v>1893</v>
      </c>
      <c r="AP135" s="3"/>
      <c r="AQ135" s="3" t="s">
        <v>138</v>
      </c>
      <c r="AS135" s="3"/>
      <c r="AT135" s="3"/>
      <c r="AU135" s="3"/>
      <c r="AV135" s="3"/>
      <c r="AW135" s="3"/>
      <c r="AX135" s="3"/>
      <c r="AY135" s="3"/>
      <c r="AZ135" s="3"/>
      <c r="BA135" s="3" t="s">
        <v>1257</v>
      </c>
      <c r="BB135" s="3"/>
      <c r="BC135" s="3"/>
      <c r="BD135" s="3" t="s">
        <v>216</v>
      </c>
      <c r="BE135" s="3"/>
      <c r="BN135" s="3" t="s">
        <v>185</v>
      </c>
      <c r="BW135" s="3" t="s">
        <v>190</v>
      </c>
      <c r="BX135" s="3"/>
      <c r="CD135" s="3" t="s">
        <v>217</v>
      </c>
      <c r="CJ135" s="3" t="s">
        <v>86</v>
      </c>
      <c r="CK135" s="3"/>
      <c r="CL135" s="3"/>
      <c r="CP135" s="3" t="s">
        <v>138</v>
      </c>
      <c r="DC135" s="3" t="s">
        <v>218</v>
      </c>
      <c r="DL135" t="s">
        <v>489</v>
      </c>
      <c r="DX135" t="s">
        <v>492</v>
      </c>
      <c r="EA135" t="s">
        <v>502</v>
      </c>
      <c r="ED135" t="s">
        <v>490</v>
      </c>
      <c r="EJ135" t="s">
        <v>494</v>
      </c>
      <c r="EM135" t="s">
        <v>504</v>
      </c>
      <c r="EP135" t="s">
        <v>491</v>
      </c>
      <c r="ET135" t="s">
        <v>500</v>
      </c>
      <c r="EW135" t="s">
        <v>505</v>
      </c>
      <c r="EZ135" t="s">
        <v>256</v>
      </c>
      <c r="FG135" t="s">
        <v>78</v>
      </c>
      <c r="FH135" t="s">
        <v>545</v>
      </c>
      <c r="FW135" t="s">
        <v>1493</v>
      </c>
      <c r="GB135" t="s">
        <v>1499</v>
      </c>
      <c r="GG135" s="6"/>
      <c r="GH135" s="6"/>
      <c r="GI135" s="6"/>
      <c r="GJ135" s="6"/>
      <c r="GK135" s="6"/>
      <c r="GL135" s="6"/>
      <c r="GM135" s="6"/>
      <c r="GN135" s="6"/>
      <c r="GO135" s="6"/>
      <c r="GP135" s="6"/>
      <c r="GQ135" s="6"/>
      <c r="GR135" s="6"/>
      <c r="GS135" s="6"/>
      <c r="GT135" s="6"/>
      <c r="GU135" s="9"/>
      <c r="GV135" s="6"/>
      <c r="GW135" s="6"/>
      <c r="GX135" s="6"/>
      <c r="GY135" s="6"/>
      <c r="GZ135" s="6"/>
      <c r="HA135" s="6"/>
      <c r="HB135" s="6"/>
      <c r="HC135" s="6"/>
      <c r="HD135" s="6"/>
      <c r="HE135" s="6"/>
      <c r="HF135" s="6"/>
      <c r="HG135" s="6"/>
      <c r="HH135" s="6"/>
      <c r="HI135" s="6"/>
      <c r="HJ135" s="6"/>
      <c r="HK135" s="6"/>
      <c r="HL135" s="6"/>
      <c r="HM135" s="6"/>
      <c r="HN135" s="6"/>
      <c r="HO135" s="6"/>
      <c r="HP135" s="6" t="s">
        <v>1949</v>
      </c>
      <c r="HQ135" s="8" t="s">
        <v>290</v>
      </c>
    </row>
    <row r="136" spans="1:460" ht="19.5" customHeight="1" x14ac:dyDescent="0.25">
      <c r="B136" t="s">
        <v>76</v>
      </c>
      <c r="C136" t="s">
        <v>80</v>
      </c>
      <c r="D136" t="s">
        <v>81</v>
      </c>
      <c r="E136" t="s">
        <v>28</v>
      </c>
      <c r="F136" t="s">
        <v>194</v>
      </c>
      <c r="G136" t="s">
        <v>78</v>
      </c>
      <c r="H136" t="s">
        <v>426</v>
      </c>
      <c r="I136" t="s">
        <v>15</v>
      </c>
      <c r="K136" t="s">
        <v>83</v>
      </c>
      <c r="M136" t="s">
        <v>1887</v>
      </c>
      <c r="N136" s="1" t="s">
        <v>1888</v>
      </c>
      <c r="O136" s="1"/>
      <c r="P136" t="s">
        <v>133</v>
      </c>
      <c r="Q136" t="s">
        <v>134</v>
      </c>
      <c r="R136" t="s">
        <v>135</v>
      </c>
      <c r="S136" t="s">
        <v>86</v>
      </c>
      <c r="T136" t="s">
        <v>1315</v>
      </c>
      <c r="U136" t="s">
        <v>1217</v>
      </c>
      <c r="V136" s="1" t="s">
        <v>453</v>
      </c>
      <c r="W136" s="1" t="s">
        <v>474</v>
      </c>
      <c r="Y136" t="s">
        <v>438</v>
      </c>
      <c r="Z136" t="s">
        <v>447</v>
      </c>
      <c r="AB136" t="s">
        <v>443</v>
      </c>
      <c r="AC136" t="s">
        <v>444</v>
      </c>
      <c r="AD136" t="s">
        <v>452</v>
      </c>
      <c r="AQ136" t="s">
        <v>483</v>
      </c>
      <c r="AR136" s="1" t="s">
        <v>479</v>
      </c>
      <c r="AS136" s="1" t="s">
        <v>480</v>
      </c>
      <c r="AT136" s="1" t="s">
        <v>477</v>
      </c>
      <c r="AU136" s="1" t="s">
        <v>478</v>
      </c>
      <c r="AV136" s="1" t="s">
        <v>481</v>
      </c>
      <c r="AW136" t="s">
        <v>1218</v>
      </c>
      <c r="AX136" s="1"/>
      <c r="AY136" s="1" t="s">
        <v>485</v>
      </c>
      <c r="AZ136" s="1"/>
      <c r="BA136" s="1" t="s">
        <v>543</v>
      </c>
      <c r="BB136" s="1" t="s">
        <v>544</v>
      </c>
      <c r="BC136" s="1"/>
      <c r="BD136" t="s">
        <v>133</v>
      </c>
      <c r="BE136" s="1" t="s">
        <v>76</v>
      </c>
      <c r="BF136" t="s">
        <v>78</v>
      </c>
      <c r="BG136" s="1" t="s">
        <v>1913</v>
      </c>
      <c r="BH136" t="s">
        <v>183</v>
      </c>
      <c r="BI136" s="1" t="s">
        <v>454</v>
      </c>
      <c r="BJ136" s="1" t="s">
        <v>1219</v>
      </c>
      <c r="BK136" t="s">
        <v>29</v>
      </c>
      <c r="BL136" t="s">
        <v>1748</v>
      </c>
      <c r="BN136" t="s">
        <v>186</v>
      </c>
      <c r="BO136" t="s">
        <v>187</v>
      </c>
      <c r="BP136" t="s">
        <v>1856</v>
      </c>
      <c r="BQ136" t="s">
        <v>1358</v>
      </c>
      <c r="BS136" t="s">
        <v>1342</v>
      </c>
      <c r="BT136" t="s">
        <v>1343</v>
      </c>
      <c r="BU136" t="s">
        <v>1344</v>
      </c>
      <c r="BW136" t="s">
        <v>191</v>
      </c>
      <c r="BX136" t="s">
        <v>1914</v>
      </c>
      <c r="BY136" t="s">
        <v>193</v>
      </c>
      <c r="BZ136" t="s">
        <v>1220</v>
      </c>
      <c r="CC136" t="s">
        <v>1860</v>
      </c>
      <c r="CD136" t="s">
        <v>197</v>
      </c>
      <c r="CE136" t="s">
        <v>198</v>
      </c>
      <c r="CF136" t="s">
        <v>199</v>
      </c>
      <c r="CG136" t="s">
        <v>1858</v>
      </c>
      <c r="CH136" t="s">
        <v>1857</v>
      </c>
      <c r="CJ136" t="s">
        <v>133</v>
      </c>
      <c r="CK136" s="1" t="s">
        <v>2023</v>
      </c>
      <c r="CL136" t="s">
        <v>1217</v>
      </c>
      <c r="CM136" s="1" t="s">
        <v>525</v>
      </c>
      <c r="CN136" s="1" t="s">
        <v>526</v>
      </c>
      <c r="CP136" t="s">
        <v>483</v>
      </c>
      <c r="CQ136" s="1" t="s">
        <v>479</v>
      </c>
      <c r="CR136" s="1" t="s">
        <v>480</v>
      </c>
      <c r="CS136" s="1" t="s">
        <v>477</v>
      </c>
      <c r="CT136" s="1" t="s">
        <v>478</v>
      </c>
      <c r="CU136" s="1" t="s">
        <v>481</v>
      </c>
      <c r="CV136" s="1" t="s">
        <v>1218</v>
      </c>
      <c r="CW136" s="1"/>
      <c r="CX136" s="1" t="s">
        <v>485</v>
      </c>
      <c r="CY136" s="1"/>
      <c r="CZ136" s="1" t="s">
        <v>543</v>
      </c>
      <c r="DA136" s="1" t="s">
        <v>544</v>
      </c>
      <c r="DC136" t="s">
        <v>253</v>
      </c>
      <c r="DD136" t="s">
        <v>254</v>
      </c>
      <c r="DE136" t="s">
        <v>1221</v>
      </c>
      <c r="DF136" t="s">
        <v>29</v>
      </c>
      <c r="DG136" t="s">
        <v>1862</v>
      </c>
      <c r="DH136" t="s">
        <v>1861</v>
      </c>
      <c r="DI136" t="s">
        <v>209</v>
      </c>
      <c r="DJ136" t="s">
        <v>255</v>
      </c>
      <c r="DL136" t="s">
        <v>202</v>
      </c>
      <c r="DM136" t="s">
        <v>1449</v>
      </c>
      <c r="DN136" t="s">
        <v>1450</v>
      </c>
      <c r="DO136" t="s">
        <v>1222</v>
      </c>
      <c r="DP136" t="s">
        <v>1141</v>
      </c>
      <c r="DQ136" t="s">
        <v>1142</v>
      </c>
      <c r="DR136" t="s">
        <v>212</v>
      </c>
      <c r="DS136" t="s">
        <v>214</v>
      </c>
      <c r="DU136" t="s">
        <v>258</v>
      </c>
      <c r="DV136" t="s">
        <v>1223</v>
      </c>
      <c r="DX136" t="s">
        <v>493</v>
      </c>
      <c r="DY136" t="s">
        <v>1224</v>
      </c>
      <c r="EA136" t="s">
        <v>503</v>
      </c>
      <c r="EB136" t="s">
        <v>1225</v>
      </c>
      <c r="ED136" t="s">
        <v>206</v>
      </c>
      <c r="EE136" t="s">
        <v>213</v>
      </c>
      <c r="EF136" t="s">
        <v>215</v>
      </c>
      <c r="EG136" t="s">
        <v>259</v>
      </c>
      <c r="EH136" t="s">
        <v>1226</v>
      </c>
      <c r="EJ136" t="s">
        <v>493</v>
      </c>
      <c r="EK136" t="s">
        <v>1227</v>
      </c>
      <c r="EM136" t="s">
        <v>503</v>
      </c>
      <c r="EN136" t="s">
        <v>1228</v>
      </c>
      <c r="EP136" t="s">
        <v>257</v>
      </c>
      <c r="EQ136" t="s">
        <v>260</v>
      </c>
      <c r="ER136" t="s">
        <v>1229</v>
      </c>
      <c r="ET136" t="s">
        <v>529</v>
      </c>
      <c r="EU136" t="s">
        <v>1224</v>
      </c>
      <c r="EW136" t="s">
        <v>529</v>
      </c>
      <c r="EX136" t="s">
        <v>1225</v>
      </c>
      <c r="EZ136" s="6" t="s">
        <v>221</v>
      </c>
      <c r="FA136" s="6" t="s">
        <v>222</v>
      </c>
      <c r="FB136" s="6" t="s">
        <v>223</v>
      </c>
      <c r="FC136" s="1" t="s">
        <v>224</v>
      </c>
      <c r="FD136" s="1" t="s">
        <v>542</v>
      </c>
      <c r="FE136" s="1" t="s">
        <v>225</v>
      </c>
      <c r="FF136" s="1" t="s">
        <v>542</v>
      </c>
      <c r="FG136" s="1" t="s">
        <v>539</v>
      </c>
      <c r="FH136" s="1" t="s">
        <v>546</v>
      </c>
      <c r="FI136" s="1" t="s">
        <v>545</v>
      </c>
      <c r="FK136" s="1" t="s">
        <v>548</v>
      </c>
      <c r="FL136" s="1" t="s">
        <v>488</v>
      </c>
      <c r="FM136" s="1" t="s">
        <v>2</v>
      </c>
      <c r="FN136" s="1" t="s">
        <v>261</v>
      </c>
      <c r="FO136" s="1" t="s">
        <v>236</v>
      </c>
      <c r="FP136" s="1" t="s">
        <v>1230</v>
      </c>
      <c r="FQ136" s="1" t="s">
        <v>1232</v>
      </c>
      <c r="FR136" s="1" t="s">
        <v>1231</v>
      </c>
      <c r="FS136" s="1" t="s">
        <v>263</v>
      </c>
      <c r="FT136" s="1" t="s">
        <v>264</v>
      </c>
      <c r="FU136" s="1" t="s">
        <v>1233</v>
      </c>
      <c r="FW136" s="1" t="s">
        <v>1494</v>
      </c>
      <c r="FX136" s="1" t="s">
        <v>1495</v>
      </c>
      <c r="FY136" s="1" t="s">
        <v>1496</v>
      </c>
      <c r="FZ136" s="1" t="s">
        <v>1497</v>
      </c>
      <c r="GB136" s="1" t="s">
        <v>1494</v>
      </c>
      <c r="GC136" s="1" t="s">
        <v>1495</v>
      </c>
      <c r="GD136" s="1" t="s">
        <v>1500</v>
      </c>
      <c r="GE136" s="1" t="s">
        <v>1501</v>
      </c>
      <c r="GG136" s="6"/>
      <c r="GH136" s="6" t="s">
        <v>299</v>
      </c>
      <c r="GI136" s="6"/>
      <c r="GJ136" s="6" t="s">
        <v>300</v>
      </c>
      <c r="GK136" s="6" t="s">
        <v>300</v>
      </c>
      <c r="GL136" s="6" t="s">
        <v>299</v>
      </c>
      <c r="GM136" s="6"/>
      <c r="GN136" s="6"/>
      <c r="GO136" s="6" t="s">
        <v>300</v>
      </c>
      <c r="GP136" s="10" t="s">
        <v>301</v>
      </c>
      <c r="GQ136" s="6" t="s">
        <v>300</v>
      </c>
      <c r="GR136" s="6" t="s">
        <v>299</v>
      </c>
      <c r="GS136" s="10" t="s">
        <v>302</v>
      </c>
      <c r="GT136" s="10" t="s">
        <v>303</v>
      </c>
      <c r="GU136" s="7" t="s">
        <v>304</v>
      </c>
      <c r="GV136" s="7" t="s">
        <v>305</v>
      </c>
      <c r="GW136" s="7" t="s">
        <v>549</v>
      </c>
      <c r="GX136" s="6"/>
      <c r="GY136" s="6"/>
      <c r="GZ136" s="6" t="s">
        <v>306</v>
      </c>
      <c r="HA136" s="6" t="s">
        <v>306</v>
      </c>
      <c r="HB136" s="6"/>
      <c r="HC136" s="6"/>
      <c r="HD136" s="6" t="s">
        <v>306</v>
      </c>
      <c r="HE136" s="6"/>
      <c r="HF136" s="6"/>
      <c r="HG136" s="6" t="s">
        <v>306</v>
      </c>
      <c r="HH136" s="6" t="s">
        <v>307</v>
      </c>
      <c r="HI136" s="6" t="s">
        <v>306</v>
      </c>
      <c r="HJ136" s="6" t="s">
        <v>307</v>
      </c>
      <c r="HK136" s="6" t="s">
        <v>306</v>
      </c>
      <c r="HL136" s="6" t="s">
        <v>308</v>
      </c>
      <c r="HM136" s="6" t="s">
        <v>306</v>
      </c>
      <c r="HN136" s="6" t="s">
        <v>308</v>
      </c>
      <c r="HO136" s="6" t="s">
        <v>306</v>
      </c>
      <c r="HP136" s="6"/>
      <c r="HQ136" s="6" t="s">
        <v>298</v>
      </c>
      <c r="HU136" t="s">
        <v>1251</v>
      </c>
      <c r="HW136" t="s">
        <v>1254</v>
      </c>
      <c r="HY136" s="6" t="s">
        <v>1863</v>
      </c>
      <c r="IB136" t="s">
        <v>2</v>
      </c>
      <c r="ID136" t="s">
        <v>1211</v>
      </c>
      <c r="IF136" t="s">
        <v>506</v>
      </c>
      <c r="IG136" t="s">
        <v>1211</v>
      </c>
      <c r="II136" t="s">
        <v>6</v>
      </c>
      <c r="IJ136" t="s">
        <v>7</v>
      </c>
      <c r="IK136" t="s">
        <v>510</v>
      </c>
      <c r="IL136" t="s">
        <v>511</v>
      </c>
      <c r="IN136" t="s">
        <v>516</v>
      </c>
      <c r="IO136" t="s">
        <v>1211</v>
      </c>
      <c r="IQ136" t="s">
        <v>518</v>
      </c>
      <c r="IR136" t="s">
        <v>519</v>
      </c>
      <c r="IS136" t="s">
        <v>520</v>
      </c>
      <c r="IU136" t="s">
        <v>521</v>
      </c>
      <c r="IV136" t="s">
        <v>1235</v>
      </c>
      <c r="IX136" t="s">
        <v>522</v>
      </c>
      <c r="IZ136" t="s">
        <v>1211</v>
      </c>
      <c r="JB136" t="s">
        <v>3</v>
      </c>
      <c r="JD136" t="s">
        <v>1211</v>
      </c>
      <c r="JF136" t="s">
        <v>332</v>
      </c>
      <c r="JH136" t="s">
        <v>1211</v>
      </c>
      <c r="JJ136" t="s">
        <v>1865</v>
      </c>
      <c r="JL136" t="s">
        <v>17</v>
      </c>
      <c r="JM136" t="s">
        <v>353</v>
      </c>
      <c r="JN136" t="s">
        <v>361</v>
      </c>
      <c r="JP136" t="s">
        <v>1211</v>
      </c>
      <c r="JR136" t="s">
        <v>338</v>
      </c>
      <c r="JS136" t="s">
        <v>354</v>
      </c>
      <c r="JT136" t="s">
        <v>356</v>
      </c>
      <c r="JU136" t="s">
        <v>357</v>
      </c>
      <c r="JV136" t="s">
        <v>358</v>
      </c>
      <c r="JX136" t="s">
        <v>343</v>
      </c>
      <c r="JY136" t="s">
        <v>359</v>
      </c>
      <c r="KA136" t="s">
        <v>1211</v>
      </c>
      <c r="KC136" t="s">
        <v>364</v>
      </c>
      <c r="KE136" t="s">
        <v>1211</v>
      </c>
      <c r="KG136" t="s">
        <v>365</v>
      </c>
      <c r="KI136" t="s">
        <v>1211</v>
      </c>
      <c r="KK136" t="s">
        <v>104</v>
      </c>
      <c r="KN136" t="s">
        <v>1236</v>
      </c>
      <c r="KO136" t="s">
        <v>1211</v>
      </c>
      <c r="KQ136" t="s">
        <v>388</v>
      </c>
      <c r="KR136" t="s">
        <v>389</v>
      </c>
      <c r="KS136" t="s">
        <v>390</v>
      </c>
      <c r="KT136" t="s">
        <v>402</v>
      </c>
      <c r="KU136" s="3" t="s">
        <v>404</v>
      </c>
      <c r="KV136" s="3" t="s">
        <v>1211</v>
      </c>
      <c r="KW136" s="3"/>
      <c r="KX136" t="s">
        <v>396</v>
      </c>
      <c r="KY136" t="s">
        <v>397</v>
      </c>
      <c r="KZ136" t="s">
        <v>403</v>
      </c>
      <c r="LA136" s="3" t="s">
        <v>406</v>
      </c>
      <c r="LB136" s="3" t="s">
        <v>1211</v>
      </c>
      <c r="LD136" t="s">
        <v>15</v>
      </c>
      <c r="LE136" s="3" t="s">
        <v>413</v>
      </c>
      <c r="LF136" s="3" t="s">
        <v>1211</v>
      </c>
      <c r="LH136" t="s">
        <v>414</v>
      </c>
      <c r="LJ136" t="s">
        <v>1211</v>
      </c>
      <c r="LL136" t="s">
        <v>524</v>
      </c>
      <c r="LM136" t="s">
        <v>1211</v>
      </c>
      <c r="LO136" t="s">
        <v>510</v>
      </c>
      <c r="LP136" t="s">
        <v>511</v>
      </c>
      <c r="LQ136" t="s">
        <v>1491</v>
      </c>
      <c r="LR136" t="s">
        <v>516</v>
      </c>
      <c r="LS136" t="s">
        <v>1211</v>
      </c>
      <c r="LU136" t="s">
        <v>519</v>
      </c>
      <c r="LV136" t="s">
        <v>530</v>
      </c>
      <c r="LW136" t="s">
        <v>1492</v>
      </c>
      <c r="LX136" t="s">
        <v>521</v>
      </c>
      <c r="LY136" t="s">
        <v>1211</v>
      </c>
      <c r="MA136" t="s">
        <v>522</v>
      </c>
      <c r="MC136" t="s">
        <v>1211</v>
      </c>
      <c r="ME136" t="s">
        <v>3</v>
      </c>
      <c r="MG136" t="s">
        <v>1211</v>
      </c>
      <c r="MI136" t="s">
        <v>332</v>
      </c>
      <c r="MK136" t="s">
        <v>1211</v>
      </c>
      <c r="MM136" t="s">
        <v>1866</v>
      </c>
      <c r="MO136" t="s">
        <v>20</v>
      </c>
      <c r="MQ136" t="s">
        <v>1211</v>
      </c>
      <c r="MS136" t="s">
        <v>364</v>
      </c>
      <c r="MU136" t="s">
        <v>1211</v>
      </c>
      <c r="MW136" t="s">
        <v>365</v>
      </c>
      <c r="MY136" t="s">
        <v>1211</v>
      </c>
      <c r="NA136" t="s">
        <v>104</v>
      </c>
      <c r="NE136" t="s">
        <v>1211</v>
      </c>
      <c r="NG136" t="s">
        <v>388</v>
      </c>
      <c r="NH136" t="s">
        <v>390</v>
      </c>
      <c r="NI136" t="s">
        <v>402</v>
      </c>
      <c r="NJ136" s="3" t="s">
        <v>404</v>
      </c>
      <c r="NK136" s="3" t="s">
        <v>1211</v>
      </c>
      <c r="NM136" t="s">
        <v>429</v>
      </c>
      <c r="NO136" t="s">
        <v>1211</v>
      </c>
      <c r="NQ136" t="s">
        <v>1863</v>
      </c>
      <c r="NR136" t="s">
        <v>1865</v>
      </c>
      <c r="NT136" t="s">
        <v>1869</v>
      </c>
      <c r="NU136" t="s">
        <v>1870</v>
      </c>
      <c r="NW136" t="s">
        <v>1146</v>
      </c>
      <c r="NX136" t="s">
        <v>1147</v>
      </c>
      <c r="NY136" t="s">
        <v>1146</v>
      </c>
      <c r="NZ136" t="s">
        <v>1147</v>
      </c>
      <c r="OB136" t="s">
        <v>1153</v>
      </c>
      <c r="OC136" t="s">
        <v>1154</v>
      </c>
      <c r="OD136" t="s">
        <v>1155</v>
      </c>
      <c r="OE136" t="s">
        <v>1156</v>
      </c>
      <c r="OF136" t="s">
        <v>1157</v>
      </c>
      <c r="OG136" t="s">
        <v>1160</v>
      </c>
      <c r="OI136" t="s">
        <v>1153</v>
      </c>
      <c r="OJ136" t="s">
        <v>1154</v>
      </c>
      <c r="OK136" t="s">
        <v>1155</v>
      </c>
      <c r="OL136" t="s">
        <v>1156</v>
      </c>
      <c r="OM136" t="s">
        <v>1157</v>
      </c>
      <c r="OO136" t="s">
        <v>1165</v>
      </c>
      <c r="OP136" t="s">
        <v>1154</v>
      </c>
      <c r="OQ136" t="s">
        <v>1155</v>
      </c>
      <c r="OR136" t="s">
        <v>1166</v>
      </c>
      <c r="OT136" t="s">
        <v>1165</v>
      </c>
      <c r="OU136" t="s">
        <v>1154</v>
      </c>
      <c r="OV136" t="s">
        <v>1155</v>
      </c>
      <c r="OW136" t="s">
        <v>1166</v>
      </c>
      <c r="PG136" s="1" t="s">
        <v>1171</v>
      </c>
      <c r="PH136" s="1" t="s">
        <v>1147</v>
      </c>
      <c r="PI136" s="1" t="s">
        <v>1172</v>
      </c>
      <c r="PJ136" s="1" t="s">
        <v>1147</v>
      </c>
      <c r="PR136" s="1" t="s">
        <v>1720</v>
      </c>
      <c r="PS136" s="1" t="s">
        <v>1211</v>
      </c>
      <c r="PV136" t="s">
        <v>1211</v>
      </c>
      <c r="PX136" t="s">
        <v>1211</v>
      </c>
      <c r="PZ136" t="s">
        <v>1211</v>
      </c>
      <c r="QB136" t="s">
        <v>1211</v>
      </c>
      <c r="QE136" t="s">
        <v>1256</v>
      </c>
      <c r="QF136" t="s">
        <v>1448</v>
      </c>
      <c r="QG136" t="s">
        <v>1256</v>
      </c>
      <c r="QH136" t="s">
        <v>1256</v>
      </c>
      <c r="QI136" t="s">
        <v>1256</v>
      </c>
      <c r="QJ136" t="s">
        <v>1256</v>
      </c>
      <c r="QK136" t="s">
        <v>1256</v>
      </c>
    </row>
    <row r="138" spans="1:460" x14ac:dyDescent="0.25">
      <c r="A138">
        <v>1</v>
      </c>
      <c r="B138">
        <v>1</v>
      </c>
      <c r="C138">
        <v>1</v>
      </c>
      <c r="D138" t="b">
        <v>0</v>
      </c>
      <c r="E138">
        <v>1</v>
      </c>
      <c r="F138">
        <v>1</v>
      </c>
      <c r="G138">
        <v>1</v>
      </c>
      <c r="H138">
        <v>1</v>
      </c>
      <c r="I138">
        <v>1</v>
      </c>
      <c r="K138">
        <v>1</v>
      </c>
      <c r="M138">
        <f>IF(ISERROR(N138*Areal4/$N$154),0,N138*Areal4/$N$154)</f>
        <v>0</v>
      </c>
      <c r="N138">
        <f>Mark!Z138</f>
        <v>0</v>
      </c>
      <c r="P138">
        <f>VLOOKUP($E138,Afgr,NnormKolonneNr4)</f>
        <v>0</v>
      </c>
      <c r="Q138">
        <f>VLOOKUP($B138,Afgr,Data!$AI$3)*VLOOKUP(E138,Afgr,Data!$AJ$3)</f>
        <v>0</v>
      </c>
      <c r="R138">
        <f>IF($D138,0,VLOOKUP($C138,Efgr,(Data!$W$53+$G$28-1)))</f>
        <v>0</v>
      </c>
      <c r="S138">
        <f>P138-Q138-R138</f>
        <v>0</v>
      </c>
      <c r="T138">
        <f>S138*M138</f>
        <v>0</v>
      </c>
      <c r="U138">
        <f>IF(Nmodel34=1,S138*Nniveau34*0.01,AO138)</f>
        <v>0</v>
      </c>
      <c r="V138" s="3">
        <f>IF(Mark!CI138&lt;&gt;"",Mark!CI138,U138)</f>
        <v>0</v>
      </c>
      <c r="W138" s="3">
        <f>V138*M138</f>
        <v>0</v>
      </c>
      <c r="Y138">
        <f>S138/NoptFaktor</f>
        <v>0</v>
      </c>
      <c r="Z138" s="3">
        <f>IF(Mark!BZ138&lt;&gt;"",Mark!BZ138,Y138)</f>
        <v>0</v>
      </c>
      <c r="AB138">
        <f>VLOOKUP($E138,Afgr,Data!$DE$3)</f>
        <v>0</v>
      </c>
      <c r="AC138">
        <f>VLOOKUP($E138,Afgr,Data!$DD$3)</f>
        <v>0</v>
      </c>
      <c r="AD138">
        <f>VLOOKUP($E138,Afgr,Data!$DC$3)</f>
        <v>0</v>
      </c>
      <c r="AE138">
        <f>IF(ISERROR($Z138+(-PrisN/$AD138-$AB138)/(2*$AC138)),0,($Z138+(-PrisN/$AD138-$AB138)/(2*$AC138)))</f>
        <v>0</v>
      </c>
      <c r="AF138">
        <f>($BD138+$BE138+$BF138)*1.03333</f>
        <v>0</v>
      </c>
      <c r="AG138">
        <f>$AF138-($AB138*($AE138-$Z138)+$AC138*($AE138-$Z138)^2)</f>
        <v>0</v>
      </c>
      <c r="AH138">
        <f>IF(Nmodel12=1,$AB138*($AE138-$S138)+$AC138*($AE138-$S138)^2,$AB138*($AE138-$AO138)+$AC138*($AE138-$AO138)^2)</f>
        <v>0</v>
      </c>
      <c r="AI138">
        <f>IF(Nmodel34=1,$AB138*($AE138-$V138)+$AC138*($AE138-$V138)^2,$AB138*($AE138-AO138)+$AC138*($AE138-AO138)^2)</f>
        <v>0</v>
      </c>
      <c r="AJ138">
        <f>AG138+AH138-BG138</f>
        <v>0</v>
      </c>
      <c r="AK138">
        <f>AG138+AI138-AJ138</f>
        <v>0</v>
      </c>
      <c r="AM138">
        <f>VLOOKUP(E138,Afgr,Data!$DF$3+SandLer4)</f>
        <v>0</v>
      </c>
      <c r="AN138">
        <f>IF(ISERROR(((-(PrisN+Pantafgift)+AM138*Pantfaktor*Pantafgift)/AD138-AB138)/(2*AC138)),0,((-(PrisN+Pantafgift)+AM138*Pantfaktor*Pantafgift)/AD138-AB138)/(2*AC138))</f>
        <v>0</v>
      </c>
      <c r="AO138">
        <f>AE138-AN138</f>
        <v>0</v>
      </c>
      <c r="AQ138">
        <f>IF(AT138&gt;0,0,W138)</f>
        <v>0</v>
      </c>
      <c r="AR138">
        <f>IF(ISERROR(W138*HdgNTilFordeling34/NnormIaltFordel34),0,W138*HdgNTilFordeling34/NnormIaltFordel34)</f>
        <v>0</v>
      </c>
      <c r="AS138">
        <f>IF(ISERROR($AR138/$M138),0,$AR138/$M138)</f>
        <v>0</v>
      </c>
      <c r="AT138">
        <f>IF(Mark!CO138&lt;&gt;"",Mark!CO138,0)</f>
        <v>0</v>
      </c>
      <c r="AU138">
        <f>$AT138*$M138</f>
        <v>0</v>
      </c>
      <c r="AV138" s="3">
        <f>IF(AT138&gt;0,AT138,AS138)</f>
        <v>0</v>
      </c>
      <c r="AW138" s="3">
        <f>AV138*M138</f>
        <v>0</v>
      </c>
      <c r="AY138">
        <f>UdnKrav*$AV138/100</f>
        <v>0</v>
      </c>
      <c r="BA138">
        <f>AV138*VLOOKUP($E138,Afgr,Data!$DJ$3)</f>
        <v>0</v>
      </c>
      <c r="BB138">
        <f>UdnKrav*$BA138/100</f>
        <v>0</v>
      </c>
      <c r="BD138">
        <f>VLOOKUP(E138,Afgr,NormudbKolonneNr4)</f>
        <v>0</v>
      </c>
      <c r="BE138">
        <f>VLOOKUP(B138,Afgr,Data!$AL$3)*VLOOKUP(E138,Afgr,MerudbKolonneNr4)</f>
        <v>0</v>
      </c>
      <c r="BF138">
        <f>VLOOKUP(C138,Efgr,(Data!$Y$53+EftervirkningUdb4))</f>
        <v>0</v>
      </c>
      <c r="BG138">
        <f>BD138+BE138+BF138</f>
        <v>0</v>
      </c>
      <c r="BH138">
        <f>IF(OR(V138&lt;&gt;S138,Nmodel34=2),AK138,BD138+BE138+BF138)</f>
        <v>0</v>
      </c>
      <c r="BI138" s="3">
        <f>IF(Mark!AK138&lt;&gt;"",Mark!AK138,BH138)</f>
        <v>0</v>
      </c>
      <c r="BJ138">
        <f>BI138*M138</f>
        <v>0</v>
      </c>
      <c r="BK138">
        <f>VLOOKUP(E138,Afgr,3)</f>
        <v>0</v>
      </c>
      <c r="BL138">
        <f>IF(BK138="FE",VLOOKUP($E138,Afgr,Data!$AV$3),0)</f>
        <v>0</v>
      </c>
      <c r="BN138">
        <f>VLOOKUP(E138,Afgr,4)</f>
        <v>0</v>
      </c>
      <c r="BO138" s="3">
        <f>IF(Mark!AW138&lt;&gt;"",Mark!AW138,Regn!BN138)</f>
        <v>0</v>
      </c>
      <c r="BP138" s="3">
        <f>BI138*BO138</f>
        <v>0</v>
      </c>
      <c r="BQ138" s="3">
        <f>BJ138*BO138</f>
        <v>0</v>
      </c>
      <c r="BS138">
        <f>VLOOKUP(E138,Afgr,Data!$AN$3)</f>
        <v>0</v>
      </c>
      <c r="BT138" s="3">
        <f>IF(Mark!BC138&lt;&gt;"",Mark!BC138,BS138)</f>
        <v>0</v>
      </c>
      <c r="BU138" s="3">
        <f>BT138*M138</f>
        <v>0</v>
      </c>
      <c r="BW138">
        <f>VLOOKUP(E138,Afgr,HalmudbKolonneNr4)</f>
        <v>0</v>
      </c>
      <c r="BX138">
        <f>IF(ISERROR(BW138*BI138/BG138),0,(BW138*BI138/BG138))</f>
        <v>0</v>
      </c>
      <c r="BY138" s="3">
        <f>IF(Mark!BI138&lt;&gt;"",Mark!BI138,BX138)</f>
        <v>0</v>
      </c>
      <c r="BZ138">
        <f>BY138*M138</f>
        <v>0</v>
      </c>
      <c r="CC138">
        <f>IF($F138=1,BY138,0)</f>
        <v>0</v>
      </c>
      <c r="CD138">
        <f>IF(F138=1,BZ138,0)</f>
        <v>0</v>
      </c>
      <c r="CE138">
        <f>VLOOKUP(E138,Afgr,Data!$AM$3)</f>
        <v>0</v>
      </c>
      <c r="CF138">
        <f>IF(Mark!BR138&lt;&gt;"",Mark!BR138,CE138)</f>
        <v>0</v>
      </c>
      <c r="CG138">
        <f>CC138*CF138</f>
        <v>0</v>
      </c>
      <c r="CH138">
        <f>CD138*CF138</f>
        <v>0</v>
      </c>
      <c r="CJ138">
        <f>VLOOKUP($G138,Efgr,NnormKolonneEfgr4)</f>
        <v>0</v>
      </c>
      <c r="CK138">
        <f>CJ138*M138</f>
        <v>0</v>
      </c>
      <c r="CL138">
        <f>CJ138*Nniveau34*0.01</f>
        <v>0</v>
      </c>
      <c r="CM138" s="3">
        <f>IF(Mark!DM138&lt;&gt;"",Mark!DM138,CL138)</f>
        <v>0</v>
      </c>
      <c r="CN138" s="3">
        <f>$CM138*$M138</f>
        <v>0</v>
      </c>
      <c r="CP138">
        <f>IF(CS138&gt;0,0,CN138)</f>
        <v>0</v>
      </c>
      <c r="CQ138" s="12">
        <f>IF(ISERROR(CN138*HdgNTilFordeling34/NnormIaltFordel34),0,CN138*HdgNTilFordeling34/NnormIaltFordel34)</f>
        <v>0</v>
      </c>
      <c r="CR138">
        <f>IF(ISERROR($CQ138/$M138),0,$CQ138/$M138)</f>
        <v>0</v>
      </c>
      <c r="CS138">
        <f>IF(Mark!DS138&lt;&gt;"",Mark!DS138,0)</f>
        <v>0</v>
      </c>
      <c r="CT138">
        <f>$CS138*$M138</f>
        <v>0</v>
      </c>
      <c r="CU138" s="3">
        <f>IF($CS138&gt;0,$CS138,$CR138)</f>
        <v>0</v>
      </c>
      <c r="CV138" s="3">
        <f>CU138*M138</f>
        <v>0</v>
      </c>
      <c r="CX138">
        <f>UdnKrav*$CU138/100</f>
        <v>0</v>
      </c>
      <c r="CZ138">
        <f>$CU138*VLOOKUP($G138,Efgr,Data!$BG$53)</f>
        <v>0</v>
      </c>
      <c r="DA138">
        <f>UdnKrav*$CZ138/100</f>
        <v>0</v>
      </c>
      <c r="DC138">
        <f>VLOOKUP(G138,Efgr,NormudbKolonneNrEfgr4)</f>
        <v>0</v>
      </c>
      <c r="DD138" s="3">
        <f>IF(Mark!DC138&lt;&gt;"",Mark!DC138,DC138)</f>
        <v>0</v>
      </c>
      <c r="DE138">
        <f>DD138*M138</f>
        <v>0</v>
      </c>
      <c r="DF138" t="s">
        <v>37</v>
      </c>
      <c r="DG138">
        <f>DD138*Efterslaetpris</f>
        <v>0</v>
      </c>
      <c r="DH138">
        <f>DE138*Efterslaetpris</f>
        <v>0</v>
      </c>
      <c r="DI138">
        <f>VLOOKUP(G138,Efgr,Data!$AG$53)</f>
        <v>0</v>
      </c>
      <c r="DJ138">
        <f>DD138*DI138</f>
        <v>0</v>
      </c>
      <c r="DL138">
        <f>VLOOKUP($E138,Afgr,Data!$AW$3)</f>
        <v>0</v>
      </c>
      <c r="DM138">
        <f>IF(BK138="FE",$BI138*$BL138*$DL138*0.01,$BI138*100*$DR138*0.01*$DL138*0.01)</f>
        <v>0</v>
      </c>
      <c r="DN138">
        <f>IF(VLOOKUP(E138,Afgr,Data!$BO$3)=1,DM138,0)*M138</f>
        <v>0</v>
      </c>
      <c r="DO138" s="12">
        <f>IF(Nmodel34=1,(V138-S138)*VLOOKUP($E138,Afgr,Data!$AX$3),(AO138-S138)*VLOOKUP(E138,Afgr,Data!$AX$3))</f>
        <v>0</v>
      </c>
      <c r="DP138">
        <f>DL138+DO138</f>
        <v>0</v>
      </c>
      <c r="DQ138">
        <f>IF(Mark!AQ138&lt;&gt;"",Mark!AQ138,DP138)</f>
        <v>0</v>
      </c>
      <c r="DR138">
        <f>VLOOKUP(E138,Afgr,Data!$AT$3)</f>
        <v>0</v>
      </c>
      <c r="DS138">
        <f>IF($BK138="FE",$BI138*$BL138*$DQ138*0.01,$BI138*100*$DR138*0.01*DQ138*0.01)</f>
        <v>0</v>
      </c>
      <c r="DT138">
        <f>IF(VLOOKUP(E138,Afgr,Data!$BO$3)=1,DS138,0)*M138</f>
        <v>0</v>
      </c>
      <c r="DU138">
        <f>IF(ISERROR(DS138/VLOOKUP(E138,Afgr,Data!$AY$3)),0,DS138/VLOOKUP(E138,Afgr,Data!$AY$3))</f>
        <v>0</v>
      </c>
      <c r="DV138">
        <f>DU138*M138</f>
        <v>0</v>
      </c>
      <c r="DX138">
        <f>IF($BK138="FE",$BI138*$BL138*VLOOKUP($E138,Afgr,Data!$BC$3)*0.001,$BI138*100*$DR138*0.01*VLOOKUP($E138,Afgr,Data!$BC$3)*0.001)</f>
        <v>0</v>
      </c>
      <c r="DY138">
        <f>DX138*M138</f>
        <v>0</v>
      </c>
      <c r="EA138">
        <f>IF($BK138="FE",$BI138*$BL138*VLOOKUP($E138,Afgr,Data!$BF$3)*0.001,$BI138*100*$DR138*0.01*VLOOKUP($E138,Afgr,Data!$BF$3)*0.001)</f>
        <v>0</v>
      </c>
      <c r="EB138">
        <f>EA138*M138</f>
        <v>0</v>
      </c>
      <c r="ED138">
        <f>IF(ISERROR(VLOOKUP(E138,Afgr,Data!$AZ$3)*DQ138/DL138),0,VLOOKUP(E138,Afgr,Data!$AZ$3)*DQ138/DL138)</f>
        <v>0</v>
      </c>
      <c r="EE138">
        <f>VLOOKUP(E138,Afgr,Data!$AU$3)</f>
        <v>0</v>
      </c>
      <c r="EF138">
        <f>IF($F138=1,$BY138*$EE138*0.01*ED138*0.01,0)</f>
        <v>0</v>
      </c>
      <c r="EG138">
        <f>EF138/6.25</f>
        <v>0</v>
      </c>
      <c r="EH138">
        <f>EG138*M138</f>
        <v>0</v>
      </c>
      <c r="EJ138">
        <f>IF($F138=1,$BY138*$EE138*0.01*VLOOKUP($E138,Afgr,Data!$BD$3)*0.001,0)</f>
        <v>0</v>
      </c>
      <c r="EK138">
        <f>EJ138*M138</f>
        <v>0</v>
      </c>
      <c r="EM138">
        <f>IF($F138=1,$BY138*$EE138*0.01*VLOOKUP($E138,Afgr,Data!$BG$3)*0.001,0)</f>
        <v>0</v>
      </c>
      <c r="EN138">
        <f>EM138*M138</f>
        <v>0</v>
      </c>
      <c r="EP138">
        <f>VLOOKUP(G138,Efgr,Data!$AI$53)</f>
        <v>0</v>
      </c>
      <c r="EQ138">
        <f>DJ138*EP138*0.01/6.25</f>
        <v>0</v>
      </c>
      <c r="ER138">
        <f>EQ138*M138</f>
        <v>0</v>
      </c>
      <c r="ET138">
        <f>$DJ138*VLOOKUP($G138,Efgr,Data!$AJ$53)*0.001</f>
        <v>0</v>
      </c>
      <c r="EU138">
        <f>ET138*M138</f>
        <v>0</v>
      </c>
      <c r="EW138">
        <f>$DJ138*VLOOKUP($G138,Efgr,Data!$AK$53)*0.001</f>
        <v>0</v>
      </c>
      <c r="EX138">
        <f>EW138*M138</f>
        <v>0</v>
      </c>
      <c r="EZ138">
        <f>IF(VLOOKUP(E138,Afgr,Data!$DS$3)=1,DU138*VLOOKUP(E138,Afgr,(Data!$DT$3+EftervirkningUdb4))*VLOOKUP(E138,Afgr,Data!$DV$3),0)</f>
        <v>0</v>
      </c>
      <c r="FA138">
        <f>IF(VLOOKUP(E138,Afgr,Data!$DS$3)=2,VLOOKUP(E138,Afgr,Data!$DX$3),0)</f>
        <v>0</v>
      </c>
      <c r="FB138">
        <f>IF(VLOOKUP(E138,Afgr,Data!$DS$3)=3,$DU138*VLOOKUP($E138,Afgr,IF(Jordtype4&lt;5,Data!$DT$3,Data!$DU$3))*VLOOKUP($E138,Afgr,Data!$DV$3),0)</f>
        <v>0</v>
      </c>
      <c r="FC138">
        <f>IF(VLOOKUP(E138,Afgr,Data!$DS$3)=4,(1.232+0.00469*BI138*100+(0.000256*BI138*100+0.089)*60),0)</f>
        <v>0</v>
      </c>
      <c r="FD138">
        <f>$V138+IF($AY138-$BB138&gt;$V138,$AY138-$V138,0)-$BB138</f>
        <v>0</v>
      </c>
      <c r="FE138">
        <f>IF(VLOOKUP($E138,Afgr,Data!$DS$3)=5,($BI138*0.02742-$BI138*0.0001*$FD138+$BI138*0.0000001111*$FD138*$FD138),0)</f>
        <v>0</v>
      </c>
      <c r="FF138">
        <f>$CM138+IF($CX138-$DA138&gt;$CM138,$CX138-$CM138,0)-$DA138</f>
        <v>0</v>
      </c>
      <c r="FG138">
        <f>IF(VLOOKUP($G138,Efgr,Data!$BH$53)=5,($DD138*0.02742-$DD138*0.0001*$FF138+$DD138*0.0000001111*$FF138*$FF138),0)</f>
        <v>0</v>
      </c>
      <c r="FH138" s="3">
        <f>EZ138+FA138+FB138+FC138+FE138+FG138</f>
        <v>0</v>
      </c>
      <c r="FI138" s="3">
        <f>FH138*M138</f>
        <v>0</v>
      </c>
      <c r="FK138">
        <f>$V138+$CM138</f>
        <v>0</v>
      </c>
      <c r="FL138">
        <f>($AV138-$AY138)+IF($AY138&gt;$V138,$AY138-$V138,0)+($CU138-$CX138)+IF($CX138&gt;$CM138,$CX138-$CM138,0)</f>
        <v>0</v>
      </c>
      <c r="FM138">
        <f>VLOOKUP($E138,Afgr,Data!$DK$3)*VLOOKUP($E138,Afgr,Data!$AT$3)*0.01*VLOOKUP($E138,Afgr,Data!$AW$3)*0.01/6.25</f>
        <v>0</v>
      </c>
      <c r="FN138" s="4">
        <f>IF(E138&gt;1,Deposition,0)</f>
        <v>0</v>
      </c>
      <c r="FO138">
        <f>FH138</f>
        <v>0</v>
      </c>
      <c r="FP138">
        <f>SUM(FK138:FO138)</f>
        <v>0</v>
      </c>
      <c r="FQ138">
        <f>DU138+EG138+EQ138</f>
        <v>0</v>
      </c>
      <c r="FR138" s="3">
        <f>FP138-FQ138</f>
        <v>0</v>
      </c>
      <c r="FS138" s="19">
        <f>FP138*M138</f>
        <v>0</v>
      </c>
      <c r="FT138" s="19">
        <f>FQ138*M138</f>
        <v>0</v>
      </c>
      <c r="FU138" s="3">
        <f>FR138*M138</f>
        <v>0</v>
      </c>
      <c r="FW138">
        <f>IL138+IM138+LP138+LQ138</f>
        <v>0</v>
      </c>
      <c r="FX138">
        <f>IK138+LO138</f>
        <v>0</v>
      </c>
      <c r="FY138">
        <f>FW138-FX138</f>
        <v>0</v>
      </c>
      <c r="FZ138">
        <f>FY138*M138</f>
        <v>0</v>
      </c>
      <c r="GB138">
        <f>IS138+IT138+LV138+LW138</f>
        <v>0</v>
      </c>
      <c r="GC138">
        <f>IR138+LU138</f>
        <v>0</v>
      </c>
      <c r="GD138">
        <f>GB138-GC138</f>
        <v>0</v>
      </c>
      <c r="GE138">
        <f>GD138*M138</f>
        <v>0</v>
      </c>
      <c r="GG138" s="149">
        <f>IF(OR(VLOOKUP(E138,Afgr,Data!$BV$3)=1,VLOOKUP(E138,Afgr,Data!$BW$3)=1),0,NniveauDelsaedsk4)</f>
        <v>0</v>
      </c>
      <c r="GH138" s="1">
        <v>0.32550000000000001</v>
      </c>
      <c r="GI138" s="6">
        <v>0</v>
      </c>
      <c r="GJ138" s="24">
        <f>IF(($V138-BB138+$CM138-DA138)&lt;0,0,$V138-BB138+$CM138-DA138)</f>
        <v>0</v>
      </c>
      <c r="GK138" s="6">
        <f>$FO138</f>
        <v>0</v>
      </c>
      <c r="GL138" s="1">
        <v>0.25280000000000002</v>
      </c>
      <c r="GM138">
        <f>$BA138+$CZ138</f>
        <v>0</v>
      </c>
      <c r="GN138" s="1">
        <v>0.376</v>
      </c>
      <c r="GO138" s="6">
        <v>0</v>
      </c>
      <c r="GP138" s="1">
        <f>IF(SandLer4&gt;1,0.3539,1.0749)</f>
        <v>0.35389999999999999</v>
      </c>
      <c r="GQ138" s="11">
        <f>$FQ138</f>
        <v>0</v>
      </c>
      <c r="GR138" s="1">
        <v>0.19359999999999999</v>
      </c>
      <c r="GS138" s="1">
        <f>VLOOKUP($E138,Afgr,Data!$DM$3)</f>
        <v>0</v>
      </c>
      <c r="GT138" s="24">
        <f>IF($GS138&gt;1,0,(VLOOKUP($K138,Afgr,Data!$DP$3)+IF(VLOOKUP($K138,Afgr,Data!$DP$3)=0,VLOOKUP($G138,Efgr,Data!$BI$53,0))))+IF(AND($GS138=7,VLOOKUP($K138,Afgr,Data!$DQ$3)=-2),-2,0)+IF(AND($GS138=6,VLOOKUP($G138,Efgr,Data!$BI$53)=2),8,0)</f>
        <v>0</v>
      </c>
      <c r="GU138" s="6" t="e">
        <f>VLOOKUP(SUM(GS138:GT138),Nlesafgr,3)</f>
        <v>#N/A</v>
      </c>
      <c r="GV138" s="7">
        <f>VLOOKUP($B138,Afgr,Data!$DN$3)</f>
        <v>0</v>
      </c>
      <c r="GW138" s="24">
        <f>IF(GV138&gt;1,0,VLOOKUP($E138,Afgr,Data!$DO$3)+IF(VLOOKUP($E138,Afgr,Data!$DO$3)=1,0,VLOOKUP($C138,Efgr,Data!$BJ$53)))</f>
        <v>0</v>
      </c>
      <c r="GX138" s="6" t="e">
        <f>VLOOKUP(SUM(GV138:GW138),Nlesforfrugt,3)</f>
        <v>#N/A</v>
      </c>
      <c r="GY138" s="1" t="e">
        <f>GH138*GG138+GL138*(GJ138+GK138)+GN138*GM138+GP138*GO138-GR138*GQ138+GU138+GX138</f>
        <v>#N/A</v>
      </c>
      <c r="GZ138" s="1">
        <f>Nlesafskaering</f>
        <v>59.6</v>
      </c>
      <c r="HA138" s="1">
        <f>Teknologi1</f>
        <v>2455</v>
      </c>
      <c r="HB138" s="6">
        <v>2001</v>
      </c>
      <c r="HC138" s="1">
        <f>Teknologi2</f>
        <v>1962.2</v>
      </c>
      <c r="HD138" s="1">
        <f>Tandel</f>
        <v>0.54659999999999997</v>
      </c>
      <c r="HE138" s="1" t="e">
        <f>IF(OR(GY138&gt;0,GY138=0),GZ138+HA138/(HB138-HC138),GZ138+HA138/(HB138-HC138)+HD138*GY138)</f>
        <v>#N/A</v>
      </c>
      <c r="HF138" s="1" t="e">
        <f>IF(GY138&gt;0,GY138,0.001)</f>
        <v>#N/A</v>
      </c>
      <c r="HG138" s="1">
        <v>1.5020000000000001E-3</v>
      </c>
      <c r="HH138" s="24">
        <f>IF(E138=1,0,VLOOKUP(Postnr,AfstromData,VLOOKUP($E138,Afgr,Data!$DL$3)+IF(Jordtype1&lt;7,Jordtype1,6),FALSE)-VLOOKUP(G138,Efgr,Data!$AA$53))</f>
        <v>0</v>
      </c>
      <c r="HI138" s="1">
        <v>5.5400000000000002E-4</v>
      </c>
      <c r="HJ138" s="24">
        <f>IF(E138=1,0,VLOOKUP(Postnr,AfstromData,VLOOKUP($B138,Afgr,Data!$DL$3)+IF(Jordtype1&lt;7,Jordtype1,6),FALSE)-VLOOKUP(C138,Efgr,Data!$AA$53))</f>
        <v>0</v>
      </c>
      <c r="HK138" s="1">
        <v>0.10639999999999999</v>
      </c>
      <c r="HL138" s="6">
        <f>VLOOKUP(Jordtype4,Jordtype,Data!$W$112)</f>
        <v>3</v>
      </c>
      <c r="HM138" s="1">
        <v>3.2500000000000001E-2</v>
      </c>
      <c r="HN138" s="6">
        <f>VLOOKUP(Jordtype4,Jordtype,Data!$X$112)</f>
        <v>12</v>
      </c>
      <c r="HO138" s="1">
        <v>1.2453000000000001</v>
      </c>
      <c r="HP138" s="1">
        <f>IF(VLOOKUP(G138,Efgr,Data!$AO$53)=1,MlafgrNUdvask,0)</f>
        <v>0</v>
      </c>
      <c r="HQ138" s="20">
        <f>IF(ISERROR((HE138+POWER(HF138,1.2))*(1-EXP(-HG138*HH138))*EXP(-HI138*HJ138)*EXP(-HK138*HL138)*EXP(-HM138*HN138)*HO138),0,(HE138+POWER(HF138,1.2))*(1-EXP(-HG138*HH138))*EXP(-HI138*HJ138)*EXP(-HK138*HL138)*EXP(-HM138*HN138)*HO138+HP138)</f>
        <v>0</v>
      </c>
      <c r="HR138">
        <f>HQ138*M138</f>
        <v>0</v>
      </c>
      <c r="HS138">
        <f>HQ138*(100-Retention4)*0.01</f>
        <v>0</v>
      </c>
      <c r="HT138">
        <f>HS138*M138</f>
        <v>0</v>
      </c>
      <c r="HU138" s="2">
        <f>HH138*10000</f>
        <v>0</v>
      </c>
      <c r="HV138" s="2">
        <f>HU138*M138</f>
        <v>0</v>
      </c>
      <c r="HW138">
        <f>IF(ISERROR(HQ138*1000*1000/HU138),0,HQ138*1000*1000/HU138)</f>
        <v>0</v>
      </c>
      <c r="HY138">
        <f>BP138+BT138+CG138+DG138</f>
        <v>0</v>
      </c>
      <c r="IB138">
        <f>VLOOKUP(E138,Afgr,Data!$AP$3)*UdsaedJust</f>
        <v>0</v>
      </c>
      <c r="IC138" s="3">
        <f>IF(Mark!EG138&lt;&gt;"",Mark!EG138,Regn!IB138)</f>
        <v>0</v>
      </c>
      <c r="ID138" s="3">
        <f>IC138*M138</f>
        <v>0</v>
      </c>
      <c r="IF138" s="3">
        <f>IF(HdgVaerdi=1,($V138-$AY138)*Npris,$V138*Npris)</f>
        <v>0</v>
      </c>
      <c r="IG138" s="3">
        <f>IF138*M138</f>
        <v>0</v>
      </c>
      <c r="II138">
        <f>VLOOKUP($E138,Afgr,Data!$BA$3)</f>
        <v>0</v>
      </c>
      <c r="IJ138">
        <f>VLOOKUP($E138,Afgr,Data!$BB$3)</f>
        <v>0</v>
      </c>
      <c r="IK138">
        <f>$DX138+$EJ138</f>
        <v>0</v>
      </c>
      <c r="IL138">
        <f>IF(HdgDyreart=2,$AV138*NPforholdSvin,$AV138*NPforholdKvaeg)</f>
        <v>0</v>
      </c>
      <c r="IM138">
        <f>II138+IF($IJ138+$IK138&gt;$IL138,($IJ138+$IK138-$IL138),0)</f>
        <v>0</v>
      </c>
      <c r="IN138" s="3">
        <f>IF(HdgVaerdi=1,($II138*Ppris+IF($IJ138+$IK138&gt;$IL138,($IJ138+$IK138-$IL138)*Ppris,0)),($II138+$IJ138+$IK138)*Ppris)</f>
        <v>0</v>
      </c>
      <c r="IO138" s="3">
        <f>IN138*M138</f>
        <v>0</v>
      </c>
      <c r="IQ138">
        <f>IF(AND(E138&gt;1,OR(Jordtype4=1,Jordtype4=3,Markvand4=2)),Kudvask,0)</f>
        <v>0</v>
      </c>
      <c r="IR138">
        <f>$EA138+$EM138</f>
        <v>0</v>
      </c>
      <c r="IS138">
        <f>IF(HdgDyreart=2,$AV138*NKforholdSvin,$AV138*NkforholdKvaeg)</f>
        <v>0</v>
      </c>
      <c r="IT138">
        <f>IF($IQ138+$IR138&gt;$IS138,($IQ138+$IR138-$IS138),0)</f>
        <v>0</v>
      </c>
      <c r="IU138" s="3">
        <f>IF(HdgVaerdi=1,IF($IQ138+$IR138&gt;$IS138,($IQ138+$IR138-$IS138)*Kpris,0),($IQ138+$IR138)*Kpris)</f>
        <v>0</v>
      </c>
      <c r="IV138" s="3">
        <f>IU138*M138</f>
        <v>0</v>
      </c>
      <c r="IX138">
        <f>IF138+IN138+IU138</f>
        <v>0</v>
      </c>
      <c r="IY138" s="3">
        <f>IF(Mark!EM138&lt;&gt;"",Mark!EM138,$IX138)</f>
        <v>0</v>
      </c>
      <c r="IZ138" s="3">
        <f>IY138*M138</f>
        <v>0</v>
      </c>
      <c r="JB138">
        <f>VLOOKUP(E138,Afgr,Data!$AQ$3)*PlantevJust</f>
        <v>0</v>
      </c>
      <c r="JC138" s="3">
        <f>IF(Mark!ES138&lt;&gt;"",Mark!ES138,JB138)</f>
        <v>0</v>
      </c>
      <c r="JD138" s="3">
        <f>JC138*M138</f>
        <v>0</v>
      </c>
      <c r="JF138">
        <f>VLOOKUP(E138,Afgr,Data!$AR$3)+BI138*VLOOKUP(E138,Afgr,Data!$BH$3)</f>
        <v>0</v>
      </c>
      <c r="JG138" s="3">
        <f>IF(Mark!EY138&lt;&gt;"",Mark!EY138,JF138)</f>
        <v>0</v>
      </c>
      <c r="JH138">
        <f>JG138*M138</f>
        <v>0</v>
      </c>
      <c r="JJ138">
        <f>IC138+IY138+JC138+JG138</f>
        <v>0</v>
      </c>
      <c r="JL138">
        <f>IF(VLOOKUP(E138,Afgr,Data!$BY$3)&gt;0,Data!$K$259*PlojJB4,0)</f>
        <v>0</v>
      </c>
      <c r="JM138">
        <f>IF(VLOOKUP(E138,Afgr,Data!$BZ$3)&gt;0,Data!$K$260*PlojJB4,0)</f>
        <v>0</v>
      </c>
      <c r="JN138">
        <f>(JL138+JM138)*MaskJust</f>
        <v>0</v>
      </c>
      <c r="JO138" s="3">
        <f>IF(Mark!FE138&lt;&gt;"",Mark!FE138,JN138)</f>
        <v>0</v>
      </c>
      <c r="JP138" s="3">
        <f>JO138*M138</f>
        <v>0</v>
      </c>
      <c r="JR138">
        <f>IF(VLOOKUP(E138,Afgr,Data!$CA$3)&gt;0,VLOOKUP(E138,Afgr,Data!$CA$3)*Data!$K$261*SaaJB4,0)</f>
        <v>0</v>
      </c>
      <c r="JS138">
        <f>IF(VLOOKUP(E138,Afgr,Data!$CC$3)&gt;0,Data!$K$262*SaaJB4,0)</f>
        <v>0</v>
      </c>
      <c r="JT138">
        <f>IF(VLOOKUP(E138,Afgr,Data!$CD$3)&gt;0,VLOOKUP(E138,Afgr,Data!$CD$3)*Data!$K$263*SaaJB4,0)</f>
        <v>0</v>
      </c>
      <c r="JU138">
        <f>IF(VLOOKUP(E138,Afgr,Data!$CE$3)&gt;0,Data!$K$264*SaaJB4,0)</f>
        <v>0</v>
      </c>
      <c r="JV138">
        <f>IF(VLOOKUP(E138,Afgr,Data!$CF$3)&gt;0,Data!$K$265*SaaJB4,0)</f>
        <v>0</v>
      </c>
      <c r="JW138">
        <f>IF(VLOOKUP(E138,Afgr,Data!$CV$3)&gt;0,Data!$K$266,0)</f>
        <v>0</v>
      </c>
      <c r="JX138">
        <f>IF(VLOOKUP(E138,Afgr,Data!$CG$3)&gt;0,Data!$K$267*SaaJB4,0)</f>
        <v>0</v>
      </c>
      <c r="JY138">
        <f>(JR138+JS138+JT138+JU138+JV138+JW138+JX138)*MaskJust</f>
        <v>0</v>
      </c>
      <c r="JZ138" s="3">
        <f>IF(Mark!FK138&lt;&gt;"",Mark!FK138,JY138)</f>
        <v>0</v>
      </c>
      <c r="KA138" s="3">
        <f>JZ138*M138</f>
        <v>0</v>
      </c>
      <c r="KC138">
        <f>IF(VLOOKUP(E138,Afgr,Data!$CJ$3)&gt;0,VLOOKUP(E138,Afgr,Data!$CJ$3)*Data!$K$268*SaaJB4,0)*MaskJust</f>
        <v>0</v>
      </c>
      <c r="KD138" s="3">
        <f>IF(Mark!FQ138&lt;&gt;"",Mark!FQ138,KC138)</f>
        <v>0</v>
      </c>
      <c r="KE138" s="3">
        <f>KD138*M138</f>
        <v>0</v>
      </c>
      <c r="KG138">
        <f>IF(VLOOKUP(E138,Afgr,Data!$CI$3)&gt;0,VLOOKUP(E138,Afgr,Data!$CI$3)*Data!$K$269,0)*MaskJust</f>
        <v>0</v>
      </c>
      <c r="KH138" s="3">
        <f>IF(Mark!FW138&lt;&gt;"",Mark!FW138,KG138)</f>
        <v>0</v>
      </c>
      <c r="KI138" s="3">
        <f>KH138*M138</f>
        <v>0</v>
      </c>
      <c r="KK138">
        <f>IF(Markvand4=2,VLOOKUP($E138,Afgr,Data!$CY$3),0)</f>
        <v>0</v>
      </c>
      <c r="KL138">
        <f>IF(Mark!GC138&lt;&gt;"",Mark!GC138,$KK138)</f>
        <v>0</v>
      </c>
      <c r="KM138">
        <f>IF(AND(E138&gt;1,Markvand4=2),Vandmaskin+$KL138*Flytning/mmprgang+$KL138*Prisprmm,0)</f>
        <v>0</v>
      </c>
      <c r="KN138" s="3">
        <f>IF(Mark!GI138&lt;&gt;"",Mark!GI138,$KM138)</f>
        <v>0</v>
      </c>
      <c r="KO138" s="3">
        <f>KN138*M138</f>
        <v>0</v>
      </c>
      <c r="KQ138">
        <f>IF(VLOOKUP($E138,Afgr,Data!$CK$3)&gt;0,((1+Regn!$BI138/VLOOKUP($E138,Afgr,Data!$CK$3))/2)*VLOOKUP($E138,Afgr,Data!$CL$3)*VLOOKUP($E138,Afgr,Data!$CN$3)+VLOOKUP($E138,Afgr,Data!$CM$3),0)</f>
        <v>0</v>
      </c>
      <c r="KR138">
        <f>IF(VLOOKUP($E138,Afgr,Data!$CK$3)&gt;0,IF(AND($F138=2,$BW138&gt;0),Data!$K$271,0),0)</f>
        <v>0</v>
      </c>
      <c r="KS138">
        <f>IF(VLOOKUP($E138,Afgr,Data!$CK$3)&gt;0,(Regn!$BI138/VLOOKUP($E138,Afgr,Data!$CK$3))*VLOOKUP($E138,Afgr,Data!$CO$3)*VLOOKUP($E138,Afgr,Data!$CN$3),0)</f>
        <v>0</v>
      </c>
      <c r="KT138">
        <f>(KQ138+KR138+KS138)*MaskJust</f>
        <v>0</v>
      </c>
      <c r="KU138" s="3">
        <f>IF(Mark!GO138&lt;&gt;"",Mark!GO138,KT138)</f>
        <v>0</v>
      </c>
      <c r="KV138" s="3">
        <f>KU138*M138</f>
        <v>0</v>
      </c>
      <c r="KW138" s="3"/>
      <c r="KX138">
        <f>IF(AND($F138=1,VLOOKUP($E138,Afgr,Data!$CP$3)&gt;0),((1+$BY138/VLOOKUP($E138,Afgr,Data!$CP$3))/2)*VLOOKUP($E138,Afgr,Data!$CQ$3),0)</f>
        <v>0</v>
      </c>
      <c r="KY138">
        <f>IF(AND($F138=1,VLOOKUP($E138,Afgr,Data!$CP$3)&gt;0),($BY138/VLOOKUP($E138,Afgr,Data!$CP$3))*VLOOKUP($E138,Afgr,Data!$CR$3),0)</f>
        <v>0</v>
      </c>
      <c r="KZ138">
        <f>(KX138+KY138)*MaskJust</f>
        <v>0</v>
      </c>
      <c r="LA138" s="3">
        <f>IF(Mark!GU138&lt;&gt;"",Mark!GU138,KZ138)</f>
        <v>0</v>
      </c>
      <c r="LB138" s="3">
        <f>LA138*M138</f>
        <v>0</v>
      </c>
      <c r="LD138">
        <f>$BI138*VLOOKUP($E138,Afgr,Data!$CS$3)*IF($I138=1,VLOOKUP($E138,Afgr,Data!$CT$3),IF($I138=2,VLOOKUP($E138,Afgr,Data!$CU$3),0))</f>
        <v>0</v>
      </c>
      <c r="LE138" s="3">
        <f>IF(Mark!HD138&lt;&gt;"",Mark!HD138,LD138)</f>
        <v>0</v>
      </c>
      <c r="LF138" s="3">
        <f>LE138*M138</f>
        <v>0</v>
      </c>
      <c r="LH138">
        <f>VLOOKUP($G138,Efgr,Data!$AC$53)*UdsaedJust</f>
        <v>0</v>
      </c>
      <c r="LI138" s="3">
        <f>IF(Mark!$HL138&lt;&gt;"",Mark!$HL138,LH138)</f>
        <v>0</v>
      </c>
      <c r="LJ138" s="3">
        <f>LI138*M138</f>
        <v>0</v>
      </c>
      <c r="LL138" s="3">
        <f>IF(HdgVaerdi=1,($CM138-$CX138)*Npris,$CM138*Npris)</f>
        <v>0</v>
      </c>
      <c r="LM138" s="3">
        <f>LL138*M138</f>
        <v>0</v>
      </c>
      <c r="LO138">
        <f>$ET138</f>
        <v>0</v>
      </c>
      <c r="LP138">
        <f>IF(HdgDyreart=2,$CU138*NPforholdSvin,$CU138*NPforholdKvaeg)</f>
        <v>0</v>
      </c>
      <c r="LQ138">
        <f>IF($LO138&gt;$LP138,($LO138-$LP138),0)</f>
        <v>0</v>
      </c>
      <c r="LR138" s="3">
        <f>IF(HdgVaerdi=1,IF($LO138&gt;$LP138,($LO138-$LP138)*Ppris,0),$LO138*Ppris)</f>
        <v>0</v>
      </c>
      <c r="LS138" s="3">
        <f>LR138*M138</f>
        <v>0</v>
      </c>
      <c r="LU138">
        <f>$EW138</f>
        <v>0</v>
      </c>
      <c r="LV138">
        <f>IF(HdgDyreart=2,$CU138*NKforholdSvin,$CU138*NkforholdKvaeg)</f>
        <v>0</v>
      </c>
      <c r="LW138">
        <f>IF($LU138&gt;$LV138,($LU138-$LV138),0)</f>
        <v>0</v>
      </c>
      <c r="LX138" s="3">
        <f>IF(HdgVaerdi=1,IF($LU138&gt;$LV138,($LU138-$LV138)*Ppris,0),$LU138*Ppris)</f>
        <v>0</v>
      </c>
      <c r="LY138" s="3">
        <f>LX138*M138</f>
        <v>0</v>
      </c>
      <c r="MA138">
        <f>LL138+LR138+LX138</f>
        <v>0</v>
      </c>
      <c r="MB138" s="3">
        <f>IF(Mark!HR138&lt;&gt;"",Mark!HR138,$MA138)</f>
        <v>0</v>
      </c>
      <c r="MC138" s="3">
        <f>MB138*M138</f>
        <v>0</v>
      </c>
      <c r="ME138">
        <f>VLOOKUP($G138,Efgr,Data!$AE$53)*PlantevJust</f>
        <v>0</v>
      </c>
      <c r="MF138" s="3">
        <f>IF(Mark!HX138&lt;&gt;"",Mark!HX138,ME138)</f>
        <v>0</v>
      </c>
      <c r="MG138" s="3">
        <f>MF138*M138</f>
        <v>0</v>
      </c>
      <c r="MI138">
        <f>VLOOKUP($G138,Efgr,Data!$AF$53)+$DD138*VLOOKUP($G138,Efgr,Data!$AL$53)</f>
        <v>0</v>
      </c>
      <c r="MJ138" s="3">
        <f>IF(Mark!ID138&lt;&gt;"",Mark!ID138,MI138)</f>
        <v>0</v>
      </c>
      <c r="MK138" s="3">
        <f>MJ138*M138</f>
        <v>0</v>
      </c>
      <c r="MM138">
        <f>LI138+MB138+MF138+MJ138</f>
        <v>0</v>
      </c>
      <c r="MO138">
        <f>VLOOKUP($G138,Efgr,Data!$AU$53)*SaaJB4*MaskJust</f>
        <v>0</v>
      </c>
      <c r="MP138" s="3">
        <f>IF(Mark!IJ138&lt;&gt;"",Mark!IJ138,MO138)</f>
        <v>0</v>
      </c>
      <c r="MQ138" s="3">
        <f>MP138*M138</f>
        <v>0</v>
      </c>
      <c r="MS138">
        <f>VLOOKUP($G138,Efgr,Data!$AW$53)*Data!$K$268*SaaJB4*MaskJust</f>
        <v>0</v>
      </c>
      <c r="MT138" s="3">
        <f>IF(Mark!IP138&lt;&gt;"",Mark!IP138,MS138)</f>
        <v>0</v>
      </c>
      <c r="MU138" s="3">
        <f>MT138*M138</f>
        <v>0</v>
      </c>
      <c r="MW138">
        <f>VLOOKUP($G138,Efgr,Data!$AV$53)*Data!$K$269*MaskJust</f>
        <v>0</v>
      </c>
      <c r="MX138" s="3">
        <f>IF(Mark!IV138&lt;&gt;"",Mark!IV138,MW138)</f>
        <v>0</v>
      </c>
      <c r="MY138" s="3">
        <f>MX138*M138</f>
        <v>0</v>
      </c>
      <c r="NA138">
        <f>IF(Markvand4=2,VLOOKUP($G138,Efgr,Data!$BC$53),0)</f>
        <v>0</v>
      </c>
      <c r="NB138">
        <f>IF(Mark!JB138&lt;&gt;"",Mark!JB138,$NA138)</f>
        <v>0</v>
      </c>
      <c r="NC138">
        <f>IF(Markvand4=2,$NB138*Flytning/mmprgang+$NB138*Prisprmm,0)</f>
        <v>0</v>
      </c>
      <c r="ND138" s="3">
        <f>IF(Mark!JH138&lt;&gt;"",Mark!JH138,$NC138)</f>
        <v>0</v>
      </c>
      <c r="NE138" s="3">
        <f>ND138*M138</f>
        <v>0</v>
      </c>
      <c r="NG138">
        <f>IF(VLOOKUP($G138,Efgr,Data!$AX$53)&gt;0,((1+Regn!DD138/VLOOKUP($G138,Efgr,Data!$AX$53))/2)*VLOOKUP($G138,Efgr,Data!$AY$53)*VLOOKUP($G138,Efgr,Data!$BA$53)+VLOOKUP($G138,Efgr,Data!$AZ$53),0)</f>
        <v>0</v>
      </c>
      <c r="NH138">
        <f>IF(VLOOKUP($G138,Efgr,Data!$AX$53)&gt;0,($DD138/VLOOKUP($G138,Efgr,Data!$AX$53))*VLOOKUP($G138,Efgr,Data!$BB$53)*VLOOKUP($G138,Efgr,Data!$BA$53),0)</f>
        <v>0</v>
      </c>
      <c r="NI138">
        <f>(NG138+NH138)*MaskJust</f>
        <v>0</v>
      </c>
      <c r="NJ138" s="3">
        <f>IF(Mark!JN138&lt;&gt;"",Mark!JN138,NI138)</f>
        <v>0</v>
      </c>
      <c r="NK138" s="3">
        <f>NJ138*M138</f>
        <v>0</v>
      </c>
      <c r="NM138">
        <f>IF($H138=2,Data!$K$304,IF($H138=3,Data!$K$305,0))*MaskJust</f>
        <v>0</v>
      </c>
      <c r="NN138" s="3">
        <f>IF(Mark!JT138&lt;&gt;"",Mark!JT138,NM138)</f>
        <v>0</v>
      </c>
      <c r="NO138" s="3">
        <f>NN138*M138</f>
        <v>0</v>
      </c>
      <c r="NQ138">
        <f>HY138</f>
        <v>0</v>
      </c>
      <c r="NR138">
        <f>JJ138+MM138</f>
        <v>0</v>
      </c>
      <c r="NS138">
        <f>NQ138-NR138</f>
        <v>0</v>
      </c>
      <c r="NT138">
        <f>NS138*M138</f>
        <v>0</v>
      </c>
      <c r="NW138">
        <f>VLOOKUP($B138,Afgr,Data!$BP$3)+VLOOKUP($C138,Efgr,Data!$AM$53)</f>
        <v>0</v>
      </c>
      <c r="NX138" s="3">
        <f>NW138*M138</f>
        <v>0</v>
      </c>
      <c r="NY138">
        <f>VLOOKUP($E138,Afgr,Data!$BP$3)+VLOOKUP($G138,Efgr,Data!$AM$53)</f>
        <v>0</v>
      </c>
      <c r="NZ138" s="3">
        <f>NY138*M138</f>
        <v>0</v>
      </c>
      <c r="OB138">
        <f>VLOOKUP($C138,Efgr,Data!$AN$53)</f>
        <v>0</v>
      </c>
      <c r="OC138">
        <f>VLOOKUP($B138,Afgr,Data!$BQ$3)</f>
        <v>0</v>
      </c>
      <c r="OD138">
        <f>VLOOKUP($E138,Afgr,Data!$BR$3)</f>
        <v>1</v>
      </c>
      <c r="OE138">
        <f>OB138*OC138*OD138</f>
        <v>0</v>
      </c>
      <c r="OF138" s="3">
        <f>OE138*M138</f>
        <v>0</v>
      </c>
      <c r="OG138" s="3">
        <f>IF(D138,1,0)*OF138</f>
        <v>0</v>
      </c>
      <c r="OI138">
        <f>VLOOKUP($G138,Efgr,Data!$AN$53)</f>
        <v>0</v>
      </c>
      <c r="OJ138">
        <f>VLOOKUP($E138,Afgr,Data!$BQ$3)</f>
        <v>0</v>
      </c>
      <c r="OK138">
        <f>VLOOKUP($K138,Afgr,Data!$BR$3)</f>
        <v>1</v>
      </c>
      <c r="OL138">
        <f>OI138*OJ138*OK138</f>
        <v>0</v>
      </c>
      <c r="OM138" s="3">
        <f>OL138*M138</f>
        <v>0</v>
      </c>
      <c r="OO138">
        <f>VLOOKUP($G138,Efgr,Data!$AO$53)</f>
        <v>0</v>
      </c>
      <c r="OP138">
        <f>VLOOKUP($B138,Afgr,Data!$BQ$3)</f>
        <v>0</v>
      </c>
      <c r="OQ138">
        <f>VLOOKUP($E138,Afgr,Data!$BS$3)</f>
        <v>0</v>
      </c>
      <c r="OR138" s="3">
        <f>OO138*OP138*OQ138*$M138</f>
        <v>0</v>
      </c>
      <c r="OT138">
        <f>VLOOKUP($G138,Efgr,Data!$AO$53)</f>
        <v>0</v>
      </c>
      <c r="OU138">
        <f>VLOOKUP($E138,Afgr,Data!$BQ$3)</f>
        <v>0</v>
      </c>
      <c r="OV138">
        <f>VLOOKUP($K138,Afgr,Data!$BS$3)</f>
        <v>0</v>
      </c>
      <c r="OW138" s="3">
        <f>OT138*OU138*OV138*$M138</f>
        <v>0</v>
      </c>
      <c r="OX138" s="3"/>
      <c r="OY138" s="3">
        <f>VLOOKUP($B138,Afgr,Data!$BU$3)</f>
        <v>0</v>
      </c>
      <c r="OZ138" s="3">
        <f>OY138*M138</f>
        <v>0</v>
      </c>
      <c r="PA138" s="3">
        <f>VLOOKUP($E138,Afgr,Data!$BU$3)</f>
        <v>0</v>
      </c>
      <c r="PB138" s="3">
        <f>PA138*M138</f>
        <v>0</v>
      </c>
      <c r="PD138">
        <f>VLOOKUP(E138,Afgr,Data!$BX$3)+VLOOKUP(G138,Efgr,Data!$AQ$53)</f>
        <v>0</v>
      </c>
      <c r="PE138">
        <f>IF(PD138&gt;0,M138,0)</f>
        <v>0</v>
      </c>
      <c r="PG138">
        <f>VLOOKUP($B138,Afgr,Data!$BT$3)</f>
        <v>0</v>
      </c>
      <c r="PH138" s="3">
        <f>PG138*M138</f>
        <v>0</v>
      </c>
      <c r="PI138">
        <f>VLOOKUP($E138,Afgr,Data!$BT$3)</f>
        <v>0</v>
      </c>
      <c r="PJ138" s="3">
        <f>PI138*M138</f>
        <v>0</v>
      </c>
      <c r="PL138">
        <f>VLOOKUP($E138,Afgr,Data!$BV$3)</f>
        <v>0</v>
      </c>
      <c r="PM138">
        <f>PL138*M138</f>
        <v>0</v>
      </c>
      <c r="PO138">
        <f>VLOOKUP($E138,Afgr,Data!$BW$3)</f>
        <v>0</v>
      </c>
      <c r="PP138">
        <f>PO138*M138</f>
        <v>0</v>
      </c>
      <c r="PR138">
        <f>BI138*IF(VLOOKUP($E138,Afgr,Data!$BJ$3)&gt;0,1,0)</f>
        <v>0</v>
      </c>
      <c r="PS138">
        <f>PR138*M138</f>
        <v>0</v>
      </c>
      <c r="PU138">
        <f>BI138*VLOOKUP(E138,Afgr,Data!$BK$3)</f>
        <v>0</v>
      </c>
      <c r="PV138">
        <f>M138*PU138</f>
        <v>0</v>
      </c>
      <c r="PW138">
        <f>$BI138*VLOOKUP($E138,Afgr,Data!$BL$3)+$DD138*VLOOKUP($G138,Efgr,Data!$AP$53)</f>
        <v>0</v>
      </c>
      <c r="PX138">
        <f>PW138*M138</f>
        <v>0</v>
      </c>
      <c r="PY138">
        <f>$BI138*VLOOKUP($E138,Afgr,Data!$BM$3)</f>
        <v>0</v>
      </c>
      <c r="PZ138">
        <f>PY138*M138</f>
        <v>0</v>
      </c>
      <c r="QA138">
        <f>$BI138*VLOOKUP($E138,Afgr,Data!$BN$3)</f>
        <v>0</v>
      </c>
      <c r="QB138">
        <f>QA138*M138</f>
        <v>0</v>
      </c>
      <c r="QE138">
        <f>IF(VLOOKUP($E138,Afgr,Data!$DA$3)="Vårbyg",$BJ138,0)*VLOOKUP($E138,Afgr,Data!$BJ$3)</f>
        <v>0</v>
      </c>
      <c r="QF138">
        <f>IF(VLOOKUP($E138,Afgr,Data!$DA$3)="Vinterbyg",$BJ138,0)*VLOOKUP($E138,Afgr,Data!$BJ$3)</f>
        <v>0</v>
      </c>
      <c r="QG138">
        <f>IF(VLOOKUP($E138,Afgr,Data!$DA$3)="Havre",$BJ138,0)*VLOOKUP($E138,Afgr,Data!$BJ$3)</f>
        <v>0</v>
      </c>
      <c r="QH138">
        <f>IF(VLOOKUP($E138,Afgr,Data!$DA$3)="Hvede",$BJ138,0)*VLOOKUP($E138,Afgr,Data!$BJ$3)</f>
        <v>0</v>
      </c>
      <c r="QI138">
        <f>IF(VLOOKUP($E138,Afgr,Data!$DA$3)="Triticale",$BJ138,0)*VLOOKUP($E138,Afgr,Data!$BJ$3)</f>
        <v>0</v>
      </c>
      <c r="QJ138">
        <f>IF(VLOOKUP($E138,Afgr,Data!$DA$3)="Rug",$BJ138,0)*VLOOKUP($E138,Afgr,Data!$BJ$3)</f>
        <v>0</v>
      </c>
      <c r="QK138">
        <f>IF(VLOOKUP($E138,Afgr,Data!$DA$3)="Majs",$BJ138,0)*VLOOKUP($E138,Afgr,Data!$BJ$3)</f>
        <v>0</v>
      </c>
      <c r="QN138">
        <f>IF(OI138+OO138&gt;0,1,0)</f>
        <v>0</v>
      </c>
      <c r="QO138">
        <f>QN138*LJ138</f>
        <v>0</v>
      </c>
      <c r="QP138">
        <f>QN138*MG138</f>
        <v>0</v>
      </c>
      <c r="QQ138">
        <f>MQ138</f>
        <v>0</v>
      </c>
      <c r="QR138">
        <f>QN138*NO138</f>
        <v>0</v>
      </c>
    </row>
    <row r="139" spans="1:460" x14ac:dyDescent="0.25">
      <c r="GG139" s="12"/>
    </row>
    <row r="140" spans="1:460" x14ac:dyDescent="0.25">
      <c r="A140">
        <v>2</v>
      </c>
      <c r="B140">
        <v>1</v>
      </c>
      <c r="C140">
        <v>1</v>
      </c>
      <c r="D140" t="b">
        <v>0</v>
      </c>
      <c r="E140">
        <v>1</v>
      </c>
      <c r="F140">
        <v>1</v>
      </c>
      <c r="G140">
        <v>1</v>
      </c>
      <c r="H140">
        <v>1</v>
      </c>
      <c r="I140">
        <v>1</v>
      </c>
      <c r="K140">
        <v>1</v>
      </c>
      <c r="M140">
        <f>IF(ISERROR(N140*Areal4/$N$154),0,N140*Areal4/$N$154)</f>
        <v>0</v>
      </c>
      <c r="N140">
        <f>Mark!Z140</f>
        <v>0</v>
      </c>
      <c r="P140">
        <f>VLOOKUP($E140,Afgr,NnormKolonneNr4)</f>
        <v>0</v>
      </c>
      <c r="Q140">
        <f>VLOOKUP($B140,Afgr,Data!$AI$3)*VLOOKUP(E140,Afgr,Data!$AJ$3)</f>
        <v>0</v>
      </c>
      <c r="R140">
        <f>IF($D140,0,VLOOKUP($C140,Efgr,(Data!$W$53+$G$28-1)))</f>
        <v>0</v>
      </c>
      <c r="S140">
        <f>P140-Q140-R140</f>
        <v>0</v>
      </c>
      <c r="T140">
        <f>S140*M140</f>
        <v>0</v>
      </c>
      <c r="U140">
        <f>IF(Nmodel34=1,S140*Nniveau34*0.01,AO140)</f>
        <v>0</v>
      </c>
      <c r="V140" s="3">
        <f>IF(Mark!CI140&lt;&gt;"",Mark!CI140,U140)</f>
        <v>0</v>
      </c>
      <c r="W140" s="3">
        <f>V140*M140</f>
        <v>0</v>
      </c>
      <c r="Y140">
        <f>S140/NoptFaktor</f>
        <v>0</v>
      </c>
      <c r="Z140" s="3">
        <f>IF(Mark!BZ140&lt;&gt;"",Mark!BZ140,Y140)</f>
        <v>0</v>
      </c>
      <c r="AB140">
        <f>VLOOKUP($E140,Afgr,Data!$DE$3)</f>
        <v>0</v>
      </c>
      <c r="AC140">
        <f>VLOOKUP($E140,Afgr,Data!$DD$3)</f>
        <v>0</v>
      </c>
      <c r="AD140">
        <f>VLOOKUP($E140,Afgr,Data!$DC$3)</f>
        <v>0</v>
      </c>
      <c r="AE140">
        <f>IF(ISERROR($Z140+(-PrisN/$AD140-$AB140)/(2*$AC140)),0,($Z140+(-PrisN/$AD140-$AB140)/(2*$AC140)))</f>
        <v>0</v>
      </c>
      <c r="AF140">
        <f>($BD140+$BE140+$BF140)*1.03333</f>
        <v>0</v>
      </c>
      <c r="AG140">
        <f>$AF140-($AB140*($AE140-$Z140)+$AC140*($AE140-$Z140)^2)</f>
        <v>0</v>
      </c>
      <c r="AH140">
        <f>IF(Nmodel12=1,$AB140*($AE140-$S140)+$AC140*($AE140-$S140)^2,$AB140*($AE140-$AO140)+$AC140*($AE140-$AO140)^2)</f>
        <v>0</v>
      </c>
      <c r="AI140">
        <f>IF(Nmodel34=1,$AB140*($AE140-$V140)+$AC140*($AE140-$V140)^2,$AB140*($AE140-AO140)+$AC140*($AE140-AO140)^2)</f>
        <v>0</v>
      </c>
      <c r="AJ140">
        <f>AG140+AH140-BG140</f>
        <v>0</v>
      </c>
      <c r="AK140">
        <f>AG140+AI140-AJ140</f>
        <v>0</v>
      </c>
      <c r="AM140">
        <f>VLOOKUP(E140,Afgr,Data!$DF$3+SandLer4)</f>
        <v>0</v>
      </c>
      <c r="AN140">
        <f>IF(ISERROR(((-(PrisN+Pantafgift)+AM140*Pantfaktor*Pantafgift)/AD140-AB140)/(2*AC140)),0,((-(PrisN+Pantafgift)+AM140*Pantfaktor*Pantafgift)/AD140-AB140)/(2*AC140))</f>
        <v>0</v>
      </c>
      <c r="AO140">
        <f>AE140-AN140</f>
        <v>0</v>
      </c>
      <c r="AQ140">
        <f>IF(AT140&gt;0,0,W140)</f>
        <v>0</v>
      </c>
      <c r="AR140">
        <f>IF(ISERROR(W140*HdgNTilFordeling34/NnormIaltFordel34),0,W140*HdgNTilFordeling34/NnormIaltFordel34)</f>
        <v>0</v>
      </c>
      <c r="AS140">
        <f>IF(ISERROR($AR140/$M140),0,$AR140/$M140)</f>
        <v>0</v>
      </c>
      <c r="AT140">
        <f>IF(Mark!CO140&lt;&gt;"",Mark!CO140,0)</f>
        <v>0</v>
      </c>
      <c r="AU140">
        <f>$AT140*$M140</f>
        <v>0</v>
      </c>
      <c r="AV140" s="3">
        <f>IF(AT140&gt;0,AT140,AS140)</f>
        <v>0</v>
      </c>
      <c r="AW140" s="3">
        <f>AV140*M140</f>
        <v>0</v>
      </c>
      <c r="AY140">
        <f>UdnKrav*$AV140/100</f>
        <v>0</v>
      </c>
      <c r="BA140">
        <f>AV140*VLOOKUP($E140,Afgr,Data!$DJ$3)</f>
        <v>0</v>
      </c>
      <c r="BB140">
        <f>UdnKrav*$BA140/100</f>
        <v>0</v>
      </c>
      <c r="BD140">
        <f>VLOOKUP(E140,Afgr,NormudbKolonneNr4)</f>
        <v>0</v>
      </c>
      <c r="BE140">
        <f>VLOOKUP(B140,Afgr,Data!$AL$3)*VLOOKUP(E140,Afgr,MerudbKolonneNr4)</f>
        <v>0</v>
      </c>
      <c r="BF140">
        <f>VLOOKUP(C140,Efgr,(Data!$Y$53+EftervirkningUdb4))</f>
        <v>0</v>
      </c>
      <c r="BG140">
        <f>BD140+BE140+BF140</f>
        <v>0</v>
      </c>
      <c r="BH140">
        <f>IF(OR(V140&lt;&gt;S140,Nmodel34=2),AK140,BD140+BE140+BF140)</f>
        <v>0</v>
      </c>
      <c r="BI140" s="3">
        <f>IF(Mark!AK140&lt;&gt;"",Mark!AK140,BH140)</f>
        <v>0</v>
      </c>
      <c r="BJ140">
        <f>BI140*M140</f>
        <v>0</v>
      </c>
      <c r="BK140">
        <f>VLOOKUP(E140,Afgr,3)</f>
        <v>0</v>
      </c>
      <c r="BL140">
        <f>IF(BK140="FE",VLOOKUP($E140,Afgr,Data!$AV$3),0)</f>
        <v>0</v>
      </c>
      <c r="BN140">
        <f>VLOOKUP(E140,Afgr,4)</f>
        <v>0</v>
      </c>
      <c r="BO140" s="3">
        <f>IF(Mark!AW140&lt;&gt;"",Mark!AW140,Regn!BN140)</f>
        <v>0</v>
      </c>
      <c r="BP140" s="3">
        <f>BI140*BO140</f>
        <v>0</v>
      </c>
      <c r="BQ140" s="3">
        <f>BJ140*BO140</f>
        <v>0</v>
      </c>
      <c r="BS140">
        <f>VLOOKUP(E140,Afgr,Data!$AN$3)</f>
        <v>0</v>
      </c>
      <c r="BT140" s="3">
        <f>IF(Mark!BC140&lt;&gt;"",Mark!BC140,BS140)</f>
        <v>0</v>
      </c>
      <c r="BU140" s="3">
        <f>BT140*M140</f>
        <v>0</v>
      </c>
      <c r="BW140">
        <f>VLOOKUP(E140,Afgr,HalmudbKolonneNr4)</f>
        <v>0</v>
      </c>
      <c r="BX140">
        <f>IF(ISERROR(BW140*BI140/BG140),0,(BW140*BI140/BG140))</f>
        <v>0</v>
      </c>
      <c r="BY140" s="3">
        <f>IF(Mark!BI140&lt;&gt;"",Mark!BI140,BX140)</f>
        <v>0</v>
      </c>
      <c r="BZ140">
        <f>BY140*M140</f>
        <v>0</v>
      </c>
      <c r="CC140">
        <f>IF($F140=1,BY140,0)</f>
        <v>0</v>
      </c>
      <c r="CD140">
        <f>IF(F140=1,BZ140,0)</f>
        <v>0</v>
      </c>
      <c r="CE140">
        <f>VLOOKUP(E140,Afgr,Data!$AM$3)</f>
        <v>0</v>
      </c>
      <c r="CF140">
        <f>IF(Mark!BR140&lt;&gt;"",Mark!BR140,CE140)</f>
        <v>0</v>
      </c>
      <c r="CG140">
        <f>CC140*CF140</f>
        <v>0</v>
      </c>
      <c r="CH140">
        <f>CD140*CF140</f>
        <v>0</v>
      </c>
      <c r="CJ140">
        <f>VLOOKUP($G140,Efgr,NnormKolonneEfgr4)</f>
        <v>0</v>
      </c>
      <c r="CK140">
        <f>CJ140*M140</f>
        <v>0</v>
      </c>
      <c r="CL140">
        <f>CJ140*Nniveau34*0.01</f>
        <v>0</v>
      </c>
      <c r="CM140" s="3">
        <f>IF(Mark!DM140&lt;&gt;"",Mark!DM140,CL140)</f>
        <v>0</v>
      </c>
      <c r="CN140" s="3">
        <f>$CM140*$M140</f>
        <v>0</v>
      </c>
      <c r="CP140">
        <f>IF(CS140&gt;0,0,CN140)</f>
        <v>0</v>
      </c>
      <c r="CQ140" s="12">
        <f>IF(ISERROR(CN140*HdgNTilFordeling34/NnormIaltFordel34),0,CN140*HdgNTilFordeling34/NnormIaltFordel34)</f>
        <v>0</v>
      </c>
      <c r="CR140">
        <f>IF(ISERROR($CQ140/$M140),0,$CQ140/$M140)</f>
        <v>0</v>
      </c>
      <c r="CS140">
        <f>IF(Mark!DS140&lt;&gt;"",Mark!DS140,0)</f>
        <v>0</v>
      </c>
      <c r="CT140">
        <f>$CS140*$M140</f>
        <v>0</v>
      </c>
      <c r="CU140" s="3">
        <f>IF($CS140&gt;0,$CS140,$CR140)</f>
        <v>0</v>
      </c>
      <c r="CV140" s="3">
        <f>CU140*M140</f>
        <v>0</v>
      </c>
      <c r="CX140">
        <f>UdnKrav*$CU140/100</f>
        <v>0</v>
      </c>
      <c r="CZ140">
        <f>$CU140*VLOOKUP($G140,Efgr,Data!$BG$53)</f>
        <v>0</v>
      </c>
      <c r="DA140">
        <f>UdnKrav*$CZ140/100</f>
        <v>0</v>
      </c>
      <c r="DC140">
        <f>VLOOKUP(G140,Efgr,NormudbKolonneNrEfgr4)</f>
        <v>0</v>
      </c>
      <c r="DD140" s="3">
        <f>IF(Mark!DC140&lt;&gt;"",Mark!DC140,DC140)</f>
        <v>0</v>
      </c>
      <c r="DE140">
        <f>DD140*M140</f>
        <v>0</v>
      </c>
      <c r="DF140" t="s">
        <v>37</v>
      </c>
      <c r="DG140">
        <f>DD140*Efterslaetpris</f>
        <v>0</v>
      </c>
      <c r="DH140">
        <f>DE140*Efterslaetpris</f>
        <v>0</v>
      </c>
      <c r="DI140">
        <f>VLOOKUP(G140,Efgr,Data!$AG$53)</f>
        <v>0</v>
      </c>
      <c r="DJ140">
        <f>DD140*DI140</f>
        <v>0</v>
      </c>
      <c r="DL140">
        <f>VLOOKUP($E140,Afgr,Data!$AW$3)</f>
        <v>0</v>
      </c>
      <c r="DM140">
        <f>IF(BK140="FE",$BI140*$BL140*$DL140*0.01,$BI140*100*$DR140*0.01*$DL140*0.01)</f>
        <v>0</v>
      </c>
      <c r="DN140">
        <f>IF(VLOOKUP(E140,Afgr,Data!$BO$3)=1,DM140,0)*M140</f>
        <v>0</v>
      </c>
      <c r="DO140" s="12">
        <f>IF(Nmodel34=1,(V140-S140)*VLOOKUP($E140,Afgr,Data!$AX$3),(AO140-S140)*VLOOKUP(E140,Afgr,Data!$AX$3))</f>
        <v>0</v>
      </c>
      <c r="DP140">
        <f>DL140+DO140</f>
        <v>0</v>
      </c>
      <c r="DQ140">
        <f>IF(Mark!AQ140&lt;&gt;"",Mark!AQ140,DP140)</f>
        <v>0</v>
      </c>
      <c r="DR140">
        <f>VLOOKUP(E140,Afgr,Data!$AT$3)</f>
        <v>0</v>
      </c>
      <c r="DS140">
        <f>IF($BK140="FE",$BI140*$BL140*$DQ140*0.01,$BI140*100*$DR140*0.01*DQ140*0.01)</f>
        <v>0</v>
      </c>
      <c r="DT140">
        <f>IF(VLOOKUP(E140,Afgr,Data!$BO$3)=1,DS140,0)*M140</f>
        <v>0</v>
      </c>
      <c r="DU140">
        <f>IF(ISERROR(DS140/VLOOKUP(E140,Afgr,Data!$AY$3)),0,DS140/VLOOKUP(E140,Afgr,Data!$AY$3))</f>
        <v>0</v>
      </c>
      <c r="DV140">
        <f>DU140*M140</f>
        <v>0</v>
      </c>
      <c r="DX140">
        <f>IF($BK140="FE",$BI140*$BL140*VLOOKUP($E140,Afgr,Data!$BC$3)*0.001,$BI140*100*$DR140*0.01*VLOOKUP($E140,Afgr,Data!$BC$3)*0.001)</f>
        <v>0</v>
      </c>
      <c r="DY140">
        <f>DX140*M140</f>
        <v>0</v>
      </c>
      <c r="EA140">
        <f>IF($BK140="FE",$BI140*$BL140*VLOOKUP($E140,Afgr,Data!$BF$3)*0.001,$BI140*100*$DR140*0.01*VLOOKUP($E140,Afgr,Data!$BF$3)*0.001)</f>
        <v>0</v>
      </c>
      <c r="EB140">
        <f>EA140*M140</f>
        <v>0</v>
      </c>
      <c r="ED140">
        <f>IF(ISERROR(VLOOKUP(E140,Afgr,Data!$AZ$3)*DQ140/DL140),0,VLOOKUP(E140,Afgr,Data!$AZ$3)*DQ140/DL140)</f>
        <v>0</v>
      </c>
      <c r="EE140">
        <f>VLOOKUP(E140,Afgr,Data!$AU$3)</f>
        <v>0</v>
      </c>
      <c r="EF140">
        <f>IF($F140=1,$BY140*$EE140*0.01*ED140*0.01,0)</f>
        <v>0</v>
      </c>
      <c r="EG140">
        <f>EF140/6.25</f>
        <v>0</v>
      </c>
      <c r="EH140">
        <f>EG140*M140</f>
        <v>0</v>
      </c>
      <c r="EJ140">
        <f>IF($F140=1,$BY140*$EE140*0.01*VLOOKUP($E140,Afgr,Data!$BD$3)*0.001,0)</f>
        <v>0</v>
      </c>
      <c r="EK140">
        <f>EJ140*M140</f>
        <v>0</v>
      </c>
      <c r="EM140">
        <f>IF($F140=1,$BY140*$EE140*0.01*VLOOKUP($E140,Afgr,Data!$BG$3)*0.001,0)</f>
        <v>0</v>
      </c>
      <c r="EN140">
        <f>EM140*M140</f>
        <v>0</v>
      </c>
      <c r="EP140">
        <f>VLOOKUP(G140,Efgr,Data!$AI$53)</f>
        <v>0</v>
      </c>
      <c r="EQ140">
        <f>DJ140*EP140*0.01/6.25</f>
        <v>0</v>
      </c>
      <c r="ER140">
        <f>EQ140*M140</f>
        <v>0</v>
      </c>
      <c r="ET140">
        <f>$DJ140*VLOOKUP($G140,Efgr,Data!$AJ$53)*0.001</f>
        <v>0</v>
      </c>
      <c r="EU140">
        <f>ET140*M140</f>
        <v>0</v>
      </c>
      <c r="EW140">
        <f>$DJ140*VLOOKUP($G140,Efgr,Data!$AK$53)*0.001</f>
        <v>0</v>
      </c>
      <c r="EX140">
        <f>EW140*M140</f>
        <v>0</v>
      </c>
      <c r="EZ140">
        <f>IF(VLOOKUP(E140,Afgr,Data!$DS$3)=1,DU140*VLOOKUP(E140,Afgr,(Data!$DT$3+EftervirkningUdb4))*VLOOKUP(E140,Afgr,Data!$DV$3),0)</f>
        <v>0</v>
      </c>
      <c r="FA140">
        <f>IF(VLOOKUP(E140,Afgr,Data!$DS$3)=2,VLOOKUP(E140,Afgr,Data!$DX$3),0)</f>
        <v>0</v>
      </c>
      <c r="FB140">
        <f>IF(VLOOKUP(E140,Afgr,Data!$DS$3)=3,$DU140*VLOOKUP($E140,Afgr,IF(Jordtype4&lt;5,Data!$DT$3,Data!$DU$3))*VLOOKUP($E140,Afgr,Data!$DV$3),0)</f>
        <v>0</v>
      </c>
      <c r="FC140">
        <f>IF(VLOOKUP(E140,Afgr,Data!$DS$3)=4,(1.232+0.00469*BI140*100+(0.000256*BI140*100+0.089)*60),0)</f>
        <v>0</v>
      </c>
      <c r="FD140">
        <f>$V140+IF($AY140-$BB140&gt;$V140,$AY140-$V140,0)-$BB140</f>
        <v>0</v>
      </c>
      <c r="FE140">
        <f>IF(VLOOKUP($E140,Afgr,Data!$DS$3)=5,($BI140*0.02742-$BI140*0.0001*$FD140+$BI140*0.0000001111*$FD140*$FD140),0)</f>
        <v>0</v>
      </c>
      <c r="FF140">
        <f>$CM140+IF($CX140-$DA140&gt;$CM140,$CX140-$CM140,0)-$DA140</f>
        <v>0</v>
      </c>
      <c r="FG140">
        <f>IF(VLOOKUP($G140,Efgr,Data!$BH$53)=5,($DD140*0.02742-$DD140*0.0001*$FF140+$DD140*0.0000001111*$FF140*$FF140),0)</f>
        <v>0</v>
      </c>
      <c r="FH140" s="3">
        <f>EZ140+FA140+FB140+FC140+FE140+FG140</f>
        <v>0</v>
      </c>
      <c r="FI140" s="3">
        <f>FH140*M140</f>
        <v>0</v>
      </c>
      <c r="FK140">
        <f>$V140+$CM140</f>
        <v>0</v>
      </c>
      <c r="FL140">
        <f>($AV140-$AY140)+IF($AY140&gt;$V140,$AY140-$V140,0)+($CU140-$CX140)+IF($CX140&gt;$CM140,$CX140-$CM140,0)</f>
        <v>0</v>
      </c>
      <c r="FM140">
        <f>VLOOKUP($E140,Afgr,Data!$DK$3)*VLOOKUP($E140,Afgr,Data!$AT$3)*0.01*VLOOKUP($E140,Afgr,Data!$AW$3)*0.01/6.25</f>
        <v>0</v>
      </c>
      <c r="FN140" s="4">
        <f>IF(E140&gt;1,Deposition,0)</f>
        <v>0</v>
      </c>
      <c r="FO140">
        <f>FH140</f>
        <v>0</v>
      </c>
      <c r="FP140">
        <f>SUM(FK140:FO140)</f>
        <v>0</v>
      </c>
      <c r="FQ140">
        <f>DU140+EG140+EQ140</f>
        <v>0</v>
      </c>
      <c r="FR140" s="3">
        <f>FP140-FQ140</f>
        <v>0</v>
      </c>
      <c r="FS140" s="19">
        <f>FP140*M140</f>
        <v>0</v>
      </c>
      <c r="FT140" s="19">
        <f>FQ140*M140</f>
        <v>0</v>
      </c>
      <c r="FU140" s="3">
        <f>FR140*M140</f>
        <v>0</v>
      </c>
      <c r="FW140">
        <f>IL140+IM140+LP140+LQ140</f>
        <v>0</v>
      </c>
      <c r="FX140">
        <f>IK140+LO140</f>
        <v>0</v>
      </c>
      <c r="FY140">
        <f>FW140-FX140</f>
        <v>0</v>
      </c>
      <c r="FZ140">
        <f>FY140*M140</f>
        <v>0</v>
      </c>
      <c r="GB140">
        <f>IS140+IT140+LV140+LW140</f>
        <v>0</v>
      </c>
      <c r="GC140">
        <f>IR140+LU140</f>
        <v>0</v>
      </c>
      <c r="GD140">
        <f>GB140-GC140</f>
        <v>0</v>
      </c>
      <c r="GE140">
        <f>GD140*M140</f>
        <v>0</v>
      </c>
      <c r="GG140" s="149">
        <f>IF(OR(VLOOKUP(E140,Afgr,Data!$BV$3)=1,VLOOKUP(E140,Afgr,Data!$BW$3)=1),0,NniveauDelsaedsk4)</f>
        <v>0</v>
      </c>
      <c r="GH140" s="1">
        <v>0.32550000000000001</v>
      </c>
      <c r="GI140" s="6">
        <v>0</v>
      </c>
      <c r="GJ140" s="24">
        <f>IF(($V140-BB140+$CM140-DA140)&lt;0,0,$V140-BB140+$CM140-DA140)</f>
        <v>0</v>
      </c>
      <c r="GK140" s="6">
        <f>$FO140</f>
        <v>0</v>
      </c>
      <c r="GL140" s="1">
        <v>0.25280000000000002</v>
      </c>
      <c r="GM140">
        <f>$BA140+$CZ140</f>
        <v>0</v>
      </c>
      <c r="GN140" s="1">
        <v>0.376</v>
      </c>
      <c r="GO140" s="6">
        <v>0</v>
      </c>
      <c r="GP140" s="1">
        <f>IF(SandLer4&gt;1,0.3539,1.0749)</f>
        <v>0.35389999999999999</v>
      </c>
      <c r="GQ140" s="11">
        <f>$FQ140</f>
        <v>0</v>
      </c>
      <c r="GR140" s="1">
        <v>0.19359999999999999</v>
      </c>
      <c r="GS140" s="1">
        <f>VLOOKUP($E140,Afgr,Data!$DM$3)</f>
        <v>0</v>
      </c>
      <c r="GT140" s="24">
        <f>IF($GS140&gt;1,0,(VLOOKUP($K140,Afgr,Data!$DP$3)+IF(VLOOKUP($K140,Afgr,Data!$DP$3)=0,VLOOKUP($G140,Efgr,Data!$BI$53,0))))+IF(AND($GS140=7,VLOOKUP($K140,Afgr,Data!$DQ$3)=-2),-2,0)+IF(AND($GS140=6,VLOOKUP($G140,Efgr,Data!$BI$53)=2),8,0)</f>
        <v>0</v>
      </c>
      <c r="GU140" s="6" t="e">
        <f>VLOOKUP(SUM(GS140:GT140),Nlesafgr,3)</f>
        <v>#N/A</v>
      </c>
      <c r="GV140" s="7">
        <f>VLOOKUP($B140,Afgr,Data!$DN$3)</f>
        <v>0</v>
      </c>
      <c r="GW140" s="24">
        <f>IF(GV140&gt;1,0,VLOOKUP($E140,Afgr,Data!$DO$3)+IF(VLOOKUP($E140,Afgr,Data!$DO$3)=1,0,VLOOKUP($C140,Efgr,Data!$BJ$53)))</f>
        <v>0</v>
      </c>
      <c r="GX140" s="6" t="e">
        <f>VLOOKUP(SUM(GV140:GW140),Nlesforfrugt,3)</f>
        <v>#N/A</v>
      </c>
      <c r="GY140" s="1" t="e">
        <f>GH140*GG140+GL140*(GJ140+GK140)+GN140*GM140+GP140*GO140-GR140*GQ140+GU140+GX140</f>
        <v>#N/A</v>
      </c>
      <c r="GZ140" s="1">
        <f>Nlesafskaering</f>
        <v>59.6</v>
      </c>
      <c r="HA140" s="1">
        <f>Teknologi1</f>
        <v>2455</v>
      </c>
      <c r="HB140" s="6">
        <v>2001</v>
      </c>
      <c r="HC140" s="1">
        <f>Teknologi2</f>
        <v>1962.2</v>
      </c>
      <c r="HD140" s="1">
        <f>Tandel</f>
        <v>0.54659999999999997</v>
      </c>
      <c r="HE140" s="1" t="e">
        <f>IF(OR(GY140&gt;0,GY140=0),GZ140+HA140/(HB140-HC140),GZ140+HA140/(HB140-HC140)+HD140*GY140)</f>
        <v>#N/A</v>
      </c>
      <c r="HF140" s="1" t="e">
        <f>IF(GY140&gt;0,GY140,0.001)</f>
        <v>#N/A</v>
      </c>
      <c r="HG140" s="1">
        <v>1.5020000000000001E-3</v>
      </c>
      <c r="HH140" s="24">
        <f>IF(E140=1,0,VLOOKUP(Postnr,AfstromData,VLOOKUP($E140,Afgr,Data!$DL$3)+IF(Jordtype1&lt;7,Jordtype1,6),FALSE)-VLOOKUP(G140,Efgr,Data!$AA$53))</f>
        <v>0</v>
      </c>
      <c r="HI140" s="1">
        <v>5.5400000000000002E-4</v>
      </c>
      <c r="HJ140" s="24">
        <f>IF(E140=1,0,VLOOKUP(Postnr,AfstromData,VLOOKUP($B140,Afgr,Data!$DL$3)+IF(Jordtype1&lt;7,Jordtype1,6),FALSE)-VLOOKUP(C140,Efgr,Data!$AA$53))</f>
        <v>0</v>
      </c>
      <c r="HK140" s="1">
        <v>0.10639999999999999</v>
      </c>
      <c r="HL140" s="6">
        <f>VLOOKUP(Jordtype4,Jordtype,Data!$W$112)</f>
        <v>3</v>
      </c>
      <c r="HM140" s="1">
        <v>3.2500000000000001E-2</v>
      </c>
      <c r="HN140" s="6">
        <f>VLOOKUP(Jordtype4,Jordtype,Data!$X$112)</f>
        <v>12</v>
      </c>
      <c r="HO140" s="1">
        <v>1.2453000000000001</v>
      </c>
      <c r="HP140" s="1">
        <f>IF(VLOOKUP(G140,Efgr,Data!$AO$53)=1,MlafgrNUdvask,0)</f>
        <v>0</v>
      </c>
      <c r="HQ140" s="20">
        <f>IF(ISERROR((HE140+POWER(HF140,1.2))*(1-EXP(-HG140*HH140))*EXP(-HI140*HJ140)*EXP(-HK140*HL140)*EXP(-HM140*HN140)*HO140),0,(HE140+POWER(HF140,1.2))*(1-EXP(-HG140*HH140))*EXP(-HI140*HJ140)*EXP(-HK140*HL140)*EXP(-HM140*HN140)*HO140+HP140)</f>
        <v>0</v>
      </c>
      <c r="HR140">
        <f>HQ140*M140</f>
        <v>0</v>
      </c>
      <c r="HS140">
        <f>HQ140*(100-Retention4)*0.01</f>
        <v>0</v>
      </c>
      <c r="HT140">
        <f>HS140*M140</f>
        <v>0</v>
      </c>
      <c r="HU140" s="2">
        <f>HH140*10000</f>
        <v>0</v>
      </c>
      <c r="HV140" s="2">
        <f>HU140*M140</f>
        <v>0</v>
      </c>
      <c r="HW140">
        <f>IF(ISERROR(HQ140*1000*1000/HU140),0,HQ140*1000*1000/HU140)</f>
        <v>0</v>
      </c>
      <c r="HY140">
        <f>BP140+BT140+CG140+DG140</f>
        <v>0</v>
      </c>
      <c r="IB140">
        <f>VLOOKUP(E140,Afgr,Data!$AP$3)*UdsaedJust</f>
        <v>0</v>
      </c>
      <c r="IC140" s="3">
        <f>IF(Mark!EG140&lt;&gt;"",Mark!EG140,Regn!IB140)</f>
        <v>0</v>
      </c>
      <c r="ID140" s="3">
        <f>IC140*M140</f>
        <v>0</v>
      </c>
      <c r="IF140" s="3">
        <f>IF(HdgVaerdi=1,($V140-$AY140)*Npris,$V140*Npris)</f>
        <v>0</v>
      </c>
      <c r="IG140" s="3">
        <f>IF140*M140</f>
        <v>0</v>
      </c>
      <c r="II140">
        <f>VLOOKUP($E140,Afgr,Data!$BA$3)</f>
        <v>0</v>
      </c>
      <c r="IJ140">
        <f>VLOOKUP($E140,Afgr,Data!$BB$3)</f>
        <v>0</v>
      </c>
      <c r="IK140">
        <f>$DX140+$EJ140</f>
        <v>0</v>
      </c>
      <c r="IL140">
        <f>IF(HdgDyreart=2,$AV140*NPforholdSvin,$AV140*NPforholdKvaeg)</f>
        <v>0</v>
      </c>
      <c r="IM140">
        <f>II140+IF($IJ140+$IK140&gt;$IL140,($IJ140+$IK140-$IL140),0)</f>
        <v>0</v>
      </c>
      <c r="IN140" s="3">
        <f>IF(HdgVaerdi=1,($II140*Ppris+IF($IJ140+$IK140&gt;$IL140,($IJ140+$IK140-$IL140)*Ppris,0)),($II140+$IJ140+$IK140)*Ppris)</f>
        <v>0</v>
      </c>
      <c r="IO140" s="3">
        <f>IN140*M140</f>
        <v>0</v>
      </c>
      <c r="IQ140">
        <f>IF(AND(E140&gt;1,OR(Jordtype4=1,Jordtype4=3,Markvand4=2)),Kudvask,0)</f>
        <v>0</v>
      </c>
      <c r="IR140">
        <f>$EA140+$EM140</f>
        <v>0</v>
      </c>
      <c r="IS140">
        <f>IF(HdgDyreart=2,$AV140*NKforholdSvin,$AV140*NkforholdKvaeg)</f>
        <v>0</v>
      </c>
      <c r="IT140">
        <f>IF($IQ140+$IR140&gt;$IS140,($IQ140+$IR140-$IS140),0)</f>
        <v>0</v>
      </c>
      <c r="IU140" s="3">
        <f>IF(HdgVaerdi=1,IF($IQ140+$IR140&gt;$IS140,($IQ140+$IR140-$IS140)*Kpris,0),($IQ140+$IR140)*Kpris)</f>
        <v>0</v>
      </c>
      <c r="IV140" s="3">
        <f>IU140*M140</f>
        <v>0</v>
      </c>
      <c r="IX140">
        <f>IF140+IN140+IU140</f>
        <v>0</v>
      </c>
      <c r="IY140" s="3">
        <f>IF(Mark!EM140&lt;&gt;"",Mark!EM140,$IX140)</f>
        <v>0</v>
      </c>
      <c r="IZ140" s="3">
        <f>IY140*M140</f>
        <v>0</v>
      </c>
      <c r="JB140">
        <f>VLOOKUP(E140,Afgr,Data!$AQ$3)*PlantevJust</f>
        <v>0</v>
      </c>
      <c r="JC140" s="3">
        <f>IF(Mark!ES140&lt;&gt;"",Mark!ES140,JB140)</f>
        <v>0</v>
      </c>
      <c r="JD140" s="3">
        <f>JC140*M140</f>
        <v>0</v>
      </c>
      <c r="JF140">
        <f>VLOOKUP(E140,Afgr,Data!$AR$3)+BI140*VLOOKUP(E140,Afgr,Data!$BH$3)</f>
        <v>0</v>
      </c>
      <c r="JG140" s="3">
        <f>IF(Mark!EY140&lt;&gt;"",Mark!EY140,JF140)</f>
        <v>0</v>
      </c>
      <c r="JH140">
        <f>JG140*M140</f>
        <v>0</v>
      </c>
      <c r="JJ140">
        <f>IC140+IY140+JC140+JG140</f>
        <v>0</v>
      </c>
      <c r="JL140">
        <f>IF(VLOOKUP(E140,Afgr,Data!$BY$3)&gt;0,Data!$K$259*PlojJB4,0)</f>
        <v>0</v>
      </c>
      <c r="JM140">
        <f>IF(VLOOKUP(E140,Afgr,Data!$BZ$3)&gt;0,Data!$K$260*PlojJB4,0)</f>
        <v>0</v>
      </c>
      <c r="JN140">
        <f>(JL140+JM140)*MaskJust</f>
        <v>0</v>
      </c>
      <c r="JO140" s="3">
        <f>IF(Mark!FE140&lt;&gt;"",Mark!FE140,JN140)</f>
        <v>0</v>
      </c>
      <c r="JP140" s="3">
        <f>JO140*M140</f>
        <v>0</v>
      </c>
      <c r="JR140">
        <f>IF(VLOOKUP(E140,Afgr,Data!$CA$3)&gt;0,VLOOKUP(E140,Afgr,Data!$CA$3)*Data!$K$261*SaaJB4,0)</f>
        <v>0</v>
      </c>
      <c r="JS140">
        <f>IF(VLOOKUP(E140,Afgr,Data!$CC$3)&gt;0,Data!$K$262*SaaJB4,0)</f>
        <v>0</v>
      </c>
      <c r="JT140">
        <f>IF(VLOOKUP(E140,Afgr,Data!$CD$3)&gt;0,VLOOKUP(E140,Afgr,Data!$CD$3)*Data!$K$263*SaaJB4,0)</f>
        <v>0</v>
      </c>
      <c r="JU140">
        <f>IF(VLOOKUP(E140,Afgr,Data!$CE$3)&gt;0,Data!$K$264*SaaJB4,0)</f>
        <v>0</v>
      </c>
      <c r="JV140">
        <f>IF(VLOOKUP(E140,Afgr,Data!$CF$3)&gt;0,Data!$K$265*SaaJB4,0)</f>
        <v>0</v>
      </c>
      <c r="JW140">
        <f>IF(VLOOKUP(E140,Afgr,Data!$CV$3)&gt;0,Data!$K$266,0)</f>
        <v>0</v>
      </c>
      <c r="JX140">
        <f>IF(VLOOKUP(E140,Afgr,Data!$CG$3)&gt;0,Data!$K$267*SaaJB4,0)</f>
        <v>0</v>
      </c>
      <c r="JY140">
        <f>(JR140+JS140+JT140+JU140+JV140+JW140+JX140)*MaskJust</f>
        <v>0</v>
      </c>
      <c r="JZ140" s="3">
        <f>IF(Mark!FK140&lt;&gt;"",Mark!FK140,JY140)</f>
        <v>0</v>
      </c>
      <c r="KA140" s="3">
        <f>JZ140*M140</f>
        <v>0</v>
      </c>
      <c r="KC140">
        <f>IF(VLOOKUP(E140,Afgr,Data!$CJ$3)&gt;0,VLOOKUP(E140,Afgr,Data!$CJ$3)*Data!$K$268*SaaJB4,0)*MaskJust</f>
        <v>0</v>
      </c>
      <c r="KD140" s="3">
        <f>IF(Mark!FQ140&lt;&gt;"",Mark!FQ140,KC140)</f>
        <v>0</v>
      </c>
      <c r="KE140" s="3">
        <f>KD140*M140</f>
        <v>0</v>
      </c>
      <c r="KG140">
        <f>IF(VLOOKUP(E140,Afgr,Data!$CI$3)&gt;0,VLOOKUP(E140,Afgr,Data!$CI$3)*Data!$K$269,0)*MaskJust</f>
        <v>0</v>
      </c>
      <c r="KH140" s="3">
        <f>IF(Mark!FW140&lt;&gt;"",Mark!FW140,KG140)</f>
        <v>0</v>
      </c>
      <c r="KI140" s="3">
        <f>KH140*M140</f>
        <v>0</v>
      </c>
      <c r="KK140">
        <f>IF(Markvand4=2,VLOOKUP($E140,Afgr,Data!$CY$3),0)</f>
        <v>0</v>
      </c>
      <c r="KL140">
        <f>IF(Mark!GC140&lt;&gt;"",Mark!GC140,$KK140)</f>
        <v>0</v>
      </c>
      <c r="KM140">
        <f>IF(AND(E140&gt;1,Markvand4=2),Vandmaskin+$KL140*Flytning/mmprgang+$KL140*Prisprmm,0)</f>
        <v>0</v>
      </c>
      <c r="KN140" s="3">
        <f>IF(Mark!GI140&lt;&gt;"",Mark!GI140,$KM140)</f>
        <v>0</v>
      </c>
      <c r="KO140" s="3">
        <f>KN140*M140</f>
        <v>0</v>
      </c>
      <c r="KQ140">
        <f>IF(VLOOKUP($E140,Afgr,Data!$CK$3)&gt;0,((1+Regn!$BI140/VLOOKUP($E140,Afgr,Data!$CK$3))/2)*VLOOKUP($E140,Afgr,Data!$CL$3)*VLOOKUP($E140,Afgr,Data!$CN$3)+VLOOKUP($E140,Afgr,Data!$CM$3),0)</f>
        <v>0</v>
      </c>
      <c r="KR140">
        <f>IF(VLOOKUP($E140,Afgr,Data!$CK$3)&gt;0,IF(AND($F140=2,$BW140&gt;0),Data!$K$271,0),0)</f>
        <v>0</v>
      </c>
      <c r="KS140">
        <f>IF(VLOOKUP($E140,Afgr,Data!$CK$3)&gt;0,(Regn!$BI140/VLOOKUP($E140,Afgr,Data!$CK$3))*VLOOKUP($E140,Afgr,Data!$CO$3)*VLOOKUP($E140,Afgr,Data!$CN$3),0)</f>
        <v>0</v>
      </c>
      <c r="KT140">
        <f>(KQ140+KR140+KS140)*MaskJust</f>
        <v>0</v>
      </c>
      <c r="KU140" s="3">
        <f>IF(Mark!GO140&lt;&gt;"",Mark!GO140,KT140)</f>
        <v>0</v>
      </c>
      <c r="KV140" s="3">
        <f>KU140*M140</f>
        <v>0</v>
      </c>
      <c r="KW140" s="3"/>
      <c r="KX140">
        <f>IF(AND($F140=1,VLOOKUP($E140,Afgr,Data!$CP$3)&gt;0),((1+$BY140/VLOOKUP($E140,Afgr,Data!$CP$3))/2)*VLOOKUP($E140,Afgr,Data!$CQ$3),0)</f>
        <v>0</v>
      </c>
      <c r="KY140">
        <f>IF(AND($F140=1,VLOOKUP($E140,Afgr,Data!$CP$3)&gt;0),($BY140/VLOOKUP($E140,Afgr,Data!$CP$3))*VLOOKUP($E140,Afgr,Data!$CR$3),0)</f>
        <v>0</v>
      </c>
      <c r="KZ140">
        <f>(KX140+KY140)*MaskJust</f>
        <v>0</v>
      </c>
      <c r="LA140" s="3">
        <f>IF(Mark!GU140&lt;&gt;"",Mark!GU140,KZ140)</f>
        <v>0</v>
      </c>
      <c r="LB140" s="3">
        <f>LA140*M140</f>
        <v>0</v>
      </c>
      <c r="LD140">
        <f>$BI140*VLOOKUP($E140,Afgr,Data!$CS$3)*IF($I140=1,VLOOKUP($E140,Afgr,Data!$CT$3),IF($I140=2,VLOOKUP($E140,Afgr,Data!$CU$3),0))</f>
        <v>0</v>
      </c>
      <c r="LE140" s="3">
        <f>IF(Mark!HD140&lt;&gt;"",Mark!HD140,LD140)</f>
        <v>0</v>
      </c>
      <c r="LF140" s="3">
        <f>LE140*M140</f>
        <v>0</v>
      </c>
      <c r="LH140">
        <f>VLOOKUP($G140,Efgr,Data!$AC$53)*UdsaedJust</f>
        <v>0</v>
      </c>
      <c r="LI140" s="3">
        <f>IF(Mark!$HL140&lt;&gt;"",Mark!$HL140,LH140)</f>
        <v>0</v>
      </c>
      <c r="LJ140" s="3">
        <f>LI140*M140</f>
        <v>0</v>
      </c>
      <c r="LL140" s="3">
        <f>IF(HdgVaerdi=1,($CM140-$CX140)*Npris,$CM140*Npris)</f>
        <v>0</v>
      </c>
      <c r="LM140" s="3">
        <f>LL140*M140</f>
        <v>0</v>
      </c>
      <c r="LO140">
        <f>$ET140</f>
        <v>0</v>
      </c>
      <c r="LP140">
        <f>IF(HdgDyreart=2,$CU140*NPforholdSvin,$CU140*NPforholdKvaeg)</f>
        <v>0</v>
      </c>
      <c r="LQ140">
        <f>IF($LO140&gt;$LP140,($LO140-$LP140),0)</f>
        <v>0</v>
      </c>
      <c r="LR140" s="3">
        <f>IF(HdgVaerdi=1,IF($LO140&gt;$LP140,($LO140-$LP140)*Ppris,0),$LO140*Ppris)</f>
        <v>0</v>
      </c>
      <c r="LS140" s="3">
        <f>LR140*M140</f>
        <v>0</v>
      </c>
      <c r="LU140">
        <f>$EW140</f>
        <v>0</v>
      </c>
      <c r="LV140">
        <f>IF(HdgDyreart=2,$CU140*NKforholdSvin,$CU140*NkforholdKvaeg)</f>
        <v>0</v>
      </c>
      <c r="LW140">
        <f>IF($LU140&gt;$LV140,($LU140-$LV140),0)</f>
        <v>0</v>
      </c>
      <c r="LX140" s="3">
        <f>IF(HdgVaerdi=1,IF($LU140&gt;$LV140,($LU140-$LV140)*Ppris,0),$LU140*Ppris)</f>
        <v>0</v>
      </c>
      <c r="LY140" s="3">
        <f>LX140*M140</f>
        <v>0</v>
      </c>
      <c r="MA140">
        <f>LL140+LR140+LX140</f>
        <v>0</v>
      </c>
      <c r="MB140" s="3">
        <f>IF(Mark!HR140&lt;&gt;"",Mark!HR140,$MA140)</f>
        <v>0</v>
      </c>
      <c r="MC140" s="3">
        <f>MB140*M140</f>
        <v>0</v>
      </c>
      <c r="ME140">
        <f>VLOOKUP($G140,Efgr,Data!$AE$53)*PlantevJust</f>
        <v>0</v>
      </c>
      <c r="MF140" s="3">
        <f>IF(Mark!HX140&lt;&gt;"",Mark!HX140,ME140)</f>
        <v>0</v>
      </c>
      <c r="MG140" s="3">
        <f>MF140*M140</f>
        <v>0</v>
      </c>
      <c r="MI140">
        <f>VLOOKUP($G140,Efgr,Data!$AF$53)+$DD140*VLOOKUP($G140,Efgr,Data!$AL$53)</f>
        <v>0</v>
      </c>
      <c r="MJ140" s="3">
        <f>IF(Mark!ID140&lt;&gt;"",Mark!ID140,MI140)</f>
        <v>0</v>
      </c>
      <c r="MK140" s="3">
        <f>MJ140*M140</f>
        <v>0</v>
      </c>
      <c r="MM140">
        <f>LI140+MB140+MF140+MJ140</f>
        <v>0</v>
      </c>
      <c r="MO140">
        <f>VLOOKUP($G140,Efgr,Data!$AU$53)*SaaJB4*MaskJust</f>
        <v>0</v>
      </c>
      <c r="MP140" s="3">
        <f>IF(Mark!IJ140&lt;&gt;"",Mark!IJ140,MO140)</f>
        <v>0</v>
      </c>
      <c r="MQ140" s="3">
        <f>MP140*M140</f>
        <v>0</v>
      </c>
      <c r="MS140">
        <f>VLOOKUP($G140,Efgr,Data!$AW$53)*Data!$K$268*SaaJB4*MaskJust</f>
        <v>0</v>
      </c>
      <c r="MT140" s="3">
        <f>IF(Mark!IP140&lt;&gt;"",Mark!IP140,MS140)</f>
        <v>0</v>
      </c>
      <c r="MU140" s="3">
        <f>MT140*M140</f>
        <v>0</v>
      </c>
      <c r="MW140">
        <f>VLOOKUP($G140,Efgr,Data!$AV$53)*Data!$K$269*MaskJust</f>
        <v>0</v>
      </c>
      <c r="MX140" s="3">
        <f>IF(Mark!IV140&lt;&gt;"",Mark!IV140,MW140)</f>
        <v>0</v>
      </c>
      <c r="MY140" s="3">
        <f>MX140*M140</f>
        <v>0</v>
      </c>
      <c r="NA140">
        <f>IF(Markvand4=2,VLOOKUP($G140,Efgr,Data!$BC$53),0)</f>
        <v>0</v>
      </c>
      <c r="NB140">
        <f>IF(Mark!JB140&lt;&gt;"",Mark!JB140,$NA140)</f>
        <v>0</v>
      </c>
      <c r="NC140">
        <f>IF(Markvand4=2,$NB140*Flytning/mmprgang+$NB140*Prisprmm,0)</f>
        <v>0</v>
      </c>
      <c r="ND140" s="3">
        <f>IF(Mark!JH140&lt;&gt;"",Mark!JH140,$NC140)</f>
        <v>0</v>
      </c>
      <c r="NE140" s="3">
        <f>ND140*M140</f>
        <v>0</v>
      </c>
      <c r="NG140">
        <f>IF(VLOOKUP($G140,Efgr,Data!$AX$53)&gt;0,((1+Regn!DD140/VLOOKUP($G140,Efgr,Data!$AX$53))/2)*VLOOKUP($G140,Efgr,Data!$AY$53)*VLOOKUP($G140,Efgr,Data!$BA$53)+VLOOKUP($G140,Efgr,Data!$AZ$53),0)</f>
        <v>0</v>
      </c>
      <c r="NH140">
        <f>IF(VLOOKUP($G140,Efgr,Data!$AX$53)&gt;0,($DD140/VLOOKUP($G140,Efgr,Data!$AX$53))*VLOOKUP($G140,Efgr,Data!$BB$53)*VLOOKUP($G140,Efgr,Data!$BA$53),0)</f>
        <v>0</v>
      </c>
      <c r="NI140">
        <f>(NG140+NH140)*MaskJust</f>
        <v>0</v>
      </c>
      <c r="NJ140" s="3">
        <f>IF(Mark!JN140&lt;&gt;"",Mark!JN140,NI140)</f>
        <v>0</v>
      </c>
      <c r="NK140" s="3">
        <f>NJ140*M140</f>
        <v>0</v>
      </c>
      <c r="NM140">
        <f>IF($H140=2,Data!$K$304,IF($H140=3,Data!$K$305,0))*MaskJust</f>
        <v>0</v>
      </c>
      <c r="NN140" s="3">
        <f>IF(Mark!JT140&lt;&gt;"",Mark!JT140,NM140)</f>
        <v>0</v>
      </c>
      <c r="NO140" s="3">
        <f>NN140*M140</f>
        <v>0</v>
      </c>
      <c r="NQ140">
        <f>HY140</f>
        <v>0</v>
      </c>
      <c r="NR140">
        <f>JJ140+MM140</f>
        <v>0</v>
      </c>
      <c r="NS140">
        <f>NQ140-NR140</f>
        <v>0</v>
      </c>
      <c r="NT140">
        <f>NS140*M140</f>
        <v>0</v>
      </c>
      <c r="NW140">
        <f>VLOOKUP($B140,Afgr,Data!$BP$3)+VLOOKUP($C140,Efgr,Data!$AM$53)</f>
        <v>0</v>
      </c>
      <c r="NX140" s="3">
        <f>NW140*M140</f>
        <v>0</v>
      </c>
      <c r="NY140">
        <f>VLOOKUP($E140,Afgr,Data!$BP$3)+VLOOKUP($G140,Efgr,Data!$AM$53)</f>
        <v>0</v>
      </c>
      <c r="NZ140" s="3">
        <f>NY140*M140</f>
        <v>0</v>
      </c>
      <c r="OB140">
        <f>VLOOKUP($C140,Efgr,Data!$AN$53)</f>
        <v>0</v>
      </c>
      <c r="OC140">
        <f>VLOOKUP($B140,Afgr,Data!$BQ$3)</f>
        <v>0</v>
      </c>
      <c r="OD140">
        <f>VLOOKUP($E140,Afgr,Data!$BR$3)</f>
        <v>1</v>
      </c>
      <c r="OE140">
        <f>OB140*OC140*OD140</f>
        <v>0</v>
      </c>
      <c r="OF140" s="3">
        <f>OE140*M140</f>
        <v>0</v>
      </c>
      <c r="OG140" s="3">
        <f>IF(D140,1,0)*OF140</f>
        <v>0</v>
      </c>
      <c r="OI140">
        <f>VLOOKUP($G140,Efgr,Data!$AN$53)</f>
        <v>0</v>
      </c>
      <c r="OJ140">
        <f>VLOOKUP($E140,Afgr,Data!$BQ$3)</f>
        <v>0</v>
      </c>
      <c r="OK140">
        <f>VLOOKUP($K140,Afgr,Data!$BR$3)</f>
        <v>1</v>
      </c>
      <c r="OL140">
        <f>OI140*OJ140*OK140</f>
        <v>0</v>
      </c>
      <c r="OM140" s="3">
        <f>OL140*M140</f>
        <v>0</v>
      </c>
      <c r="OO140">
        <f>VLOOKUP($G140,Efgr,Data!$AO$53)</f>
        <v>0</v>
      </c>
      <c r="OP140">
        <f>VLOOKUP($B140,Afgr,Data!$BQ$3)</f>
        <v>0</v>
      </c>
      <c r="OQ140">
        <f>VLOOKUP($E140,Afgr,Data!$BS$3)</f>
        <v>0</v>
      </c>
      <c r="OR140" s="3">
        <f>OO140*OP140*OQ140*$M140</f>
        <v>0</v>
      </c>
      <c r="OT140">
        <f>VLOOKUP($G140,Efgr,Data!$AO$53)</f>
        <v>0</v>
      </c>
      <c r="OU140">
        <f>VLOOKUP($E140,Afgr,Data!$BQ$3)</f>
        <v>0</v>
      </c>
      <c r="OV140">
        <f>VLOOKUP($K140,Afgr,Data!$BS$3)</f>
        <v>0</v>
      </c>
      <c r="OW140" s="3">
        <f>OT140*OU140*OV140*$M140</f>
        <v>0</v>
      </c>
      <c r="OX140" s="3"/>
      <c r="OY140" s="3">
        <f>VLOOKUP($B140,Afgr,Data!$BU$3)</f>
        <v>0</v>
      </c>
      <c r="OZ140" s="3">
        <f>OY140*M140</f>
        <v>0</v>
      </c>
      <c r="PA140" s="3">
        <f>VLOOKUP($E140,Afgr,Data!$BU$3)</f>
        <v>0</v>
      </c>
      <c r="PB140" s="3">
        <f>PA140*M140</f>
        <v>0</v>
      </c>
      <c r="PD140">
        <f>VLOOKUP(E140,Afgr,Data!$BX$3)+VLOOKUP(G140,Efgr,Data!$AQ$53)</f>
        <v>0</v>
      </c>
      <c r="PE140">
        <f>IF(PD140&gt;0,M140,0)</f>
        <v>0</v>
      </c>
      <c r="PG140">
        <f>VLOOKUP($B140,Afgr,Data!$BT$3)</f>
        <v>0</v>
      </c>
      <c r="PH140" s="3">
        <f>PG140*M140</f>
        <v>0</v>
      </c>
      <c r="PI140">
        <f>VLOOKUP($E140,Afgr,Data!$BT$3)</f>
        <v>0</v>
      </c>
      <c r="PJ140" s="3">
        <f>PI140*M140</f>
        <v>0</v>
      </c>
      <c r="PL140">
        <f>VLOOKUP($E140,Afgr,Data!$BV$3)</f>
        <v>0</v>
      </c>
      <c r="PM140">
        <f>PL140*M140</f>
        <v>0</v>
      </c>
      <c r="PO140">
        <f>VLOOKUP($E140,Afgr,Data!$BW$3)</f>
        <v>0</v>
      </c>
      <c r="PP140">
        <f>PO140*M140</f>
        <v>0</v>
      </c>
      <c r="PR140">
        <f>BI140*IF(VLOOKUP($E140,Afgr,Data!$BJ$3)&gt;0,1,0)</f>
        <v>0</v>
      </c>
      <c r="PS140">
        <f>PR140*M140</f>
        <v>0</v>
      </c>
      <c r="PU140">
        <f>BI140*VLOOKUP(E140,Afgr,Data!$BK$3)</f>
        <v>0</v>
      </c>
      <c r="PV140">
        <f>M140*PU140</f>
        <v>0</v>
      </c>
      <c r="PW140">
        <f>$BI140*VLOOKUP($E140,Afgr,Data!$BL$3)+$DD140*VLOOKUP($G140,Efgr,Data!$AP$53)</f>
        <v>0</v>
      </c>
      <c r="PX140">
        <f>PW140*M140</f>
        <v>0</v>
      </c>
      <c r="PY140">
        <f>$BI140*VLOOKUP($E140,Afgr,Data!$BM$3)</f>
        <v>0</v>
      </c>
      <c r="PZ140">
        <f>PY140*M140</f>
        <v>0</v>
      </c>
      <c r="QA140">
        <f>$BI140*VLOOKUP($E140,Afgr,Data!$BN$3)</f>
        <v>0</v>
      </c>
      <c r="QB140">
        <f>QA140*M140</f>
        <v>0</v>
      </c>
      <c r="QE140">
        <f>IF(VLOOKUP($E140,Afgr,Data!$DA$3)="Vårbyg",$BJ140,0)*VLOOKUP($E140,Afgr,Data!$BJ$3)</f>
        <v>0</v>
      </c>
      <c r="QF140">
        <f>IF(VLOOKUP($E140,Afgr,Data!$DA$3)="Vinterbyg",$BJ140,0)*VLOOKUP($E140,Afgr,Data!$BJ$3)</f>
        <v>0</v>
      </c>
      <c r="QG140">
        <f>IF(VLOOKUP($E140,Afgr,Data!$DA$3)="Havre",$BJ140,0)*VLOOKUP($E140,Afgr,Data!$BJ$3)</f>
        <v>0</v>
      </c>
      <c r="QH140">
        <f>IF(VLOOKUP($E140,Afgr,Data!$DA$3)="Hvede",$BJ140,0)*VLOOKUP($E140,Afgr,Data!$BJ$3)</f>
        <v>0</v>
      </c>
      <c r="QI140">
        <f>IF(VLOOKUP($E140,Afgr,Data!$DA$3)="Triticale",$BJ140,0)*VLOOKUP($E140,Afgr,Data!$BJ$3)</f>
        <v>0</v>
      </c>
      <c r="QJ140">
        <f>IF(VLOOKUP($E140,Afgr,Data!$DA$3)="Rug",$BJ140,0)*VLOOKUP($E140,Afgr,Data!$BJ$3)</f>
        <v>0</v>
      </c>
      <c r="QK140">
        <f>IF(VLOOKUP($E140,Afgr,Data!$DA$3)="Majs",$BJ140,0)*VLOOKUP($E140,Afgr,Data!$BJ$3)</f>
        <v>0</v>
      </c>
      <c r="QN140">
        <f>IF(OI140+OO140&gt;0,1,0)</f>
        <v>0</v>
      </c>
      <c r="QO140">
        <f>QN140*LJ140</f>
        <v>0</v>
      </c>
      <c r="QP140">
        <f>QN140*MG140</f>
        <v>0</v>
      </c>
      <c r="QQ140">
        <f>MQ140</f>
        <v>0</v>
      </c>
      <c r="QR140">
        <f>QN140*NO140</f>
        <v>0</v>
      </c>
    </row>
    <row r="141" spans="1:460" x14ac:dyDescent="0.25">
      <c r="GG141" s="12"/>
    </row>
    <row r="142" spans="1:460" x14ac:dyDescent="0.25">
      <c r="A142">
        <v>3</v>
      </c>
      <c r="B142">
        <v>1</v>
      </c>
      <c r="C142">
        <v>1</v>
      </c>
      <c r="D142" t="b">
        <v>0</v>
      </c>
      <c r="E142">
        <v>1</v>
      </c>
      <c r="F142">
        <v>1</v>
      </c>
      <c r="G142">
        <v>1</v>
      </c>
      <c r="H142">
        <v>1</v>
      </c>
      <c r="I142">
        <v>1</v>
      </c>
      <c r="K142">
        <v>1</v>
      </c>
      <c r="M142">
        <f>IF(ISERROR(N142*Areal4/$N$154),0,N142*Areal4/$N$154)</f>
        <v>0</v>
      </c>
      <c r="N142">
        <f>Mark!Z142</f>
        <v>0</v>
      </c>
      <c r="P142">
        <f>VLOOKUP($E142,Afgr,NnormKolonneNr4)</f>
        <v>0</v>
      </c>
      <c r="Q142">
        <f>VLOOKUP($B142,Afgr,Data!$AI$3)*VLOOKUP(E142,Afgr,Data!$AJ$3)</f>
        <v>0</v>
      </c>
      <c r="R142">
        <f>IF($D142,0,VLOOKUP($C142,Efgr,(Data!$W$53+$G$28-1)))</f>
        <v>0</v>
      </c>
      <c r="S142">
        <f>P142-Q142-R142</f>
        <v>0</v>
      </c>
      <c r="T142">
        <f>S142*M142</f>
        <v>0</v>
      </c>
      <c r="U142">
        <f>IF(Nmodel34=1,S142*Nniveau34*0.01,AO142)</f>
        <v>0</v>
      </c>
      <c r="V142" s="3">
        <f>IF(Mark!CI142&lt;&gt;"",Mark!CI142,U142)</f>
        <v>0</v>
      </c>
      <c r="W142" s="3">
        <f>V142*M142</f>
        <v>0</v>
      </c>
      <c r="Y142">
        <f>S142/NoptFaktor</f>
        <v>0</v>
      </c>
      <c r="Z142" s="3">
        <f>IF(Mark!BZ142&lt;&gt;"",Mark!BZ142,Y142)</f>
        <v>0</v>
      </c>
      <c r="AB142">
        <f>VLOOKUP($E142,Afgr,Data!$DE$3)</f>
        <v>0</v>
      </c>
      <c r="AC142">
        <f>VLOOKUP($E142,Afgr,Data!$DD$3)</f>
        <v>0</v>
      </c>
      <c r="AD142">
        <f>VLOOKUP($E142,Afgr,Data!$DC$3)</f>
        <v>0</v>
      </c>
      <c r="AE142">
        <f>IF(ISERROR($Z142+(-PrisN/$AD142-$AB142)/(2*$AC142)),0,($Z142+(-PrisN/$AD142-$AB142)/(2*$AC142)))</f>
        <v>0</v>
      </c>
      <c r="AF142">
        <f>($BD142+$BE142+$BF142)*1.03333</f>
        <v>0</v>
      </c>
      <c r="AG142">
        <f>$AF142-($AB142*($AE142-$Z142)+$AC142*($AE142-$Z142)^2)</f>
        <v>0</v>
      </c>
      <c r="AH142">
        <f>IF(Nmodel12=1,$AB142*($AE142-$S142)+$AC142*($AE142-$S142)^2,$AB142*($AE142-$AO142)+$AC142*($AE142-$AO142)^2)</f>
        <v>0</v>
      </c>
      <c r="AI142">
        <f>IF(Nmodel34=1,$AB142*($AE142-$V142)+$AC142*($AE142-$V142)^2,$AB142*($AE142-AO142)+$AC142*($AE142-AO142)^2)</f>
        <v>0</v>
      </c>
      <c r="AJ142">
        <f>AG142+AH142-BG142</f>
        <v>0</v>
      </c>
      <c r="AK142">
        <f>AG142+AI142-AJ142</f>
        <v>0</v>
      </c>
      <c r="AM142">
        <f>VLOOKUP(E142,Afgr,Data!$DF$3+SandLer4)</f>
        <v>0</v>
      </c>
      <c r="AN142">
        <f>IF(ISERROR(((-(PrisN+Pantafgift)+AM142*Pantfaktor*Pantafgift)/AD142-AB142)/(2*AC142)),0,((-(PrisN+Pantafgift)+AM142*Pantfaktor*Pantafgift)/AD142-AB142)/(2*AC142))</f>
        <v>0</v>
      </c>
      <c r="AO142">
        <f>AE142-AN142</f>
        <v>0</v>
      </c>
      <c r="AQ142">
        <f>IF(AT142&gt;0,0,W142)</f>
        <v>0</v>
      </c>
      <c r="AR142">
        <f>IF(ISERROR(W142*HdgNTilFordeling34/NnormIaltFordel34),0,W142*HdgNTilFordeling34/NnormIaltFordel34)</f>
        <v>0</v>
      </c>
      <c r="AS142">
        <f>IF(ISERROR($AR142/$M142),0,$AR142/$M142)</f>
        <v>0</v>
      </c>
      <c r="AT142">
        <f>IF(Mark!CO142&lt;&gt;"",Mark!CO142,0)</f>
        <v>0</v>
      </c>
      <c r="AU142">
        <f>$AT142*$M142</f>
        <v>0</v>
      </c>
      <c r="AV142" s="3">
        <f>IF(AT142&gt;0,AT142,AS142)</f>
        <v>0</v>
      </c>
      <c r="AW142" s="3">
        <f>AV142*M142</f>
        <v>0</v>
      </c>
      <c r="AY142">
        <f>UdnKrav*$AV142/100</f>
        <v>0</v>
      </c>
      <c r="BA142">
        <f>AV142*VLOOKUP($E142,Afgr,Data!$DJ$3)</f>
        <v>0</v>
      </c>
      <c r="BB142">
        <f>UdnKrav*$BA142/100</f>
        <v>0</v>
      </c>
      <c r="BD142">
        <f>VLOOKUP(E142,Afgr,NormudbKolonneNr4)</f>
        <v>0</v>
      </c>
      <c r="BE142">
        <f>VLOOKUP(B142,Afgr,Data!$AL$3)*VLOOKUP(E142,Afgr,MerudbKolonneNr4)</f>
        <v>0</v>
      </c>
      <c r="BF142">
        <f>VLOOKUP(C142,Efgr,(Data!$Y$53+EftervirkningUdb4))</f>
        <v>0</v>
      </c>
      <c r="BG142">
        <f>BD142+BE142+BF142</f>
        <v>0</v>
      </c>
      <c r="BH142">
        <f>IF(OR(V142&lt;&gt;S142,Nmodel34=2),AK142,BD142+BE142+BF142)</f>
        <v>0</v>
      </c>
      <c r="BI142" s="3">
        <f>IF(Mark!AK142&lt;&gt;"",Mark!AK142,BH142)</f>
        <v>0</v>
      </c>
      <c r="BJ142">
        <f>BI142*M142</f>
        <v>0</v>
      </c>
      <c r="BK142">
        <f>VLOOKUP(E142,Afgr,3)</f>
        <v>0</v>
      </c>
      <c r="BL142">
        <f>IF(BK142="FE",VLOOKUP($E142,Afgr,Data!$AV$3),0)</f>
        <v>0</v>
      </c>
      <c r="BN142">
        <f>VLOOKUP(E142,Afgr,4)</f>
        <v>0</v>
      </c>
      <c r="BO142" s="3">
        <f>IF(Mark!AW142&lt;&gt;"",Mark!AW142,Regn!BN142)</f>
        <v>0</v>
      </c>
      <c r="BP142" s="3">
        <f>BI142*BO142</f>
        <v>0</v>
      </c>
      <c r="BQ142" s="3">
        <f>BJ142*BO142</f>
        <v>0</v>
      </c>
      <c r="BS142">
        <f>VLOOKUP(E142,Afgr,Data!$AN$3)</f>
        <v>0</v>
      </c>
      <c r="BT142" s="3">
        <f>IF(Mark!BC142&lt;&gt;"",Mark!BC142,BS142)</f>
        <v>0</v>
      </c>
      <c r="BU142" s="3">
        <f>BT142*M142</f>
        <v>0</v>
      </c>
      <c r="BW142">
        <f>VLOOKUP(E142,Afgr,HalmudbKolonneNr4)</f>
        <v>0</v>
      </c>
      <c r="BX142">
        <f>IF(ISERROR(BW142*BI142/BG142),0,(BW142*BI142/BG142))</f>
        <v>0</v>
      </c>
      <c r="BY142" s="3">
        <f>IF(Mark!BI142&lt;&gt;"",Mark!BI142,BX142)</f>
        <v>0</v>
      </c>
      <c r="BZ142">
        <f>BY142*M142</f>
        <v>0</v>
      </c>
      <c r="CC142">
        <f>IF($F142=1,BY142,0)</f>
        <v>0</v>
      </c>
      <c r="CD142">
        <f>IF(F142=1,BZ142,0)</f>
        <v>0</v>
      </c>
      <c r="CE142">
        <f>VLOOKUP(E142,Afgr,Data!$AM$3)</f>
        <v>0</v>
      </c>
      <c r="CF142">
        <f>IF(Mark!BR142&lt;&gt;"",Mark!BR142,CE142)</f>
        <v>0</v>
      </c>
      <c r="CG142">
        <f>CC142*CF142</f>
        <v>0</v>
      </c>
      <c r="CH142">
        <f>CD142*CF142</f>
        <v>0</v>
      </c>
      <c r="CJ142">
        <f>VLOOKUP($G142,Efgr,NnormKolonneEfgr4)</f>
        <v>0</v>
      </c>
      <c r="CK142">
        <f>CJ142*M142</f>
        <v>0</v>
      </c>
      <c r="CL142">
        <f>CJ142*Nniveau34*0.01</f>
        <v>0</v>
      </c>
      <c r="CM142" s="3">
        <f>IF(Mark!DM142&lt;&gt;"",Mark!DM142,CL142)</f>
        <v>0</v>
      </c>
      <c r="CN142" s="3">
        <f>$CM142*$M142</f>
        <v>0</v>
      </c>
      <c r="CP142">
        <f>IF(CS142&gt;0,0,CN142)</f>
        <v>0</v>
      </c>
      <c r="CQ142" s="12">
        <f>IF(ISERROR(CN142*HdgNTilFordeling34/NnormIaltFordel34),0,CN142*HdgNTilFordeling34/NnormIaltFordel34)</f>
        <v>0</v>
      </c>
      <c r="CR142">
        <f>IF(ISERROR($CQ142/$M142),0,$CQ142/$M142)</f>
        <v>0</v>
      </c>
      <c r="CS142">
        <f>IF(Mark!DS142&lt;&gt;"",Mark!DS142,0)</f>
        <v>0</v>
      </c>
      <c r="CT142">
        <f>$CS142*$M142</f>
        <v>0</v>
      </c>
      <c r="CU142" s="3">
        <f>IF($CS142&gt;0,$CS142,$CR142)</f>
        <v>0</v>
      </c>
      <c r="CV142" s="3">
        <f>CU142*M142</f>
        <v>0</v>
      </c>
      <c r="CX142">
        <f>UdnKrav*$CU142/100</f>
        <v>0</v>
      </c>
      <c r="CZ142">
        <f>$CU142*VLOOKUP($G142,Efgr,Data!$BG$53)</f>
        <v>0</v>
      </c>
      <c r="DA142">
        <f>UdnKrav*$CZ142/100</f>
        <v>0</v>
      </c>
      <c r="DC142">
        <f>VLOOKUP(G142,Efgr,NormudbKolonneNrEfgr4)</f>
        <v>0</v>
      </c>
      <c r="DD142" s="3">
        <f>IF(Mark!DC142&lt;&gt;"",Mark!DC142,DC142)</f>
        <v>0</v>
      </c>
      <c r="DE142">
        <f>DD142*M142</f>
        <v>0</v>
      </c>
      <c r="DF142" t="s">
        <v>37</v>
      </c>
      <c r="DG142">
        <f>DD142*Efterslaetpris</f>
        <v>0</v>
      </c>
      <c r="DH142">
        <f>DE142*Efterslaetpris</f>
        <v>0</v>
      </c>
      <c r="DI142">
        <f>VLOOKUP(G142,Efgr,Data!$AG$53)</f>
        <v>0</v>
      </c>
      <c r="DJ142">
        <f>DD142*DI142</f>
        <v>0</v>
      </c>
      <c r="DL142">
        <f>VLOOKUP($E142,Afgr,Data!$AW$3)</f>
        <v>0</v>
      </c>
      <c r="DM142">
        <f>IF(BK142="FE",$BI142*$BL142*$DL142*0.01,$BI142*100*$DR142*0.01*$DL142*0.01)</f>
        <v>0</v>
      </c>
      <c r="DN142">
        <f>IF(VLOOKUP(E142,Afgr,Data!$BO$3)=1,DM142,0)*M142</f>
        <v>0</v>
      </c>
      <c r="DO142" s="12">
        <f>IF(Nmodel34=1,(V142-S142)*VLOOKUP($E142,Afgr,Data!$AX$3),(AO142-S142)*VLOOKUP(E142,Afgr,Data!$AX$3))</f>
        <v>0</v>
      </c>
      <c r="DP142">
        <f>DL142+DO142</f>
        <v>0</v>
      </c>
      <c r="DQ142">
        <f>IF(Mark!AQ142&lt;&gt;"",Mark!AQ142,DP142)</f>
        <v>0</v>
      </c>
      <c r="DR142">
        <f>VLOOKUP(E142,Afgr,Data!$AT$3)</f>
        <v>0</v>
      </c>
      <c r="DS142">
        <f>IF($BK142="FE",$BI142*$BL142*$DQ142*0.01,$BI142*100*$DR142*0.01*DQ142*0.01)</f>
        <v>0</v>
      </c>
      <c r="DT142">
        <f>IF(VLOOKUP(E142,Afgr,Data!$BO$3)=1,DS142,0)*M142</f>
        <v>0</v>
      </c>
      <c r="DU142">
        <f>IF(ISERROR(DS142/VLOOKUP(E142,Afgr,Data!$AY$3)),0,DS142/VLOOKUP(E142,Afgr,Data!$AY$3))</f>
        <v>0</v>
      </c>
      <c r="DV142">
        <f>DU142*M142</f>
        <v>0</v>
      </c>
      <c r="DX142">
        <f>IF($BK142="FE",$BI142*$BL142*VLOOKUP($E142,Afgr,Data!$BC$3)*0.001,$BI142*100*$DR142*0.01*VLOOKUP($E142,Afgr,Data!$BC$3)*0.001)</f>
        <v>0</v>
      </c>
      <c r="DY142">
        <f>DX142*M142</f>
        <v>0</v>
      </c>
      <c r="EA142">
        <f>IF($BK142="FE",$BI142*$BL142*VLOOKUP($E142,Afgr,Data!$BF$3)*0.001,$BI142*100*$DR142*0.01*VLOOKUP($E142,Afgr,Data!$BF$3)*0.001)</f>
        <v>0</v>
      </c>
      <c r="EB142">
        <f>EA142*M142</f>
        <v>0</v>
      </c>
      <c r="ED142">
        <f>IF(ISERROR(VLOOKUP(E142,Afgr,Data!$AZ$3)*DQ142/DL142),0,VLOOKUP(E142,Afgr,Data!$AZ$3)*DQ142/DL142)</f>
        <v>0</v>
      </c>
      <c r="EE142">
        <f>VLOOKUP(E142,Afgr,Data!$AU$3)</f>
        <v>0</v>
      </c>
      <c r="EF142">
        <f>IF($F142=1,$BY142*$EE142*0.01*ED142*0.01,0)</f>
        <v>0</v>
      </c>
      <c r="EG142">
        <f>EF142/6.25</f>
        <v>0</v>
      </c>
      <c r="EH142">
        <f>EG142*M142</f>
        <v>0</v>
      </c>
      <c r="EJ142">
        <f>IF($F142=1,$BY142*$EE142*0.01*VLOOKUP($E142,Afgr,Data!$BD$3)*0.001,0)</f>
        <v>0</v>
      </c>
      <c r="EK142">
        <f>EJ142*M142</f>
        <v>0</v>
      </c>
      <c r="EM142">
        <f>IF($F142=1,$BY142*$EE142*0.01*VLOOKUP($E142,Afgr,Data!$BG$3)*0.001,0)</f>
        <v>0</v>
      </c>
      <c r="EN142">
        <f>EM142*M142</f>
        <v>0</v>
      </c>
      <c r="EP142">
        <f>VLOOKUP(G142,Efgr,Data!$AI$53)</f>
        <v>0</v>
      </c>
      <c r="EQ142">
        <f>DJ142*EP142*0.01/6.25</f>
        <v>0</v>
      </c>
      <c r="ER142">
        <f>EQ142*M142</f>
        <v>0</v>
      </c>
      <c r="ET142">
        <f>$DJ142*VLOOKUP($G142,Efgr,Data!$AJ$53)*0.001</f>
        <v>0</v>
      </c>
      <c r="EU142">
        <f>ET142*M142</f>
        <v>0</v>
      </c>
      <c r="EW142">
        <f>$DJ142*VLOOKUP($G142,Efgr,Data!$AK$53)*0.001</f>
        <v>0</v>
      </c>
      <c r="EX142">
        <f>EW142*M142</f>
        <v>0</v>
      </c>
      <c r="EZ142">
        <f>IF(VLOOKUP(E142,Afgr,Data!$DS$3)=1,DU142*VLOOKUP(E142,Afgr,(Data!$DT$3+EftervirkningUdb4))*VLOOKUP(E142,Afgr,Data!$DV$3),0)</f>
        <v>0</v>
      </c>
      <c r="FA142">
        <f>IF(VLOOKUP(E142,Afgr,Data!$DS$3)=2,VLOOKUP(E142,Afgr,Data!$DX$3),0)</f>
        <v>0</v>
      </c>
      <c r="FB142">
        <f>IF(VLOOKUP(E142,Afgr,Data!$DS$3)=3,$DU142*VLOOKUP($E142,Afgr,IF(Jordtype4&lt;5,Data!$DT$3,Data!$DU$3))*VLOOKUP($E142,Afgr,Data!$DV$3),0)</f>
        <v>0</v>
      </c>
      <c r="FC142">
        <f>IF(VLOOKUP(E142,Afgr,Data!$DS$3)=4,(1.232+0.00469*BI142*100+(0.000256*BI142*100+0.089)*60),0)</f>
        <v>0</v>
      </c>
      <c r="FD142">
        <f>$V142+IF($AY142-$BB142&gt;$V142,$AY142-$V142,0)-$BB142</f>
        <v>0</v>
      </c>
      <c r="FE142">
        <f>IF(VLOOKUP($E142,Afgr,Data!$DS$3)=5,($BI142*0.02742-$BI142*0.0001*$FD142+$BI142*0.0000001111*$FD142*$FD142),0)</f>
        <v>0</v>
      </c>
      <c r="FF142">
        <f>$CM142+IF($CX142-$DA142&gt;$CM142,$CX142-$CM142,0)-$DA142</f>
        <v>0</v>
      </c>
      <c r="FG142">
        <f>IF(VLOOKUP($G142,Efgr,Data!$BH$53)=5,($DD142*0.02742-$DD142*0.0001*$FF142+$DD142*0.0000001111*$FF142*$FF142),0)</f>
        <v>0</v>
      </c>
      <c r="FH142" s="3">
        <f>EZ142+FA142+FB142+FC142+FE142+FG142</f>
        <v>0</v>
      </c>
      <c r="FI142" s="3">
        <f>FH142*M142</f>
        <v>0</v>
      </c>
      <c r="FK142">
        <f>$V142+$CM142</f>
        <v>0</v>
      </c>
      <c r="FL142">
        <f>($AV142-$AY142)+IF($AY142&gt;$V142,$AY142-$V142,0)+($CU142-$CX142)+IF($CX142&gt;$CM142,$CX142-$CM142,0)</f>
        <v>0</v>
      </c>
      <c r="FM142">
        <f>VLOOKUP($E142,Afgr,Data!$DK$3)*VLOOKUP($E142,Afgr,Data!$AT$3)*0.01*VLOOKUP($E142,Afgr,Data!$AW$3)*0.01/6.25</f>
        <v>0</v>
      </c>
      <c r="FN142" s="4">
        <f>IF(E142&gt;1,Deposition,0)</f>
        <v>0</v>
      </c>
      <c r="FO142">
        <f>FH142</f>
        <v>0</v>
      </c>
      <c r="FP142">
        <f>SUM(FK142:FO142)</f>
        <v>0</v>
      </c>
      <c r="FQ142">
        <f>DU142+EG142+EQ142</f>
        <v>0</v>
      </c>
      <c r="FR142" s="3">
        <f>FP142-FQ142</f>
        <v>0</v>
      </c>
      <c r="FS142" s="19">
        <f>FP142*M142</f>
        <v>0</v>
      </c>
      <c r="FT142" s="19">
        <f>FQ142*M142</f>
        <v>0</v>
      </c>
      <c r="FU142" s="3">
        <f>FR142*M142</f>
        <v>0</v>
      </c>
      <c r="FW142">
        <f>IL142+IM142+LP142+LQ142</f>
        <v>0</v>
      </c>
      <c r="FX142">
        <f>IK142+LO142</f>
        <v>0</v>
      </c>
      <c r="FY142">
        <f>FW142-FX142</f>
        <v>0</v>
      </c>
      <c r="FZ142">
        <f>FY142*M142</f>
        <v>0</v>
      </c>
      <c r="GB142">
        <f>IS142+IT142+LV142+LW142</f>
        <v>0</v>
      </c>
      <c r="GC142">
        <f>IR142+LU142</f>
        <v>0</v>
      </c>
      <c r="GD142">
        <f>GB142-GC142</f>
        <v>0</v>
      </c>
      <c r="GE142">
        <f>GD142*M142</f>
        <v>0</v>
      </c>
      <c r="GG142" s="149">
        <f>IF(OR(VLOOKUP(E142,Afgr,Data!$BV$3)=1,VLOOKUP(E142,Afgr,Data!$BW$3)=1),0,NniveauDelsaedsk4)</f>
        <v>0</v>
      </c>
      <c r="GH142" s="1">
        <v>0.32550000000000001</v>
      </c>
      <c r="GI142" s="6">
        <v>0</v>
      </c>
      <c r="GJ142" s="24">
        <f>IF(($V142-BB142+$CM142-DA142)&lt;0,0,$V142-BB142+$CM142-DA142)</f>
        <v>0</v>
      </c>
      <c r="GK142" s="6">
        <f>$FO142</f>
        <v>0</v>
      </c>
      <c r="GL142" s="1">
        <v>0.25280000000000002</v>
      </c>
      <c r="GM142">
        <f>$BA142+$CZ142</f>
        <v>0</v>
      </c>
      <c r="GN142" s="1">
        <v>0.376</v>
      </c>
      <c r="GO142" s="6">
        <v>0</v>
      </c>
      <c r="GP142" s="1">
        <f>IF(SandLer4&gt;1,0.3539,1.0749)</f>
        <v>0.35389999999999999</v>
      </c>
      <c r="GQ142" s="11">
        <f>$FQ142</f>
        <v>0</v>
      </c>
      <c r="GR142" s="1">
        <v>0.19359999999999999</v>
      </c>
      <c r="GS142" s="1">
        <f>VLOOKUP($E142,Afgr,Data!$DM$3)</f>
        <v>0</v>
      </c>
      <c r="GT142" s="24">
        <f>IF($GS142&gt;1,0,(VLOOKUP($K142,Afgr,Data!$DP$3)+IF(VLOOKUP($K142,Afgr,Data!$DP$3)=0,VLOOKUP($G142,Efgr,Data!$BI$53,0))))+IF(AND($GS142=7,VLOOKUP($K142,Afgr,Data!$DQ$3)=-2),-2,0)+IF(AND($GS142=6,VLOOKUP($G142,Efgr,Data!$BI$53)=2),8,0)</f>
        <v>0</v>
      </c>
      <c r="GU142" s="6" t="e">
        <f>VLOOKUP(SUM(GS142:GT142),Nlesafgr,3)</f>
        <v>#N/A</v>
      </c>
      <c r="GV142" s="7">
        <f>VLOOKUP($B142,Afgr,Data!$DN$3)</f>
        <v>0</v>
      </c>
      <c r="GW142" s="24">
        <f>IF(GV142&gt;1,0,VLOOKUP($E142,Afgr,Data!$DO$3)+IF(VLOOKUP($E142,Afgr,Data!$DO$3)=1,0,VLOOKUP($C142,Efgr,Data!$BJ$53)))</f>
        <v>0</v>
      </c>
      <c r="GX142" s="6" t="e">
        <f>VLOOKUP(SUM(GV142:GW142),Nlesforfrugt,3)</f>
        <v>#N/A</v>
      </c>
      <c r="GY142" s="1" t="e">
        <f>GH142*GG142+GL142*(GJ142+GK142)+GN142*GM142+GP142*GO142-GR142*GQ142+GU142+GX142</f>
        <v>#N/A</v>
      </c>
      <c r="GZ142" s="1">
        <f>Nlesafskaering</f>
        <v>59.6</v>
      </c>
      <c r="HA142" s="1">
        <f>Teknologi1</f>
        <v>2455</v>
      </c>
      <c r="HB142" s="6">
        <v>2001</v>
      </c>
      <c r="HC142" s="1">
        <f>Teknologi2</f>
        <v>1962.2</v>
      </c>
      <c r="HD142" s="1">
        <f>Tandel</f>
        <v>0.54659999999999997</v>
      </c>
      <c r="HE142" s="1" t="e">
        <f>IF(OR(GY142&gt;0,GY142=0),GZ142+HA142/(HB142-HC142),GZ142+HA142/(HB142-HC142)+HD142*GY142)</f>
        <v>#N/A</v>
      </c>
      <c r="HF142" s="1" t="e">
        <f>IF(GY142&gt;0,GY142,0.001)</f>
        <v>#N/A</v>
      </c>
      <c r="HG142" s="1">
        <v>1.5020000000000001E-3</v>
      </c>
      <c r="HH142" s="24">
        <f>IF(E142=1,0,VLOOKUP(Postnr,AfstromData,VLOOKUP($E142,Afgr,Data!$DL$3)+IF(Jordtype1&lt;7,Jordtype1,6),FALSE)-VLOOKUP(G142,Efgr,Data!$AA$53))</f>
        <v>0</v>
      </c>
      <c r="HI142" s="1">
        <v>5.5400000000000002E-4</v>
      </c>
      <c r="HJ142" s="24">
        <f>IF(E142=1,0,VLOOKUP(Postnr,AfstromData,VLOOKUP($B142,Afgr,Data!$DL$3)+IF(Jordtype1&lt;7,Jordtype1,6),FALSE)-VLOOKUP(C142,Efgr,Data!$AA$53))</f>
        <v>0</v>
      </c>
      <c r="HK142" s="1">
        <v>0.10639999999999999</v>
      </c>
      <c r="HL142" s="6">
        <f>VLOOKUP(Jordtype4,Jordtype,Data!$W$112)</f>
        <v>3</v>
      </c>
      <c r="HM142" s="1">
        <v>3.2500000000000001E-2</v>
      </c>
      <c r="HN142" s="6">
        <f>VLOOKUP(Jordtype4,Jordtype,Data!$X$112)</f>
        <v>12</v>
      </c>
      <c r="HO142" s="1">
        <v>1.2453000000000001</v>
      </c>
      <c r="HP142" s="1">
        <f>IF(VLOOKUP(G142,Efgr,Data!$AO$53)=1,MlafgrNUdvask,0)</f>
        <v>0</v>
      </c>
      <c r="HQ142" s="20">
        <f>IF(ISERROR((HE142+POWER(HF142,1.2))*(1-EXP(-HG142*HH142))*EXP(-HI142*HJ142)*EXP(-HK142*HL142)*EXP(-HM142*HN142)*HO142),0,(HE142+POWER(HF142,1.2))*(1-EXP(-HG142*HH142))*EXP(-HI142*HJ142)*EXP(-HK142*HL142)*EXP(-HM142*HN142)*HO142+HP142)</f>
        <v>0</v>
      </c>
      <c r="HR142">
        <f>HQ142*M142</f>
        <v>0</v>
      </c>
      <c r="HS142">
        <f>HQ142*(100-Retention4)*0.01</f>
        <v>0</v>
      </c>
      <c r="HT142">
        <f>HS142*M142</f>
        <v>0</v>
      </c>
      <c r="HU142" s="2">
        <f>HH142*10000</f>
        <v>0</v>
      </c>
      <c r="HV142" s="2">
        <f>HU142*M142</f>
        <v>0</v>
      </c>
      <c r="HW142">
        <f>IF(ISERROR(HQ142*1000*1000/HU142),0,HQ142*1000*1000/HU142)</f>
        <v>0</v>
      </c>
      <c r="HY142">
        <f>BP142+BT142+CG142+DG142</f>
        <v>0</v>
      </c>
      <c r="IB142">
        <f>VLOOKUP(E142,Afgr,Data!$AP$3)*UdsaedJust</f>
        <v>0</v>
      </c>
      <c r="IC142" s="3">
        <f>IF(Mark!EG142&lt;&gt;"",Mark!EG142,Regn!IB142)</f>
        <v>0</v>
      </c>
      <c r="ID142" s="3">
        <f>IC142*M142</f>
        <v>0</v>
      </c>
      <c r="IF142" s="3">
        <f>IF(HdgVaerdi=1,($V142-$AY142)*Npris,$V142*Npris)</f>
        <v>0</v>
      </c>
      <c r="IG142" s="3">
        <f>IF142*M142</f>
        <v>0</v>
      </c>
      <c r="II142">
        <f>VLOOKUP($E142,Afgr,Data!$BA$3)</f>
        <v>0</v>
      </c>
      <c r="IJ142">
        <f>VLOOKUP($E142,Afgr,Data!$BB$3)</f>
        <v>0</v>
      </c>
      <c r="IK142">
        <f>$DX142+$EJ142</f>
        <v>0</v>
      </c>
      <c r="IL142">
        <f>IF(HdgDyreart=2,$AV142*NPforholdSvin,$AV142*NPforholdKvaeg)</f>
        <v>0</v>
      </c>
      <c r="IM142">
        <f>II142+IF($IJ142+$IK142&gt;$IL142,($IJ142+$IK142-$IL142),0)</f>
        <v>0</v>
      </c>
      <c r="IN142" s="3">
        <f>IF(HdgVaerdi=1,($II142*Ppris+IF($IJ142+$IK142&gt;$IL142,($IJ142+$IK142-$IL142)*Ppris,0)),($II142+$IJ142+$IK142)*Ppris)</f>
        <v>0</v>
      </c>
      <c r="IO142" s="3">
        <f>IN142*M142</f>
        <v>0</v>
      </c>
      <c r="IQ142">
        <f>IF(AND(E142&gt;1,OR(Jordtype4=1,Jordtype4=3,Markvand4=2)),Kudvask,0)</f>
        <v>0</v>
      </c>
      <c r="IR142">
        <f>$EA142+$EM142</f>
        <v>0</v>
      </c>
      <c r="IS142">
        <f>IF(HdgDyreart=2,$AV142*NKforholdSvin,$AV142*NkforholdKvaeg)</f>
        <v>0</v>
      </c>
      <c r="IT142">
        <f>IF($IQ142+$IR142&gt;$IS142,($IQ142+$IR142-$IS142),0)</f>
        <v>0</v>
      </c>
      <c r="IU142" s="3">
        <f>IF(HdgVaerdi=1,IF($IQ142+$IR142&gt;$IS142,($IQ142+$IR142-$IS142)*Kpris,0),($IQ142+$IR142)*Kpris)</f>
        <v>0</v>
      </c>
      <c r="IV142" s="3">
        <f>IU142*M142</f>
        <v>0</v>
      </c>
      <c r="IX142">
        <f>IF142+IN142+IU142</f>
        <v>0</v>
      </c>
      <c r="IY142" s="3">
        <f>IF(Mark!EM142&lt;&gt;"",Mark!EM142,$IX142)</f>
        <v>0</v>
      </c>
      <c r="IZ142" s="3">
        <f>IY142*M142</f>
        <v>0</v>
      </c>
      <c r="JB142">
        <f>VLOOKUP(E142,Afgr,Data!$AQ$3)*PlantevJust</f>
        <v>0</v>
      </c>
      <c r="JC142" s="3">
        <f>IF(Mark!ES142&lt;&gt;"",Mark!ES142,JB142)</f>
        <v>0</v>
      </c>
      <c r="JD142" s="3">
        <f>JC142*M142</f>
        <v>0</v>
      </c>
      <c r="JF142">
        <f>VLOOKUP(E142,Afgr,Data!$AR$3)+BI142*VLOOKUP(E142,Afgr,Data!$BH$3)</f>
        <v>0</v>
      </c>
      <c r="JG142" s="3">
        <f>IF(Mark!EY142&lt;&gt;"",Mark!EY142,JF142)</f>
        <v>0</v>
      </c>
      <c r="JH142">
        <f>JG142*M142</f>
        <v>0</v>
      </c>
      <c r="JJ142">
        <f>IC142+IY142+JC142+JG142</f>
        <v>0</v>
      </c>
      <c r="JL142">
        <f>IF(VLOOKUP(E142,Afgr,Data!$BY$3)&gt;0,Data!$K$259*PlojJB4,0)</f>
        <v>0</v>
      </c>
      <c r="JM142">
        <f>IF(VLOOKUP(E142,Afgr,Data!$BZ$3)&gt;0,Data!$K$260*PlojJB4,0)</f>
        <v>0</v>
      </c>
      <c r="JN142">
        <f>(JL142+JM142)*MaskJust</f>
        <v>0</v>
      </c>
      <c r="JO142" s="3">
        <f>IF(Mark!FE142&lt;&gt;"",Mark!FE142,JN142)</f>
        <v>0</v>
      </c>
      <c r="JP142" s="3">
        <f>JO142*M142</f>
        <v>0</v>
      </c>
      <c r="JR142">
        <f>IF(VLOOKUP(E142,Afgr,Data!$CA$3)&gt;0,VLOOKUP(E142,Afgr,Data!$CA$3)*Data!$K$261*SaaJB4,0)</f>
        <v>0</v>
      </c>
      <c r="JS142">
        <f>IF(VLOOKUP(E142,Afgr,Data!$CC$3)&gt;0,Data!$K$262*SaaJB4,0)</f>
        <v>0</v>
      </c>
      <c r="JT142">
        <f>IF(VLOOKUP(E142,Afgr,Data!$CD$3)&gt;0,VLOOKUP(E142,Afgr,Data!$CD$3)*Data!$K$263*SaaJB4,0)</f>
        <v>0</v>
      </c>
      <c r="JU142">
        <f>IF(VLOOKUP(E142,Afgr,Data!$CE$3)&gt;0,Data!$K$264*SaaJB4,0)</f>
        <v>0</v>
      </c>
      <c r="JV142">
        <f>IF(VLOOKUP(E142,Afgr,Data!$CF$3)&gt;0,Data!$K$265*SaaJB4,0)</f>
        <v>0</v>
      </c>
      <c r="JW142">
        <f>IF(VLOOKUP(E142,Afgr,Data!$CV$3)&gt;0,Data!$K$266,0)</f>
        <v>0</v>
      </c>
      <c r="JX142">
        <f>IF(VLOOKUP(E142,Afgr,Data!$CG$3)&gt;0,Data!$K$267*SaaJB4,0)</f>
        <v>0</v>
      </c>
      <c r="JY142">
        <f>(JR142+JS142+JT142+JU142+JV142+JW142+JX142)*MaskJust</f>
        <v>0</v>
      </c>
      <c r="JZ142" s="3">
        <f>IF(Mark!FK142&lt;&gt;"",Mark!FK142,JY142)</f>
        <v>0</v>
      </c>
      <c r="KA142" s="3">
        <f>JZ142*M142</f>
        <v>0</v>
      </c>
      <c r="KC142">
        <f>IF(VLOOKUP(E142,Afgr,Data!$CJ$3)&gt;0,VLOOKUP(E142,Afgr,Data!$CJ$3)*Data!$K$268*SaaJB4,0)*MaskJust</f>
        <v>0</v>
      </c>
      <c r="KD142" s="3">
        <f>IF(Mark!FQ142&lt;&gt;"",Mark!FQ142,KC142)</f>
        <v>0</v>
      </c>
      <c r="KE142" s="3">
        <f>KD142*M142</f>
        <v>0</v>
      </c>
      <c r="KG142">
        <f>IF(VLOOKUP(E142,Afgr,Data!$CI$3)&gt;0,VLOOKUP(E142,Afgr,Data!$CI$3)*Data!$K$269,0)*MaskJust</f>
        <v>0</v>
      </c>
      <c r="KH142" s="3">
        <f>IF(Mark!FW142&lt;&gt;"",Mark!FW142,KG142)</f>
        <v>0</v>
      </c>
      <c r="KI142" s="3">
        <f>KH142*M142</f>
        <v>0</v>
      </c>
      <c r="KK142">
        <f>IF(Markvand4=2,VLOOKUP($E142,Afgr,Data!$CY$3),0)</f>
        <v>0</v>
      </c>
      <c r="KL142">
        <f>IF(Mark!GC142&lt;&gt;"",Mark!GC142,$KK142)</f>
        <v>0</v>
      </c>
      <c r="KM142">
        <f>IF(AND(E142&gt;1,Markvand4=2),Vandmaskin+$KL142*Flytning/mmprgang+$KL142*Prisprmm,0)</f>
        <v>0</v>
      </c>
      <c r="KN142" s="3">
        <f>IF(Mark!GI142&lt;&gt;"",Mark!GI142,$KM142)</f>
        <v>0</v>
      </c>
      <c r="KO142" s="3">
        <f>KN142*M142</f>
        <v>0</v>
      </c>
      <c r="KQ142">
        <f>IF(VLOOKUP($E142,Afgr,Data!$CK$3)&gt;0,((1+Regn!$BI142/VLOOKUP($E142,Afgr,Data!$CK$3))/2)*VLOOKUP($E142,Afgr,Data!$CL$3)*VLOOKUP($E142,Afgr,Data!$CN$3)+VLOOKUP($E142,Afgr,Data!$CM$3),0)</f>
        <v>0</v>
      </c>
      <c r="KR142">
        <f>IF(VLOOKUP($E142,Afgr,Data!$CK$3)&gt;0,IF(AND($F142=2,$BW142&gt;0),Data!$K$271,0),0)</f>
        <v>0</v>
      </c>
      <c r="KS142">
        <f>IF(VLOOKUP($E142,Afgr,Data!$CK$3)&gt;0,(Regn!$BI142/VLOOKUP($E142,Afgr,Data!$CK$3))*VLOOKUP($E142,Afgr,Data!$CO$3)*VLOOKUP($E142,Afgr,Data!$CN$3),0)</f>
        <v>0</v>
      </c>
      <c r="KT142">
        <f>(KQ142+KR142+KS142)*MaskJust</f>
        <v>0</v>
      </c>
      <c r="KU142" s="3">
        <f>IF(Mark!GO142&lt;&gt;"",Mark!GO142,KT142)</f>
        <v>0</v>
      </c>
      <c r="KV142" s="3">
        <f>KU142*M142</f>
        <v>0</v>
      </c>
      <c r="KW142" s="3"/>
      <c r="KX142">
        <f>IF(AND($F142=1,VLOOKUP($E142,Afgr,Data!$CP$3)&gt;0),((1+$BY142/VLOOKUP($E142,Afgr,Data!$CP$3))/2)*VLOOKUP($E142,Afgr,Data!$CQ$3),0)</f>
        <v>0</v>
      </c>
      <c r="KY142">
        <f>IF(AND($F142=1,VLOOKUP($E142,Afgr,Data!$CP$3)&gt;0),($BY142/VLOOKUP($E142,Afgr,Data!$CP$3))*VLOOKUP($E142,Afgr,Data!$CR$3),0)</f>
        <v>0</v>
      </c>
      <c r="KZ142">
        <f>(KX142+KY142)*MaskJust</f>
        <v>0</v>
      </c>
      <c r="LA142" s="3">
        <f>IF(Mark!GU142&lt;&gt;"",Mark!GU142,KZ142)</f>
        <v>0</v>
      </c>
      <c r="LB142" s="3">
        <f>LA142*M142</f>
        <v>0</v>
      </c>
      <c r="LD142">
        <f>$BI142*VLOOKUP($E142,Afgr,Data!$CS$3)*IF($I142=1,VLOOKUP($E142,Afgr,Data!$CT$3),IF($I142=2,VLOOKUP($E142,Afgr,Data!$CU$3),0))</f>
        <v>0</v>
      </c>
      <c r="LE142" s="3">
        <f>IF(Mark!HD142&lt;&gt;"",Mark!HD142,LD142)</f>
        <v>0</v>
      </c>
      <c r="LF142" s="3">
        <f>LE142*M142</f>
        <v>0</v>
      </c>
      <c r="LH142">
        <f>VLOOKUP($G142,Efgr,Data!$AC$53)*UdsaedJust</f>
        <v>0</v>
      </c>
      <c r="LI142" s="3">
        <f>IF(Mark!$HL142&lt;&gt;"",Mark!$HL142,LH142)</f>
        <v>0</v>
      </c>
      <c r="LJ142" s="3">
        <f>LI142*M142</f>
        <v>0</v>
      </c>
      <c r="LL142" s="3">
        <f>IF(HdgVaerdi=1,($CM142-$CX142)*Npris,$CM142*Npris)</f>
        <v>0</v>
      </c>
      <c r="LM142" s="3">
        <f>LL142*M142</f>
        <v>0</v>
      </c>
      <c r="LO142">
        <f>$ET142</f>
        <v>0</v>
      </c>
      <c r="LP142">
        <f>IF(HdgDyreart=2,$CU142*NPforholdSvin,$CU142*NPforholdKvaeg)</f>
        <v>0</v>
      </c>
      <c r="LQ142">
        <f>IF($LO142&gt;$LP142,($LO142-$LP142),0)</f>
        <v>0</v>
      </c>
      <c r="LR142" s="3">
        <f>IF(HdgVaerdi=1,IF($LO142&gt;$LP142,($LO142-$LP142)*Ppris,0),$LO142*Ppris)</f>
        <v>0</v>
      </c>
      <c r="LS142" s="3">
        <f>LR142*M142</f>
        <v>0</v>
      </c>
      <c r="LU142">
        <f>$EW142</f>
        <v>0</v>
      </c>
      <c r="LV142">
        <f>IF(HdgDyreart=2,$CU142*NKforholdSvin,$CU142*NkforholdKvaeg)</f>
        <v>0</v>
      </c>
      <c r="LW142">
        <f>IF($LU142&gt;$LV142,($LU142-$LV142),0)</f>
        <v>0</v>
      </c>
      <c r="LX142" s="3">
        <f>IF(HdgVaerdi=1,IF($LU142&gt;$LV142,($LU142-$LV142)*Ppris,0),$LU142*Ppris)</f>
        <v>0</v>
      </c>
      <c r="LY142" s="3">
        <f>LX142*M142</f>
        <v>0</v>
      </c>
      <c r="MA142">
        <f>LL142+LR142+LX142</f>
        <v>0</v>
      </c>
      <c r="MB142" s="3">
        <f>IF(Mark!HR142&lt;&gt;"",Mark!HR142,$MA142)</f>
        <v>0</v>
      </c>
      <c r="MC142" s="3">
        <f>MB142*M142</f>
        <v>0</v>
      </c>
      <c r="ME142">
        <f>VLOOKUP($G142,Efgr,Data!$AE$53)*PlantevJust</f>
        <v>0</v>
      </c>
      <c r="MF142" s="3">
        <f>IF(Mark!HX142&lt;&gt;"",Mark!HX142,ME142)</f>
        <v>0</v>
      </c>
      <c r="MG142" s="3">
        <f>MF142*M142</f>
        <v>0</v>
      </c>
      <c r="MI142">
        <f>VLOOKUP($G142,Efgr,Data!$AF$53)+$DD142*VLOOKUP($G142,Efgr,Data!$AL$53)</f>
        <v>0</v>
      </c>
      <c r="MJ142" s="3">
        <f>IF(Mark!ID142&lt;&gt;"",Mark!ID142,MI142)</f>
        <v>0</v>
      </c>
      <c r="MK142" s="3">
        <f>MJ142*M142</f>
        <v>0</v>
      </c>
      <c r="MM142">
        <f>LI142+MB142+MF142+MJ142</f>
        <v>0</v>
      </c>
      <c r="MO142">
        <f>VLOOKUP($G142,Efgr,Data!$AU$53)*SaaJB4*MaskJust</f>
        <v>0</v>
      </c>
      <c r="MP142" s="3">
        <f>IF(Mark!IJ142&lt;&gt;"",Mark!IJ142,MO142)</f>
        <v>0</v>
      </c>
      <c r="MQ142" s="3">
        <f>MP142*M142</f>
        <v>0</v>
      </c>
      <c r="MS142">
        <f>VLOOKUP($G142,Efgr,Data!$AW$53)*Data!$K$268*SaaJB4*MaskJust</f>
        <v>0</v>
      </c>
      <c r="MT142" s="3">
        <f>IF(Mark!IP142&lt;&gt;"",Mark!IP142,MS142)</f>
        <v>0</v>
      </c>
      <c r="MU142" s="3">
        <f>MT142*M142</f>
        <v>0</v>
      </c>
      <c r="MW142">
        <f>VLOOKUP($G142,Efgr,Data!$AV$53)*Data!$K$269*MaskJust</f>
        <v>0</v>
      </c>
      <c r="MX142" s="3">
        <f>IF(Mark!IV142&lt;&gt;"",Mark!IV142,MW142)</f>
        <v>0</v>
      </c>
      <c r="MY142" s="3">
        <f>MX142*M142</f>
        <v>0</v>
      </c>
      <c r="NA142">
        <f>IF(Markvand4=2,VLOOKUP($G142,Efgr,Data!$BC$53),0)</f>
        <v>0</v>
      </c>
      <c r="NB142">
        <f>IF(Mark!JB142&lt;&gt;"",Mark!JB142,$NA142)</f>
        <v>0</v>
      </c>
      <c r="NC142">
        <f>IF(Markvand4=2,$NB142*Flytning/mmprgang+$NB142*Prisprmm,0)</f>
        <v>0</v>
      </c>
      <c r="ND142" s="3">
        <f>IF(Mark!JH142&lt;&gt;"",Mark!JH142,$NC142)</f>
        <v>0</v>
      </c>
      <c r="NE142" s="3">
        <f>ND142*M142</f>
        <v>0</v>
      </c>
      <c r="NG142">
        <f>IF(VLOOKUP($G142,Efgr,Data!$AX$53)&gt;0,((1+Regn!DD142/VLOOKUP($G142,Efgr,Data!$AX$53))/2)*VLOOKUP($G142,Efgr,Data!$AY$53)*VLOOKUP($G142,Efgr,Data!$BA$53)+VLOOKUP($G142,Efgr,Data!$AZ$53),0)</f>
        <v>0</v>
      </c>
      <c r="NH142">
        <f>IF(VLOOKUP($G142,Efgr,Data!$AX$53)&gt;0,($DD142/VLOOKUP($G142,Efgr,Data!$AX$53))*VLOOKUP($G142,Efgr,Data!$BB$53)*VLOOKUP($G142,Efgr,Data!$BA$53),0)</f>
        <v>0</v>
      </c>
      <c r="NI142">
        <f>(NG142+NH142)*MaskJust</f>
        <v>0</v>
      </c>
      <c r="NJ142" s="3">
        <f>IF(Mark!JN142&lt;&gt;"",Mark!JN142,NI142)</f>
        <v>0</v>
      </c>
      <c r="NK142" s="3">
        <f>NJ142*M142</f>
        <v>0</v>
      </c>
      <c r="NM142">
        <f>IF($H142=2,Data!$K$304,IF($H142=3,Data!$K$305,0))*MaskJust</f>
        <v>0</v>
      </c>
      <c r="NN142" s="3">
        <f>IF(Mark!JT142&lt;&gt;"",Mark!JT142,NM142)</f>
        <v>0</v>
      </c>
      <c r="NO142" s="3">
        <f>NN142*M142</f>
        <v>0</v>
      </c>
      <c r="NQ142">
        <f>HY142</f>
        <v>0</v>
      </c>
      <c r="NR142">
        <f>JJ142+MM142</f>
        <v>0</v>
      </c>
      <c r="NS142">
        <f>NQ142-NR142</f>
        <v>0</v>
      </c>
      <c r="NT142">
        <f>NS142*M142</f>
        <v>0</v>
      </c>
      <c r="NW142">
        <f>VLOOKUP($B142,Afgr,Data!$BP$3)+VLOOKUP($C142,Efgr,Data!$AM$53)</f>
        <v>0</v>
      </c>
      <c r="NX142" s="3">
        <f>NW142*M142</f>
        <v>0</v>
      </c>
      <c r="NY142">
        <f>VLOOKUP($E142,Afgr,Data!$BP$3)+VLOOKUP($G142,Efgr,Data!$AM$53)</f>
        <v>0</v>
      </c>
      <c r="NZ142" s="3">
        <f>NY142*M142</f>
        <v>0</v>
      </c>
      <c r="OB142">
        <f>VLOOKUP($C142,Efgr,Data!$AN$53)</f>
        <v>0</v>
      </c>
      <c r="OC142">
        <f>VLOOKUP($B142,Afgr,Data!$BQ$3)</f>
        <v>0</v>
      </c>
      <c r="OD142">
        <f>VLOOKUP($E142,Afgr,Data!$BR$3)</f>
        <v>1</v>
      </c>
      <c r="OE142">
        <f>OB142*OC142*OD142</f>
        <v>0</v>
      </c>
      <c r="OF142" s="3">
        <f>OE142*M142</f>
        <v>0</v>
      </c>
      <c r="OG142" s="3">
        <f>IF(D142,1,0)*OF142</f>
        <v>0</v>
      </c>
      <c r="OI142">
        <f>VLOOKUP($G142,Efgr,Data!$AN$53)</f>
        <v>0</v>
      </c>
      <c r="OJ142">
        <f>VLOOKUP($E142,Afgr,Data!$BQ$3)</f>
        <v>0</v>
      </c>
      <c r="OK142">
        <f>VLOOKUP($K142,Afgr,Data!$BR$3)</f>
        <v>1</v>
      </c>
      <c r="OL142">
        <f>OI142*OJ142*OK142</f>
        <v>0</v>
      </c>
      <c r="OM142" s="3">
        <f>OL142*M142</f>
        <v>0</v>
      </c>
      <c r="OO142">
        <f>VLOOKUP($G142,Efgr,Data!$AO$53)</f>
        <v>0</v>
      </c>
      <c r="OP142">
        <f>VLOOKUP($B142,Afgr,Data!$BQ$3)</f>
        <v>0</v>
      </c>
      <c r="OQ142">
        <f>VLOOKUP($E142,Afgr,Data!$BS$3)</f>
        <v>0</v>
      </c>
      <c r="OR142" s="3">
        <f>OO142*OP142*OQ142*$M142</f>
        <v>0</v>
      </c>
      <c r="OT142">
        <f>VLOOKUP($G142,Efgr,Data!$AO$53)</f>
        <v>0</v>
      </c>
      <c r="OU142">
        <f>VLOOKUP($E142,Afgr,Data!$BQ$3)</f>
        <v>0</v>
      </c>
      <c r="OV142">
        <f>VLOOKUP($K142,Afgr,Data!$BS$3)</f>
        <v>0</v>
      </c>
      <c r="OW142" s="3">
        <f>OT142*OU142*OV142*$M142</f>
        <v>0</v>
      </c>
      <c r="OX142" s="3"/>
      <c r="OY142" s="3">
        <f>VLOOKUP($B142,Afgr,Data!$BU$3)</f>
        <v>0</v>
      </c>
      <c r="OZ142" s="3">
        <f>OY142*M142</f>
        <v>0</v>
      </c>
      <c r="PA142" s="3">
        <f>VLOOKUP($E142,Afgr,Data!$BU$3)</f>
        <v>0</v>
      </c>
      <c r="PB142" s="3">
        <f>PA142*M142</f>
        <v>0</v>
      </c>
      <c r="PD142">
        <f>VLOOKUP(E142,Afgr,Data!$BX$3)+VLOOKUP(G142,Efgr,Data!$AQ$53)</f>
        <v>0</v>
      </c>
      <c r="PE142">
        <f>IF(PD142&gt;0,M142,0)</f>
        <v>0</v>
      </c>
      <c r="PG142">
        <f>VLOOKUP($B142,Afgr,Data!$BT$3)</f>
        <v>0</v>
      </c>
      <c r="PH142" s="3">
        <f>PG142*M142</f>
        <v>0</v>
      </c>
      <c r="PI142">
        <f>VLOOKUP($E142,Afgr,Data!$BT$3)</f>
        <v>0</v>
      </c>
      <c r="PJ142" s="3">
        <f>PI142*M142</f>
        <v>0</v>
      </c>
      <c r="PL142">
        <f>VLOOKUP($E142,Afgr,Data!$BV$3)</f>
        <v>0</v>
      </c>
      <c r="PM142">
        <f>PL142*M142</f>
        <v>0</v>
      </c>
      <c r="PO142">
        <f>VLOOKUP($E142,Afgr,Data!$BW$3)</f>
        <v>0</v>
      </c>
      <c r="PP142">
        <f>PO142*M142</f>
        <v>0</v>
      </c>
      <c r="PR142">
        <f>BI142*IF(VLOOKUP($E142,Afgr,Data!$BJ$3)&gt;0,1,0)</f>
        <v>0</v>
      </c>
      <c r="PS142">
        <f>PR142*M142</f>
        <v>0</v>
      </c>
      <c r="PU142">
        <f>BI142*VLOOKUP(E142,Afgr,Data!$BK$3)</f>
        <v>0</v>
      </c>
      <c r="PV142">
        <f>M142*PU142</f>
        <v>0</v>
      </c>
      <c r="PW142">
        <f>$BI142*VLOOKUP($E142,Afgr,Data!$BL$3)+$DD142*VLOOKUP($G142,Efgr,Data!$AP$53)</f>
        <v>0</v>
      </c>
      <c r="PX142">
        <f>PW142*M142</f>
        <v>0</v>
      </c>
      <c r="PY142">
        <f>$BI142*VLOOKUP($E142,Afgr,Data!$BM$3)</f>
        <v>0</v>
      </c>
      <c r="PZ142">
        <f>PY142*M142</f>
        <v>0</v>
      </c>
      <c r="QA142">
        <f>$BI142*VLOOKUP($E142,Afgr,Data!$BN$3)</f>
        <v>0</v>
      </c>
      <c r="QB142">
        <f>QA142*M142</f>
        <v>0</v>
      </c>
      <c r="QE142">
        <f>IF(VLOOKUP($E142,Afgr,Data!$DA$3)="Vårbyg",$BJ142,0)*VLOOKUP($E142,Afgr,Data!$BJ$3)</f>
        <v>0</v>
      </c>
      <c r="QF142">
        <f>IF(VLOOKUP($E142,Afgr,Data!$DA$3)="Vinterbyg",$BJ142,0)*VLOOKUP($E142,Afgr,Data!$BJ$3)</f>
        <v>0</v>
      </c>
      <c r="QG142">
        <f>IF(VLOOKUP($E142,Afgr,Data!$DA$3)="Havre",$BJ142,0)*VLOOKUP($E142,Afgr,Data!$BJ$3)</f>
        <v>0</v>
      </c>
      <c r="QH142">
        <f>IF(VLOOKUP($E142,Afgr,Data!$DA$3)="Hvede",$BJ142,0)*VLOOKUP($E142,Afgr,Data!$BJ$3)</f>
        <v>0</v>
      </c>
      <c r="QI142">
        <f>IF(VLOOKUP($E142,Afgr,Data!$DA$3)="Triticale",$BJ142,0)*VLOOKUP($E142,Afgr,Data!$BJ$3)</f>
        <v>0</v>
      </c>
      <c r="QJ142">
        <f>IF(VLOOKUP($E142,Afgr,Data!$DA$3)="Rug",$BJ142,0)*VLOOKUP($E142,Afgr,Data!$BJ$3)</f>
        <v>0</v>
      </c>
      <c r="QK142">
        <f>IF(VLOOKUP($E142,Afgr,Data!$DA$3)="Majs",$BJ142,0)*VLOOKUP($E142,Afgr,Data!$BJ$3)</f>
        <v>0</v>
      </c>
      <c r="QN142">
        <f>IF(OI142+OO142&gt;0,1,0)</f>
        <v>0</v>
      </c>
      <c r="QO142">
        <f>QN142*LJ142</f>
        <v>0</v>
      </c>
      <c r="QP142">
        <f>QN142*MG142</f>
        <v>0</v>
      </c>
      <c r="QQ142">
        <f>MQ142</f>
        <v>0</v>
      </c>
      <c r="QR142">
        <f>QN142*NO142</f>
        <v>0</v>
      </c>
    </row>
    <row r="143" spans="1:460" x14ac:dyDescent="0.25">
      <c r="GG143" s="12"/>
    </row>
    <row r="144" spans="1:460" x14ac:dyDescent="0.25">
      <c r="A144">
        <v>4</v>
      </c>
      <c r="B144">
        <v>1</v>
      </c>
      <c r="C144">
        <v>1</v>
      </c>
      <c r="D144" t="b">
        <v>0</v>
      </c>
      <c r="E144">
        <v>1</v>
      </c>
      <c r="F144">
        <v>1</v>
      </c>
      <c r="G144">
        <v>1</v>
      </c>
      <c r="H144">
        <v>1</v>
      </c>
      <c r="I144">
        <v>1</v>
      </c>
      <c r="K144">
        <v>1</v>
      </c>
      <c r="M144">
        <f>IF(ISERROR(N144*Areal4/$N$154),0,N144*Areal4/$N$154)</f>
        <v>0</v>
      </c>
      <c r="N144">
        <f>Mark!Z144</f>
        <v>0</v>
      </c>
      <c r="P144">
        <f>VLOOKUP($E144,Afgr,NnormKolonneNr4)</f>
        <v>0</v>
      </c>
      <c r="Q144">
        <f>VLOOKUP($B144,Afgr,Data!$AI$3)*VLOOKUP(E144,Afgr,Data!$AJ$3)</f>
        <v>0</v>
      </c>
      <c r="R144">
        <f>IF($D144,0,VLOOKUP($C144,Efgr,(Data!$W$53+$G$28-1)))</f>
        <v>0</v>
      </c>
      <c r="S144">
        <f>P144-Q144-R144</f>
        <v>0</v>
      </c>
      <c r="T144">
        <f>S144*M144</f>
        <v>0</v>
      </c>
      <c r="U144">
        <f>IF(Nmodel34=1,S144*Nniveau34*0.01,AO144)</f>
        <v>0</v>
      </c>
      <c r="V144" s="3">
        <f>IF(Mark!CI144&lt;&gt;"",Mark!CI144,U144)</f>
        <v>0</v>
      </c>
      <c r="W144" s="3">
        <f>V144*M144</f>
        <v>0</v>
      </c>
      <c r="Y144">
        <f>S144/NoptFaktor</f>
        <v>0</v>
      </c>
      <c r="Z144" s="3">
        <f>IF(Mark!BZ144&lt;&gt;"",Mark!BZ144,Y144)</f>
        <v>0</v>
      </c>
      <c r="AB144">
        <f>VLOOKUP($E144,Afgr,Data!$DE$3)</f>
        <v>0</v>
      </c>
      <c r="AC144">
        <f>VLOOKUP($E144,Afgr,Data!$DD$3)</f>
        <v>0</v>
      </c>
      <c r="AD144">
        <f>VLOOKUP($E144,Afgr,Data!$DC$3)</f>
        <v>0</v>
      </c>
      <c r="AE144">
        <f>IF(ISERROR($Z144+(-PrisN/$AD144-$AB144)/(2*$AC144)),0,($Z144+(-PrisN/$AD144-$AB144)/(2*$AC144)))</f>
        <v>0</v>
      </c>
      <c r="AF144">
        <f>($BD144+$BE144+$BF144)*1.03333</f>
        <v>0</v>
      </c>
      <c r="AG144">
        <f>$AF144-($AB144*($AE144-$Z144)+$AC144*($AE144-$Z144)^2)</f>
        <v>0</v>
      </c>
      <c r="AH144">
        <f>IF(Nmodel12=1,$AB144*($AE144-$S144)+$AC144*($AE144-$S144)^2,$AB144*($AE144-$AO144)+$AC144*($AE144-$AO144)^2)</f>
        <v>0</v>
      </c>
      <c r="AI144">
        <f>IF(Nmodel34=1,$AB144*($AE144-$V144)+$AC144*($AE144-$V144)^2,$AB144*($AE144-AO144)+$AC144*($AE144-AO144)^2)</f>
        <v>0</v>
      </c>
      <c r="AJ144">
        <f>AG144+AH144-BG144</f>
        <v>0</v>
      </c>
      <c r="AK144">
        <f>AG144+AI144-AJ144</f>
        <v>0</v>
      </c>
      <c r="AM144">
        <f>VLOOKUP(E144,Afgr,Data!$DF$3+SandLer4)</f>
        <v>0</v>
      </c>
      <c r="AN144">
        <f>IF(ISERROR(((-(PrisN+Pantafgift)+AM144*Pantfaktor*Pantafgift)/AD144-AB144)/(2*AC144)),0,((-(PrisN+Pantafgift)+AM144*Pantfaktor*Pantafgift)/AD144-AB144)/(2*AC144))</f>
        <v>0</v>
      </c>
      <c r="AO144">
        <f>AE144-AN144</f>
        <v>0</v>
      </c>
      <c r="AQ144">
        <f>IF(AT144&gt;0,0,W144)</f>
        <v>0</v>
      </c>
      <c r="AR144">
        <f>IF(ISERROR(W144*HdgNTilFordeling34/NnormIaltFordel34),0,W144*HdgNTilFordeling34/NnormIaltFordel34)</f>
        <v>0</v>
      </c>
      <c r="AS144">
        <f>IF(ISERROR($AR144/$M144),0,$AR144/$M144)</f>
        <v>0</v>
      </c>
      <c r="AT144">
        <f>IF(Mark!CO144&lt;&gt;"",Mark!CO144,0)</f>
        <v>0</v>
      </c>
      <c r="AU144">
        <f>$AT144*$M144</f>
        <v>0</v>
      </c>
      <c r="AV144" s="3">
        <f>IF(AT144&gt;0,AT144,AS144)</f>
        <v>0</v>
      </c>
      <c r="AW144" s="3">
        <f>AV144*M144</f>
        <v>0</v>
      </c>
      <c r="AY144">
        <f>UdnKrav*$AV144/100</f>
        <v>0</v>
      </c>
      <c r="BA144">
        <f>AV144*VLOOKUP($E144,Afgr,Data!$DJ$3)</f>
        <v>0</v>
      </c>
      <c r="BB144">
        <f>UdnKrav*$BA144/100</f>
        <v>0</v>
      </c>
      <c r="BD144">
        <f>VLOOKUP(E144,Afgr,NormudbKolonneNr4)</f>
        <v>0</v>
      </c>
      <c r="BE144">
        <f>VLOOKUP(B144,Afgr,Data!$AL$3)*VLOOKUP(E144,Afgr,MerudbKolonneNr4)</f>
        <v>0</v>
      </c>
      <c r="BF144">
        <f>VLOOKUP(C144,Efgr,(Data!$Y$53+EftervirkningUdb4))</f>
        <v>0</v>
      </c>
      <c r="BG144">
        <f>BD144+BE144+BF144</f>
        <v>0</v>
      </c>
      <c r="BH144">
        <f>IF(OR(V144&lt;&gt;S144,Nmodel34=2),AK144,BD144+BE144+BF144)</f>
        <v>0</v>
      </c>
      <c r="BI144" s="3">
        <f>IF(Mark!AK144&lt;&gt;"",Mark!AK144,BH144)</f>
        <v>0</v>
      </c>
      <c r="BJ144">
        <f>BI144*M144</f>
        <v>0</v>
      </c>
      <c r="BK144">
        <f>VLOOKUP(E144,Afgr,3)</f>
        <v>0</v>
      </c>
      <c r="BL144">
        <f>IF(BK144="FE",VLOOKUP($E144,Afgr,Data!$AV$3),0)</f>
        <v>0</v>
      </c>
      <c r="BN144">
        <f>VLOOKUP(E144,Afgr,4)</f>
        <v>0</v>
      </c>
      <c r="BO144" s="3">
        <f>IF(Mark!AW144&lt;&gt;"",Mark!AW144,Regn!BN144)</f>
        <v>0</v>
      </c>
      <c r="BP144" s="3">
        <f>BI144*BO144</f>
        <v>0</v>
      </c>
      <c r="BQ144" s="3">
        <f>BJ144*BO144</f>
        <v>0</v>
      </c>
      <c r="BS144">
        <f>VLOOKUP(E144,Afgr,Data!$AN$3)</f>
        <v>0</v>
      </c>
      <c r="BT144" s="3">
        <f>IF(Mark!BC144&lt;&gt;"",Mark!BC144,BS144)</f>
        <v>0</v>
      </c>
      <c r="BU144" s="3">
        <f>BT144*M144</f>
        <v>0</v>
      </c>
      <c r="BW144">
        <f>VLOOKUP(E144,Afgr,HalmudbKolonneNr4)</f>
        <v>0</v>
      </c>
      <c r="BX144">
        <f>IF(ISERROR(BW144*BI144/BG144),0,(BW144*BI144/BG144))</f>
        <v>0</v>
      </c>
      <c r="BY144" s="3">
        <f>IF(Mark!BI144&lt;&gt;"",Mark!BI144,BX144)</f>
        <v>0</v>
      </c>
      <c r="BZ144">
        <f>BY144*M144</f>
        <v>0</v>
      </c>
      <c r="CC144">
        <f>IF($F144=1,BY144,0)</f>
        <v>0</v>
      </c>
      <c r="CD144">
        <f>IF(F144=1,BZ144,0)</f>
        <v>0</v>
      </c>
      <c r="CE144">
        <f>VLOOKUP(E144,Afgr,Data!$AM$3)</f>
        <v>0</v>
      </c>
      <c r="CF144">
        <f>IF(Mark!BR144&lt;&gt;"",Mark!BR144,CE144)</f>
        <v>0</v>
      </c>
      <c r="CG144">
        <f>CC144*CF144</f>
        <v>0</v>
      </c>
      <c r="CH144">
        <f>CD144*CF144</f>
        <v>0</v>
      </c>
      <c r="CJ144">
        <f>VLOOKUP($G144,Efgr,NnormKolonneEfgr4)</f>
        <v>0</v>
      </c>
      <c r="CK144">
        <f>CJ144*M144</f>
        <v>0</v>
      </c>
      <c r="CL144">
        <f>CJ144*Nniveau34*0.01</f>
        <v>0</v>
      </c>
      <c r="CM144" s="3">
        <f>IF(Mark!DM144&lt;&gt;"",Mark!DM144,CL144)</f>
        <v>0</v>
      </c>
      <c r="CN144" s="3">
        <f>$CM144*$M144</f>
        <v>0</v>
      </c>
      <c r="CP144">
        <f>IF(CS144&gt;0,0,CN144)</f>
        <v>0</v>
      </c>
      <c r="CQ144" s="12">
        <f>IF(ISERROR(CN144*HdgNTilFordeling34/NnormIaltFordel34),0,CN144*HdgNTilFordeling34/NnormIaltFordel34)</f>
        <v>0</v>
      </c>
      <c r="CR144">
        <f>IF(ISERROR($CQ144/$M144),0,$CQ144/$M144)</f>
        <v>0</v>
      </c>
      <c r="CS144">
        <f>IF(Mark!DS144&lt;&gt;"",Mark!DS144,0)</f>
        <v>0</v>
      </c>
      <c r="CT144">
        <f>$CS144*$M144</f>
        <v>0</v>
      </c>
      <c r="CU144" s="3">
        <f>IF($CS144&gt;0,$CS144,$CR144)</f>
        <v>0</v>
      </c>
      <c r="CV144" s="3">
        <f>CU144*M144</f>
        <v>0</v>
      </c>
      <c r="CX144">
        <f>UdnKrav*$CU144/100</f>
        <v>0</v>
      </c>
      <c r="CZ144">
        <f>$CU144*VLOOKUP($G144,Efgr,Data!$BG$53)</f>
        <v>0</v>
      </c>
      <c r="DA144">
        <f>UdnKrav*$CZ144/100</f>
        <v>0</v>
      </c>
      <c r="DC144">
        <f>VLOOKUP(G144,Efgr,NormudbKolonneNrEfgr4)</f>
        <v>0</v>
      </c>
      <c r="DD144" s="3">
        <f>IF(Mark!DC144&lt;&gt;"",Mark!DC144,DC144)</f>
        <v>0</v>
      </c>
      <c r="DE144">
        <f>DD144*M144</f>
        <v>0</v>
      </c>
      <c r="DF144" t="s">
        <v>37</v>
      </c>
      <c r="DG144">
        <f>DD144*Efterslaetpris</f>
        <v>0</v>
      </c>
      <c r="DH144">
        <f>DE144*Efterslaetpris</f>
        <v>0</v>
      </c>
      <c r="DI144">
        <f>VLOOKUP(G144,Efgr,Data!$AG$53)</f>
        <v>0</v>
      </c>
      <c r="DJ144">
        <f>DD144*DI144</f>
        <v>0</v>
      </c>
      <c r="DL144">
        <f>VLOOKUP($E144,Afgr,Data!$AW$3)</f>
        <v>0</v>
      </c>
      <c r="DM144">
        <f>IF(BK144="FE",$BI144*$BL144*$DL144*0.01,$BI144*100*$DR144*0.01*$DL144*0.01)</f>
        <v>0</v>
      </c>
      <c r="DN144">
        <f>IF(VLOOKUP(E144,Afgr,Data!$BO$3)=1,DM144,0)*M144</f>
        <v>0</v>
      </c>
      <c r="DO144" s="12">
        <f>IF(Nmodel34=1,(V144-S144)*VLOOKUP($E144,Afgr,Data!$AX$3),(AO144-S144)*VLOOKUP(E144,Afgr,Data!$AX$3))</f>
        <v>0</v>
      </c>
      <c r="DP144">
        <f>DL144+DO144</f>
        <v>0</v>
      </c>
      <c r="DQ144">
        <f>IF(Mark!AQ144&lt;&gt;"",Mark!AQ144,DP144)</f>
        <v>0</v>
      </c>
      <c r="DR144">
        <f>VLOOKUP(E144,Afgr,Data!$AT$3)</f>
        <v>0</v>
      </c>
      <c r="DS144">
        <f>IF($BK144="FE",$BI144*$BL144*$DQ144*0.01,$BI144*100*$DR144*0.01*DQ144*0.01)</f>
        <v>0</v>
      </c>
      <c r="DT144">
        <f>IF(VLOOKUP(E144,Afgr,Data!$BO$3)=1,DS144,0)*M144</f>
        <v>0</v>
      </c>
      <c r="DU144">
        <f>IF(ISERROR(DS144/VLOOKUP(E144,Afgr,Data!$AY$3)),0,DS144/VLOOKUP(E144,Afgr,Data!$AY$3))</f>
        <v>0</v>
      </c>
      <c r="DV144">
        <f>DU144*M144</f>
        <v>0</v>
      </c>
      <c r="DX144">
        <f>IF($BK144="FE",$BI144*$BL144*VLOOKUP($E144,Afgr,Data!$BC$3)*0.001,$BI144*100*$DR144*0.01*VLOOKUP($E144,Afgr,Data!$BC$3)*0.001)</f>
        <v>0</v>
      </c>
      <c r="DY144">
        <f>DX144*M144</f>
        <v>0</v>
      </c>
      <c r="EA144">
        <f>IF($BK144="FE",$BI144*$BL144*VLOOKUP($E144,Afgr,Data!$BF$3)*0.001,$BI144*100*$DR144*0.01*VLOOKUP($E144,Afgr,Data!$BF$3)*0.001)</f>
        <v>0</v>
      </c>
      <c r="EB144">
        <f>EA144*M144</f>
        <v>0</v>
      </c>
      <c r="ED144">
        <f>IF(ISERROR(VLOOKUP(E144,Afgr,Data!$AZ$3)*DQ144/DL144),0,VLOOKUP(E144,Afgr,Data!$AZ$3)*DQ144/DL144)</f>
        <v>0</v>
      </c>
      <c r="EE144">
        <f>VLOOKUP(E144,Afgr,Data!$AU$3)</f>
        <v>0</v>
      </c>
      <c r="EF144">
        <f>IF($F144=1,$BY144*$EE144*0.01*ED144*0.01,0)</f>
        <v>0</v>
      </c>
      <c r="EG144">
        <f>EF144/6.25</f>
        <v>0</v>
      </c>
      <c r="EH144">
        <f>EG144*M144</f>
        <v>0</v>
      </c>
      <c r="EJ144">
        <f>IF($F144=1,$BY144*$EE144*0.01*VLOOKUP($E144,Afgr,Data!$BD$3)*0.001,0)</f>
        <v>0</v>
      </c>
      <c r="EK144">
        <f>EJ144*M144</f>
        <v>0</v>
      </c>
      <c r="EM144">
        <f>IF($F144=1,$BY144*$EE144*0.01*VLOOKUP($E144,Afgr,Data!$BG$3)*0.001,0)</f>
        <v>0</v>
      </c>
      <c r="EN144">
        <f>EM144*M144</f>
        <v>0</v>
      </c>
      <c r="EP144">
        <f>VLOOKUP(G144,Efgr,Data!$AI$53)</f>
        <v>0</v>
      </c>
      <c r="EQ144">
        <f>DJ144*EP144*0.01/6.25</f>
        <v>0</v>
      </c>
      <c r="ER144">
        <f>EQ144*M144</f>
        <v>0</v>
      </c>
      <c r="ET144">
        <f>$DJ144*VLOOKUP($G144,Efgr,Data!$AJ$53)*0.001</f>
        <v>0</v>
      </c>
      <c r="EU144">
        <f>ET144*M144</f>
        <v>0</v>
      </c>
      <c r="EW144">
        <f>$DJ144*VLOOKUP($G144,Efgr,Data!$AK$53)*0.001</f>
        <v>0</v>
      </c>
      <c r="EX144">
        <f>EW144*M144</f>
        <v>0</v>
      </c>
      <c r="EZ144">
        <f>IF(VLOOKUP(E144,Afgr,Data!$DS$3)=1,DU144*VLOOKUP(E144,Afgr,(Data!$DT$3+EftervirkningUdb4))*VLOOKUP(E144,Afgr,Data!$DV$3),0)</f>
        <v>0</v>
      </c>
      <c r="FA144">
        <f>IF(VLOOKUP(E144,Afgr,Data!$DS$3)=2,VLOOKUP(E144,Afgr,Data!$DX$3),0)</f>
        <v>0</v>
      </c>
      <c r="FB144">
        <f>IF(VLOOKUP(E144,Afgr,Data!$DS$3)=3,$DU144*VLOOKUP($E144,Afgr,IF(Jordtype4&lt;5,Data!$DT$3,Data!$DU$3))*VLOOKUP($E144,Afgr,Data!$DV$3),0)</f>
        <v>0</v>
      </c>
      <c r="FC144">
        <f>IF(VLOOKUP(E144,Afgr,Data!$DS$3)=4,(1.232+0.00469*BI144*100+(0.000256*BI144*100+0.089)*60),0)</f>
        <v>0</v>
      </c>
      <c r="FD144">
        <f>$V144+IF($AY144-$BB144&gt;$V144,$AY144-$V144,0)-$BB144</f>
        <v>0</v>
      </c>
      <c r="FE144">
        <f>IF(VLOOKUP($E144,Afgr,Data!$DS$3)=5,($BI144*0.02742-$BI144*0.0001*$FD144+$BI144*0.0000001111*$FD144*$FD144),0)</f>
        <v>0</v>
      </c>
      <c r="FF144">
        <f>$CM144+IF($CX144-$DA144&gt;$CM144,$CX144-$CM144,0)-$DA144</f>
        <v>0</v>
      </c>
      <c r="FG144">
        <f>IF(VLOOKUP($G144,Efgr,Data!$BH$53)=5,($DD144*0.02742-$DD144*0.0001*$FF144+$DD144*0.0000001111*$FF144*$FF144),0)</f>
        <v>0</v>
      </c>
      <c r="FH144" s="3">
        <f>EZ144+FA144+FB144+FC144+FE144+FG144</f>
        <v>0</v>
      </c>
      <c r="FI144" s="3">
        <f>FH144*M144</f>
        <v>0</v>
      </c>
      <c r="FK144">
        <f>$V144+$CM144</f>
        <v>0</v>
      </c>
      <c r="FL144">
        <f>($AV144-$AY144)+IF($AY144&gt;$V144,$AY144-$V144,0)+($CU144-$CX144)+IF($CX144&gt;$CM144,$CX144-$CM144,0)</f>
        <v>0</v>
      </c>
      <c r="FM144">
        <f>VLOOKUP($E144,Afgr,Data!$DK$3)*VLOOKUP($E144,Afgr,Data!$AT$3)*0.01*VLOOKUP($E144,Afgr,Data!$AW$3)*0.01/6.25</f>
        <v>0</v>
      </c>
      <c r="FN144" s="4">
        <f>IF(E144&gt;1,Deposition,0)</f>
        <v>0</v>
      </c>
      <c r="FO144">
        <f>FH144</f>
        <v>0</v>
      </c>
      <c r="FP144">
        <f>SUM(FK144:FO144)</f>
        <v>0</v>
      </c>
      <c r="FQ144">
        <f>DU144+EG144+EQ144</f>
        <v>0</v>
      </c>
      <c r="FR144" s="3">
        <f>FP144-FQ144</f>
        <v>0</v>
      </c>
      <c r="FS144" s="19">
        <f>FP144*M144</f>
        <v>0</v>
      </c>
      <c r="FT144" s="19">
        <f>FQ144*M144</f>
        <v>0</v>
      </c>
      <c r="FU144" s="3">
        <f>FR144*M144</f>
        <v>0</v>
      </c>
      <c r="FW144">
        <f>IL144+IM144+LP144+LQ144</f>
        <v>0</v>
      </c>
      <c r="FX144">
        <f>IK144+LO144</f>
        <v>0</v>
      </c>
      <c r="FY144">
        <f>FW144-FX144</f>
        <v>0</v>
      </c>
      <c r="FZ144">
        <f>FY144*M144</f>
        <v>0</v>
      </c>
      <c r="GB144">
        <f>IS144+IT144+LV144+LW144</f>
        <v>0</v>
      </c>
      <c r="GC144">
        <f>IR144+LU144</f>
        <v>0</v>
      </c>
      <c r="GD144">
        <f>GB144-GC144</f>
        <v>0</v>
      </c>
      <c r="GE144">
        <f>GD144*M144</f>
        <v>0</v>
      </c>
      <c r="GG144" s="149">
        <f>IF(OR(VLOOKUP(E144,Afgr,Data!$BV$3)=1,VLOOKUP(E144,Afgr,Data!$BW$3)=1),0,NniveauDelsaedsk4)</f>
        <v>0</v>
      </c>
      <c r="GH144" s="1">
        <v>0.32550000000000001</v>
      </c>
      <c r="GI144" s="6">
        <v>0</v>
      </c>
      <c r="GJ144" s="24">
        <f>IF(($V144-BB144+$CM144-DA144)&lt;0,0,$V144-BB144+$CM144-DA144)</f>
        <v>0</v>
      </c>
      <c r="GK144" s="6">
        <f>$FO144</f>
        <v>0</v>
      </c>
      <c r="GL144" s="1">
        <v>0.25280000000000002</v>
      </c>
      <c r="GM144">
        <f>$BA144+$CZ144</f>
        <v>0</v>
      </c>
      <c r="GN144" s="1">
        <v>0.376</v>
      </c>
      <c r="GO144" s="6">
        <v>0</v>
      </c>
      <c r="GP144" s="1">
        <f>IF(SandLer4&gt;1,0.3539,1.0749)</f>
        <v>0.35389999999999999</v>
      </c>
      <c r="GQ144" s="11">
        <f>$FQ144</f>
        <v>0</v>
      </c>
      <c r="GR144" s="1">
        <v>0.19359999999999999</v>
      </c>
      <c r="GS144" s="1">
        <f>VLOOKUP($E144,Afgr,Data!$DM$3)</f>
        <v>0</v>
      </c>
      <c r="GT144" s="24">
        <f>IF($GS144&gt;1,0,(VLOOKUP($K144,Afgr,Data!$DP$3)+IF(VLOOKUP($K144,Afgr,Data!$DP$3)=0,VLOOKUP($G144,Efgr,Data!$BI$53,0))))+IF(AND($GS144=7,VLOOKUP($K144,Afgr,Data!$DQ$3)=-2),-2,0)+IF(AND($GS144=6,VLOOKUP($G144,Efgr,Data!$BI$53)=2),8,0)</f>
        <v>0</v>
      </c>
      <c r="GU144" s="6" t="e">
        <f>VLOOKUP(SUM(GS144:GT144),Nlesafgr,3)</f>
        <v>#N/A</v>
      </c>
      <c r="GV144" s="7">
        <f>VLOOKUP($B144,Afgr,Data!$DN$3)</f>
        <v>0</v>
      </c>
      <c r="GW144" s="24">
        <f>IF(GV144&gt;1,0,VLOOKUP($E144,Afgr,Data!$DO$3)+IF(VLOOKUP($E144,Afgr,Data!$DO$3)=1,0,VLOOKUP($C144,Efgr,Data!$BJ$53)))</f>
        <v>0</v>
      </c>
      <c r="GX144" s="6" t="e">
        <f>VLOOKUP(SUM(GV144:GW144),Nlesforfrugt,3)</f>
        <v>#N/A</v>
      </c>
      <c r="GY144" s="1" t="e">
        <f>GH144*GG144+GL144*(GJ144+GK144)+GN144*GM144+GP144*GO144-GR144*GQ144+GU144+GX144</f>
        <v>#N/A</v>
      </c>
      <c r="GZ144" s="1">
        <f>Nlesafskaering</f>
        <v>59.6</v>
      </c>
      <c r="HA144" s="1">
        <f>Teknologi1</f>
        <v>2455</v>
      </c>
      <c r="HB144" s="6">
        <v>2001</v>
      </c>
      <c r="HC144" s="1">
        <f>Teknologi2</f>
        <v>1962.2</v>
      </c>
      <c r="HD144" s="1">
        <f>Tandel</f>
        <v>0.54659999999999997</v>
      </c>
      <c r="HE144" s="1" t="e">
        <f>IF(OR(GY144&gt;0,GY144=0),GZ144+HA144/(HB144-HC144),GZ144+HA144/(HB144-HC144)+HD144*GY144)</f>
        <v>#N/A</v>
      </c>
      <c r="HF144" s="1" t="e">
        <f>IF(GY144&gt;0,GY144,0.001)</f>
        <v>#N/A</v>
      </c>
      <c r="HG144" s="1">
        <v>1.5020000000000001E-3</v>
      </c>
      <c r="HH144" s="24">
        <f>IF(E144=1,0,VLOOKUP(Postnr,AfstromData,VLOOKUP($E144,Afgr,Data!$DL$3)+IF(Jordtype1&lt;7,Jordtype1,6),FALSE)-VLOOKUP(G144,Efgr,Data!$AA$53))</f>
        <v>0</v>
      </c>
      <c r="HI144" s="1">
        <v>5.5400000000000002E-4</v>
      </c>
      <c r="HJ144" s="24">
        <f>IF(E144=1,0,VLOOKUP(Postnr,AfstromData,VLOOKUP($B144,Afgr,Data!$DL$3)+IF(Jordtype1&lt;7,Jordtype1,6),FALSE)-VLOOKUP(C144,Efgr,Data!$AA$53))</f>
        <v>0</v>
      </c>
      <c r="HK144" s="1">
        <v>0.10639999999999999</v>
      </c>
      <c r="HL144" s="6">
        <f>VLOOKUP(Jordtype4,Jordtype,Data!$W$112)</f>
        <v>3</v>
      </c>
      <c r="HM144" s="1">
        <v>3.2500000000000001E-2</v>
      </c>
      <c r="HN144" s="6">
        <f>VLOOKUP(Jordtype4,Jordtype,Data!$X$112)</f>
        <v>12</v>
      </c>
      <c r="HO144" s="1">
        <v>1.2453000000000001</v>
      </c>
      <c r="HP144" s="1">
        <f>IF(VLOOKUP(G144,Efgr,Data!$AO$53)=1,MlafgrNUdvask,0)</f>
        <v>0</v>
      </c>
      <c r="HQ144" s="20">
        <f>IF(ISERROR((HE144+POWER(HF144,1.2))*(1-EXP(-HG144*HH144))*EXP(-HI144*HJ144)*EXP(-HK144*HL144)*EXP(-HM144*HN144)*HO144),0,(HE144+POWER(HF144,1.2))*(1-EXP(-HG144*HH144))*EXP(-HI144*HJ144)*EXP(-HK144*HL144)*EXP(-HM144*HN144)*HO144+HP144)</f>
        <v>0</v>
      </c>
      <c r="HR144">
        <f>HQ144*M144</f>
        <v>0</v>
      </c>
      <c r="HS144">
        <f>HQ144*(100-Retention4)*0.01</f>
        <v>0</v>
      </c>
      <c r="HT144">
        <f>HS144*M144</f>
        <v>0</v>
      </c>
      <c r="HU144" s="2">
        <f>HH144*10000</f>
        <v>0</v>
      </c>
      <c r="HV144" s="2">
        <f>HU144*M144</f>
        <v>0</v>
      </c>
      <c r="HW144">
        <f>IF(ISERROR(HQ144*1000*1000/HU144),0,HQ144*1000*1000/HU144)</f>
        <v>0</v>
      </c>
      <c r="HY144">
        <f>BP144+BT144+CG144+DG144</f>
        <v>0</v>
      </c>
      <c r="IB144">
        <f>VLOOKUP(E144,Afgr,Data!$AP$3)*UdsaedJust</f>
        <v>0</v>
      </c>
      <c r="IC144" s="3">
        <f>IF(Mark!EG144&lt;&gt;"",Mark!EG144,Regn!IB144)</f>
        <v>0</v>
      </c>
      <c r="ID144" s="3">
        <f>IC144*M144</f>
        <v>0</v>
      </c>
      <c r="IF144" s="3">
        <f>IF(HdgVaerdi=1,($V144-$AY144)*Npris,$V144*Npris)</f>
        <v>0</v>
      </c>
      <c r="IG144" s="3">
        <f>IF144*M144</f>
        <v>0</v>
      </c>
      <c r="II144">
        <f>VLOOKUP($E144,Afgr,Data!$BA$3)</f>
        <v>0</v>
      </c>
      <c r="IJ144">
        <f>VLOOKUP($E144,Afgr,Data!$BB$3)</f>
        <v>0</v>
      </c>
      <c r="IK144">
        <f>$DX144+$EJ144</f>
        <v>0</v>
      </c>
      <c r="IL144">
        <f>IF(HdgDyreart=2,$AV144*NPforholdSvin,$AV144*NPforholdKvaeg)</f>
        <v>0</v>
      </c>
      <c r="IM144">
        <f>II144+IF($IJ144+$IK144&gt;$IL144,($IJ144+$IK144-$IL144),0)</f>
        <v>0</v>
      </c>
      <c r="IN144" s="3">
        <f>IF(HdgVaerdi=1,($II144*Ppris+IF($IJ144+$IK144&gt;$IL144,($IJ144+$IK144-$IL144)*Ppris,0)),($II144+$IJ144+$IK144)*Ppris)</f>
        <v>0</v>
      </c>
      <c r="IO144" s="3">
        <f>IN144*M144</f>
        <v>0</v>
      </c>
      <c r="IQ144">
        <f>IF(AND(E144&gt;1,OR(Jordtype4=1,Jordtype4=3,Markvand4=2)),Kudvask,0)</f>
        <v>0</v>
      </c>
      <c r="IR144">
        <f>$EA144+$EM144</f>
        <v>0</v>
      </c>
      <c r="IS144">
        <f>IF(HdgDyreart=2,$AV144*NKforholdSvin,$AV144*NkforholdKvaeg)</f>
        <v>0</v>
      </c>
      <c r="IT144">
        <f>IF($IQ144+$IR144&gt;$IS144,($IQ144+$IR144-$IS144),0)</f>
        <v>0</v>
      </c>
      <c r="IU144" s="3">
        <f>IF(HdgVaerdi=1,IF($IQ144+$IR144&gt;$IS144,($IQ144+$IR144-$IS144)*Kpris,0),($IQ144+$IR144)*Kpris)</f>
        <v>0</v>
      </c>
      <c r="IV144" s="3">
        <f>IU144*M144</f>
        <v>0</v>
      </c>
      <c r="IX144">
        <f>IF144+IN144+IU144</f>
        <v>0</v>
      </c>
      <c r="IY144" s="3">
        <f>IF(Mark!EM144&lt;&gt;"",Mark!EM144,$IX144)</f>
        <v>0</v>
      </c>
      <c r="IZ144" s="3">
        <f>IY144*M144</f>
        <v>0</v>
      </c>
      <c r="JB144">
        <f>VLOOKUP(E144,Afgr,Data!$AQ$3)*PlantevJust</f>
        <v>0</v>
      </c>
      <c r="JC144" s="3">
        <f>IF(Mark!ES144&lt;&gt;"",Mark!ES144,JB144)</f>
        <v>0</v>
      </c>
      <c r="JD144" s="3">
        <f>JC144*M144</f>
        <v>0</v>
      </c>
      <c r="JF144">
        <f>VLOOKUP(E144,Afgr,Data!$AR$3)+BI144*VLOOKUP(E144,Afgr,Data!$BH$3)</f>
        <v>0</v>
      </c>
      <c r="JG144" s="3">
        <f>IF(Mark!EY144&lt;&gt;"",Mark!EY144,JF144)</f>
        <v>0</v>
      </c>
      <c r="JH144">
        <f>JG144*M144</f>
        <v>0</v>
      </c>
      <c r="JJ144">
        <f>IC144+IY144+JC144+JG144</f>
        <v>0</v>
      </c>
      <c r="JL144">
        <f>IF(VLOOKUP(E144,Afgr,Data!$BY$3)&gt;0,Data!$K$259*PlojJB4,0)</f>
        <v>0</v>
      </c>
      <c r="JM144">
        <f>IF(VLOOKUP(E144,Afgr,Data!$BZ$3)&gt;0,Data!$K$260*PlojJB4,0)</f>
        <v>0</v>
      </c>
      <c r="JN144">
        <f>(JL144+JM144)*MaskJust</f>
        <v>0</v>
      </c>
      <c r="JO144" s="3">
        <f>IF(Mark!FE144&lt;&gt;"",Mark!FE144,JN144)</f>
        <v>0</v>
      </c>
      <c r="JP144" s="3">
        <f>JO144*M144</f>
        <v>0</v>
      </c>
      <c r="JR144">
        <f>IF(VLOOKUP(E144,Afgr,Data!$CA$3)&gt;0,VLOOKUP(E144,Afgr,Data!$CA$3)*Data!$K$261*SaaJB4,0)</f>
        <v>0</v>
      </c>
      <c r="JS144">
        <f>IF(VLOOKUP(E144,Afgr,Data!$CC$3)&gt;0,Data!$K$262*SaaJB4,0)</f>
        <v>0</v>
      </c>
      <c r="JT144">
        <f>IF(VLOOKUP(E144,Afgr,Data!$CD$3)&gt;0,VLOOKUP(E144,Afgr,Data!$CD$3)*Data!$K$263*SaaJB4,0)</f>
        <v>0</v>
      </c>
      <c r="JU144">
        <f>IF(VLOOKUP(E144,Afgr,Data!$CE$3)&gt;0,Data!$K$264*SaaJB4,0)</f>
        <v>0</v>
      </c>
      <c r="JV144">
        <f>IF(VLOOKUP(E144,Afgr,Data!$CF$3)&gt;0,Data!$K$265*SaaJB4,0)</f>
        <v>0</v>
      </c>
      <c r="JW144">
        <f>IF(VLOOKUP(E144,Afgr,Data!$CV$3)&gt;0,Data!$K$266,0)</f>
        <v>0</v>
      </c>
      <c r="JX144">
        <f>IF(VLOOKUP(E144,Afgr,Data!$CG$3)&gt;0,Data!$K$267*SaaJB4,0)</f>
        <v>0</v>
      </c>
      <c r="JY144">
        <f>(JR144+JS144+JT144+JU144+JV144+JW144+JX144)*MaskJust</f>
        <v>0</v>
      </c>
      <c r="JZ144" s="3">
        <f>IF(Mark!FK144&lt;&gt;"",Mark!FK144,JY144)</f>
        <v>0</v>
      </c>
      <c r="KA144" s="3">
        <f>JZ144*M144</f>
        <v>0</v>
      </c>
      <c r="KC144">
        <f>IF(VLOOKUP(E144,Afgr,Data!$CJ$3)&gt;0,VLOOKUP(E144,Afgr,Data!$CJ$3)*Data!$K$268*SaaJB4,0)*MaskJust</f>
        <v>0</v>
      </c>
      <c r="KD144" s="3">
        <f>IF(Mark!FQ144&lt;&gt;"",Mark!FQ144,KC144)</f>
        <v>0</v>
      </c>
      <c r="KE144" s="3">
        <f>KD144*M144</f>
        <v>0</v>
      </c>
      <c r="KG144">
        <f>IF(VLOOKUP(E144,Afgr,Data!$CI$3)&gt;0,VLOOKUP(E144,Afgr,Data!$CI$3)*Data!$K$269,0)*MaskJust</f>
        <v>0</v>
      </c>
      <c r="KH144" s="3">
        <f>IF(Mark!FW144&lt;&gt;"",Mark!FW144,KG144)</f>
        <v>0</v>
      </c>
      <c r="KI144" s="3">
        <f>KH144*M144</f>
        <v>0</v>
      </c>
      <c r="KK144">
        <f>IF(Markvand4=2,VLOOKUP($E144,Afgr,Data!$CY$3),0)</f>
        <v>0</v>
      </c>
      <c r="KL144">
        <f>IF(Mark!GC144&lt;&gt;"",Mark!GC144,$KK144)</f>
        <v>0</v>
      </c>
      <c r="KM144">
        <f>IF(AND(E144&gt;1,Markvand4=2),Vandmaskin+$KL144*Flytning/mmprgang+$KL144*Prisprmm,0)</f>
        <v>0</v>
      </c>
      <c r="KN144" s="3">
        <f>IF(Mark!GI144&lt;&gt;"",Mark!GI144,$KM144)</f>
        <v>0</v>
      </c>
      <c r="KO144" s="3">
        <f>KN144*M144</f>
        <v>0</v>
      </c>
      <c r="KQ144">
        <f>IF(VLOOKUP($E144,Afgr,Data!$CK$3)&gt;0,((1+Regn!$BI144/VLOOKUP($E144,Afgr,Data!$CK$3))/2)*VLOOKUP($E144,Afgr,Data!$CL$3)*VLOOKUP($E144,Afgr,Data!$CN$3)+VLOOKUP($E144,Afgr,Data!$CM$3),0)</f>
        <v>0</v>
      </c>
      <c r="KR144">
        <f>IF(VLOOKUP($E144,Afgr,Data!$CK$3)&gt;0,IF(AND($F144=2,$BW144&gt;0),Data!$K$271,0),0)</f>
        <v>0</v>
      </c>
      <c r="KS144">
        <f>IF(VLOOKUP($E144,Afgr,Data!$CK$3)&gt;0,(Regn!$BI144/VLOOKUP($E144,Afgr,Data!$CK$3))*VLOOKUP($E144,Afgr,Data!$CO$3)*VLOOKUP($E144,Afgr,Data!$CN$3),0)</f>
        <v>0</v>
      </c>
      <c r="KT144">
        <f>(KQ144+KR144+KS144)*MaskJust</f>
        <v>0</v>
      </c>
      <c r="KU144" s="3">
        <f>IF(Mark!GO144&lt;&gt;"",Mark!GO144,KT144)</f>
        <v>0</v>
      </c>
      <c r="KV144" s="3">
        <f>KU144*M144</f>
        <v>0</v>
      </c>
      <c r="KW144" s="3"/>
      <c r="KX144">
        <f>IF(AND($F144=1,VLOOKUP($E144,Afgr,Data!$CP$3)&gt;0),((1+$BY144/VLOOKUP($E144,Afgr,Data!$CP$3))/2)*VLOOKUP($E144,Afgr,Data!$CQ$3),0)</f>
        <v>0</v>
      </c>
      <c r="KY144">
        <f>IF(AND($F144=1,VLOOKUP($E144,Afgr,Data!$CP$3)&gt;0),($BY144/VLOOKUP($E144,Afgr,Data!$CP$3))*VLOOKUP($E144,Afgr,Data!$CR$3),0)</f>
        <v>0</v>
      </c>
      <c r="KZ144">
        <f>(KX144+KY144)*MaskJust</f>
        <v>0</v>
      </c>
      <c r="LA144" s="3">
        <f>IF(Mark!GU144&lt;&gt;"",Mark!GU144,KZ144)</f>
        <v>0</v>
      </c>
      <c r="LB144" s="3">
        <f>LA144*M144</f>
        <v>0</v>
      </c>
      <c r="LD144">
        <f>$BI144*VLOOKUP($E144,Afgr,Data!$CS$3)*IF($I144=1,VLOOKUP($E144,Afgr,Data!$CT$3),IF($I144=2,VLOOKUP($E144,Afgr,Data!$CU$3),0))</f>
        <v>0</v>
      </c>
      <c r="LE144" s="3">
        <f>IF(Mark!HD144&lt;&gt;"",Mark!HD144,LD144)</f>
        <v>0</v>
      </c>
      <c r="LF144" s="3">
        <f>LE144*M144</f>
        <v>0</v>
      </c>
      <c r="LH144">
        <f>VLOOKUP($G144,Efgr,Data!$AC$53)*UdsaedJust</f>
        <v>0</v>
      </c>
      <c r="LI144" s="3">
        <f>IF(Mark!$HL144&lt;&gt;"",Mark!$HL144,LH144)</f>
        <v>0</v>
      </c>
      <c r="LJ144" s="3">
        <f>LI144*M144</f>
        <v>0</v>
      </c>
      <c r="LL144" s="3">
        <f>IF(HdgVaerdi=1,($CM144-$CX144)*Npris,$CM144*Npris)</f>
        <v>0</v>
      </c>
      <c r="LM144" s="3">
        <f>LL144*M144</f>
        <v>0</v>
      </c>
      <c r="LO144">
        <f>$ET144</f>
        <v>0</v>
      </c>
      <c r="LP144">
        <f>IF(HdgDyreart=2,$CU144*NPforholdSvin,$CU144*NPforholdKvaeg)</f>
        <v>0</v>
      </c>
      <c r="LQ144">
        <f>IF($LO144&gt;$LP144,($LO144-$LP144),0)</f>
        <v>0</v>
      </c>
      <c r="LR144" s="3">
        <f>IF(HdgVaerdi=1,IF($LO144&gt;$LP144,($LO144-$LP144)*Ppris,0),$LO144*Ppris)</f>
        <v>0</v>
      </c>
      <c r="LS144" s="3">
        <f>LR144*M144</f>
        <v>0</v>
      </c>
      <c r="LU144">
        <f>$EW144</f>
        <v>0</v>
      </c>
      <c r="LV144">
        <f>IF(HdgDyreart=2,$CU144*NKforholdSvin,$CU144*NkforholdKvaeg)</f>
        <v>0</v>
      </c>
      <c r="LW144">
        <f>IF($LU144&gt;$LV144,($LU144-$LV144),0)</f>
        <v>0</v>
      </c>
      <c r="LX144" s="3">
        <f>IF(HdgVaerdi=1,IF($LU144&gt;$LV144,($LU144-$LV144)*Ppris,0),$LU144*Ppris)</f>
        <v>0</v>
      </c>
      <c r="LY144" s="3">
        <f>LX144*M144</f>
        <v>0</v>
      </c>
      <c r="MA144">
        <f>LL144+LR144+LX144</f>
        <v>0</v>
      </c>
      <c r="MB144" s="3">
        <f>IF(Mark!HR144&lt;&gt;"",Mark!HR144,$MA144)</f>
        <v>0</v>
      </c>
      <c r="MC144" s="3">
        <f>MB144*M144</f>
        <v>0</v>
      </c>
      <c r="ME144">
        <f>VLOOKUP($G144,Efgr,Data!$AE$53)*PlantevJust</f>
        <v>0</v>
      </c>
      <c r="MF144" s="3">
        <f>IF(Mark!HX144&lt;&gt;"",Mark!HX144,ME144)</f>
        <v>0</v>
      </c>
      <c r="MG144" s="3">
        <f>MF144*M144</f>
        <v>0</v>
      </c>
      <c r="MI144">
        <f>VLOOKUP($G144,Efgr,Data!$AF$53)+$DD144*VLOOKUP($G144,Efgr,Data!$AL$53)</f>
        <v>0</v>
      </c>
      <c r="MJ144" s="3">
        <f>IF(Mark!ID144&lt;&gt;"",Mark!ID144,MI144)</f>
        <v>0</v>
      </c>
      <c r="MK144" s="3">
        <f>MJ144*M144</f>
        <v>0</v>
      </c>
      <c r="MM144">
        <f>LI144+MB144+MF144+MJ144</f>
        <v>0</v>
      </c>
      <c r="MO144">
        <f>VLOOKUP($G144,Efgr,Data!$AU$53)*SaaJB4*MaskJust</f>
        <v>0</v>
      </c>
      <c r="MP144" s="3">
        <f>IF(Mark!IJ144&lt;&gt;"",Mark!IJ144,MO144)</f>
        <v>0</v>
      </c>
      <c r="MQ144" s="3">
        <f>MP144*M144</f>
        <v>0</v>
      </c>
      <c r="MS144">
        <f>VLOOKUP($G144,Efgr,Data!$AW$53)*Data!$K$268*SaaJB4*MaskJust</f>
        <v>0</v>
      </c>
      <c r="MT144" s="3">
        <f>IF(Mark!IP144&lt;&gt;"",Mark!IP144,MS144)</f>
        <v>0</v>
      </c>
      <c r="MU144" s="3">
        <f>MT144*M144</f>
        <v>0</v>
      </c>
      <c r="MW144">
        <f>VLOOKUP($G144,Efgr,Data!$AV$53)*Data!$K$269*MaskJust</f>
        <v>0</v>
      </c>
      <c r="MX144" s="3">
        <f>IF(Mark!IV144&lt;&gt;"",Mark!IV144,MW144)</f>
        <v>0</v>
      </c>
      <c r="MY144" s="3">
        <f>MX144*M144</f>
        <v>0</v>
      </c>
      <c r="NA144">
        <f>IF(Markvand4=2,VLOOKUP($G144,Efgr,Data!$BC$53),0)</f>
        <v>0</v>
      </c>
      <c r="NB144">
        <f>IF(Mark!JB144&lt;&gt;"",Mark!JB144,$NA144)</f>
        <v>0</v>
      </c>
      <c r="NC144">
        <f>IF(Markvand4=2,$NB144*Flytning/mmprgang+$NB144*Prisprmm,0)</f>
        <v>0</v>
      </c>
      <c r="ND144" s="3">
        <f>IF(Mark!JH144&lt;&gt;"",Mark!JH144,$NC144)</f>
        <v>0</v>
      </c>
      <c r="NE144" s="3">
        <f>ND144*M144</f>
        <v>0</v>
      </c>
      <c r="NG144">
        <f>IF(VLOOKUP($G144,Efgr,Data!$AX$53)&gt;0,((1+Regn!DD144/VLOOKUP($G144,Efgr,Data!$AX$53))/2)*VLOOKUP($G144,Efgr,Data!$AY$53)*VLOOKUP($G144,Efgr,Data!$BA$53)+VLOOKUP($G144,Efgr,Data!$AZ$53),0)</f>
        <v>0</v>
      </c>
      <c r="NH144">
        <f>IF(VLOOKUP($G144,Efgr,Data!$AX$53)&gt;0,($DD144/VLOOKUP($G144,Efgr,Data!$AX$53))*VLOOKUP($G144,Efgr,Data!$BB$53)*VLOOKUP($G144,Efgr,Data!$BA$53),0)</f>
        <v>0</v>
      </c>
      <c r="NI144">
        <f>(NG144+NH144)*MaskJust</f>
        <v>0</v>
      </c>
      <c r="NJ144" s="3">
        <f>IF(Mark!JN144&lt;&gt;"",Mark!JN144,NI144)</f>
        <v>0</v>
      </c>
      <c r="NK144" s="3">
        <f>NJ144*M144</f>
        <v>0</v>
      </c>
      <c r="NM144">
        <f>IF($H144=2,Data!$K$304,IF($H144=3,Data!$K$305,0))*MaskJust</f>
        <v>0</v>
      </c>
      <c r="NN144" s="3">
        <f>IF(Mark!JT144&lt;&gt;"",Mark!JT144,NM144)</f>
        <v>0</v>
      </c>
      <c r="NO144" s="3">
        <f>NN144*M144</f>
        <v>0</v>
      </c>
      <c r="NQ144">
        <f>HY144</f>
        <v>0</v>
      </c>
      <c r="NR144">
        <f>JJ144+MM144</f>
        <v>0</v>
      </c>
      <c r="NS144">
        <f>NQ144-NR144</f>
        <v>0</v>
      </c>
      <c r="NT144">
        <f>NS144*M144</f>
        <v>0</v>
      </c>
      <c r="NW144">
        <f>VLOOKUP($B144,Afgr,Data!$BP$3)+VLOOKUP($C144,Efgr,Data!$AM$53)</f>
        <v>0</v>
      </c>
      <c r="NX144" s="3">
        <f>NW144*M144</f>
        <v>0</v>
      </c>
      <c r="NY144">
        <f>VLOOKUP($E144,Afgr,Data!$BP$3)+VLOOKUP($G144,Efgr,Data!$AM$53)</f>
        <v>0</v>
      </c>
      <c r="NZ144" s="3">
        <f>NY144*M144</f>
        <v>0</v>
      </c>
      <c r="OB144">
        <f>VLOOKUP($C144,Efgr,Data!$AN$53)</f>
        <v>0</v>
      </c>
      <c r="OC144">
        <f>VLOOKUP($B144,Afgr,Data!$BQ$3)</f>
        <v>0</v>
      </c>
      <c r="OD144">
        <f>VLOOKUP($E144,Afgr,Data!$BR$3)</f>
        <v>1</v>
      </c>
      <c r="OE144">
        <f>OB144*OC144*OD144</f>
        <v>0</v>
      </c>
      <c r="OF144" s="3">
        <f>OE144*M144</f>
        <v>0</v>
      </c>
      <c r="OG144" s="3">
        <f>IF(D144,1,0)*OF144</f>
        <v>0</v>
      </c>
      <c r="OI144">
        <f>VLOOKUP($G144,Efgr,Data!$AN$53)</f>
        <v>0</v>
      </c>
      <c r="OJ144">
        <f>VLOOKUP($E144,Afgr,Data!$BQ$3)</f>
        <v>0</v>
      </c>
      <c r="OK144">
        <f>VLOOKUP($K144,Afgr,Data!$BR$3)</f>
        <v>1</v>
      </c>
      <c r="OL144">
        <f>OI144*OJ144*OK144</f>
        <v>0</v>
      </c>
      <c r="OM144" s="3">
        <f>OL144*M144</f>
        <v>0</v>
      </c>
      <c r="OO144">
        <f>VLOOKUP($G144,Efgr,Data!$AO$53)</f>
        <v>0</v>
      </c>
      <c r="OP144">
        <f>VLOOKUP($B144,Afgr,Data!$BQ$3)</f>
        <v>0</v>
      </c>
      <c r="OQ144">
        <f>VLOOKUP($E144,Afgr,Data!$BS$3)</f>
        <v>0</v>
      </c>
      <c r="OR144" s="3">
        <f>OO144*OP144*OQ144*$M144</f>
        <v>0</v>
      </c>
      <c r="OT144">
        <f>VLOOKUP($G144,Efgr,Data!$AO$53)</f>
        <v>0</v>
      </c>
      <c r="OU144">
        <f>VLOOKUP($E144,Afgr,Data!$BQ$3)</f>
        <v>0</v>
      </c>
      <c r="OV144">
        <f>VLOOKUP($K144,Afgr,Data!$BS$3)</f>
        <v>0</v>
      </c>
      <c r="OW144" s="3">
        <f>OT144*OU144*OV144*$M144</f>
        <v>0</v>
      </c>
      <c r="OX144" s="3"/>
      <c r="OY144" s="3">
        <f>VLOOKUP($B144,Afgr,Data!$BU$3)</f>
        <v>0</v>
      </c>
      <c r="OZ144" s="3">
        <f>OY144*M144</f>
        <v>0</v>
      </c>
      <c r="PA144" s="3">
        <f>VLOOKUP($E144,Afgr,Data!$BU$3)</f>
        <v>0</v>
      </c>
      <c r="PB144" s="3">
        <f>PA144*M144</f>
        <v>0</v>
      </c>
      <c r="PD144">
        <f>VLOOKUP(E144,Afgr,Data!$BX$3)+VLOOKUP(G144,Efgr,Data!$AQ$53)</f>
        <v>0</v>
      </c>
      <c r="PE144">
        <f>IF(PD144&gt;0,M144,0)</f>
        <v>0</v>
      </c>
      <c r="PG144">
        <f>VLOOKUP($B144,Afgr,Data!$BT$3)</f>
        <v>0</v>
      </c>
      <c r="PH144" s="3">
        <f>PG144*M144</f>
        <v>0</v>
      </c>
      <c r="PI144">
        <f>VLOOKUP($E144,Afgr,Data!$BT$3)</f>
        <v>0</v>
      </c>
      <c r="PJ144" s="3">
        <f>PI144*M144</f>
        <v>0</v>
      </c>
      <c r="PL144">
        <f>VLOOKUP($E144,Afgr,Data!$BV$3)</f>
        <v>0</v>
      </c>
      <c r="PM144">
        <f>PL144*M144</f>
        <v>0</v>
      </c>
      <c r="PO144">
        <f>VLOOKUP($E144,Afgr,Data!$BW$3)</f>
        <v>0</v>
      </c>
      <c r="PP144">
        <f>PO144*M144</f>
        <v>0</v>
      </c>
      <c r="PR144">
        <f>BI144*IF(VLOOKUP($E144,Afgr,Data!$BJ$3)&gt;0,1,0)</f>
        <v>0</v>
      </c>
      <c r="PS144">
        <f>PR144*M144</f>
        <v>0</v>
      </c>
      <c r="PU144">
        <f>BI144*VLOOKUP(E144,Afgr,Data!$BK$3)</f>
        <v>0</v>
      </c>
      <c r="PV144">
        <f>M144*PU144</f>
        <v>0</v>
      </c>
      <c r="PW144">
        <f>$BI144*VLOOKUP($E144,Afgr,Data!$BL$3)+$DD144*VLOOKUP($G144,Efgr,Data!$AP$53)</f>
        <v>0</v>
      </c>
      <c r="PX144">
        <f>PW144*M144</f>
        <v>0</v>
      </c>
      <c r="PY144">
        <f>$BI144*VLOOKUP($E144,Afgr,Data!$BM$3)</f>
        <v>0</v>
      </c>
      <c r="PZ144">
        <f>PY144*M144</f>
        <v>0</v>
      </c>
      <c r="QA144">
        <f>$BI144*VLOOKUP($E144,Afgr,Data!$BN$3)</f>
        <v>0</v>
      </c>
      <c r="QB144">
        <f>QA144*M144</f>
        <v>0</v>
      </c>
      <c r="QE144">
        <f>IF(VLOOKUP($E144,Afgr,Data!$DA$3)="Vårbyg",$BJ144,0)*VLOOKUP($E144,Afgr,Data!$BJ$3)</f>
        <v>0</v>
      </c>
      <c r="QF144">
        <f>IF(VLOOKUP($E144,Afgr,Data!$DA$3)="Vinterbyg",$BJ144,0)*VLOOKUP($E144,Afgr,Data!$BJ$3)</f>
        <v>0</v>
      </c>
      <c r="QG144">
        <f>IF(VLOOKUP($E144,Afgr,Data!$DA$3)="Havre",$BJ144,0)*VLOOKUP($E144,Afgr,Data!$BJ$3)</f>
        <v>0</v>
      </c>
      <c r="QH144">
        <f>IF(VLOOKUP($E144,Afgr,Data!$DA$3)="Hvede",$BJ144,0)*VLOOKUP($E144,Afgr,Data!$BJ$3)</f>
        <v>0</v>
      </c>
      <c r="QI144">
        <f>IF(VLOOKUP($E144,Afgr,Data!$DA$3)="Triticale",$BJ144,0)*VLOOKUP($E144,Afgr,Data!$BJ$3)</f>
        <v>0</v>
      </c>
      <c r="QJ144">
        <f>IF(VLOOKUP($E144,Afgr,Data!$DA$3)="Rug",$BJ144,0)*VLOOKUP($E144,Afgr,Data!$BJ$3)</f>
        <v>0</v>
      </c>
      <c r="QK144">
        <f>IF(VLOOKUP($E144,Afgr,Data!$DA$3)="Majs",$BJ144,0)*VLOOKUP($E144,Afgr,Data!$BJ$3)</f>
        <v>0</v>
      </c>
      <c r="QN144">
        <f>IF(OI144+OO144&gt;0,1,0)</f>
        <v>0</v>
      </c>
      <c r="QO144">
        <f>QN144*LJ144</f>
        <v>0</v>
      </c>
      <c r="QP144">
        <f>QN144*MG144</f>
        <v>0</v>
      </c>
      <c r="QQ144">
        <f>MQ144</f>
        <v>0</v>
      </c>
      <c r="QR144">
        <f>QN144*NO144</f>
        <v>0</v>
      </c>
    </row>
    <row r="145" spans="1:460" x14ac:dyDescent="0.25">
      <c r="GG145" s="12"/>
    </row>
    <row r="146" spans="1:460" x14ac:dyDescent="0.25">
      <c r="A146">
        <v>5</v>
      </c>
      <c r="B146">
        <v>1</v>
      </c>
      <c r="C146">
        <v>1</v>
      </c>
      <c r="D146" t="b">
        <v>0</v>
      </c>
      <c r="E146">
        <v>1</v>
      </c>
      <c r="F146">
        <v>1</v>
      </c>
      <c r="G146">
        <v>1</v>
      </c>
      <c r="H146">
        <v>1</v>
      </c>
      <c r="I146">
        <v>1</v>
      </c>
      <c r="K146">
        <v>1</v>
      </c>
      <c r="M146">
        <f>IF(ISERROR(N146*Areal4/$N$154),0,N146*Areal4/$N$154)</f>
        <v>0</v>
      </c>
      <c r="N146">
        <f>Mark!Z146</f>
        <v>0</v>
      </c>
      <c r="P146">
        <f>VLOOKUP($E146,Afgr,NnormKolonneNr4)</f>
        <v>0</v>
      </c>
      <c r="Q146">
        <f>VLOOKUP($B146,Afgr,Data!$AI$3)*VLOOKUP(E146,Afgr,Data!$AJ$3)</f>
        <v>0</v>
      </c>
      <c r="R146">
        <f>IF($D146,0,VLOOKUP($C146,Efgr,(Data!$W$53+$G$28-1)))</f>
        <v>0</v>
      </c>
      <c r="S146">
        <f>P146-Q146-R146</f>
        <v>0</v>
      </c>
      <c r="T146">
        <f>S146*M146</f>
        <v>0</v>
      </c>
      <c r="U146">
        <f>IF(Nmodel34=1,S146*Nniveau34*0.01,AO146)</f>
        <v>0</v>
      </c>
      <c r="V146" s="3">
        <f>IF(Mark!CI146&lt;&gt;"",Mark!CI146,U146)</f>
        <v>0</v>
      </c>
      <c r="W146" s="3">
        <f>V146*M146</f>
        <v>0</v>
      </c>
      <c r="Y146">
        <f>S146/NoptFaktor</f>
        <v>0</v>
      </c>
      <c r="Z146" s="3">
        <f>IF(Mark!BZ146&lt;&gt;"",Mark!BZ146,Y146)</f>
        <v>0</v>
      </c>
      <c r="AB146">
        <f>VLOOKUP($E146,Afgr,Data!$DE$3)</f>
        <v>0</v>
      </c>
      <c r="AC146">
        <f>VLOOKUP($E146,Afgr,Data!$DD$3)</f>
        <v>0</v>
      </c>
      <c r="AD146">
        <f>VLOOKUP($E146,Afgr,Data!$DC$3)</f>
        <v>0</v>
      </c>
      <c r="AE146">
        <f>IF(ISERROR($Z146+(-PrisN/$AD146-$AB146)/(2*$AC146)),0,($Z146+(-PrisN/$AD146-$AB146)/(2*$AC146)))</f>
        <v>0</v>
      </c>
      <c r="AF146">
        <f>($BD146+$BE146+$BF146)*1.03333</f>
        <v>0</v>
      </c>
      <c r="AG146">
        <f>$AF146-($AB146*($AE146-$Z146)+$AC146*($AE146-$Z146)^2)</f>
        <v>0</v>
      </c>
      <c r="AH146">
        <f>IF(Nmodel12=1,$AB146*($AE146-$S146)+$AC146*($AE146-$S146)^2,$AB146*($AE146-$AO146)+$AC146*($AE146-$AO146)^2)</f>
        <v>0</v>
      </c>
      <c r="AI146">
        <f>IF(Nmodel34=1,$AB146*($AE146-$V146)+$AC146*($AE146-$V146)^2,$AB146*($AE146-AO146)+$AC146*($AE146-AO146)^2)</f>
        <v>0</v>
      </c>
      <c r="AJ146">
        <f>AG146+AH146-BG146</f>
        <v>0</v>
      </c>
      <c r="AK146">
        <f>AG146+AI146-AJ146</f>
        <v>0</v>
      </c>
      <c r="AM146">
        <f>VLOOKUP(E146,Afgr,Data!$DF$3+SandLer4)</f>
        <v>0</v>
      </c>
      <c r="AN146">
        <f>IF(ISERROR(((-(PrisN+Pantafgift)+AM146*Pantfaktor*Pantafgift)/AD146-AB146)/(2*AC146)),0,((-(PrisN+Pantafgift)+AM146*Pantfaktor*Pantafgift)/AD146-AB146)/(2*AC146))</f>
        <v>0</v>
      </c>
      <c r="AO146">
        <f>AE146-AN146</f>
        <v>0</v>
      </c>
      <c r="AQ146">
        <f>IF(AT146&gt;0,0,W146)</f>
        <v>0</v>
      </c>
      <c r="AR146">
        <f>IF(ISERROR(W146*HdgNTilFordeling34/NnormIaltFordel34),0,W146*HdgNTilFordeling34/NnormIaltFordel34)</f>
        <v>0</v>
      </c>
      <c r="AS146">
        <f>IF(ISERROR($AR146/$M146),0,$AR146/$M146)</f>
        <v>0</v>
      </c>
      <c r="AT146">
        <f>IF(Mark!CO146&lt;&gt;"",Mark!CO146,0)</f>
        <v>0</v>
      </c>
      <c r="AU146">
        <f>$AT146*$M146</f>
        <v>0</v>
      </c>
      <c r="AV146" s="3">
        <f>IF(AT146&gt;0,AT146,AS146)</f>
        <v>0</v>
      </c>
      <c r="AW146" s="3">
        <f>AV146*M146</f>
        <v>0</v>
      </c>
      <c r="AY146">
        <f>UdnKrav*$AV146/100</f>
        <v>0</v>
      </c>
      <c r="BA146">
        <f>AV146*VLOOKUP($E146,Afgr,Data!$DJ$3)</f>
        <v>0</v>
      </c>
      <c r="BB146">
        <f>UdnKrav*$BA146/100</f>
        <v>0</v>
      </c>
      <c r="BD146">
        <f>VLOOKUP(E146,Afgr,NormudbKolonneNr4)</f>
        <v>0</v>
      </c>
      <c r="BE146">
        <f>VLOOKUP(B146,Afgr,Data!$AL$3)*VLOOKUP(E146,Afgr,MerudbKolonneNr4)</f>
        <v>0</v>
      </c>
      <c r="BF146">
        <f>VLOOKUP(C146,Efgr,(Data!$Y$53+EftervirkningUdb4))</f>
        <v>0</v>
      </c>
      <c r="BG146">
        <f>BD146+BE146+BF146</f>
        <v>0</v>
      </c>
      <c r="BH146">
        <f>IF(OR(V146&lt;&gt;S146,Nmodel34=2),AK146,BD146+BE146+BF146)</f>
        <v>0</v>
      </c>
      <c r="BI146" s="3">
        <f>IF(Mark!AK146&lt;&gt;"",Mark!AK146,BH146)</f>
        <v>0</v>
      </c>
      <c r="BJ146">
        <f>BI146*M146</f>
        <v>0</v>
      </c>
      <c r="BK146">
        <f>VLOOKUP(E146,Afgr,3)</f>
        <v>0</v>
      </c>
      <c r="BL146">
        <f>IF(BK146="FE",VLOOKUP($E146,Afgr,Data!$AV$3),0)</f>
        <v>0</v>
      </c>
      <c r="BN146">
        <f>VLOOKUP(E146,Afgr,4)</f>
        <v>0</v>
      </c>
      <c r="BO146" s="3">
        <f>IF(Mark!AW146&lt;&gt;"",Mark!AW146,Regn!BN146)</f>
        <v>0</v>
      </c>
      <c r="BP146" s="3">
        <f>BI146*BO146</f>
        <v>0</v>
      </c>
      <c r="BQ146" s="3">
        <f>BJ146*BO146</f>
        <v>0</v>
      </c>
      <c r="BS146">
        <f>VLOOKUP(E146,Afgr,Data!$AN$3)</f>
        <v>0</v>
      </c>
      <c r="BT146" s="3">
        <f>IF(Mark!BC146&lt;&gt;"",Mark!BC146,BS146)</f>
        <v>0</v>
      </c>
      <c r="BU146" s="3">
        <f>BT146*M146</f>
        <v>0</v>
      </c>
      <c r="BW146">
        <f>VLOOKUP(E146,Afgr,HalmudbKolonneNr4)</f>
        <v>0</v>
      </c>
      <c r="BX146">
        <f>IF(ISERROR(BW146*BI146/BG146),0,(BW146*BI146/BG146))</f>
        <v>0</v>
      </c>
      <c r="BY146" s="3">
        <f>IF(Mark!BI146&lt;&gt;"",Mark!BI146,BX146)</f>
        <v>0</v>
      </c>
      <c r="BZ146">
        <f>BY146*M146</f>
        <v>0</v>
      </c>
      <c r="CC146">
        <f>IF($F146=1,BY146,0)</f>
        <v>0</v>
      </c>
      <c r="CD146">
        <f>IF(F146=1,BZ146,0)</f>
        <v>0</v>
      </c>
      <c r="CE146">
        <f>VLOOKUP(E146,Afgr,Data!$AM$3)</f>
        <v>0</v>
      </c>
      <c r="CF146">
        <f>IF(Mark!BR146&lt;&gt;"",Mark!BR146,CE146)</f>
        <v>0</v>
      </c>
      <c r="CG146">
        <f>CC146*CF146</f>
        <v>0</v>
      </c>
      <c r="CH146">
        <f>CD146*CF146</f>
        <v>0</v>
      </c>
      <c r="CJ146">
        <f>VLOOKUP($G146,Efgr,NnormKolonneEfgr4)</f>
        <v>0</v>
      </c>
      <c r="CK146">
        <f>CJ146*M146</f>
        <v>0</v>
      </c>
      <c r="CL146">
        <f>CJ146*Nniveau34*0.01</f>
        <v>0</v>
      </c>
      <c r="CM146" s="3">
        <f>IF(Mark!DM146&lt;&gt;"",Mark!DM146,CL146)</f>
        <v>0</v>
      </c>
      <c r="CN146" s="3">
        <f>$CM146*$M146</f>
        <v>0</v>
      </c>
      <c r="CP146">
        <f>IF(CS146&gt;0,0,CN146)</f>
        <v>0</v>
      </c>
      <c r="CQ146" s="12">
        <f>IF(ISERROR(CN146*HdgNTilFordeling34/NnormIaltFordel34),0,CN146*HdgNTilFordeling34/NnormIaltFordel34)</f>
        <v>0</v>
      </c>
      <c r="CR146">
        <f>IF(ISERROR($CQ146/$M146),0,$CQ146/$M146)</f>
        <v>0</v>
      </c>
      <c r="CS146">
        <f>IF(Mark!DS146&lt;&gt;"",Mark!DS146,0)</f>
        <v>0</v>
      </c>
      <c r="CT146">
        <f>$CS146*$M146</f>
        <v>0</v>
      </c>
      <c r="CU146" s="3">
        <f>IF($CS146&gt;0,$CS146,$CR146)</f>
        <v>0</v>
      </c>
      <c r="CV146" s="3">
        <f>CU146*M146</f>
        <v>0</v>
      </c>
      <c r="CX146">
        <f>UdnKrav*$CU146/100</f>
        <v>0</v>
      </c>
      <c r="CZ146">
        <f>$CU146*VLOOKUP($G146,Efgr,Data!$BG$53)</f>
        <v>0</v>
      </c>
      <c r="DA146">
        <f>UdnKrav*$CZ146/100</f>
        <v>0</v>
      </c>
      <c r="DC146">
        <f>VLOOKUP(G146,Efgr,NormudbKolonneNrEfgr4)</f>
        <v>0</v>
      </c>
      <c r="DD146" s="3">
        <f>IF(Mark!DC146&lt;&gt;"",Mark!DC146,DC146)</f>
        <v>0</v>
      </c>
      <c r="DE146">
        <f>DD146*M146</f>
        <v>0</v>
      </c>
      <c r="DF146" t="s">
        <v>37</v>
      </c>
      <c r="DG146">
        <f>DD146*Efterslaetpris</f>
        <v>0</v>
      </c>
      <c r="DH146">
        <f>DE146*Efterslaetpris</f>
        <v>0</v>
      </c>
      <c r="DI146">
        <f>VLOOKUP(G146,Efgr,Data!$AG$53)</f>
        <v>0</v>
      </c>
      <c r="DJ146">
        <f>DD146*DI146</f>
        <v>0</v>
      </c>
      <c r="DL146">
        <f>VLOOKUP($E146,Afgr,Data!$AW$3)</f>
        <v>0</v>
      </c>
      <c r="DM146">
        <f>IF(BK146="FE",$BI146*$BL146*$DL146*0.01,$BI146*100*$DR146*0.01*$DL146*0.01)</f>
        <v>0</v>
      </c>
      <c r="DN146">
        <f>IF(VLOOKUP(E146,Afgr,Data!$BO$3)=1,DM146,0)*M146</f>
        <v>0</v>
      </c>
      <c r="DO146" s="12">
        <f>IF(Nmodel34=1,(V146-S146)*VLOOKUP($E146,Afgr,Data!$AX$3),(AO146-S146)*VLOOKUP(E146,Afgr,Data!$AX$3))</f>
        <v>0</v>
      </c>
      <c r="DP146">
        <f>DL146+DO146</f>
        <v>0</v>
      </c>
      <c r="DQ146">
        <f>IF(Mark!AQ146&lt;&gt;"",Mark!AQ146,DP146)</f>
        <v>0</v>
      </c>
      <c r="DR146">
        <f>VLOOKUP(E146,Afgr,Data!$AT$3)</f>
        <v>0</v>
      </c>
      <c r="DS146">
        <f>IF($BK146="FE",$BI146*$BL146*$DQ146*0.01,$BI146*100*$DR146*0.01*DQ146*0.01)</f>
        <v>0</v>
      </c>
      <c r="DT146">
        <f>IF(VLOOKUP(E146,Afgr,Data!$BO$3)=1,DS146,0)*M146</f>
        <v>0</v>
      </c>
      <c r="DU146">
        <f>IF(ISERROR(DS146/VLOOKUP(E146,Afgr,Data!$AY$3)),0,DS146/VLOOKUP(E146,Afgr,Data!$AY$3))</f>
        <v>0</v>
      </c>
      <c r="DV146">
        <f>DU146*M146</f>
        <v>0</v>
      </c>
      <c r="DX146">
        <f>IF($BK146="FE",$BI146*$BL146*VLOOKUP($E146,Afgr,Data!$BC$3)*0.001,$BI146*100*$DR146*0.01*VLOOKUP($E146,Afgr,Data!$BC$3)*0.001)</f>
        <v>0</v>
      </c>
      <c r="DY146">
        <f>DX146*M146</f>
        <v>0</v>
      </c>
      <c r="EA146">
        <f>IF($BK146="FE",$BI146*$BL146*VLOOKUP($E146,Afgr,Data!$BF$3)*0.001,$BI146*100*$DR146*0.01*VLOOKUP($E146,Afgr,Data!$BF$3)*0.001)</f>
        <v>0</v>
      </c>
      <c r="EB146">
        <f>EA146*M146</f>
        <v>0</v>
      </c>
      <c r="ED146">
        <f>IF(ISERROR(VLOOKUP(E146,Afgr,Data!$AZ$3)*DQ146/DL146),0,VLOOKUP(E146,Afgr,Data!$AZ$3)*DQ146/DL146)</f>
        <v>0</v>
      </c>
      <c r="EE146">
        <f>VLOOKUP(E146,Afgr,Data!$AU$3)</f>
        <v>0</v>
      </c>
      <c r="EF146">
        <f>IF($F146=1,$BY146*$EE146*0.01*ED146*0.01,0)</f>
        <v>0</v>
      </c>
      <c r="EG146">
        <f>EF146/6.25</f>
        <v>0</v>
      </c>
      <c r="EH146">
        <f>EG146*M146</f>
        <v>0</v>
      </c>
      <c r="EJ146">
        <f>IF($F146=1,$BY146*$EE146*0.01*VLOOKUP($E146,Afgr,Data!$BD$3)*0.001,0)</f>
        <v>0</v>
      </c>
      <c r="EK146">
        <f>EJ146*M146</f>
        <v>0</v>
      </c>
      <c r="EM146">
        <f>IF($F146=1,$BY146*$EE146*0.01*VLOOKUP($E146,Afgr,Data!$BG$3)*0.001,0)</f>
        <v>0</v>
      </c>
      <c r="EN146">
        <f>EM146*M146</f>
        <v>0</v>
      </c>
      <c r="EP146">
        <f>VLOOKUP(G146,Efgr,Data!$AI$53)</f>
        <v>0</v>
      </c>
      <c r="EQ146">
        <f>DJ146*EP146*0.01/6.25</f>
        <v>0</v>
      </c>
      <c r="ER146">
        <f>EQ146*M146</f>
        <v>0</v>
      </c>
      <c r="ET146">
        <f>$DJ146*VLOOKUP($G146,Efgr,Data!$AJ$53)*0.001</f>
        <v>0</v>
      </c>
      <c r="EU146">
        <f>ET146*M146</f>
        <v>0</v>
      </c>
      <c r="EW146">
        <f>$DJ146*VLOOKUP($G146,Efgr,Data!$AK$53)*0.001</f>
        <v>0</v>
      </c>
      <c r="EX146">
        <f>EW146*M146</f>
        <v>0</v>
      </c>
      <c r="EZ146">
        <f>IF(VLOOKUP(E146,Afgr,Data!$DS$3)=1,DU146*VLOOKUP(E146,Afgr,(Data!$DT$3+EftervirkningUdb4))*VLOOKUP(E146,Afgr,Data!$DV$3),0)</f>
        <v>0</v>
      </c>
      <c r="FA146">
        <f>IF(VLOOKUP(E146,Afgr,Data!$DS$3)=2,VLOOKUP(E146,Afgr,Data!$DX$3),0)</f>
        <v>0</v>
      </c>
      <c r="FB146">
        <f>IF(VLOOKUP(E146,Afgr,Data!$DS$3)=3,$DU146*VLOOKUP($E146,Afgr,IF(Jordtype4&lt;5,Data!$DT$3,Data!$DU$3))*VLOOKUP($E146,Afgr,Data!$DV$3),0)</f>
        <v>0</v>
      </c>
      <c r="FC146">
        <f>IF(VLOOKUP(E146,Afgr,Data!$DS$3)=4,(1.232+0.00469*BI146*100+(0.000256*BI146*100+0.089)*60),0)</f>
        <v>0</v>
      </c>
      <c r="FD146">
        <f>$V146+IF($AY146-$BB146&gt;$V146,$AY146-$V146,0)-$BB146</f>
        <v>0</v>
      </c>
      <c r="FE146">
        <f>IF(VLOOKUP($E146,Afgr,Data!$DS$3)=5,($BI146*0.02742-$BI146*0.0001*$FD146+$BI146*0.0000001111*$FD146*$FD146),0)</f>
        <v>0</v>
      </c>
      <c r="FF146">
        <f>$CM146+IF($CX146-$DA146&gt;$CM146,$CX146-$CM146,0)-$DA146</f>
        <v>0</v>
      </c>
      <c r="FG146">
        <f>IF(VLOOKUP($G146,Efgr,Data!$BH$53)=5,($DD146*0.02742-$DD146*0.0001*$FF146+$DD146*0.0000001111*$FF146*$FF146),0)</f>
        <v>0</v>
      </c>
      <c r="FH146" s="3">
        <f>EZ146+FA146+FB146+FC146+FE146+FG146</f>
        <v>0</v>
      </c>
      <c r="FI146" s="3">
        <f>FH146*M146</f>
        <v>0</v>
      </c>
      <c r="FK146">
        <f>$V146+$CM146</f>
        <v>0</v>
      </c>
      <c r="FL146">
        <f>($AV146-$AY146)+IF($AY146&gt;$V146,$AY146-$V146,0)+($CU146-$CX146)+IF($CX146&gt;$CM146,$CX146-$CM146,0)</f>
        <v>0</v>
      </c>
      <c r="FM146">
        <f>VLOOKUP($E146,Afgr,Data!$DK$3)*VLOOKUP($E146,Afgr,Data!$AT$3)*0.01*VLOOKUP($E146,Afgr,Data!$AW$3)*0.01/6.25</f>
        <v>0</v>
      </c>
      <c r="FN146" s="4">
        <f>IF(E146&gt;1,Deposition,0)</f>
        <v>0</v>
      </c>
      <c r="FO146">
        <f>FH146</f>
        <v>0</v>
      </c>
      <c r="FP146">
        <f>SUM(FK146:FO146)</f>
        <v>0</v>
      </c>
      <c r="FQ146">
        <f>DU146+EG146+EQ146</f>
        <v>0</v>
      </c>
      <c r="FR146" s="3">
        <f>FP146-FQ146</f>
        <v>0</v>
      </c>
      <c r="FS146" s="19">
        <f>FP146*M146</f>
        <v>0</v>
      </c>
      <c r="FT146" s="19">
        <f>FQ146*M146</f>
        <v>0</v>
      </c>
      <c r="FU146" s="3">
        <f>FR146*M146</f>
        <v>0</v>
      </c>
      <c r="FW146">
        <f>IL146+IM146+LP146+LQ146</f>
        <v>0</v>
      </c>
      <c r="FX146">
        <f>IK146+LO146</f>
        <v>0</v>
      </c>
      <c r="FY146">
        <f>FW146-FX146</f>
        <v>0</v>
      </c>
      <c r="FZ146">
        <f>FY146*M146</f>
        <v>0</v>
      </c>
      <c r="GB146">
        <f>IS146+IT146+LV146+LW146</f>
        <v>0</v>
      </c>
      <c r="GC146">
        <f>IR146+LU146</f>
        <v>0</v>
      </c>
      <c r="GD146">
        <f>GB146-GC146</f>
        <v>0</v>
      </c>
      <c r="GE146">
        <f>GD146*M146</f>
        <v>0</v>
      </c>
      <c r="GG146" s="149">
        <f>IF(OR(VLOOKUP(E146,Afgr,Data!$BV$3)=1,VLOOKUP(E146,Afgr,Data!$BW$3)=1),0,NniveauDelsaedsk4)</f>
        <v>0</v>
      </c>
      <c r="GH146" s="1">
        <v>0.32550000000000001</v>
      </c>
      <c r="GI146" s="6">
        <v>0</v>
      </c>
      <c r="GJ146" s="24">
        <f>IF(($V146-BB146+$CM146-DA146)&lt;0,0,$V146-BB146+$CM146-DA146)</f>
        <v>0</v>
      </c>
      <c r="GK146" s="6">
        <f>$FO146</f>
        <v>0</v>
      </c>
      <c r="GL146" s="1">
        <v>0.25280000000000002</v>
      </c>
      <c r="GM146">
        <f>$BA146+$CZ146</f>
        <v>0</v>
      </c>
      <c r="GN146" s="1">
        <v>0.376</v>
      </c>
      <c r="GO146" s="6">
        <v>0</v>
      </c>
      <c r="GP146" s="1">
        <f>IF(SandLer4&gt;1,0.3539,1.0749)</f>
        <v>0.35389999999999999</v>
      </c>
      <c r="GQ146" s="11">
        <f>$FQ146</f>
        <v>0</v>
      </c>
      <c r="GR146" s="1">
        <v>0.19359999999999999</v>
      </c>
      <c r="GS146" s="1">
        <f>VLOOKUP($E146,Afgr,Data!$DM$3)</f>
        <v>0</v>
      </c>
      <c r="GT146" s="24">
        <f>IF($GS146&gt;1,0,(VLOOKUP($K146,Afgr,Data!$DP$3)+IF(VLOOKUP($K146,Afgr,Data!$DP$3)=0,VLOOKUP($G146,Efgr,Data!$BI$53,0))))+IF(AND($GS146=7,VLOOKUP($K146,Afgr,Data!$DQ$3)=-2),-2,0)+IF(AND($GS146=6,VLOOKUP($G146,Efgr,Data!$BI$53)=2),8,0)</f>
        <v>0</v>
      </c>
      <c r="GU146" s="6" t="e">
        <f>VLOOKUP(SUM(GS146:GT146),Nlesafgr,3)</f>
        <v>#N/A</v>
      </c>
      <c r="GV146" s="7">
        <f>VLOOKUP($B146,Afgr,Data!$DN$3)</f>
        <v>0</v>
      </c>
      <c r="GW146" s="24">
        <f>IF(GV146&gt;1,0,VLOOKUP($E146,Afgr,Data!$DO$3)+IF(VLOOKUP($E146,Afgr,Data!$DO$3)=1,0,VLOOKUP($C146,Efgr,Data!$BJ$53)))</f>
        <v>0</v>
      </c>
      <c r="GX146" s="6" t="e">
        <f>VLOOKUP(SUM(GV146:GW146),Nlesforfrugt,3)</f>
        <v>#N/A</v>
      </c>
      <c r="GY146" s="1" t="e">
        <f>GH146*GG146+GL146*(GJ146+GK146)+GN146*GM146+GP146*GO146-GR146*GQ146+GU146+GX146</f>
        <v>#N/A</v>
      </c>
      <c r="GZ146" s="1">
        <f>Nlesafskaering</f>
        <v>59.6</v>
      </c>
      <c r="HA146" s="1">
        <f>Teknologi1</f>
        <v>2455</v>
      </c>
      <c r="HB146" s="6">
        <v>2001</v>
      </c>
      <c r="HC146" s="1">
        <f>Teknologi2</f>
        <v>1962.2</v>
      </c>
      <c r="HD146" s="1">
        <f>Tandel</f>
        <v>0.54659999999999997</v>
      </c>
      <c r="HE146" s="1" t="e">
        <f>IF(OR(GY146&gt;0,GY146=0),GZ146+HA146/(HB146-HC146),GZ146+HA146/(HB146-HC146)+HD146*GY146)</f>
        <v>#N/A</v>
      </c>
      <c r="HF146" s="1" t="e">
        <f>IF(GY146&gt;0,GY146,0.001)</f>
        <v>#N/A</v>
      </c>
      <c r="HG146" s="1">
        <v>1.5020000000000001E-3</v>
      </c>
      <c r="HH146" s="24">
        <f>IF(E146=1,0,VLOOKUP(Postnr,AfstromData,VLOOKUP($E146,Afgr,Data!$DL$3)+IF(Jordtype1&lt;7,Jordtype1,6),FALSE)-VLOOKUP(G146,Efgr,Data!$AA$53))</f>
        <v>0</v>
      </c>
      <c r="HI146" s="1">
        <v>5.5400000000000002E-4</v>
      </c>
      <c r="HJ146" s="24">
        <f>IF(E146=1,0,VLOOKUP(Postnr,AfstromData,VLOOKUP($B146,Afgr,Data!$DL$3)+IF(Jordtype1&lt;7,Jordtype1,6),FALSE)-VLOOKUP(C146,Efgr,Data!$AA$53))</f>
        <v>0</v>
      </c>
      <c r="HK146" s="1">
        <v>0.10639999999999999</v>
      </c>
      <c r="HL146" s="6">
        <f>VLOOKUP(Jordtype4,Jordtype,Data!$W$112)</f>
        <v>3</v>
      </c>
      <c r="HM146" s="1">
        <v>3.2500000000000001E-2</v>
      </c>
      <c r="HN146" s="6">
        <f>VLOOKUP(Jordtype4,Jordtype,Data!$X$112)</f>
        <v>12</v>
      </c>
      <c r="HO146" s="1">
        <v>1.2453000000000001</v>
      </c>
      <c r="HP146" s="1">
        <f>IF(VLOOKUP(G146,Efgr,Data!$AO$53)=1,MlafgrNUdvask,0)</f>
        <v>0</v>
      </c>
      <c r="HQ146" s="20">
        <f>IF(ISERROR((HE146+POWER(HF146,1.2))*(1-EXP(-HG146*HH146))*EXP(-HI146*HJ146)*EXP(-HK146*HL146)*EXP(-HM146*HN146)*HO146),0,(HE146+POWER(HF146,1.2))*(1-EXP(-HG146*HH146))*EXP(-HI146*HJ146)*EXP(-HK146*HL146)*EXP(-HM146*HN146)*HO146+HP146)</f>
        <v>0</v>
      </c>
      <c r="HR146">
        <f>HQ146*M146</f>
        <v>0</v>
      </c>
      <c r="HS146">
        <f>HQ146*(100-Retention4)*0.01</f>
        <v>0</v>
      </c>
      <c r="HT146">
        <f>HS146*M146</f>
        <v>0</v>
      </c>
      <c r="HU146" s="2">
        <f>HH146*10000</f>
        <v>0</v>
      </c>
      <c r="HV146" s="2">
        <f>HU146*M146</f>
        <v>0</v>
      </c>
      <c r="HW146">
        <f>IF(ISERROR(HQ146*1000*1000/HU146),0,HQ146*1000*1000/HU146)</f>
        <v>0</v>
      </c>
      <c r="HY146">
        <f>BP146+BT146+CG146+DG146</f>
        <v>0</v>
      </c>
      <c r="IB146">
        <f>VLOOKUP(E146,Afgr,Data!$AP$3)*UdsaedJust</f>
        <v>0</v>
      </c>
      <c r="IC146" s="3">
        <f>IF(Mark!EG146&lt;&gt;"",Mark!EG146,Regn!IB146)</f>
        <v>0</v>
      </c>
      <c r="ID146" s="3">
        <f>IC146*M146</f>
        <v>0</v>
      </c>
      <c r="IF146" s="3">
        <f>IF(HdgVaerdi=1,($V146-$AY146)*Npris,$V146*Npris)</f>
        <v>0</v>
      </c>
      <c r="IG146" s="3">
        <f>IF146*M146</f>
        <v>0</v>
      </c>
      <c r="II146">
        <f>VLOOKUP($E146,Afgr,Data!$BA$3)</f>
        <v>0</v>
      </c>
      <c r="IJ146">
        <f>VLOOKUP($E146,Afgr,Data!$BB$3)</f>
        <v>0</v>
      </c>
      <c r="IK146">
        <f>$DX146+$EJ146</f>
        <v>0</v>
      </c>
      <c r="IL146">
        <f>IF(HdgDyreart=2,$AV146*NPforholdSvin,$AV146*NPforholdKvaeg)</f>
        <v>0</v>
      </c>
      <c r="IM146">
        <f>II146+IF($IJ146+$IK146&gt;$IL146,($IJ146+$IK146-$IL146),0)</f>
        <v>0</v>
      </c>
      <c r="IN146" s="3">
        <f>IF(HdgVaerdi=1,($II146*Ppris+IF($IJ146+$IK146&gt;$IL146,($IJ146+$IK146-$IL146)*Ppris,0)),($II146+$IJ146+$IK146)*Ppris)</f>
        <v>0</v>
      </c>
      <c r="IO146" s="3">
        <f>IN146*M146</f>
        <v>0</v>
      </c>
      <c r="IQ146">
        <f>IF(AND(E146&gt;1,OR(Jordtype4=1,Jordtype4=3,Markvand4=2)),Kudvask,0)</f>
        <v>0</v>
      </c>
      <c r="IR146">
        <f>$EA146+$EM146</f>
        <v>0</v>
      </c>
      <c r="IS146">
        <f>IF(HdgDyreart=2,$AV146*NKforholdSvin,$AV146*NkforholdKvaeg)</f>
        <v>0</v>
      </c>
      <c r="IT146">
        <f>IF($IQ146+$IR146&gt;$IS146,($IQ146+$IR146-$IS146),0)</f>
        <v>0</v>
      </c>
      <c r="IU146" s="3">
        <f>IF(HdgVaerdi=1,IF($IQ146+$IR146&gt;$IS146,($IQ146+$IR146-$IS146)*Kpris,0),($IQ146+$IR146)*Kpris)</f>
        <v>0</v>
      </c>
      <c r="IV146" s="3">
        <f>IU146*M146</f>
        <v>0</v>
      </c>
      <c r="IX146">
        <f>IF146+IN146+IU146</f>
        <v>0</v>
      </c>
      <c r="IY146" s="3">
        <f>IF(Mark!EM146&lt;&gt;"",Mark!EM146,$IX146)</f>
        <v>0</v>
      </c>
      <c r="IZ146" s="3">
        <f>IY146*M146</f>
        <v>0</v>
      </c>
      <c r="JB146">
        <f>VLOOKUP(E146,Afgr,Data!$AQ$3)*PlantevJust</f>
        <v>0</v>
      </c>
      <c r="JC146" s="3">
        <f>IF(Mark!ES146&lt;&gt;"",Mark!ES146,JB146)</f>
        <v>0</v>
      </c>
      <c r="JD146" s="3">
        <f>JC146*M146</f>
        <v>0</v>
      </c>
      <c r="JF146">
        <f>VLOOKUP(E146,Afgr,Data!$AR$3)+BI146*VLOOKUP(E146,Afgr,Data!$BH$3)</f>
        <v>0</v>
      </c>
      <c r="JG146" s="3">
        <f>IF(Mark!EY146&lt;&gt;"",Mark!EY146,JF146)</f>
        <v>0</v>
      </c>
      <c r="JH146">
        <f>JG146*M146</f>
        <v>0</v>
      </c>
      <c r="JJ146">
        <f>IC146+IY146+JC146+JG146</f>
        <v>0</v>
      </c>
      <c r="JL146">
        <f>IF(VLOOKUP(E146,Afgr,Data!$BY$3)&gt;0,Data!$K$259*PlojJB4,0)</f>
        <v>0</v>
      </c>
      <c r="JM146">
        <f>IF(VLOOKUP(E146,Afgr,Data!$BZ$3)&gt;0,Data!$K$260*PlojJB4,0)</f>
        <v>0</v>
      </c>
      <c r="JN146">
        <f>(JL146+JM146)*MaskJust</f>
        <v>0</v>
      </c>
      <c r="JO146" s="3">
        <f>IF(Mark!FE146&lt;&gt;"",Mark!FE146,JN146)</f>
        <v>0</v>
      </c>
      <c r="JP146" s="3">
        <f>JO146*M146</f>
        <v>0</v>
      </c>
      <c r="JR146">
        <f>IF(VLOOKUP(E146,Afgr,Data!$CA$3)&gt;0,VLOOKUP(E146,Afgr,Data!$CA$3)*Data!$K$261*SaaJB4,0)</f>
        <v>0</v>
      </c>
      <c r="JS146">
        <f>IF(VLOOKUP(E146,Afgr,Data!$CC$3)&gt;0,Data!$K$262*SaaJB4,0)</f>
        <v>0</v>
      </c>
      <c r="JT146">
        <f>IF(VLOOKUP(E146,Afgr,Data!$CD$3)&gt;0,VLOOKUP(E146,Afgr,Data!$CD$3)*Data!$K$263*SaaJB4,0)</f>
        <v>0</v>
      </c>
      <c r="JU146">
        <f>IF(VLOOKUP(E146,Afgr,Data!$CE$3)&gt;0,Data!$K$264*SaaJB4,0)</f>
        <v>0</v>
      </c>
      <c r="JV146">
        <f>IF(VLOOKUP(E146,Afgr,Data!$CF$3)&gt;0,Data!$K$265*SaaJB4,0)</f>
        <v>0</v>
      </c>
      <c r="JW146">
        <f>IF(VLOOKUP(E146,Afgr,Data!$CV$3)&gt;0,Data!$K$266,0)</f>
        <v>0</v>
      </c>
      <c r="JX146">
        <f>IF(VLOOKUP(E146,Afgr,Data!$CG$3)&gt;0,Data!$K$267*SaaJB4,0)</f>
        <v>0</v>
      </c>
      <c r="JY146">
        <f>(JR146+JS146+JT146+JU146+JV146+JW146+JX146)*MaskJust</f>
        <v>0</v>
      </c>
      <c r="JZ146" s="3">
        <f>IF(Mark!FK146&lt;&gt;"",Mark!FK146,JY146)</f>
        <v>0</v>
      </c>
      <c r="KA146" s="3">
        <f>JZ146*M146</f>
        <v>0</v>
      </c>
      <c r="KC146">
        <f>IF(VLOOKUP(E146,Afgr,Data!$CJ$3)&gt;0,VLOOKUP(E146,Afgr,Data!$CJ$3)*Data!$K$268*SaaJB4,0)*MaskJust</f>
        <v>0</v>
      </c>
      <c r="KD146" s="3">
        <f>IF(Mark!FQ146&lt;&gt;"",Mark!FQ146,KC146)</f>
        <v>0</v>
      </c>
      <c r="KE146" s="3">
        <f>KD146*M146</f>
        <v>0</v>
      </c>
      <c r="KG146">
        <f>IF(VLOOKUP(E146,Afgr,Data!$CI$3)&gt;0,VLOOKUP(E146,Afgr,Data!$CI$3)*Data!$K$269,0)*MaskJust</f>
        <v>0</v>
      </c>
      <c r="KH146" s="3">
        <f>IF(Mark!FW146&lt;&gt;"",Mark!FW146,KG146)</f>
        <v>0</v>
      </c>
      <c r="KI146" s="3">
        <f>KH146*M146</f>
        <v>0</v>
      </c>
      <c r="KK146">
        <f>IF(Markvand4=2,VLOOKUP($E146,Afgr,Data!$CY$3),0)</f>
        <v>0</v>
      </c>
      <c r="KL146">
        <f>IF(Mark!GC146&lt;&gt;"",Mark!GC146,$KK146)</f>
        <v>0</v>
      </c>
      <c r="KM146">
        <f>IF(AND(E146&gt;1,Markvand4=2),Vandmaskin+$KL146*Flytning/mmprgang+$KL146*Prisprmm,0)</f>
        <v>0</v>
      </c>
      <c r="KN146" s="3">
        <f>IF(Mark!GI146&lt;&gt;"",Mark!GI146,$KM146)</f>
        <v>0</v>
      </c>
      <c r="KO146" s="3">
        <f>KN146*M146</f>
        <v>0</v>
      </c>
      <c r="KQ146">
        <f>IF(VLOOKUP($E146,Afgr,Data!$CK$3)&gt;0,((1+Regn!$BI146/VLOOKUP($E146,Afgr,Data!$CK$3))/2)*VLOOKUP($E146,Afgr,Data!$CL$3)*VLOOKUP($E146,Afgr,Data!$CN$3)+VLOOKUP($E146,Afgr,Data!$CM$3),0)</f>
        <v>0</v>
      </c>
      <c r="KR146">
        <f>IF(VLOOKUP($E146,Afgr,Data!$CK$3)&gt;0,IF(AND($F146=2,$BW146&gt;0),Data!$K$271,0),0)</f>
        <v>0</v>
      </c>
      <c r="KS146">
        <f>IF(VLOOKUP($E146,Afgr,Data!$CK$3)&gt;0,(Regn!$BI146/VLOOKUP($E146,Afgr,Data!$CK$3))*VLOOKUP($E146,Afgr,Data!$CO$3)*VLOOKUP($E146,Afgr,Data!$CN$3),0)</f>
        <v>0</v>
      </c>
      <c r="KT146">
        <f>(KQ146+KR146+KS146)*MaskJust</f>
        <v>0</v>
      </c>
      <c r="KU146" s="3">
        <f>IF(Mark!GO146&lt;&gt;"",Mark!GO146,KT146)</f>
        <v>0</v>
      </c>
      <c r="KV146" s="3">
        <f>KU146*M146</f>
        <v>0</v>
      </c>
      <c r="KW146" s="3"/>
      <c r="KX146">
        <f>IF(AND($F146=1,VLOOKUP($E146,Afgr,Data!$CP$3)&gt;0),((1+$BY146/VLOOKUP($E146,Afgr,Data!$CP$3))/2)*VLOOKUP($E146,Afgr,Data!$CQ$3),0)</f>
        <v>0</v>
      </c>
      <c r="KY146">
        <f>IF(AND($F146=1,VLOOKUP($E146,Afgr,Data!$CP$3)&gt;0),($BY146/VLOOKUP($E146,Afgr,Data!$CP$3))*VLOOKUP($E146,Afgr,Data!$CR$3),0)</f>
        <v>0</v>
      </c>
      <c r="KZ146">
        <f>(KX146+KY146)*MaskJust</f>
        <v>0</v>
      </c>
      <c r="LA146" s="3">
        <f>IF(Mark!GU146&lt;&gt;"",Mark!GU146,KZ146)</f>
        <v>0</v>
      </c>
      <c r="LB146" s="3">
        <f>LA146*M146</f>
        <v>0</v>
      </c>
      <c r="LD146">
        <f>$BI146*VLOOKUP($E146,Afgr,Data!$CS$3)*IF($I146=1,VLOOKUP($E146,Afgr,Data!$CT$3),IF($I146=2,VLOOKUP($E146,Afgr,Data!$CU$3),0))</f>
        <v>0</v>
      </c>
      <c r="LE146" s="3">
        <f>IF(Mark!HD146&lt;&gt;"",Mark!HD146,LD146)</f>
        <v>0</v>
      </c>
      <c r="LF146" s="3">
        <f>LE146*M146</f>
        <v>0</v>
      </c>
      <c r="LH146">
        <f>VLOOKUP($G146,Efgr,Data!$AC$53)*UdsaedJust</f>
        <v>0</v>
      </c>
      <c r="LI146" s="3">
        <f>IF(Mark!$HL146&lt;&gt;"",Mark!$HL146,LH146)</f>
        <v>0</v>
      </c>
      <c r="LJ146" s="3">
        <f>LI146*M146</f>
        <v>0</v>
      </c>
      <c r="LL146" s="3">
        <f>IF(HdgVaerdi=1,($CM146-$CX146)*Npris,$CM146*Npris)</f>
        <v>0</v>
      </c>
      <c r="LM146" s="3">
        <f>LL146*M146</f>
        <v>0</v>
      </c>
      <c r="LO146">
        <f>$ET146</f>
        <v>0</v>
      </c>
      <c r="LP146">
        <f>IF(HdgDyreart=2,$CU146*NPforholdSvin,$CU146*NPforholdKvaeg)</f>
        <v>0</v>
      </c>
      <c r="LQ146">
        <f>IF($LO146&gt;$LP146,($LO146-$LP146),0)</f>
        <v>0</v>
      </c>
      <c r="LR146" s="3">
        <f>IF(HdgVaerdi=1,IF($LO146&gt;$LP146,($LO146-$LP146)*Ppris,0),$LO146*Ppris)</f>
        <v>0</v>
      </c>
      <c r="LS146" s="3">
        <f>LR146*M146</f>
        <v>0</v>
      </c>
      <c r="LU146">
        <f>$EW146</f>
        <v>0</v>
      </c>
      <c r="LV146">
        <f>IF(HdgDyreart=2,$CU146*NKforholdSvin,$CU146*NkforholdKvaeg)</f>
        <v>0</v>
      </c>
      <c r="LW146">
        <f>IF($LU146&gt;$LV146,($LU146-$LV146),0)</f>
        <v>0</v>
      </c>
      <c r="LX146" s="3">
        <f>IF(HdgVaerdi=1,IF($LU146&gt;$LV146,($LU146-$LV146)*Ppris,0),$LU146*Ppris)</f>
        <v>0</v>
      </c>
      <c r="LY146" s="3">
        <f>LX146*M146</f>
        <v>0</v>
      </c>
      <c r="MA146">
        <f>LL146+LR146+LX146</f>
        <v>0</v>
      </c>
      <c r="MB146" s="3">
        <f>IF(Mark!HR146&lt;&gt;"",Mark!HR146,$MA146)</f>
        <v>0</v>
      </c>
      <c r="MC146" s="3">
        <f>MB146*M146</f>
        <v>0</v>
      </c>
      <c r="ME146">
        <f>VLOOKUP($G146,Efgr,Data!$AE$53)*PlantevJust</f>
        <v>0</v>
      </c>
      <c r="MF146" s="3">
        <f>IF(Mark!HX146&lt;&gt;"",Mark!HX146,ME146)</f>
        <v>0</v>
      </c>
      <c r="MG146" s="3">
        <f>MF146*M146</f>
        <v>0</v>
      </c>
      <c r="MI146">
        <f>VLOOKUP($G146,Efgr,Data!$AF$53)+$DD146*VLOOKUP($G146,Efgr,Data!$AL$53)</f>
        <v>0</v>
      </c>
      <c r="MJ146" s="3">
        <f>IF(Mark!ID146&lt;&gt;"",Mark!ID146,MI146)</f>
        <v>0</v>
      </c>
      <c r="MK146" s="3">
        <f>MJ146*M146</f>
        <v>0</v>
      </c>
      <c r="MM146">
        <f>LI146+MB146+MF146+MJ146</f>
        <v>0</v>
      </c>
      <c r="MO146">
        <f>VLOOKUP($G146,Efgr,Data!$AU$53)*SaaJB4*MaskJust</f>
        <v>0</v>
      </c>
      <c r="MP146" s="3">
        <f>IF(Mark!IJ146&lt;&gt;"",Mark!IJ146,MO146)</f>
        <v>0</v>
      </c>
      <c r="MQ146" s="3">
        <f>MP146*M146</f>
        <v>0</v>
      </c>
      <c r="MS146">
        <f>VLOOKUP($G146,Efgr,Data!$AW$53)*Data!$K$268*SaaJB4*MaskJust</f>
        <v>0</v>
      </c>
      <c r="MT146" s="3">
        <f>IF(Mark!IP146&lt;&gt;"",Mark!IP146,MS146)</f>
        <v>0</v>
      </c>
      <c r="MU146" s="3">
        <f>MT146*M146</f>
        <v>0</v>
      </c>
      <c r="MW146">
        <f>VLOOKUP($G146,Efgr,Data!$AV$53)*Data!$K$269*MaskJust</f>
        <v>0</v>
      </c>
      <c r="MX146" s="3">
        <f>IF(Mark!IV146&lt;&gt;"",Mark!IV146,MW146)</f>
        <v>0</v>
      </c>
      <c r="MY146" s="3">
        <f>MX146*M146</f>
        <v>0</v>
      </c>
      <c r="NA146">
        <f>IF(Markvand4=2,VLOOKUP($G146,Efgr,Data!$BC$53),0)</f>
        <v>0</v>
      </c>
      <c r="NB146">
        <f>IF(Mark!JB146&lt;&gt;"",Mark!JB146,$NA146)</f>
        <v>0</v>
      </c>
      <c r="NC146">
        <f>IF(Markvand4=2,$NB146*Flytning/mmprgang+$NB146*Prisprmm,0)</f>
        <v>0</v>
      </c>
      <c r="ND146" s="3">
        <f>IF(Mark!JH146&lt;&gt;"",Mark!JH146,$NC146)</f>
        <v>0</v>
      </c>
      <c r="NE146" s="3">
        <f>ND146*M146</f>
        <v>0</v>
      </c>
      <c r="NG146">
        <f>IF(VLOOKUP($G146,Efgr,Data!$AX$53)&gt;0,((1+Regn!DD146/VLOOKUP($G146,Efgr,Data!$AX$53))/2)*VLOOKUP($G146,Efgr,Data!$AY$53)*VLOOKUP($G146,Efgr,Data!$BA$53)+VLOOKUP($G146,Efgr,Data!$AZ$53),0)</f>
        <v>0</v>
      </c>
      <c r="NH146">
        <f>IF(VLOOKUP($G146,Efgr,Data!$AX$53)&gt;0,($DD146/VLOOKUP($G146,Efgr,Data!$AX$53))*VLOOKUP($G146,Efgr,Data!$BB$53)*VLOOKUP($G146,Efgr,Data!$BA$53),0)</f>
        <v>0</v>
      </c>
      <c r="NI146">
        <f>(NG146+NH146)*MaskJust</f>
        <v>0</v>
      </c>
      <c r="NJ146" s="3">
        <f>IF(Mark!JN146&lt;&gt;"",Mark!JN146,NI146)</f>
        <v>0</v>
      </c>
      <c r="NK146" s="3">
        <f>NJ146*M146</f>
        <v>0</v>
      </c>
      <c r="NM146">
        <f>IF($H146=2,Data!$K$304,IF($H146=3,Data!$K$305,0))*MaskJust</f>
        <v>0</v>
      </c>
      <c r="NN146" s="3">
        <f>IF(Mark!JT146&lt;&gt;"",Mark!JT146,NM146)</f>
        <v>0</v>
      </c>
      <c r="NO146" s="3">
        <f>NN146*M146</f>
        <v>0</v>
      </c>
      <c r="NQ146">
        <f>HY146</f>
        <v>0</v>
      </c>
      <c r="NR146">
        <f>JJ146+MM146</f>
        <v>0</v>
      </c>
      <c r="NS146">
        <f>NQ146-NR146</f>
        <v>0</v>
      </c>
      <c r="NT146">
        <f>NS146*M146</f>
        <v>0</v>
      </c>
      <c r="NW146">
        <f>VLOOKUP($B146,Afgr,Data!$BP$3)+VLOOKUP($C146,Efgr,Data!$AM$53)</f>
        <v>0</v>
      </c>
      <c r="NX146" s="3">
        <f>NW146*M146</f>
        <v>0</v>
      </c>
      <c r="NY146">
        <f>VLOOKUP($E146,Afgr,Data!$BP$3)+VLOOKUP($G146,Efgr,Data!$AM$53)</f>
        <v>0</v>
      </c>
      <c r="NZ146" s="3">
        <f>NY146*M146</f>
        <v>0</v>
      </c>
      <c r="OB146">
        <f>VLOOKUP($C146,Efgr,Data!$AN$53)</f>
        <v>0</v>
      </c>
      <c r="OC146">
        <f>VLOOKUP($B146,Afgr,Data!$BQ$3)</f>
        <v>0</v>
      </c>
      <c r="OD146">
        <f>VLOOKUP($E146,Afgr,Data!$BR$3)</f>
        <v>1</v>
      </c>
      <c r="OE146">
        <f>OB146*OC146*OD146</f>
        <v>0</v>
      </c>
      <c r="OF146" s="3">
        <f>OE146*M146</f>
        <v>0</v>
      </c>
      <c r="OG146" s="3">
        <f>IF(D146,1,0)*OF146</f>
        <v>0</v>
      </c>
      <c r="OI146">
        <f>VLOOKUP($G146,Efgr,Data!$AN$53)</f>
        <v>0</v>
      </c>
      <c r="OJ146">
        <f>VLOOKUP($E146,Afgr,Data!$BQ$3)</f>
        <v>0</v>
      </c>
      <c r="OK146">
        <f>VLOOKUP($K146,Afgr,Data!$BR$3)</f>
        <v>1</v>
      </c>
      <c r="OL146">
        <f>OI146*OJ146*OK146</f>
        <v>0</v>
      </c>
      <c r="OM146" s="3">
        <f>OL146*M146</f>
        <v>0</v>
      </c>
      <c r="OO146">
        <f>VLOOKUP($G146,Efgr,Data!$AO$53)</f>
        <v>0</v>
      </c>
      <c r="OP146">
        <f>VLOOKUP($B146,Afgr,Data!$BQ$3)</f>
        <v>0</v>
      </c>
      <c r="OQ146">
        <f>VLOOKUP($E146,Afgr,Data!$BS$3)</f>
        <v>0</v>
      </c>
      <c r="OR146" s="3">
        <f>OO146*OP146*OQ146*$M146</f>
        <v>0</v>
      </c>
      <c r="OT146">
        <f>VLOOKUP($G146,Efgr,Data!$AO$53)</f>
        <v>0</v>
      </c>
      <c r="OU146">
        <f>VLOOKUP($E146,Afgr,Data!$BQ$3)</f>
        <v>0</v>
      </c>
      <c r="OV146">
        <f>VLOOKUP($K146,Afgr,Data!$BS$3)</f>
        <v>0</v>
      </c>
      <c r="OW146" s="3">
        <f>OT146*OU146*OV146*$M146</f>
        <v>0</v>
      </c>
      <c r="OX146" s="3"/>
      <c r="OY146" s="3">
        <f>VLOOKUP($B146,Afgr,Data!$BU$3)</f>
        <v>0</v>
      </c>
      <c r="OZ146" s="3">
        <f>OY146*M146</f>
        <v>0</v>
      </c>
      <c r="PA146" s="3">
        <f>VLOOKUP($E146,Afgr,Data!$BU$3)</f>
        <v>0</v>
      </c>
      <c r="PB146" s="3">
        <f>PA146*M146</f>
        <v>0</v>
      </c>
      <c r="PD146">
        <f>VLOOKUP(E146,Afgr,Data!$BX$3)+VLOOKUP(G146,Efgr,Data!$AQ$53)</f>
        <v>0</v>
      </c>
      <c r="PE146">
        <f>IF(PD146&gt;0,M146,0)</f>
        <v>0</v>
      </c>
      <c r="PG146">
        <f>VLOOKUP($B146,Afgr,Data!$BT$3)</f>
        <v>0</v>
      </c>
      <c r="PH146" s="3">
        <f>PG146*M146</f>
        <v>0</v>
      </c>
      <c r="PI146">
        <f>VLOOKUP($E146,Afgr,Data!$BT$3)</f>
        <v>0</v>
      </c>
      <c r="PJ146" s="3">
        <f>PI146*M146</f>
        <v>0</v>
      </c>
      <c r="PL146">
        <f>VLOOKUP($E146,Afgr,Data!$BV$3)</f>
        <v>0</v>
      </c>
      <c r="PM146">
        <f>PL146*M146</f>
        <v>0</v>
      </c>
      <c r="PO146">
        <f>VLOOKUP($E146,Afgr,Data!$BW$3)</f>
        <v>0</v>
      </c>
      <c r="PP146">
        <f>PO146*M146</f>
        <v>0</v>
      </c>
      <c r="PR146">
        <f>BI146*IF(VLOOKUP($E146,Afgr,Data!$BJ$3)&gt;0,1,0)</f>
        <v>0</v>
      </c>
      <c r="PS146">
        <f>PR146*M146</f>
        <v>0</v>
      </c>
      <c r="PU146">
        <f>BI146*VLOOKUP(E146,Afgr,Data!$BK$3)</f>
        <v>0</v>
      </c>
      <c r="PV146">
        <f>M146*PU146</f>
        <v>0</v>
      </c>
      <c r="PW146">
        <f>$BI146*VLOOKUP($E146,Afgr,Data!$BL$3)+$DD146*VLOOKUP($G146,Efgr,Data!$AP$53)</f>
        <v>0</v>
      </c>
      <c r="PX146">
        <f>PW146*M146</f>
        <v>0</v>
      </c>
      <c r="PY146">
        <f>$BI146*VLOOKUP($E146,Afgr,Data!$BM$3)</f>
        <v>0</v>
      </c>
      <c r="PZ146">
        <f>PY146*M146</f>
        <v>0</v>
      </c>
      <c r="QA146">
        <f>$BI146*VLOOKUP($E146,Afgr,Data!$BN$3)</f>
        <v>0</v>
      </c>
      <c r="QB146">
        <f>QA146*M146</f>
        <v>0</v>
      </c>
      <c r="QE146">
        <f>IF(VLOOKUP($E146,Afgr,Data!$DA$3)="Vårbyg",$BJ146,0)*VLOOKUP($E146,Afgr,Data!$BJ$3)</f>
        <v>0</v>
      </c>
      <c r="QF146">
        <f>IF(VLOOKUP($E146,Afgr,Data!$DA$3)="Vinterbyg",$BJ146,0)*VLOOKUP($E146,Afgr,Data!$BJ$3)</f>
        <v>0</v>
      </c>
      <c r="QG146">
        <f>IF(VLOOKUP($E146,Afgr,Data!$DA$3)="Havre",$BJ146,0)*VLOOKUP($E146,Afgr,Data!$BJ$3)</f>
        <v>0</v>
      </c>
      <c r="QH146">
        <f>IF(VLOOKUP($E146,Afgr,Data!$DA$3)="Hvede",$BJ146,0)*VLOOKUP($E146,Afgr,Data!$BJ$3)</f>
        <v>0</v>
      </c>
      <c r="QI146">
        <f>IF(VLOOKUP($E146,Afgr,Data!$DA$3)="Triticale",$BJ146,0)*VLOOKUP($E146,Afgr,Data!$BJ$3)</f>
        <v>0</v>
      </c>
      <c r="QJ146">
        <f>IF(VLOOKUP($E146,Afgr,Data!$DA$3)="Rug",$BJ146,0)*VLOOKUP($E146,Afgr,Data!$BJ$3)</f>
        <v>0</v>
      </c>
      <c r="QK146">
        <f>IF(VLOOKUP($E146,Afgr,Data!$DA$3)="Majs",$BJ146,0)*VLOOKUP($E146,Afgr,Data!$BJ$3)</f>
        <v>0</v>
      </c>
      <c r="QN146">
        <f>IF(OI146+OO146&gt;0,1,0)</f>
        <v>0</v>
      </c>
      <c r="QO146">
        <f>QN146*LJ146</f>
        <v>0</v>
      </c>
      <c r="QP146">
        <f>QN146*MG146</f>
        <v>0</v>
      </c>
      <c r="QQ146">
        <f>MQ146</f>
        <v>0</v>
      </c>
      <c r="QR146">
        <f>QN146*NO146</f>
        <v>0</v>
      </c>
    </row>
    <row r="147" spans="1:460" x14ac:dyDescent="0.25">
      <c r="GG147" s="12"/>
    </row>
    <row r="148" spans="1:460" x14ac:dyDescent="0.25">
      <c r="A148">
        <v>6</v>
      </c>
      <c r="B148">
        <v>1</v>
      </c>
      <c r="C148">
        <v>1</v>
      </c>
      <c r="D148" t="b">
        <v>0</v>
      </c>
      <c r="E148">
        <v>1</v>
      </c>
      <c r="F148">
        <v>1</v>
      </c>
      <c r="G148">
        <v>1</v>
      </c>
      <c r="H148">
        <v>1</v>
      </c>
      <c r="I148">
        <v>1</v>
      </c>
      <c r="K148">
        <v>1</v>
      </c>
      <c r="M148">
        <f>IF(ISERROR(N148*Areal4/$N$154),0,N148*Areal4/$N$154)</f>
        <v>0</v>
      </c>
      <c r="N148">
        <f>Mark!Z148</f>
        <v>0</v>
      </c>
      <c r="P148">
        <f>VLOOKUP($E148,Afgr,NnormKolonneNr4)</f>
        <v>0</v>
      </c>
      <c r="Q148">
        <f>VLOOKUP($B148,Afgr,Data!$AI$3)*VLOOKUP(E148,Afgr,Data!$AJ$3)</f>
        <v>0</v>
      </c>
      <c r="R148">
        <f>IF($D148,0,VLOOKUP($C148,Efgr,(Data!$W$53+$G$28-1)))</f>
        <v>0</v>
      </c>
      <c r="S148">
        <f>P148-Q148-R148</f>
        <v>0</v>
      </c>
      <c r="T148">
        <f>S148*M148</f>
        <v>0</v>
      </c>
      <c r="U148">
        <f>IF(Nmodel34=1,S148*Nniveau34*0.01,AO148)</f>
        <v>0</v>
      </c>
      <c r="V148" s="3">
        <f>IF(Mark!CI148&lt;&gt;"",Mark!CI148,U148)</f>
        <v>0</v>
      </c>
      <c r="W148" s="3">
        <f>V148*M148</f>
        <v>0</v>
      </c>
      <c r="Y148">
        <f>S148/NoptFaktor</f>
        <v>0</v>
      </c>
      <c r="Z148" s="3">
        <f>IF(Mark!BZ148&lt;&gt;"",Mark!BZ148,Y148)</f>
        <v>0</v>
      </c>
      <c r="AB148">
        <f>VLOOKUP($E148,Afgr,Data!$DE$3)</f>
        <v>0</v>
      </c>
      <c r="AC148">
        <f>VLOOKUP($E148,Afgr,Data!$DD$3)</f>
        <v>0</v>
      </c>
      <c r="AD148">
        <f>VLOOKUP($E148,Afgr,Data!$DC$3)</f>
        <v>0</v>
      </c>
      <c r="AE148">
        <f>IF(ISERROR($Z148+(-PrisN/$AD148-$AB148)/(2*$AC148)),0,($Z148+(-PrisN/$AD148-$AB148)/(2*$AC148)))</f>
        <v>0</v>
      </c>
      <c r="AF148">
        <f>($BD148+$BE148+$BF148)*1.03333</f>
        <v>0</v>
      </c>
      <c r="AG148">
        <f>$AF148-($AB148*($AE148-$Z148)+$AC148*($AE148-$Z148)^2)</f>
        <v>0</v>
      </c>
      <c r="AH148">
        <f>IF(Nmodel12=1,$AB148*($AE148-$S148)+$AC148*($AE148-$S148)^2,$AB148*($AE148-$AO148)+$AC148*($AE148-$AO148)^2)</f>
        <v>0</v>
      </c>
      <c r="AI148">
        <f>IF(Nmodel34=1,$AB148*($AE148-$V148)+$AC148*($AE148-$V148)^2,$AB148*($AE148-AO148)+$AC148*($AE148-AO148)^2)</f>
        <v>0</v>
      </c>
      <c r="AJ148">
        <f>AG148+AH148-BG148</f>
        <v>0</v>
      </c>
      <c r="AK148">
        <f>AG148+AI148-AJ148</f>
        <v>0</v>
      </c>
      <c r="AM148">
        <f>VLOOKUP(E148,Afgr,Data!$DF$3+SandLer4)</f>
        <v>0</v>
      </c>
      <c r="AN148">
        <f>IF(ISERROR(((-(PrisN+Pantafgift)+AM148*Pantfaktor*Pantafgift)/AD148-AB148)/(2*AC148)),0,((-(PrisN+Pantafgift)+AM148*Pantfaktor*Pantafgift)/AD148-AB148)/(2*AC148))</f>
        <v>0</v>
      </c>
      <c r="AO148">
        <f>AE148-AN148</f>
        <v>0</v>
      </c>
      <c r="AQ148">
        <f>IF(AT148&gt;0,0,W148)</f>
        <v>0</v>
      </c>
      <c r="AR148">
        <f>IF(ISERROR(W148*HdgNTilFordeling34/NnormIaltFordel34),0,W148*HdgNTilFordeling34/NnormIaltFordel34)</f>
        <v>0</v>
      </c>
      <c r="AS148">
        <f>IF(ISERROR($AR148/$M148),0,$AR148/$M148)</f>
        <v>0</v>
      </c>
      <c r="AT148">
        <f>IF(Mark!CO148&lt;&gt;"",Mark!CO148,0)</f>
        <v>0</v>
      </c>
      <c r="AU148">
        <f>$AT148*$M148</f>
        <v>0</v>
      </c>
      <c r="AV148" s="3">
        <f>IF(AT148&gt;0,AT148,AS148)</f>
        <v>0</v>
      </c>
      <c r="AW148" s="3">
        <f>AV148*M148</f>
        <v>0</v>
      </c>
      <c r="AY148">
        <f>UdnKrav*$AV148/100</f>
        <v>0</v>
      </c>
      <c r="BA148">
        <f>AV148*VLOOKUP($E148,Afgr,Data!$DJ$3)</f>
        <v>0</v>
      </c>
      <c r="BB148">
        <f>UdnKrav*$BA148/100</f>
        <v>0</v>
      </c>
      <c r="BD148">
        <f>VLOOKUP(E148,Afgr,NormudbKolonneNr4)</f>
        <v>0</v>
      </c>
      <c r="BE148">
        <f>VLOOKUP(B148,Afgr,Data!$AL$3)*VLOOKUP(E148,Afgr,MerudbKolonneNr4)</f>
        <v>0</v>
      </c>
      <c r="BF148">
        <f>VLOOKUP(C148,Efgr,(Data!$Y$53+EftervirkningUdb4))</f>
        <v>0</v>
      </c>
      <c r="BG148">
        <f>BD148+BE148+BF148</f>
        <v>0</v>
      </c>
      <c r="BH148">
        <f>IF(OR(V148&lt;&gt;S148,Nmodel34=2),AK148,BD148+BE148+BF148)</f>
        <v>0</v>
      </c>
      <c r="BI148" s="3">
        <f>IF(Mark!AK148&lt;&gt;"",Mark!AK148,BH148)</f>
        <v>0</v>
      </c>
      <c r="BJ148">
        <f>BI148*M148</f>
        <v>0</v>
      </c>
      <c r="BK148">
        <f>VLOOKUP(E148,Afgr,3)</f>
        <v>0</v>
      </c>
      <c r="BL148">
        <f>IF(BK148="FE",VLOOKUP($E148,Afgr,Data!$AV$3),0)</f>
        <v>0</v>
      </c>
      <c r="BN148">
        <f>VLOOKUP(E148,Afgr,4)</f>
        <v>0</v>
      </c>
      <c r="BO148" s="3">
        <f>IF(Mark!AW148&lt;&gt;"",Mark!AW148,Regn!BN148)</f>
        <v>0</v>
      </c>
      <c r="BP148" s="3">
        <f>BI148*BO148</f>
        <v>0</v>
      </c>
      <c r="BQ148" s="3">
        <f>BJ148*BO148</f>
        <v>0</v>
      </c>
      <c r="BS148">
        <f>VLOOKUP(E148,Afgr,Data!$AN$3)</f>
        <v>0</v>
      </c>
      <c r="BT148" s="3">
        <f>IF(Mark!BC148&lt;&gt;"",Mark!BC148,BS148)</f>
        <v>0</v>
      </c>
      <c r="BU148" s="3">
        <f>BT148*M148</f>
        <v>0</v>
      </c>
      <c r="BW148">
        <f>VLOOKUP(E148,Afgr,HalmudbKolonneNr4)</f>
        <v>0</v>
      </c>
      <c r="BX148">
        <f>IF(ISERROR(BW148*BI148/BG148),0,(BW148*BI148/BG148))</f>
        <v>0</v>
      </c>
      <c r="BY148" s="3">
        <f>IF(Mark!BI148&lt;&gt;"",Mark!BI148,BX148)</f>
        <v>0</v>
      </c>
      <c r="BZ148">
        <f>BY148*M148</f>
        <v>0</v>
      </c>
      <c r="CC148">
        <f>IF($F148=1,BY148,0)</f>
        <v>0</v>
      </c>
      <c r="CD148">
        <f>IF(F148=1,BZ148,0)</f>
        <v>0</v>
      </c>
      <c r="CE148">
        <f>VLOOKUP(E148,Afgr,Data!$AM$3)</f>
        <v>0</v>
      </c>
      <c r="CF148">
        <f>IF(Mark!BR148&lt;&gt;"",Mark!BR148,CE148)</f>
        <v>0</v>
      </c>
      <c r="CG148">
        <f>CC148*CF148</f>
        <v>0</v>
      </c>
      <c r="CH148">
        <f>CD148*CF148</f>
        <v>0</v>
      </c>
      <c r="CJ148">
        <f>VLOOKUP($G148,Efgr,NnormKolonneEfgr4)</f>
        <v>0</v>
      </c>
      <c r="CK148">
        <f>CJ148*M148</f>
        <v>0</v>
      </c>
      <c r="CL148">
        <f>CJ148*Nniveau34*0.01</f>
        <v>0</v>
      </c>
      <c r="CM148" s="3">
        <f>IF(Mark!DM148&lt;&gt;"",Mark!DM148,CL148)</f>
        <v>0</v>
      </c>
      <c r="CN148" s="3">
        <f>$CM148*$M148</f>
        <v>0</v>
      </c>
      <c r="CP148">
        <f>IF(CS148&gt;0,0,CN148)</f>
        <v>0</v>
      </c>
      <c r="CQ148" s="12">
        <f>IF(ISERROR(CN148*HdgNTilFordeling34/NnormIaltFordel34),0,CN148*HdgNTilFordeling34/NnormIaltFordel34)</f>
        <v>0</v>
      </c>
      <c r="CR148">
        <f>IF(ISERROR($CQ148/$M148),0,$CQ148/$M148)</f>
        <v>0</v>
      </c>
      <c r="CS148">
        <f>IF(Mark!DS148&lt;&gt;"",Mark!DS148,0)</f>
        <v>0</v>
      </c>
      <c r="CT148">
        <f>$CS148*$M148</f>
        <v>0</v>
      </c>
      <c r="CU148" s="3">
        <f>IF($CS148&gt;0,$CS148,$CR148)</f>
        <v>0</v>
      </c>
      <c r="CV148" s="3">
        <f>CU148*M148</f>
        <v>0</v>
      </c>
      <c r="CX148">
        <f>UdnKrav*$CU148/100</f>
        <v>0</v>
      </c>
      <c r="CZ148">
        <f>$CU148*VLOOKUP($G148,Efgr,Data!$BG$53)</f>
        <v>0</v>
      </c>
      <c r="DA148">
        <f>UdnKrav*$CZ148/100</f>
        <v>0</v>
      </c>
      <c r="DC148">
        <f>VLOOKUP(G148,Efgr,NormudbKolonneNrEfgr4)</f>
        <v>0</v>
      </c>
      <c r="DD148" s="3">
        <f>IF(Mark!DC148&lt;&gt;"",Mark!DC148,DC148)</f>
        <v>0</v>
      </c>
      <c r="DE148">
        <f>DD148*M148</f>
        <v>0</v>
      </c>
      <c r="DF148" t="s">
        <v>37</v>
      </c>
      <c r="DG148">
        <f>DD148*Efterslaetpris</f>
        <v>0</v>
      </c>
      <c r="DH148">
        <f>DE148*Efterslaetpris</f>
        <v>0</v>
      </c>
      <c r="DI148">
        <f>VLOOKUP(G148,Efgr,Data!$AG$53)</f>
        <v>0</v>
      </c>
      <c r="DJ148">
        <f>DD148*DI148</f>
        <v>0</v>
      </c>
      <c r="DL148">
        <f>VLOOKUP($E148,Afgr,Data!$AW$3)</f>
        <v>0</v>
      </c>
      <c r="DM148">
        <f>IF(BK148="FE",$BI148*$BL148*$DL148*0.01,$BI148*100*$DR148*0.01*$DL148*0.01)</f>
        <v>0</v>
      </c>
      <c r="DN148">
        <f>IF(VLOOKUP(E148,Afgr,Data!$BO$3)=1,DM148,0)*M148</f>
        <v>0</v>
      </c>
      <c r="DO148" s="12">
        <f>IF(Nmodel34=1,(V148-S148)*VLOOKUP($E148,Afgr,Data!$AX$3),(AO148-S148)*VLOOKUP(E148,Afgr,Data!$AX$3))</f>
        <v>0</v>
      </c>
      <c r="DP148">
        <f>DL148+DO148</f>
        <v>0</v>
      </c>
      <c r="DQ148">
        <f>IF(Mark!AQ148&lt;&gt;"",Mark!AQ148,DP148)</f>
        <v>0</v>
      </c>
      <c r="DR148">
        <f>VLOOKUP(E148,Afgr,Data!$AT$3)</f>
        <v>0</v>
      </c>
      <c r="DS148">
        <f>IF($BK148="FE",$BI148*$BL148*$DQ148*0.01,$BI148*100*$DR148*0.01*DQ148*0.01)</f>
        <v>0</v>
      </c>
      <c r="DT148">
        <f>IF(VLOOKUP(E148,Afgr,Data!$BO$3)=1,DS148,0)*M148</f>
        <v>0</v>
      </c>
      <c r="DU148">
        <f>IF(ISERROR(DS148/VLOOKUP(E148,Afgr,Data!$AY$3)),0,DS148/VLOOKUP(E148,Afgr,Data!$AY$3))</f>
        <v>0</v>
      </c>
      <c r="DV148">
        <f>DU148*M148</f>
        <v>0</v>
      </c>
      <c r="DX148">
        <f>IF($BK148="FE",$BI148*$BL148*VLOOKUP($E148,Afgr,Data!$BC$3)*0.001,$BI148*100*$DR148*0.01*VLOOKUP($E148,Afgr,Data!$BC$3)*0.001)</f>
        <v>0</v>
      </c>
      <c r="DY148">
        <f>DX148*M148</f>
        <v>0</v>
      </c>
      <c r="EA148">
        <f>IF($BK148="FE",$BI148*$BL148*VLOOKUP($E148,Afgr,Data!$BF$3)*0.001,$BI148*100*$DR148*0.01*VLOOKUP($E148,Afgr,Data!$BF$3)*0.001)</f>
        <v>0</v>
      </c>
      <c r="EB148">
        <f>EA148*M148</f>
        <v>0</v>
      </c>
      <c r="ED148">
        <f>IF(ISERROR(VLOOKUP(E148,Afgr,Data!$AZ$3)*DQ148/DL148),0,VLOOKUP(E148,Afgr,Data!$AZ$3)*DQ148/DL148)</f>
        <v>0</v>
      </c>
      <c r="EE148">
        <f>VLOOKUP(E148,Afgr,Data!$AU$3)</f>
        <v>0</v>
      </c>
      <c r="EF148">
        <f>IF($F148=1,$BY148*$EE148*0.01*ED148*0.01,0)</f>
        <v>0</v>
      </c>
      <c r="EG148">
        <f>EF148/6.25</f>
        <v>0</v>
      </c>
      <c r="EH148">
        <f>EG148*M148</f>
        <v>0</v>
      </c>
      <c r="EJ148">
        <f>IF($F148=1,$BY148*$EE148*0.01*VLOOKUP($E148,Afgr,Data!$BD$3)*0.001,0)</f>
        <v>0</v>
      </c>
      <c r="EK148">
        <f>EJ148*M148</f>
        <v>0</v>
      </c>
      <c r="EM148">
        <f>IF($F148=1,$BY148*$EE148*0.01*VLOOKUP($E148,Afgr,Data!$BG$3)*0.001,0)</f>
        <v>0</v>
      </c>
      <c r="EN148">
        <f>EM148*M148</f>
        <v>0</v>
      </c>
      <c r="EP148">
        <f>VLOOKUP(G148,Efgr,Data!$AI$53)</f>
        <v>0</v>
      </c>
      <c r="EQ148">
        <f>DJ148*EP148*0.01/6.25</f>
        <v>0</v>
      </c>
      <c r="ER148">
        <f>EQ148*M148</f>
        <v>0</v>
      </c>
      <c r="ET148">
        <f>$DJ148*VLOOKUP($G148,Efgr,Data!$AJ$53)*0.001</f>
        <v>0</v>
      </c>
      <c r="EU148">
        <f>ET148*M148</f>
        <v>0</v>
      </c>
      <c r="EW148">
        <f>$DJ148*VLOOKUP($G148,Efgr,Data!$AK$53)*0.001</f>
        <v>0</v>
      </c>
      <c r="EX148">
        <f>EW148*M148</f>
        <v>0</v>
      </c>
      <c r="EZ148">
        <f>IF(VLOOKUP(E148,Afgr,Data!$DS$3)=1,DU148*VLOOKUP(E148,Afgr,(Data!$DT$3+EftervirkningUdb4))*VLOOKUP(E148,Afgr,Data!$DV$3),0)</f>
        <v>0</v>
      </c>
      <c r="FA148">
        <f>IF(VLOOKUP(E148,Afgr,Data!$DS$3)=2,VLOOKUP(E148,Afgr,Data!$DX$3),0)</f>
        <v>0</v>
      </c>
      <c r="FB148">
        <f>IF(VLOOKUP(E148,Afgr,Data!$DS$3)=3,$DU148*VLOOKUP($E148,Afgr,IF(Jordtype4&lt;5,Data!$DT$3,Data!$DU$3))*VLOOKUP($E148,Afgr,Data!$DV$3),0)</f>
        <v>0</v>
      </c>
      <c r="FC148">
        <f>IF(VLOOKUP(E148,Afgr,Data!$DS$3)=4,(1.232+0.00469*BI148*100+(0.000256*BI148*100+0.089)*60),0)</f>
        <v>0</v>
      </c>
      <c r="FD148">
        <f>$V148+IF($AY148-$BB148&gt;$V148,$AY148-$V148,0)-$BB148</f>
        <v>0</v>
      </c>
      <c r="FE148">
        <f>IF(VLOOKUP($E148,Afgr,Data!$DS$3)=5,($BI148*0.02742-$BI148*0.0001*$FD148+$BI148*0.0000001111*$FD148*$FD148),0)</f>
        <v>0</v>
      </c>
      <c r="FF148">
        <f>$CM148+IF($CX148-$DA148&gt;$CM148,$CX148-$CM148,0)-$DA148</f>
        <v>0</v>
      </c>
      <c r="FG148">
        <f>IF(VLOOKUP($G148,Efgr,Data!$BH$53)=5,($DD148*0.02742-$DD148*0.0001*$FF148+$DD148*0.0000001111*$FF148*$FF148),0)</f>
        <v>0</v>
      </c>
      <c r="FH148" s="3">
        <f>EZ148+FA148+FB148+FC148+FE148+FG148</f>
        <v>0</v>
      </c>
      <c r="FI148" s="3">
        <f>FH148*M148</f>
        <v>0</v>
      </c>
      <c r="FK148">
        <f>$V148+$CM148</f>
        <v>0</v>
      </c>
      <c r="FL148">
        <f>($AV148-$AY148)+IF($AY148&gt;$V148,$AY148-$V148,0)+($CU148-$CX148)+IF($CX148&gt;$CM148,$CX148-$CM148,0)</f>
        <v>0</v>
      </c>
      <c r="FM148">
        <f>VLOOKUP($E148,Afgr,Data!$DK$3)*VLOOKUP($E148,Afgr,Data!$AT$3)*0.01*VLOOKUP($E148,Afgr,Data!$AW$3)*0.01/6.25</f>
        <v>0</v>
      </c>
      <c r="FN148" s="4">
        <f>IF(E148&gt;1,Deposition,0)</f>
        <v>0</v>
      </c>
      <c r="FO148">
        <f>FH148</f>
        <v>0</v>
      </c>
      <c r="FP148">
        <f>SUM(FK148:FO148)</f>
        <v>0</v>
      </c>
      <c r="FQ148">
        <f>DU148+EG148+EQ148</f>
        <v>0</v>
      </c>
      <c r="FR148" s="3">
        <f>FP148-FQ148</f>
        <v>0</v>
      </c>
      <c r="FS148" s="19">
        <f>FP148*M148</f>
        <v>0</v>
      </c>
      <c r="FT148" s="19">
        <f>FQ148*M148</f>
        <v>0</v>
      </c>
      <c r="FU148" s="3">
        <f>FR148*M148</f>
        <v>0</v>
      </c>
      <c r="FW148">
        <f>IL148+IM148+LP148+LQ148</f>
        <v>0</v>
      </c>
      <c r="FX148">
        <f>IK148+LO148</f>
        <v>0</v>
      </c>
      <c r="FY148">
        <f>FW148-FX148</f>
        <v>0</v>
      </c>
      <c r="FZ148">
        <f>FY148*M148</f>
        <v>0</v>
      </c>
      <c r="GB148">
        <f>IS148+IT148+LV148+LW148</f>
        <v>0</v>
      </c>
      <c r="GC148">
        <f>IR148+LU148</f>
        <v>0</v>
      </c>
      <c r="GD148">
        <f>GB148-GC148</f>
        <v>0</v>
      </c>
      <c r="GE148">
        <f>GD148*M148</f>
        <v>0</v>
      </c>
      <c r="GG148" s="149">
        <f>IF(OR(VLOOKUP(E148,Afgr,Data!$BV$3)=1,VLOOKUP(E148,Afgr,Data!$BW$3)=1),0,NniveauDelsaedsk4)</f>
        <v>0</v>
      </c>
      <c r="GH148" s="1">
        <v>0.32550000000000001</v>
      </c>
      <c r="GI148" s="6">
        <v>0</v>
      </c>
      <c r="GJ148" s="24">
        <f>IF(($V148-BB148+$CM148-DA148)&lt;0,0,$V148-BB148+$CM148-DA148)</f>
        <v>0</v>
      </c>
      <c r="GK148" s="6">
        <f>$FO148</f>
        <v>0</v>
      </c>
      <c r="GL148" s="1">
        <v>0.25280000000000002</v>
      </c>
      <c r="GM148">
        <f>$BA148+$CZ148</f>
        <v>0</v>
      </c>
      <c r="GN148" s="1">
        <v>0.376</v>
      </c>
      <c r="GO148" s="6">
        <v>0</v>
      </c>
      <c r="GP148" s="1">
        <f>IF(SandLer4&gt;1,0.3539,1.0749)</f>
        <v>0.35389999999999999</v>
      </c>
      <c r="GQ148" s="11">
        <f>$FQ148</f>
        <v>0</v>
      </c>
      <c r="GR148" s="1">
        <v>0.19359999999999999</v>
      </c>
      <c r="GS148" s="1">
        <f>VLOOKUP($E148,Afgr,Data!$DM$3)</f>
        <v>0</v>
      </c>
      <c r="GT148" s="24">
        <f>IF($GS148&gt;1,0,(VLOOKUP($K148,Afgr,Data!$DP$3)+IF(VLOOKUP($K148,Afgr,Data!$DP$3)=0,VLOOKUP($G148,Efgr,Data!$BI$53,0))))+IF(AND($GS148=7,VLOOKUP($K148,Afgr,Data!$DQ$3)=-2),-2,0)+IF(AND($GS148=6,VLOOKUP($G148,Efgr,Data!$BI$53)=2),8,0)</f>
        <v>0</v>
      </c>
      <c r="GU148" s="6" t="e">
        <f>VLOOKUP(SUM(GS148:GT148),Nlesafgr,3)</f>
        <v>#N/A</v>
      </c>
      <c r="GV148" s="7">
        <f>VLOOKUP($B148,Afgr,Data!$DN$3)</f>
        <v>0</v>
      </c>
      <c r="GW148" s="24">
        <f>IF(GV148&gt;1,0,VLOOKUP($E148,Afgr,Data!$DO$3)+IF(VLOOKUP($E148,Afgr,Data!$DO$3)=1,0,VLOOKUP($C148,Efgr,Data!$BJ$53)))</f>
        <v>0</v>
      </c>
      <c r="GX148" s="6" t="e">
        <f>VLOOKUP(SUM(GV148:GW148),Nlesforfrugt,3)</f>
        <v>#N/A</v>
      </c>
      <c r="GY148" s="1" t="e">
        <f>GH148*GG148+GL148*(GJ148+GK148)+GN148*GM148+GP148*GO148-GR148*GQ148+GU148+GX148</f>
        <v>#N/A</v>
      </c>
      <c r="GZ148" s="1">
        <f>Nlesafskaering</f>
        <v>59.6</v>
      </c>
      <c r="HA148" s="1">
        <f>Teknologi1</f>
        <v>2455</v>
      </c>
      <c r="HB148" s="6">
        <v>2001</v>
      </c>
      <c r="HC148" s="1">
        <f>Teknologi2</f>
        <v>1962.2</v>
      </c>
      <c r="HD148" s="1">
        <f>Tandel</f>
        <v>0.54659999999999997</v>
      </c>
      <c r="HE148" s="1" t="e">
        <f>IF(OR(GY148&gt;0,GY148=0),GZ148+HA148/(HB148-HC148),GZ148+HA148/(HB148-HC148)+HD148*GY148)</f>
        <v>#N/A</v>
      </c>
      <c r="HF148" s="1" t="e">
        <f>IF(GY148&gt;0,GY148,0.001)</f>
        <v>#N/A</v>
      </c>
      <c r="HG148" s="1">
        <v>1.5020000000000001E-3</v>
      </c>
      <c r="HH148" s="24">
        <f>IF(E148=1,0,VLOOKUP(Postnr,AfstromData,VLOOKUP($E148,Afgr,Data!$DL$3)+IF(Jordtype1&lt;7,Jordtype1,6),FALSE)-VLOOKUP(G148,Efgr,Data!$AA$53))</f>
        <v>0</v>
      </c>
      <c r="HI148" s="1">
        <v>5.5400000000000002E-4</v>
      </c>
      <c r="HJ148" s="24">
        <f>IF(E148=1,0,VLOOKUP(Postnr,AfstromData,VLOOKUP($B148,Afgr,Data!$DL$3)+IF(Jordtype1&lt;7,Jordtype1,6),FALSE)-VLOOKUP(C148,Efgr,Data!$AA$53))</f>
        <v>0</v>
      </c>
      <c r="HK148" s="1">
        <v>0.10639999999999999</v>
      </c>
      <c r="HL148" s="6">
        <f>VLOOKUP(Jordtype4,Jordtype,Data!$W$112)</f>
        <v>3</v>
      </c>
      <c r="HM148" s="1">
        <v>3.2500000000000001E-2</v>
      </c>
      <c r="HN148" s="6">
        <f>VLOOKUP(Jordtype4,Jordtype,Data!$X$112)</f>
        <v>12</v>
      </c>
      <c r="HO148" s="1">
        <v>1.2453000000000001</v>
      </c>
      <c r="HP148" s="1">
        <f>IF(VLOOKUP(G148,Efgr,Data!$AO$53)=1,MlafgrNUdvask,0)</f>
        <v>0</v>
      </c>
      <c r="HQ148" s="20">
        <f>IF(ISERROR((HE148+POWER(HF148,1.2))*(1-EXP(-HG148*HH148))*EXP(-HI148*HJ148)*EXP(-HK148*HL148)*EXP(-HM148*HN148)*HO148),0,(HE148+POWER(HF148,1.2))*(1-EXP(-HG148*HH148))*EXP(-HI148*HJ148)*EXP(-HK148*HL148)*EXP(-HM148*HN148)*HO148+HP148)</f>
        <v>0</v>
      </c>
      <c r="HR148">
        <f>HQ148*M148</f>
        <v>0</v>
      </c>
      <c r="HS148">
        <f>HQ148*(100-Retention4)*0.01</f>
        <v>0</v>
      </c>
      <c r="HT148">
        <f>HS148*M148</f>
        <v>0</v>
      </c>
      <c r="HU148" s="2">
        <f>HH148*10000</f>
        <v>0</v>
      </c>
      <c r="HV148" s="2">
        <f>HU148*M148</f>
        <v>0</v>
      </c>
      <c r="HW148">
        <f>IF(ISERROR(HQ148*1000*1000/HU148),0,HQ148*1000*1000/HU148)</f>
        <v>0</v>
      </c>
      <c r="HY148">
        <f>BP148+BT148+CG148+DG148</f>
        <v>0</v>
      </c>
      <c r="IB148">
        <f>VLOOKUP(E148,Afgr,Data!$AP$3)*UdsaedJust</f>
        <v>0</v>
      </c>
      <c r="IC148" s="3">
        <f>IF(Mark!EG148&lt;&gt;"",Mark!EG148,Regn!IB148)</f>
        <v>0</v>
      </c>
      <c r="ID148" s="3">
        <f>IC148*M148</f>
        <v>0</v>
      </c>
      <c r="IF148" s="3">
        <f>IF(HdgVaerdi=1,($V148-$AY148)*Npris,$V148*Npris)</f>
        <v>0</v>
      </c>
      <c r="IG148" s="3">
        <f>IF148*M148</f>
        <v>0</v>
      </c>
      <c r="II148">
        <f>VLOOKUP($E148,Afgr,Data!$BA$3)</f>
        <v>0</v>
      </c>
      <c r="IJ148">
        <f>VLOOKUP($E148,Afgr,Data!$BB$3)</f>
        <v>0</v>
      </c>
      <c r="IK148">
        <f>$DX148+$EJ148</f>
        <v>0</v>
      </c>
      <c r="IL148">
        <f>IF(HdgDyreart=2,$AV148*NPforholdSvin,$AV148*NPforholdKvaeg)</f>
        <v>0</v>
      </c>
      <c r="IM148">
        <f>II148+IF($IJ148+$IK148&gt;$IL148,($IJ148+$IK148-$IL148),0)</f>
        <v>0</v>
      </c>
      <c r="IN148" s="3">
        <f>IF(HdgVaerdi=1,($II148*Ppris+IF($IJ148+$IK148&gt;$IL148,($IJ148+$IK148-$IL148)*Ppris,0)),($II148+$IJ148+$IK148)*Ppris)</f>
        <v>0</v>
      </c>
      <c r="IO148" s="3">
        <f>IN148*M148</f>
        <v>0</v>
      </c>
      <c r="IQ148">
        <f>IF(AND(E148&gt;1,OR(Jordtype4=1,Jordtype4=3,Markvand4=2)),Kudvask,0)</f>
        <v>0</v>
      </c>
      <c r="IR148">
        <f>$EA148+$EM148</f>
        <v>0</v>
      </c>
      <c r="IS148">
        <f>IF(HdgDyreart=2,$AV148*NKforholdSvin,$AV148*NkforholdKvaeg)</f>
        <v>0</v>
      </c>
      <c r="IT148">
        <f>IF($IQ148+$IR148&gt;$IS148,($IQ148+$IR148-$IS148),0)</f>
        <v>0</v>
      </c>
      <c r="IU148" s="3">
        <f>IF(HdgVaerdi=1,IF($IQ148+$IR148&gt;$IS148,($IQ148+$IR148-$IS148)*Kpris,0),($IQ148+$IR148)*Kpris)</f>
        <v>0</v>
      </c>
      <c r="IV148" s="3">
        <f>IU148*M148</f>
        <v>0</v>
      </c>
      <c r="IX148">
        <f>IF148+IN148+IU148</f>
        <v>0</v>
      </c>
      <c r="IY148" s="3">
        <f>IF(Mark!EM148&lt;&gt;"",Mark!EM148,$IX148)</f>
        <v>0</v>
      </c>
      <c r="IZ148" s="3">
        <f>IY148*M148</f>
        <v>0</v>
      </c>
      <c r="JB148">
        <f>VLOOKUP(E148,Afgr,Data!$AQ$3)*PlantevJust</f>
        <v>0</v>
      </c>
      <c r="JC148" s="3">
        <f>IF(Mark!ES148&lt;&gt;"",Mark!ES148,JB148)</f>
        <v>0</v>
      </c>
      <c r="JD148" s="3">
        <f>JC148*M148</f>
        <v>0</v>
      </c>
      <c r="JF148">
        <f>VLOOKUP(E148,Afgr,Data!$AR$3)+BI148*VLOOKUP(E148,Afgr,Data!$BH$3)</f>
        <v>0</v>
      </c>
      <c r="JG148" s="3">
        <f>IF(Mark!EY148&lt;&gt;"",Mark!EY148,JF148)</f>
        <v>0</v>
      </c>
      <c r="JH148">
        <f>JG148*M148</f>
        <v>0</v>
      </c>
      <c r="JJ148">
        <f>IC148+IY148+JC148+JG148</f>
        <v>0</v>
      </c>
      <c r="JL148">
        <f>IF(VLOOKUP(E148,Afgr,Data!$BY$3)&gt;0,Data!$K$259*PlojJB4,0)</f>
        <v>0</v>
      </c>
      <c r="JM148">
        <f>IF(VLOOKUP(E148,Afgr,Data!$BZ$3)&gt;0,Data!$K$260*PlojJB4,0)</f>
        <v>0</v>
      </c>
      <c r="JN148">
        <f>(JL148+JM148)*MaskJust</f>
        <v>0</v>
      </c>
      <c r="JO148" s="3">
        <f>IF(Mark!FE148&lt;&gt;"",Mark!FE148,JN148)</f>
        <v>0</v>
      </c>
      <c r="JP148" s="3">
        <f>JO148*M148</f>
        <v>0</v>
      </c>
      <c r="JR148">
        <f>IF(VLOOKUP(E148,Afgr,Data!$CA$3)&gt;0,VLOOKUP(E148,Afgr,Data!$CA$3)*Data!$K$261*SaaJB4,0)</f>
        <v>0</v>
      </c>
      <c r="JS148">
        <f>IF(VLOOKUP(E148,Afgr,Data!$CC$3)&gt;0,Data!$K$262*SaaJB4,0)</f>
        <v>0</v>
      </c>
      <c r="JT148">
        <f>IF(VLOOKUP(E148,Afgr,Data!$CD$3)&gt;0,VLOOKUP(E148,Afgr,Data!$CD$3)*Data!$K$263*SaaJB4,0)</f>
        <v>0</v>
      </c>
      <c r="JU148">
        <f>IF(VLOOKUP(E148,Afgr,Data!$CE$3)&gt;0,Data!$K$264*SaaJB4,0)</f>
        <v>0</v>
      </c>
      <c r="JV148">
        <f>IF(VLOOKUP(E148,Afgr,Data!$CF$3)&gt;0,Data!$K$265*SaaJB4,0)</f>
        <v>0</v>
      </c>
      <c r="JW148">
        <f>IF(VLOOKUP(E148,Afgr,Data!$CV$3)&gt;0,Data!$K$266,0)</f>
        <v>0</v>
      </c>
      <c r="JX148">
        <f>IF(VLOOKUP(E148,Afgr,Data!$CG$3)&gt;0,Data!$K$267*SaaJB4,0)</f>
        <v>0</v>
      </c>
      <c r="JY148">
        <f>(JR148+JS148+JT148+JU148+JV148+JW148+JX148)*MaskJust</f>
        <v>0</v>
      </c>
      <c r="JZ148" s="3">
        <f>IF(Mark!FK148&lt;&gt;"",Mark!FK148,JY148)</f>
        <v>0</v>
      </c>
      <c r="KA148" s="3">
        <f>JZ148*M148</f>
        <v>0</v>
      </c>
      <c r="KC148">
        <f>IF(VLOOKUP(E148,Afgr,Data!$CJ$3)&gt;0,VLOOKUP(E148,Afgr,Data!$CJ$3)*Data!$K$268*SaaJB4,0)*MaskJust</f>
        <v>0</v>
      </c>
      <c r="KD148" s="3">
        <f>IF(Mark!FQ148&lt;&gt;"",Mark!FQ148,KC148)</f>
        <v>0</v>
      </c>
      <c r="KE148" s="3">
        <f>KD148*M148</f>
        <v>0</v>
      </c>
      <c r="KG148">
        <f>IF(VLOOKUP(E148,Afgr,Data!$CI$3)&gt;0,VLOOKUP(E148,Afgr,Data!$CI$3)*Data!$K$269,0)*MaskJust</f>
        <v>0</v>
      </c>
      <c r="KH148" s="3">
        <f>IF(Mark!FW148&lt;&gt;"",Mark!FW148,KG148)</f>
        <v>0</v>
      </c>
      <c r="KI148" s="3">
        <f>KH148*M148</f>
        <v>0</v>
      </c>
      <c r="KK148">
        <f>IF(Markvand4=2,VLOOKUP($E148,Afgr,Data!$CY$3),0)</f>
        <v>0</v>
      </c>
      <c r="KL148">
        <f>IF(Mark!GC148&lt;&gt;"",Mark!GC148,$KK148)</f>
        <v>0</v>
      </c>
      <c r="KM148">
        <f>IF(AND(E148&gt;1,Markvand4=2),Vandmaskin+$KL148*Flytning/mmprgang+$KL148*Prisprmm,0)</f>
        <v>0</v>
      </c>
      <c r="KN148" s="3">
        <f>IF(Mark!GI148&lt;&gt;"",Mark!GI148,$KM148)</f>
        <v>0</v>
      </c>
      <c r="KO148" s="3">
        <f>KN148*M148</f>
        <v>0</v>
      </c>
      <c r="KQ148">
        <f>IF(VLOOKUP($E148,Afgr,Data!$CK$3)&gt;0,((1+Regn!$BI148/VLOOKUP($E148,Afgr,Data!$CK$3))/2)*VLOOKUP($E148,Afgr,Data!$CL$3)*VLOOKUP($E148,Afgr,Data!$CN$3)+VLOOKUP($E148,Afgr,Data!$CM$3),0)</f>
        <v>0</v>
      </c>
      <c r="KR148">
        <f>IF(VLOOKUP($E148,Afgr,Data!$CK$3)&gt;0,IF(AND($F148=2,$BW148&gt;0),Data!$K$271,0),0)</f>
        <v>0</v>
      </c>
      <c r="KS148">
        <f>IF(VLOOKUP($E148,Afgr,Data!$CK$3)&gt;0,(Regn!$BI148/VLOOKUP($E148,Afgr,Data!$CK$3))*VLOOKUP($E148,Afgr,Data!$CO$3)*VLOOKUP($E148,Afgr,Data!$CN$3),0)</f>
        <v>0</v>
      </c>
      <c r="KT148">
        <f>(KQ148+KR148+KS148)*MaskJust</f>
        <v>0</v>
      </c>
      <c r="KU148" s="3">
        <f>IF(Mark!GO148&lt;&gt;"",Mark!GO148,KT148)</f>
        <v>0</v>
      </c>
      <c r="KV148" s="3">
        <f>KU148*M148</f>
        <v>0</v>
      </c>
      <c r="KW148" s="3"/>
      <c r="KX148">
        <f>IF(AND($F148=1,VLOOKUP($E148,Afgr,Data!$CP$3)&gt;0),((1+$BY148/VLOOKUP($E148,Afgr,Data!$CP$3))/2)*VLOOKUP($E148,Afgr,Data!$CQ$3),0)</f>
        <v>0</v>
      </c>
      <c r="KY148">
        <f>IF(AND($F148=1,VLOOKUP($E148,Afgr,Data!$CP$3)&gt;0),($BY148/VLOOKUP($E148,Afgr,Data!$CP$3))*VLOOKUP($E148,Afgr,Data!$CR$3),0)</f>
        <v>0</v>
      </c>
      <c r="KZ148">
        <f>(KX148+KY148)*MaskJust</f>
        <v>0</v>
      </c>
      <c r="LA148" s="3">
        <f>IF(Mark!GU148&lt;&gt;"",Mark!GU148,KZ148)</f>
        <v>0</v>
      </c>
      <c r="LB148" s="3">
        <f>LA148*M148</f>
        <v>0</v>
      </c>
      <c r="LD148">
        <f>$BI148*VLOOKUP($E148,Afgr,Data!$CS$3)*IF($I148=1,VLOOKUP($E148,Afgr,Data!$CT$3),IF($I148=2,VLOOKUP($E148,Afgr,Data!$CU$3),0))</f>
        <v>0</v>
      </c>
      <c r="LE148" s="3">
        <f>IF(Mark!HD148&lt;&gt;"",Mark!HD148,LD148)</f>
        <v>0</v>
      </c>
      <c r="LF148" s="3">
        <f>LE148*M148</f>
        <v>0</v>
      </c>
      <c r="LH148">
        <f>VLOOKUP($G148,Efgr,Data!$AC$53)*UdsaedJust</f>
        <v>0</v>
      </c>
      <c r="LI148" s="3">
        <f>IF(Mark!$HL148&lt;&gt;"",Mark!$HL148,LH148)</f>
        <v>0</v>
      </c>
      <c r="LJ148" s="3">
        <f>LI148*M148</f>
        <v>0</v>
      </c>
      <c r="LL148" s="3">
        <f>IF(HdgVaerdi=1,($CM148-$CX148)*Npris,$CM148*Npris)</f>
        <v>0</v>
      </c>
      <c r="LM148" s="3">
        <f>LL148*M148</f>
        <v>0</v>
      </c>
      <c r="LO148">
        <f>$ET148</f>
        <v>0</v>
      </c>
      <c r="LP148">
        <f>IF(HdgDyreart=2,$CU148*NPforholdSvin,$CU148*NPforholdKvaeg)</f>
        <v>0</v>
      </c>
      <c r="LQ148">
        <f>IF($LO148&gt;$LP148,($LO148-$LP148),0)</f>
        <v>0</v>
      </c>
      <c r="LR148" s="3">
        <f>IF(HdgVaerdi=1,IF($LO148&gt;$LP148,($LO148-$LP148)*Ppris,0),$LO148*Ppris)</f>
        <v>0</v>
      </c>
      <c r="LS148" s="3">
        <f>LR148*M148</f>
        <v>0</v>
      </c>
      <c r="LU148">
        <f>$EW148</f>
        <v>0</v>
      </c>
      <c r="LV148">
        <f>IF(HdgDyreart=2,$CU148*NKforholdSvin,$CU148*NkforholdKvaeg)</f>
        <v>0</v>
      </c>
      <c r="LW148">
        <f>IF($LU148&gt;$LV148,($LU148-$LV148),0)</f>
        <v>0</v>
      </c>
      <c r="LX148" s="3">
        <f>IF(HdgVaerdi=1,IF($LU148&gt;$LV148,($LU148-$LV148)*Ppris,0),$LU148*Ppris)</f>
        <v>0</v>
      </c>
      <c r="LY148" s="3">
        <f>LX148*M148</f>
        <v>0</v>
      </c>
      <c r="MA148">
        <f>LL148+LR148+LX148</f>
        <v>0</v>
      </c>
      <c r="MB148" s="3">
        <f>IF(Mark!HR148&lt;&gt;"",Mark!HR148,$MA148)</f>
        <v>0</v>
      </c>
      <c r="MC148" s="3">
        <f>MB148*M148</f>
        <v>0</v>
      </c>
      <c r="ME148">
        <f>VLOOKUP($G148,Efgr,Data!$AE$53)*PlantevJust</f>
        <v>0</v>
      </c>
      <c r="MF148" s="3">
        <f>IF(Mark!HX148&lt;&gt;"",Mark!HX148,ME148)</f>
        <v>0</v>
      </c>
      <c r="MG148" s="3">
        <f>MF148*M148</f>
        <v>0</v>
      </c>
      <c r="MI148">
        <f>VLOOKUP($G148,Efgr,Data!$AF$53)+$DD148*VLOOKUP($G148,Efgr,Data!$AL$53)</f>
        <v>0</v>
      </c>
      <c r="MJ148" s="3">
        <f>IF(Mark!ID148&lt;&gt;"",Mark!ID148,MI148)</f>
        <v>0</v>
      </c>
      <c r="MK148" s="3">
        <f>MJ148*M148</f>
        <v>0</v>
      </c>
      <c r="MM148">
        <f>LI148+MB148+MF148+MJ148</f>
        <v>0</v>
      </c>
      <c r="MO148">
        <f>VLOOKUP($G148,Efgr,Data!$AU$53)*SaaJB4*MaskJust</f>
        <v>0</v>
      </c>
      <c r="MP148" s="3">
        <f>IF(Mark!IJ148&lt;&gt;"",Mark!IJ148,MO148)</f>
        <v>0</v>
      </c>
      <c r="MQ148" s="3">
        <f>MP148*M148</f>
        <v>0</v>
      </c>
      <c r="MS148">
        <f>VLOOKUP($G148,Efgr,Data!$AW$53)*Data!$K$268*SaaJB4*MaskJust</f>
        <v>0</v>
      </c>
      <c r="MT148" s="3">
        <f>IF(Mark!IP148&lt;&gt;"",Mark!IP148,MS148)</f>
        <v>0</v>
      </c>
      <c r="MU148" s="3">
        <f>MT148*M148</f>
        <v>0</v>
      </c>
      <c r="MW148">
        <f>VLOOKUP($G148,Efgr,Data!$AV$53)*Data!$K$269*MaskJust</f>
        <v>0</v>
      </c>
      <c r="MX148" s="3">
        <f>IF(Mark!IV148&lt;&gt;"",Mark!IV148,MW148)</f>
        <v>0</v>
      </c>
      <c r="MY148" s="3">
        <f>MX148*M148</f>
        <v>0</v>
      </c>
      <c r="NA148">
        <f>IF(Markvand4=2,VLOOKUP($G148,Efgr,Data!$BC$53),0)</f>
        <v>0</v>
      </c>
      <c r="NB148">
        <f>IF(Mark!JB148&lt;&gt;"",Mark!JB148,$NA148)</f>
        <v>0</v>
      </c>
      <c r="NC148">
        <f>IF(Markvand4=2,$NB148*Flytning/mmprgang+$NB148*Prisprmm,0)</f>
        <v>0</v>
      </c>
      <c r="ND148" s="3">
        <f>IF(Mark!JH148&lt;&gt;"",Mark!JH148,$NC148)</f>
        <v>0</v>
      </c>
      <c r="NE148" s="3">
        <f>ND148*M148</f>
        <v>0</v>
      </c>
      <c r="NG148">
        <f>IF(VLOOKUP($G148,Efgr,Data!$AX$53)&gt;0,((1+Regn!DD148/VLOOKUP($G148,Efgr,Data!$AX$53))/2)*VLOOKUP($G148,Efgr,Data!$AY$53)*VLOOKUP($G148,Efgr,Data!$BA$53)+VLOOKUP($G148,Efgr,Data!$AZ$53),0)</f>
        <v>0</v>
      </c>
      <c r="NH148">
        <f>IF(VLOOKUP($G148,Efgr,Data!$AX$53)&gt;0,($DD148/VLOOKUP($G148,Efgr,Data!$AX$53))*VLOOKUP($G148,Efgr,Data!$BB$53)*VLOOKUP($G148,Efgr,Data!$BA$53),0)</f>
        <v>0</v>
      </c>
      <c r="NI148">
        <f>(NG148+NH148)*MaskJust</f>
        <v>0</v>
      </c>
      <c r="NJ148" s="3">
        <f>IF(Mark!JN148&lt;&gt;"",Mark!JN148,NI148)</f>
        <v>0</v>
      </c>
      <c r="NK148" s="3">
        <f>NJ148*M148</f>
        <v>0</v>
      </c>
      <c r="NM148">
        <f>IF($H148=2,Data!$K$304,IF($H148=3,Data!$K$305,0))*MaskJust</f>
        <v>0</v>
      </c>
      <c r="NN148" s="3">
        <f>IF(Mark!JT148&lt;&gt;"",Mark!JT148,NM148)</f>
        <v>0</v>
      </c>
      <c r="NO148" s="3">
        <f>NN148*M148</f>
        <v>0</v>
      </c>
      <c r="NQ148">
        <f>HY148</f>
        <v>0</v>
      </c>
      <c r="NR148">
        <f>JJ148+MM148</f>
        <v>0</v>
      </c>
      <c r="NS148">
        <f>NQ148-NR148</f>
        <v>0</v>
      </c>
      <c r="NT148">
        <f>NS148*M148</f>
        <v>0</v>
      </c>
      <c r="NW148">
        <f>VLOOKUP($B148,Afgr,Data!$BP$3)+VLOOKUP($C148,Efgr,Data!$AM$53)</f>
        <v>0</v>
      </c>
      <c r="NX148" s="3">
        <f>NW148*M148</f>
        <v>0</v>
      </c>
      <c r="NY148">
        <f>VLOOKUP($E148,Afgr,Data!$BP$3)+VLOOKUP($G148,Efgr,Data!$AM$53)</f>
        <v>0</v>
      </c>
      <c r="NZ148" s="3">
        <f>NY148*M148</f>
        <v>0</v>
      </c>
      <c r="OB148">
        <f>VLOOKUP($C148,Efgr,Data!$AN$53)</f>
        <v>0</v>
      </c>
      <c r="OC148">
        <f>VLOOKUP($B148,Afgr,Data!$BQ$3)</f>
        <v>0</v>
      </c>
      <c r="OD148">
        <f>VLOOKUP($E148,Afgr,Data!$BR$3)</f>
        <v>1</v>
      </c>
      <c r="OE148">
        <f>OB148*OC148*OD148</f>
        <v>0</v>
      </c>
      <c r="OF148" s="3">
        <f>OE148*M148</f>
        <v>0</v>
      </c>
      <c r="OG148" s="3">
        <f>IF(D148,1,0)*OF148</f>
        <v>0</v>
      </c>
      <c r="OI148">
        <f>VLOOKUP($G148,Efgr,Data!$AN$53)</f>
        <v>0</v>
      </c>
      <c r="OJ148">
        <f>VLOOKUP($E148,Afgr,Data!$BQ$3)</f>
        <v>0</v>
      </c>
      <c r="OK148">
        <f>VLOOKUP($K148,Afgr,Data!$BR$3)</f>
        <v>1</v>
      </c>
      <c r="OL148">
        <f>OI148*OJ148*OK148</f>
        <v>0</v>
      </c>
      <c r="OM148" s="3">
        <f>OL148*M148</f>
        <v>0</v>
      </c>
      <c r="OO148">
        <f>VLOOKUP($G148,Efgr,Data!$AO$53)</f>
        <v>0</v>
      </c>
      <c r="OP148">
        <f>VLOOKUP($B148,Afgr,Data!$BQ$3)</f>
        <v>0</v>
      </c>
      <c r="OQ148">
        <f>VLOOKUP($E148,Afgr,Data!$BS$3)</f>
        <v>0</v>
      </c>
      <c r="OR148" s="3">
        <f>OO148*OP148*OQ148*$M148</f>
        <v>0</v>
      </c>
      <c r="OT148">
        <f>VLOOKUP($G148,Efgr,Data!$AO$53)</f>
        <v>0</v>
      </c>
      <c r="OU148">
        <f>VLOOKUP($E148,Afgr,Data!$BQ$3)</f>
        <v>0</v>
      </c>
      <c r="OV148">
        <f>VLOOKUP($K148,Afgr,Data!$BS$3)</f>
        <v>0</v>
      </c>
      <c r="OW148" s="3">
        <f>OT148*OU148*OV148*$M148</f>
        <v>0</v>
      </c>
      <c r="OX148" s="3"/>
      <c r="OY148" s="3">
        <f>VLOOKUP($B148,Afgr,Data!$BU$3)</f>
        <v>0</v>
      </c>
      <c r="OZ148" s="3">
        <f>OY148*M148</f>
        <v>0</v>
      </c>
      <c r="PA148" s="3">
        <f>VLOOKUP($E148,Afgr,Data!$BU$3)</f>
        <v>0</v>
      </c>
      <c r="PB148" s="3">
        <f>PA148*M148</f>
        <v>0</v>
      </c>
      <c r="PD148">
        <f>VLOOKUP(E148,Afgr,Data!$BX$3)+VLOOKUP(G148,Efgr,Data!$AQ$53)</f>
        <v>0</v>
      </c>
      <c r="PE148">
        <f>IF(PD148&gt;0,M148,0)</f>
        <v>0</v>
      </c>
      <c r="PG148">
        <f>VLOOKUP($B148,Afgr,Data!$BT$3)</f>
        <v>0</v>
      </c>
      <c r="PH148" s="3">
        <f>PG148*M148</f>
        <v>0</v>
      </c>
      <c r="PI148">
        <f>VLOOKUP($E148,Afgr,Data!$BT$3)</f>
        <v>0</v>
      </c>
      <c r="PJ148" s="3">
        <f>PI148*M148</f>
        <v>0</v>
      </c>
      <c r="PL148">
        <f>VLOOKUP($E148,Afgr,Data!$BV$3)</f>
        <v>0</v>
      </c>
      <c r="PM148">
        <f>PL148*M148</f>
        <v>0</v>
      </c>
      <c r="PO148">
        <f>VLOOKUP($E148,Afgr,Data!$BW$3)</f>
        <v>0</v>
      </c>
      <c r="PP148">
        <f>PO148*M148</f>
        <v>0</v>
      </c>
      <c r="PR148">
        <f>BI148*IF(VLOOKUP($E148,Afgr,Data!$BJ$3)&gt;0,1,0)</f>
        <v>0</v>
      </c>
      <c r="PS148">
        <f>PR148*M148</f>
        <v>0</v>
      </c>
      <c r="PU148">
        <f>BI148*VLOOKUP(E148,Afgr,Data!$BK$3)</f>
        <v>0</v>
      </c>
      <c r="PV148">
        <f>M148*PU148</f>
        <v>0</v>
      </c>
      <c r="PW148">
        <f>$BI148*VLOOKUP($E148,Afgr,Data!$BL$3)+$DD148*VLOOKUP($G148,Efgr,Data!$AP$53)</f>
        <v>0</v>
      </c>
      <c r="PX148">
        <f>PW148*M148</f>
        <v>0</v>
      </c>
      <c r="PY148">
        <f>$BI148*VLOOKUP($E148,Afgr,Data!$BM$3)</f>
        <v>0</v>
      </c>
      <c r="PZ148">
        <f>PY148*M148</f>
        <v>0</v>
      </c>
      <c r="QA148">
        <f>$BI148*VLOOKUP($E148,Afgr,Data!$BN$3)</f>
        <v>0</v>
      </c>
      <c r="QB148">
        <f>QA148*M148</f>
        <v>0</v>
      </c>
      <c r="QE148">
        <f>IF(VLOOKUP($E148,Afgr,Data!$DA$3)="Vårbyg",$BJ148,0)*VLOOKUP($E148,Afgr,Data!$BJ$3)</f>
        <v>0</v>
      </c>
      <c r="QF148">
        <f>IF(VLOOKUP($E148,Afgr,Data!$DA$3)="Vinterbyg",$BJ148,0)*VLOOKUP($E148,Afgr,Data!$BJ$3)</f>
        <v>0</v>
      </c>
      <c r="QG148">
        <f>IF(VLOOKUP($E148,Afgr,Data!$DA$3)="Havre",$BJ148,0)*VLOOKUP($E148,Afgr,Data!$BJ$3)</f>
        <v>0</v>
      </c>
      <c r="QH148">
        <f>IF(VLOOKUP($E148,Afgr,Data!$DA$3)="Hvede",$BJ148,0)*VLOOKUP($E148,Afgr,Data!$BJ$3)</f>
        <v>0</v>
      </c>
      <c r="QI148">
        <f>IF(VLOOKUP($E148,Afgr,Data!$DA$3)="Triticale",$BJ148,0)*VLOOKUP($E148,Afgr,Data!$BJ$3)</f>
        <v>0</v>
      </c>
      <c r="QJ148">
        <f>IF(VLOOKUP($E148,Afgr,Data!$DA$3)="Rug",$BJ148,0)*VLOOKUP($E148,Afgr,Data!$BJ$3)</f>
        <v>0</v>
      </c>
      <c r="QK148">
        <f>IF(VLOOKUP($E148,Afgr,Data!$DA$3)="Majs",$BJ148,0)*VLOOKUP($E148,Afgr,Data!$BJ$3)</f>
        <v>0</v>
      </c>
      <c r="QN148">
        <f>IF(OI148+OO148&gt;0,1,0)</f>
        <v>0</v>
      </c>
      <c r="QO148">
        <f>QN148*LJ148</f>
        <v>0</v>
      </c>
      <c r="QP148">
        <f>QN148*MG148</f>
        <v>0</v>
      </c>
      <c r="QQ148">
        <f>MQ148</f>
        <v>0</v>
      </c>
      <c r="QR148">
        <f>QN148*NO148</f>
        <v>0</v>
      </c>
    </row>
    <row r="149" spans="1:460" x14ac:dyDescent="0.25">
      <c r="GG149" s="12"/>
      <c r="GT149" s="6"/>
    </row>
    <row r="150" spans="1:460" x14ac:dyDescent="0.25">
      <c r="A150">
        <v>7</v>
      </c>
      <c r="B150">
        <v>1</v>
      </c>
      <c r="C150">
        <v>1</v>
      </c>
      <c r="D150" t="b">
        <v>0</v>
      </c>
      <c r="E150">
        <v>1</v>
      </c>
      <c r="F150">
        <v>1</v>
      </c>
      <c r="G150">
        <v>1</v>
      </c>
      <c r="H150">
        <v>1</v>
      </c>
      <c r="I150">
        <v>1</v>
      </c>
      <c r="K150">
        <v>1</v>
      </c>
      <c r="M150">
        <f>IF(ISERROR(N150*Areal4/$N$154),0,N150*Areal4/$N$154)</f>
        <v>0</v>
      </c>
      <c r="N150">
        <f>Mark!Z150</f>
        <v>0</v>
      </c>
      <c r="P150">
        <f>VLOOKUP($E150,Afgr,NnormKolonneNr4)</f>
        <v>0</v>
      </c>
      <c r="Q150">
        <f>VLOOKUP($B150,Afgr,Data!$AI$3)*VLOOKUP(E150,Afgr,Data!$AJ$3)</f>
        <v>0</v>
      </c>
      <c r="R150">
        <f>IF($D150,0,VLOOKUP($C150,Efgr,(Data!$W$53+$G$28-1)))</f>
        <v>0</v>
      </c>
      <c r="S150">
        <f>P150-Q150-R150</f>
        <v>0</v>
      </c>
      <c r="T150">
        <f>S150*M150</f>
        <v>0</v>
      </c>
      <c r="U150">
        <f>IF(Nmodel34=1,S150*Nniveau34*0.01,AO150)</f>
        <v>0</v>
      </c>
      <c r="V150" s="3">
        <f>IF(Mark!CI150&lt;&gt;"",Mark!CI150,U150)</f>
        <v>0</v>
      </c>
      <c r="W150" s="3">
        <f>V150*M150</f>
        <v>0</v>
      </c>
      <c r="Y150">
        <f>S150/NoptFaktor</f>
        <v>0</v>
      </c>
      <c r="Z150" s="3">
        <f>IF(Mark!BZ150&lt;&gt;"",Mark!BZ150,Y150)</f>
        <v>0</v>
      </c>
      <c r="AB150">
        <f>VLOOKUP($E150,Afgr,Data!$DE$3)</f>
        <v>0</v>
      </c>
      <c r="AC150">
        <f>VLOOKUP($E150,Afgr,Data!$DD$3)</f>
        <v>0</v>
      </c>
      <c r="AD150">
        <f>VLOOKUP($E150,Afgr,Data!$DC$3)</f>
        <v>0</v>
      </c>
      <c r="AE150">
        <f>IF(ISERROR($Z150+(-PrisN/$AD150-$AB150)/(2*$AC150)),0,($Z150+(-PrisN/$AD150-$AB150)/(2*$AC150)))</f>
        <v>0</v>
      </c>
      <c r="AF150">
        <f>($BD150+$BE150+$BF150)*1.03333</f>
        <v>0</v>
      </c>
      <c r="AG150">
        <f>$AF150-($AB150*($AE150-$Z150)+$AC150*($AE150-$Z150)^2)</f>
        <v>0</v>
      </c>
      <c r="AH150">
        <f>IF(Nmodel12=1,$AB150*($AE150-$S150)+$AC150*($AE150-$S150)^2,$AB150*($AE150-$AO150)+$AC150*($AE150-$AO150)^2)</f>
        <v>0</v>
      </c>
      <c r="AI150">
        <f>IF(Nmodel34=1,$AB150*($AE150-$V150)+$AC150*($AE150-$V150)^2,$AB150*($AE150-AO150)+$AC150*($AE150-AO150)^2)</f>
        <v>0</v>
      </c>
      <c r="AJ150">
        <f>AG150+AH150-BG150</f>
        <v>0</v>
      </c>
      <c r="AK150">
        <f>AG150+AI150-AJ150</f>
        <v>0</v>
      </c>
      <c r="AM150">
        <f>VLOOKUP(E150,Afgr,Data!$DF$3+SandLer4)</f>
        <v>0</v>
      </c>
      <c r="AN150">
        <f>IF(ISERROR(((-(PrisN+Pantafgift)+AM150*Pantfaktor*Pantafgift)/AD150-AB150)/(2*AC150)),0,((-(PrisN+Pantafgift)+AM150*Pantfaktor*Pantafgift)/AD150-AB150)/(2*AC150))</f>
        <v>0</v>
      </c>
      <c r="AO150">
        <f>AE150-AN150</f>
        <v>0</v>
      </c>
      <c r="AQ150">
        <f>IF(AT150&gt;0,0,W150)</f>
        <v>0</v>
      </c>
      <c r="AR150">
        <f>IF(ISERROR(W150*HdgNTilFordeling34/NnormIaltFordel34),0,W150*HdgNTilFordeling34/NnormIaltFordel34)</f>
        <v>0</v>
      </c>
      <c r="AS150">
        <f>IF(ISERROR($AR150/$M150),0,$AR150/$M150)</f>
        <v>0</v>
      </c>
      <c r="AT150">
        <f>IF(Mark!CO150&lt;&gt;"",Mark!CO150,0)</f>
        <v>0</v>
      </c>
      <c r="AU150">
        <f>$AT150*$M150</f>
        <v>0</v>
      </c>
      <c r="AV150" s="3">
        <f>IF(AT150&gt;0,AT150,AS150)</f>
        <v>0</v>
      </c>
      <c r="AW150" s="3">
        <f>AV150*M150</f>
        <v>0</v>
      </c>
      <c r="AY150">
        <f>UdnKrav*$AV150/100</f>
        <v>0</v>
      </c>
      <c r="BA150">
        <f>AV150*VLOOKUP($E150,Afgr,Data!$DJ$3)</f>
        <v>0</v>
      </c>
      <c r="BB150">
        <f>UdnKrav*$BA150/100</f>
        <v>0</v>
      </c>
      <c r="BD150">
        <f>VLOOKUP(E150,Afgr,NormudbKolonneNr4)</f>
        <v>0</v>
      </c>
      <c r="BE150">
        <f>VLOOKUP(B150,Afgr,Data!$AL$3)*VLOOKUP(E150,Afgr,MerudbKolonneNr4)</f>
        <v>0</v>
      </c>
      <c r="BF150">
        <f>VLOOKUP(C150,Efgr,(Data!$Y$53+EftervirkningUdb4))</f>
        <v>0</v>
      </c>
      <c r="BG150">
        <f>BD150+BE150+BF150</f>
        <v>0</v>
      </c>
      <c r="BH150">
        <f>IF(OR(V150&lt;&gt;S150,Nmodel34=2),AK150,BD150+BE150+BF150)</f>
        <v>0</v>
      </c>
      <c r="BI150" s="3">
        <f>IF(Mark!AK150&lt;&gt;"",Mark!AK150,BH150)</f>
        <v>0</v>
      </c>
      <c r="BJ150">
        <f>BI150*M150</f>
        <v>0</v>
      </c>
      <c r="BK150">
        <f>VLOOKUP(E150,Afgr,3)</f>
        <v>0</v>
      </c>
      <c r="BL150">
        <f>IF(BK150="FE",VLOOKUP($E150,Afgr,Data!$AV$3),0)</f>
        <v>0</v>
      </c>
      <c r="BN150">
        <f>VLOOKUP(E150,Afgr,4)</f>
        <v>0</v>
      </c>
      <c r="BO150" s="3">
        <f>IF(Mark!AW150&lt;&gt;"",Mark!AW150,Regn!BN150)</f>
        <v>0</v>
      </c>
      <c r="BP150" s="3">
        <f>BI150*BO150</f>
        <v>0</v>
      </c>
      <c r="BQ150" s="3">
        <f>BJ150*BO150</f>
        <v>0</v>
      </c>
      <c r="BS150">
        <f>VLOOKUP(E150,Afgr,Data!$AN$3)</f>
        <v>0</v>
      </c>
      <c r="BT150" s="3">
        <f>IF(Mark!BC150&lt;&gt;"",Mark!BC150,BS150)</f>
        <v>0</v>
      </c>
      <c r="BU150" s="3">
        <f>BT150*M150</f>
        <v>0</v>
      </c>
      <c r="BW150">
        <f>VLOOKUP(E150,Afgr,HalmudbKolonneNr4)</f>
        <v>0</v>
      </c>
      <c r="BX150">
        <f>IF(ISERROR(BW150*BI150/BG150),0,(BW150*BI150/BG150))</f>
        <v>0</v>
      </c>
      <c r="BY150" s="3">
        <f>IF(Mark!BI150&lt;&gt;"",Mark!BI150,BX150)</f>
        <v>0</v>
      </c>
      <c r="BZ150">
        <f>BY150*M150</f>
        <v>0</v>
      </c>
      <c r="CC150">
        <f>IF($F150=1,BY150,0)</f>
        <v>0</v>
      </c>
      <c r="CD150">
        <f>IF(F150=1,BZ150,0)</f>
        <v>0</v>
      </c>
      <c r="CE150">
        <f>VLOOKUP(E150,Afgr,Data!$AM$3)</f>
        <v>0</v>
      </c>
      <c r="CF150">
        <f>IF(Mark!BR150&lt;&gt;"",Mark!BR150,CE150)</f>
        <v>0</v>
      </c>
      <c r="CG150">
        <f>CC150*CF150</f>
        <v>0</v>
      </c>
      <c r="CH150">
        <f>CD150*CF150</f>
        <v>0</v>
      </c>
      <c r="CJ150">
        <f>VLOOKUP($G150,Efgr,NnormKolonneEfgr4)</f>
        <v>0</v>
      </c>
      <c r="CK150">
        <f>CJ150*M150</f>
        <v>0</v>
      </c>
      <c r="CL150">
        <f>CJ150*Nniveau34*0.01</f>
        <v>0</v>
      </c>
      <c r="CM150" s="3">
        <f>IF(Mark!DM150&lt;&gt;"",Mark!DM150,CL150)</f>
        <v>0</v>
      </c>
      <c r="CN150" s="3">
        <f>$CM150*$M150</f>
        <v>0</v>
      </c>
      <c r="CP150">
        <f>IF(CS150&gt;0,0,CN150)</f>
        <v>0</v>
      </c>
      <c r="CQ150" s="12">
        <f>IF(ISERROR(CN150*HdgNTilFordeling34/NnormIaltFordel34),0,CN150*HdgNTilFordeling34/NnormIaltFordel34)</f>
        <v>0</v>
      </c>
      <c r="CR150">
        <f>IF(ISERROR($CQ150/$M150),0,$CQ150/$M150)</f>
        <v>0</v>
      </c>
      <c r="CS150">
        <f>IF(Mark!DS150&lt;&gt;"",Mark!DS150,0)</f>
        <v>0</v>
      </c>
      <c r="CT150">
        <f>$CS150*$M150</f>
        <v>0</v>
      </c>
      <c r="CU150" s="3">
        <f>IF($CS150&gt;0,$CS150,$CR150)</f>
        <v>0</v>
      </c>
      <c r="CV150" s="3">
        <f>CU150*M150</f>
        <v>0</v>
      </c>
      <c r="CX150">
        <f>UdnKrav*$CU150/100</f>
        <v>0</v>
      </c>
      <c r="CZ150">
        <f>$CU150*VLOOKUP($G150,Efgr,Data!$BG$53)</f>
        <v>0</v>
      </c>
      <c r="DA150">
        <f>UdnKrav*$CZ150/100</f>
        <v>0</v>
      </c>
      <c r="DC150">
        <f>VLOOKUP(G150,Efgr,NormudbKolonneNrEfgr4)</f>
        <v>0</v>
      </c>
      <c r="DD150" s="3">
        <f>IF(Mark!DC150&lt;&gt;"",Mark!DC150,DC150)</f>
        <v>0</v>
      </c>
      <c r="DE150">
        <f>DD150*M150</f>
        <v>0</v>
      </c>
      <c r="DF150" t="s">
        <v>37</v>
      </c>
      <c r="DG150">
        <f>DD150*Efterslaetpris</f>
        <v>0</v>
      </c>
      <c r="DH150">
        <f>DE150*Efterslaetpris</f>
        <v>0</v>
      </c>
      <c r="DI150">
        <f>VLOOKUP(G150,Efgr,Data!$AG$53)</f>
        <v>0</v>
      </c>
      <c r="DJ150">
        <f>DD150*DI150</f>
        <v>0</v>
      </c>
      <c r="DL150">
        <f>VLOOKUP($E150,Afgr,Data!$AW$3)</f>
        <v>0</v>
      </c>
      <c r="DM150">
        <f>IF(BK150="FE",$BI150*$BL150*$DL150*0.01,$BI150*100*$DR150*0.01*$DL150*0.01)</f>
        <v>0</v>
      </c>
      <c r="DN150">
        <f>IF(VLOOKUP(E150,Afgr,Data!$BO$3)=1,DM150,0)*M150</f>
        <v>0</v>
      </c>
      <c r="DO150" s="12">
        <f>IF(Nmodel34=1,(V150-S150)*VLOOKUP($E150,Afgr,Data!$AX$3),(AO150-S150)*VLOOKUP(E150,Afgr,Data!$AX$3))</f>
        <v>0</v>
      </c>
      <c r="DP150">
        <f>DL150+DO150</f>
        <v>0</v>
      </c>
      <c r="DQ150">
        <f>IF(Mark!AQ150&lt;&gt;"",Mark!AQ150,DP150)</f>
        <v>0</v>
      </c>
      <c r="DR150">
        <f>VLOOKUP(E150,Afgr,Data!$AT$3)</f>
        <v>0</v>
      </c>
      <c r="DS150">
        <f>IF($BK150="FE",$BI150*$BL150*$DQ150*0.01,$BI150*100*$DR150*0.01*DQ150*0.01)</f>
        <v>0</v>
      </c>
      <c r="DT150">
        <f>IF(VLOOKUP(E150,Afgr,Data!$BO$3)=1,DS150,0)*M150</f>
        <v>0</v>
      </c>
      <c r="DU150">
        <f>IF(ISERROR(DS150/VLOOKUP(E150,Afgr,Data!$AY$3)),0,DS150/VLOOKUP(E150,Afgr,Data!$AY$3))</f>
        <v>0</v>
      </c>
      <c r="DV150">
        <f>DU150*M150</f>
        <v>0</v>
      </c>
      <c r="DX150">
        <f>IF($BK150="FE",$BI150*$BL150*VLOOKUP($E150,Afgr,Data!$BC$3)*0.001,$BI150*100*$DR150*0.01*VLOOKUP($E150,Afgr,Data!$BC$3)*0.001)</f>
        <v>0</v>
      </c>
      <c r="DY150">
        <f>DX150*M150</f>
        <v>0</v>
      </c>
      <c r="EA150">
        <f>IF($BK150="FE",$BI150*$BL150*VLOOKUP($E150,Afgr,Data!$BF$3)*0.001,$BI150*100*$DR150*0.01*VLOOKUP($E150,Afgr,Data!$BF$3)*0.001)</f>
        <v>0</v>
      </c>
      <c r="EB150">
        <f>EA150*M150</f>
        <v>0</v>
      </c>
      <c r="ED150">
        <f>IF(ISERROR(VLOOKUP(E150,Afgr,Data!$AZ$3)*DQ150/DL150),0,VLOOKUP(E150,Afgr,Data!$AZ$3)*DQ150/DL150)</f>
        <v>0</v>
      </c>
      <c r="EE150">
        <f>VLOOKUP(E150,Afgr,Data!$AU$3)</f>
        <v>0</v>
      </c>
      <c r="EF150">
        <f>IF($F150=1,$BY150*$EE150*0.01*ED150*0.01,0)</f>
        <v>0</v>
      </c>
      <c r="EG150">
        <f>EF150/6.25</f>
        <v>0</v>
      </c>
      <c r="EH150">
        <f>EG150*M150</f>
        <v>0</v>
      </c>
      <c r="EJ150">
        <f>IF($F150=1,$BY150*$EE150*0.01*VLOOKUP($E150,Afgr,Data!$BD$3)*0.001,0)</f>
        <v>0</v>
      </c>
      <c r="EK150">
        <f>EJ150*M150</f>
        <v>0</v>
      </c>
      <c r="EM150">
        <f>IF($F150=1,$BY150*$EE150*0.01*VLOOKUP($E150,Afgr,Data!$BG$3)*0.001,0)</f>
        <v>0</v>
      </c>
      <c r="EN150">
        <f>EM150*M150</f>
        <v>0</v>
      </c>
      <c r="EP150">
        <f>VLOOKUP(G150,Efgr,Data!$AI$53)</f>
        <v>0</v>
      </c>
      <c r="EQ150">
        <f>DJ150*EP150*0.01/6.25</f>
        <v>0</v>
      </c>
      <c r="ER150">
        <f>EQ150*M150</f>
        <v>0</v>
      </c>
      <c r="ET150">
        <f>$DJ150*VLOOKUP($G150,Efgr,Data!$AJ$53)*0.001</f>
        <v>0</v>
      </c>
      <c r="EU150">
        <f>ET150*M150</f>
        <v>0</v>
      </c>
      <c r="EW150">
        <f>$DJ150*VLOOKUP($G150,Efgr,Data!$AK$53)*0.001</f>
        <v>0</v>
      </c>
      <c r="EX150">
        <f>EW150*M150</f>
        <v>0</v>
      </c>
      <c r="EZ150">
        <f>IF(VLOOKUP(E150,Afgr,Data!$DS$3)=1,DU150*VLOOKUP(E150,Afgr,(Data!$DT$3+EftervirkningUdb4))*VLOOKUP(E150,Afgr,Data!$DV$3),0)</f>
        <v>0</v>
      </c>
      <c r="FA150">
        <f>IF(VLOOKUP(E150,Afgr,Data!$DS$3)=2,VLOOKUP(E150,Afgr,Data!$DX$3),0)</f>
        <v>0</v>
      </c>
      <c r="FB150">
        <f>IF(VLOOKUP(E150,Afgr,Data!$DS$3)=3,$DU150*VLOOKUP($E150,Afgr,IF(Jordtype4&lt;5,Data!$DT$3,Data!$DU$3))*VLOOKUP($E150,Afgr,Data!$DV$3),0)</f>
        <v>0</v>
      </c>
      <c r="FC150">
        <f>IF(VLOOKUP(E150,Afgr,Data!$DS$3)=4,(1.232+0.00469*BI150*100+(0.000256*BI150*100+0.089)*60),0)</f>
        <v>0</v>
      </c>
      <c r="FD150">
        <f>$V150+IF($AY150-$BB150&gt;$V150,$AY150-$V150,0)-$BB150</f>
        <v>0</v>
      </c>
      <c r="FE150">
        <f>IF(VLOOKUP($E150,Afgr,Data!$DS$3)=5,($BI150*0.02742-$BI150*0.0001*$FD150+$BI150*0.0000001111*$FD150*$FD150),0)</f>
        <v>0</v>
      </c>
      <c r="FF150">
        <f>$CM150+IF($CX150-$DA150&gt;$CM150,$CX150-$CM150,0)-$DA150</f>
        <v>0</v>
      </c>
      <c r="FG150">
        <f>IF(VLOOKUP($G150,Efgr,Data!$BH$53)=5,($DD150*0.02742-$DD150*0.0001*$FF150+$DD150*0.0000001111*$FF150*$FF150),0)</f>
        <v>0</v>
      </c>
      <c r="FH150" s="3">
        <f>EZ150+FA150+FB150+FC150+FE150+FG150</f>
        <v>0</v>
      </c>
      <c r="FI150" s="3">
        <f>FH150*M150</f>
        <v>0</v>
      </c>
      <c r="FK150">
        <f>$V150+$CM150</f>
        <v>0</v>
      </c>
      <c r="FL150">
        <f>($AV150-$AY150)+IF($AY150&gt;$V150,$AY150-$V150,0)+($CU150-$CX150)+IF($CX150&gt;$CM150,$CX150-$CM150,0)</f>
        <v>0</v>
      </c>
      <c r="FM150">
        <f>VLOOKUP($E150,Afgr,Data!$DK$3)*VLOOKUP($E150,Afgr,Data!$AT$3)*0.01*VLOOKUP($E150,Afgr,Data!$AW$3)*0.01/6.25</f>
        <v>0</v>
      </c>
      <c r="FN150" s="4">
        <f>IF(E150&gt;1,Deposition,0)</f>
        <v>0</v>
      </c>
      <c r="FO150">
        <f>FH150</f>
        <v>0</v>
      </c>
      <c r="FP150">
        <f>SUM(FK150:FO150)</f>
        <v>0</v>
      </c>
      <c r="FQ150">
        <f>DU150+EG150+EQ150</f>
        <v>0</v>
      </c>
      <c r="FR150" s="3">
        <f>FP150-FQ150</f>
        <v>0</v>
      </c>
      <c r="FS150" s="19">
        <f>FP150*M150</f>
        <v>0</v>
      </c>
      <c r="FT150" s="19">
        <f>FQ150*M150</f>
        <v>0</v>
      </c>
      <c r="FU150" s="3">
        <f>FR150*M150</f>
        <v>0</v>
      </c>
      <c r="FW150">
        <f>IL150+IM150+LP150+LQ150</f>
        <v>0</v>
      </c>
      <c r="FX150">
        <f>IK150+LO150</f>
        <v>0</v>
      </c>
      <c r="FY150">
        <f>FW150-FX150</f>
        <v>0</v>
      </c>
      <c r="FZ150">
        <f>FY150*M150</f>
        <v>0</v>
      </c>
      <c r="GB150">
        <f>IS150+IT150+LV150+LW150</f>
        <v>0</v>
      </c>
      <c r="GC150">
        <f>IR150+LU150</f>
        <v>0</v>
      </c>
      <c r="GD150">
        <f>GB150-GC150</f>
        <v>0</v>
      </c>
      <c r="GE150">
        <f>GD150*M150</f>
        <v>0</v>
      </c>
      <c r="GG150" s="149">
        <f>IF(OR(VLOOKUP(E150,Afgr,Data!$BV$3)=1,VLOOKUP(E150,Afgr,Data!$BW$3)=1),0,NniveauDelsaedsk4)</f>
        <v>0</v>
      </c>
      <c r="GH150" s="1">
        <v>0.32550000000000001</v>
      </c>
      <c r="GI150" s="6">
        <v>0</v>
      </c>
      <c r="GJ150" s="24">
        <f>IF(($V150-BB150+$CM150-DA150)&lt;0,0,$V150-BB150+$CM150-DA150)</f>
        <v>0</v>
      </c>
      <c r="GK150" s="6">
        <f>$FO150</f>
        <v>0</v>
      </c>
      <c r="GL150" s="1">
        <v>0.25280000000000002</v>
      </c>
      <c r="GM150">
        <f>$BA150+$CZ150</f>
        <v>0</v>
      </c>
      <c r="GN150" s="1">
        <v>0.376</v>
      </c>
      <c r="GO150" s="6">
        <v>0</v>
      </c>
      <c r="GP150" s="1">
        <f>IF(SandLer4&gt;1,0.3539,1.0749)</f>
        <v>0.35389999999999999</v>
      </c>
      <c r="GQ150" s="11">
        <f>$FQ150</f>
        <v>0</v>
      </c>
      <c r="GR150" s="1">
        <v>0.19359999999999999</v>
      </c>
      <c r="GS150" s="1">
        <f>VLOOKUP($E150,Afgr,Data!$DM$3)</f>
        <v>0</v>
      </c>
      <c r="GT150" s="24">
        <f>IF($GS150&gt;1,0,(VLOOKUP($K150,Afgr,Data!$DP$3)+IF(VLOOKUP($K150,Afgr,Data!$DP$3)=0,VLOOKUP($G150,Efgr,Data!$BI$53,0))))+IF(AND($GS150=7,VLOOKUP($K150,Afgr,Data!$DQ$3)=-2),-2,0)+IF(AND($GS150=6,VLOOKUP($G150,Efgr,Data!$BI$53)=2),8,0)</f>
        <v>0</v>
      </c>
      <c r="GU150" s="6" t="e">
        <f>VLOOKUP(SUM(GS150:GT150),Nlesafgr,3)</f>
        <v>#N/A</v>
      </c>
      <c r="GV150" s="7">
        <f>VLOOKUP($B150,Afgr,Data!$DN$3)</f>
        <v>0</v>
      </c>
      <c r="GW150" s="24">
        <f>IF(GV150&gt;1,0,VLOOKUP($E150,Afgr,Data!$DO$3)+IF(VLOOKUP($E150,Afgr,Data!$DO$3)=1,0,VLOOKUP($C150,Efgr,Data!$BJ$53)))</f>
        <v>0</v>
      </c>
      <c r="GX150" s="6" t="e">
        <f>VLOOKUP(SUM(GV150:GW150),Nlesforfrugt,3)</f>
        <v>#N/A</v>
      </c>
      <c r="GY150" s="1" t="e">
        <f>GH150*GG150+GL150*(GJ150+GK150)+GN150*GM150+GP150*GO150-GR150*GQ150+GU150+GX150</f>
        <v>#N/A</v>
      </c>
      <c r="GZ150" s="1">
        <f>Nlesafskaering</f>
        <v>59.6</v>
      </c>
      <c r="HA150" s="1">
        <f>Teknologi1</f>
        <v>2455</v>
      </c>
      <c r="HB150" s="6">
        <v>2001</v>
      </c>
      <c r="HC150" s="1">
        <f>Teknologi2</f>
        <v>1962.2</v>
      </c>
      <c r="HD150" s="1">
        <f>Tandel</f>
        <v>0.54659999999999997</v>
      </c>
      <c r="HE150" s="1" t="e">
        <f>IF(OR(GY150&gt;0,GY150=0),GZ150+HA150/(HB150-HC150),GZ150+HA150/(HB150-HC150)+HD150*GY150)</f>
        <v>#N/A</v>
      </c>
      <c r="HF150" s="1" t="e">
        <f>IF(GY150&gt;0,GY150,0.001)</f>
        <v>#N/A</v>
      </c>
      <c r="HG150" s="1">
        <v>1.5020000000000001E-3</v>
      </c>
      <c r="HH150" s="24">
        <f>IF(E150=1,0,VLOOKUP(Postnr,AfstromData,VLOOKUP($E150,Afgr,Data!$DL$3)+IF(Jordtype1&lt;7,Jordtype1,6),FALSE)-VLOOKUP(G150,Efgr,Data!$AA$53))</f>
        <v>0</v>
      </c>
      <c r="HI150" s="1">
        <v>5.5400000000000002E-4</v>
      </c>
      <c r="HJ150" s="24">
        <f>IF(E150=1,0,VLOOKUP(Postnr,AfstromData,VLOOKUP($B150,Afgr,Data!$DL$3)+IF(Jordtype1&lt;7,Jordtype1,6),FALSE)-VLOOKUP(C150,Efgr,Data!$AA$53))</f>
        <v>0</v>
      </c>
      <c r="HK150" s="1">
        <v>0.10639999999999999</v>
      </c>
      <c r="HL150" s="6">
        <f>VLOOKUP(Jordtype4,Jordtype,Data!$W$112)</f>
        <v>3</v>
      </c>
      <c r="HM150" s="1">
        <v>3.2500000000000001E-2</v>
      </c>
      <c r="HN150" s="6">
        <f>VLOOKUP(Jordtype4,Jordtype,Data!$X$112)</f>
        <v>12</v>
      </c>
      <c r="HO150" s="1">
        <v>1.2453000000000001</v>
      </c>
      <c r="HP150" s="1">
        <f>IF(VLOOKUP(G150,Efgr,Data!$AO$53)=1,MlafgrNUdvask,0)</f>
        <v>0</v>
      </c>
      <c r="HQ150" s="20">
        <f>IF(ISERROR((HE150+POWER(HF150,1.2))*(1-EXP(-HG150*HH150))*EXP(-HI150*HJ150)*EXP(-HK150*HL150)*EXP(-HM150*HN150)*HO150),0,(HE150+POWER(HF150,1.2))*(1-EXP(-HG150*HH150))*EXP(-HI150*HJ150)*EXP(-HK150*HL150)*EXP(-HM150*HN150)*HO150+HP150)</f>
        <v>0</v>
      </c>
      <c r="HR150">
        <f>HQ150*M150</f>
        <v>0</v>
      </c>
      <c r="HS150">
        <f>HQ150*(100-Retention4)*0.01</f>
        <v>0</v>
      </c>
      <c r="HT150">
        <f>HS150*M150</f>
        <v>0</v>
      </c>
      <c r="HU150" s="2">
        <f>HH150*10000</f>
        <v>0</v>
      </c>
      <c r="HV150" s="2">
        <f>HU150*M150</f>
        <v>0</v>
      </c>
      <c r="HW150">
        <f>IF(ISERROR(HQ150*1000*1000/HU150),0,HQ150*1000*1000/HU150)</f>
        <v>0</v>
      </c>
      <c r="HY150">
        <f>BP150+BT150+CG150+DG150</f>
        <v>0</v>
      </c>
      <c r="IB150">
        <f>VLOOKUP(E150,Afgr,Data!$AP$3)*UdsaedJust</f>
        <v>0</v>
      </c>
      <c r="IC150" s="3">
        <f>IF(Mark!EG150&lt;&gt;"",Mark!EG150,Regn!IB150)</f>
        <v>0</v>
      </c>
      <c r="ID150" s="3">
        <f>IC150*M150</f>
        <v>0</v>
      </c>
      <c r="IF150" s="3">
        <f>IF(HdgVaerdi=1,($V150-$AY150)*Npris,$V150*Npris)</f>
        <v>0</v>
      </c>
      <c r="IG150" s="3">
        <f>IF150*M150</f>
        <v>0</v>
      </c>
      <c r="II150">
        <f>VLOOKUP($E150,Afgr,Data!$BA$3)</f>
        <v>0</v>
      </c>
      <c r="IJ150">
        <f>VLOOKUP($E150,Afgr,Data!$BB$3)</f>
        <v>0</v>
      </c>
      <c r="IK150">
        <f>$DX150+$EJ150</f>
        <v>0</v>
      </c>
      <c r="IL150">
        <f>IF(HdgDyreart=2,$AV150*NPforholdSvin,$AV150*NPforholdKvaeg)</f>
        <v>0</v>
      </c>
      <c r="IM150">
        <f>II150+IF($IJ150+$IK150&gt;$IL150,($IJ150+$IK150-$IL150),0)</f>
        <v>0</v>
      </c>
      <c r="IN150" s="3">
        <f>IF(HdgVaerdi=1,($II150*Ppris+IF($IJ150+$IK150&gt;$IL150,($IJ150+$IK150-$IL150)*Ppris,0)),($II150+$IJ150+$IK150)*Ppris)</f>
        <v>0</v>
      </c>
      <c r="IO150" s="3">
        <f>IN150*M150</f>
        <v>0</v>
      </c>
      <c r="IQ150">
        <f>IF(AND(E150&gt;1,OR(Jordtype4=1,Jordtype4=3,Markvand4=2)),Kudvask,0)</f>
        <v>0</v>
      </c>
      <c r="IR150">
        <f>$EA150+$EM150</f>
        <v>0</v>
      </c>
      <c r="IS150">
        <f>IF(HdgDyreart=2,$AV150*NKforholdSvin,$AV150*NkforholdKvaeg)</f>
        <v>0</v>
      </c>
      <c r="IT150">
        <f>IF($IQ150+$IR150&gt;$IS150,($IQ150+$IR150-$IS150),0)</f>
        <v>0</v>
      </c>
      <c r="IU150" s="3">
        <f>IF(HdgVaerdi=1,IF($IQ150+$IR150&gt;$IS150,($IQ150+$IR150-$IS150)*Kpris,0),($IQ150+$IR150)*Kpris)</f>
        <v>0</v>
      </c>
      <c r="IV150" s="3">
        <f>IU150*M150</f>
        <v>0</v>
      </c>
      <c r="IX150">
        <f>IF150+IN150+IU150</f>
        <v>0</v>
      </c>
      <c r="IY150" s="3">
        <f>IF(Mark!EM150&lt;&gt;"",Mark!EM150,$IX150)</f>
        <v>0</v>
      </c>
      <c r="IZ150" s="3">
        <f>IY150*M150</f>
        <v>0</v>
      </c>
      <c r="JB150">
        <f>VLOOKUP(E150,Afgr,Data!$AQ$3)*PlantevJust</f>
        <v>0</v>
      </c>
      <c r="JC150" s="3">
        <f>IF(Mark!ES150&lt;&gt;"",Mark!ES150,JB150)</f>
        <v>0</v>
      </c>
      <c r="JD150" s="3">
        <f>JC150*M150</f>
        <v>0</v>
      </c>
      <c r="JF150">
        <f>VLOOKUP(E150,Afgr,Data!$AR$3)+BI150*VLOOKUP(E150,Afgr,Data!$BH$3)</f>
        <v>0</v>
      </c>
      <c r="JG150" s="3">
        <f>IF(Mark!EY150&lt;&gt;"",Mark!EY150,JF150)</f>
        <v>0</v>
      </c>
      <c r="JH150">
        <f>JG150*M150</f>
        <v>0</v>
      </c>
      <c r="JJ150">
        <f>IC150+IY150+JC150+JG150</f>
        <v>0</v>
      </c>
      <c r="JL150">
        <f>IF(VLOOKUP(E150,Afgr,Data!$BY$3)&gt;0,Data!$K$259*PlojJB4,0)</f>
        <v>0</v>
      </c>
      <c r="JM150">
        <f>IF(VLOOKUP(E150,Afgr,Data!$BZ$3)&gt;0,Data!$K$260*PlojJB4,0)</f>
        <v>0</v>
      </c>
      <c r="JN150">
        <f>(JL150+JM150)*MaskJust</f>
        <v>0</v>
      </c>
      <c r="JO150" s="3">
        <f>IF(Mark!FE150&lt;&gt;"",Mark!FE150,JN150)</f>
        <v>0</v>
      </c>
      <c r="JP150" s="3">
        <f>JO150*M150</f>
        <v>0</v>
      </c>
      <c r="JR150">
        <f>IF(VLOOKUP(E150,Afgr,Data!$CA$3)&gt;0,VLOOKUP(E150,Afgr,Data!$CA$3)*Data!$K$261*SaaJB4,0)</f>
        <v>0</v>
      </c>
      <c r="JS150">
        <f>IF(VLOOKUP(E150,Afgr,Data!$CC$3)&gt;0,Data!$K$262*SaaJB4,0)</f>
        <v>0</v>
      </c>
      <c r="JT150">
        <f>IF(VLOOKUP(E150,Afgr,Data!$CD$3)&gt;0,VLOOKUP(E150,Afgr,Data!$CD$3)*Data!$K$263*SaaJB4,0)</f>
        <v>0</v>
      </c>
      <c r="JU150">
        <f>IF(VLOOKUP(E150,Afgr,Data!$CE$3)&gt;0,Data!$K$264*SaaJB4,0)</f>
        <v>0</v>
      </c>
      <c r="JV150">
        <f>IF(VLOOKUP(E150,Afgr,Data!$CF$3)&gt;0,Data!$K$265*SaaJB4,0)</f>
        <v>0</v>
      </c>
      <c r="JW150">
        <f>IF(VLOOKUP(E150,Afgr,Data!$CV$3)&gt;0,Data!$K$266,0)</f>
        <v>0</v>
      </c>
      <c r="JX150">
        <f>IF(VLOOKUP(E150,Afgr,Data!$CG$3)&gt;0,Data!$K$267*SaaJB4,0)</f>
        <v>0</v>
      </c>
      <c r="JY150">
        <f>(JR150+JS150+JT150+JU150+JV150+JW150+JX150)*MaskJust</f>
        <v>0</v>
      </c>
      <c r="JZ150" s="3">
        <f>IF(Mark!FK150&lt;&gt;"",Mark!FK150,JY150)</f>
        <v>0</v>
      </c>
      <c r="KA150" s="3">
        <f>JZ150*M150</f>
        <v>0</v>
      </c>
      <c r="KC150">
        <f>IF(VLOOKUP(E150,Afgr,Data!$CJ$3)&gt;0,VLOOKUP(E150,Afgr,Data!$CJ$3)*Data!$K$268*SaaJB4,0)*MaskJust</f>
        <v>0</v>
      </c>
      <c r="KD150" s="3">
        <f>IF(Mark!FQ150&lt;&gt;"",Mark!FQ150,KC150)</f>
        <v>0</v>
      </c>
      <c r="KE150" s="3">
        <f>KD150*M150</f>
        <v>0</v>
      </c>
      <c r="KG150">
        <f>IF(VLOOKUP(E150,Afgr,Data!$CI$3)&gt;0,VLOOKUP(E150,Afgr,Data!$CI$3)*Data!$K$269,0)*MaskJust</f>
        <v>0</v>
      </c>
      <c r="KH150" s="3">
        <f>IF(Mark!FW150&lt;&gt;"",Mark!FW150,KG150)</f>
        <v>0</v>
      </c>
      <c r="KI150" s="3">
        <f>KH150*M150</f>
        <v>0</v>
      </c>
      <c r="KK150">
        <f>IF(Markvand4=2,VLOOKUP($E150,Afgr,Data!$CY$3),0)</f>
        <v>0</v>
      </c>
      <c r="KL150">
        <f>IF(Mark!GC150&lt;&gt;"",Mark!GC150,$KK150)</f>
        <v>0</v>
      </c>
      <c r="KM150">
        <f>IF(AND(E150&gt;1,Markvand4=2),Vandmaskin+$KL150*Flytning/mmprgang+$KL150*Prisprmm,0)</f>
        <v>0</v>
      </c>
      <c r="KN150" s="3">
        <f>IF(Mark!GI150&lt;&gt;"",Mark!GI150,$KM150)</f>
        <v>0</v>
      </c>
      <c r="KO150" s="3">
        <f>KN150*M150</f>
        <v>0</v>
      </c>
      <c r="KQ150">
        <f>IF(VLOOKUP($E150,Afgr,Data!$CK$3)&gt;0,((1+Regn!$BI150/VLOOKUP($E150,Afgr,Data!$CK$3))/2)*VLOOKUP($E150,Afgr,Data!$CL$3)*VLOOKUP($E150,Afgr,Data!$CN$3)+VLOOKUP($E150,Afgr,Data!$CM$3),0)</f>
        <v>0</v>
      </c>
      <c r="KR150">
        <f>IF(VLOOKUP($E150,Afgr,Data!$CK$3)&gt;0,IF(AND($F150=2,$BW150&gt;0),Data!$K$271,0),0)</f>
        <v>0</v>
      </c>
      <c r="KS150">
        <f>IF(VLOOKUP($E150,Afgr,Data!$CK$3)&gt;0,(Regn!$BI150/VLOOKUP($E150,Afgr,Data!$CK$3))*VLOOKUP($E150,Afgr,Data!$CO$3)*VLOOKUP($E150,Afgr,Data!$CN$3),0)</f>
        <v>0</v>
      </c>
      <c r="KT150">
        <f>(KQ150+KR150+KS150)*MaskJust</f>
        <v>0</v>
      </c>
      <c r="KU150" s="3">
        <f>IF(Mark!GO150&lt;&gt;"",Mark!GO150,KT150)</f>
        <v>0</v>
      </c>
      <c r="KV150" s="3">
        <f>KU150*M150</f>
        <v>0</v>
      </c>
      <c r="KW150" s="3"/>
      <c r="KX150">
        <f>IF(AND($F150=1,VLOOKUP($E150,Afgr,Data!$CP$3)&gt;0),((1+$BY150/VLOOKUP($E150,Afgr,Data!$CP$3))/2)*VLOOKUP($E150,Afgr,Data!$CQ$3),0)</f>
        <v>0</v>
      </c>
      <c r="KY150">
        <f>IF(AND($F150=1,VLOOKUP($E150,Afgr,Data!$CP$3)&gt;0),($BY150/VLOOKUP($E150,Afgr,Data!$CP$3))*VLOOKUP($E150,Afgr,Data!$CR$3),0)</f>
        <v>0</v>
      </c>
      <c r="KZ150">
        <f>(KX150+KY150)*MaskJust</f>
        <v>0</v>
      </c>
      <c r="LA150" s="3">
        <f>IF(Mark!GU150&lt;&gt;"",Mark!GU150,KZ150)</f>
        <v>0</v>
      </c>
      <c r="LB150" s="3">
        <f>LA150*M150</f>
        <v>0</v>
      </c>
      <c r="LD150">
        <f>$BI150*VLOOKUP($E150,Afgr,Data!$CS$3)*IF($I150=1,VLOOKUP($E150,Afgr,Data!$CT$3),IF($I150=2,VLOOKUP($E150,Afgr,Data!$CU$3),0))</f>
        <v>0</v>
      </c>
      <c r="LE150" s="3">
        <f>IF(Mark!HD150&lt;&gt;"",Mark!HD150,LD150)</f>
        <v>0</v>
      </c>
      <c r="LF150" s="3">
        <f>LE150*M150</f>
        <v>0</v>
      </c>
      <c r="LH150">
        <f>VLOOKUP($G150,Efgr,Data!$AC$53)*UdsaedJust</f>
        <v>0</v>
      </c>
      <c r="LI150" s="3">
        <f>IF(Mark!$HL150&lt;&gt;"",Mark!$HL150,LH150)</f>
        <v>0</v>
      </c>
      <c r="LJ150" s="3">
        <f>LI150*M150</f>
        <v>0</v>
      </c>
      <c r="LL150" s="3">
        <f>IF(HdgVaerdi=1,($CM150-$CX150)*Npris,$CM150*Npris)</f>
        <v>0</v>
      </c>
      <c r="LM150" s="3">
        <f>LL150*M150</f>
        <v>0</v>
      </c>
      <c r="LO150">
        <f>$ET150</f>
        <v>0</v>
      </c>
      <c r="LP150">
        <f>IF(HdgDyreart=2,$CU150*NPforholdSvin,$CU150*NPforholdKvaeg)</f>
        <v>0</v>
      </c>
      <c r="LQ150">
        <f>IF($LO150&gt;$LP150,($LO150-$LP150),0)</f>
        <v>0</v>
      </c>
      <c r="LR150" s="3">
        <f>IF(HdgVaerdi=1,IF($LO150&gt;$LP150,($LO150-$LP150)*Ppris,0),$LO150*Ppris)</f>
        <v>0</v>
      </c>
      <c r="LS150" s="3">
        <f>LR150*M150</f>
        <v>0</v>
      </c>
      <c r="LU150">
        <f>$EW150</f>
        <v>0</v>
      </c>
      <c r="LV150">
        <f>IF(HdgDyreart=2,$CU150*NKforholdSvin,$CU150*NkforholdKvaeg)</f>
        <v>0</v>
      </c>
      <c r="LW150">
        <f>IF($LU150&gt;$LV150,($LU150-$LV150),0)</f>
        <v>0</v>
      </c>
      <c r="LX150" s="3">
        <f>IF(HdgVaerdi=1,IF($LU150&gt;$LV150,($LU150-$LV150)*Ppris,0),$LU150*Ppris)</f>
        <v>0</v>
      </c>
      <c r="LY150" s="3">
        <f>LX150*M150</f>
        <v>0</v>
      </c>
      <c r="MA150">
        <f>LL150+LR150+LX150</f>
        <v>0</v>
      </c>
      <c r="MB150" s="3">
        <f>IF(Mark!HR150&lt;&gt;"",Mark!HR150,$MA150)</f>
        <v>0</v>
      </c>
      <c r="MC150" s="3">
        <f>MB150*M150</f>
        <v>0</v>
      </c>
      <c r="ME150">
        <f>VLOOKUP($G150,Efgr,Data!$AE$53)*PlantevJust</f>
        <v>0</v>
      </c>
      <c r="MF150" s="3">
        <f>IF(Mark!HX150&lt;&gt;"",Mark!HX150,ME150)</f>
        <v>0</v>
      </c>
      <c r="MG150" s="3">
        <f>MF150*M150</f>
        <v>0</v>
      </c>
      <c r="MI150">
        <f>VLOOKUP($G150,Efgr,Data!$AF$53)+$DD150*VLOOKUP($G150,Efgr,Data!$AL$53)</f>
        <v>0</v>
      </c>
      <c r="MJ150" s="3">
        <f>IF(Mark!ID150&lt;&gt;"",Mark!ID150,MI150)</f>
        <v>0</v>
      </c>
      <c r="MK150" s="3">
        <f>MJ150*M150</f>
        <v>0</v>
      </c>
      <c r="MM150">
        <f>LI150+MB150+MF150+MJ150</f>
        <v>0</v>
      </c>
      <c r="MO150">
        <f>VLOOKUP($G150,Efgr,Data!$AU$53)*SaaJB4*MaskJust</f>
        <v>0</v>
      </c>
      <c r="MP150" s="3">
        <f>IF(Mark!IJ150&lt;&gt;"",Mark!IJ150,MO150)</f>
        <v>0</v>
      </c>
      <c r="MQ150" s="3">
        <f>MP150*M150</f>
        <v>0</v>
      </c>
      <c r="MS150">
        <f>VLOOKUP($G150,Efgr,Data!$AW$53)*Data!$K$268*SaaJB4*MaskJust</f>
        <v>0</v>
      </c>
      <c r="MT150" s="3">
        <f>IF(Mark!IP150&lt;&gt;"",Mark!IP150,MS150)</f>
        <v>0</v>
      </c>
      <c r="MU150" s="3">
        <f>MT150*M150</f>
        <v>0</v>
      </c>
      <c r="MW150">
        <f>VLOOKUP($G150,Efgr,Data!$AV$53)*Data!$K$269*MaskJust</f>
        <v>0</v>
      </c>
      <c r="MX150" s="3">
        <f>IF(Mark!IV150&lt;&gt;"",Mark!IV150,MW150)</f>
        <v>0</v>
      </c>
      <c r="MY150" s="3">
        <f>MX150*M150</f>
        <v>0</v>
      </c>
      <c r="NA150">
        <f>IF(Markvand4=2,VLOOKUP($G150,Efgr,Data!$BC$53),0)</f>
        <v>0</v>
      </c>
      <c r="NB150">
        <f>IF(Mark!JB150&lt;&gt;"",Mark!JB150,$NA150)</f>
        <v>0</v>
      </c>
      <c r="NC150">
        <f>IF(Markvand4=2,$NB150*Flytning/mmprgang+$NB150*Prisprmm,0)</f>
        <v>0</v>
      </c>
      <c r="ND150" s="3">
        <f>IF(Mark!JH150&lt;&gt;"",Mark!JH150,$NC150)</f>
        <v>0</v>
      </c>
      <c r="NE150" s="3">
        <f>ND150*M150</f>
        <v>0</v>
      </c>
      <c r="NG150">
        <f>IF(VLOOKUP($G150,Efgr,Data!$AX$53)&gt;0,((1+Regn!DD150/VLOOKUP($G150,Efgr,Data!$AX$53))/2)*VLOOKUP($G150,Efgr,Data!$AY$53)*VLOOKUP($G150,Efgr,Data!$BA$53)+VLOOKUP($G150,Efgr,Data!$AZ$53),0)</f>
        <v>0</v>
      </c>
      <c r="NH150">
        <f>IF(VLOOKUP($G150,Efgr,Data!$AX$53)&gt;0,($DD150/VLOOKUP($G150,Efgr,Data!$AX$53))*VLOOKUP($G150,Efgr,Data!$BB$53)*VLOOKUP($G150,Efgr,Data!$BA$53),0)</f>
        <v>0</v>
      </c>
      <c r="NI150">
        <f>(NG150+NH150)*MaskJust</f>
        <v>0</v>
      </c>
      <c r="NJ150" s="3">
        <f>IF(Mark!JN150&lt;&gt;"",Mark!JN150,NI150)</f>
        <v>0</v>
      </c>
      <c r="NK150" s="3">
        <f>NJ150*M150</f>
        <v>0</v>
      </c>
      <c r="NM150">
        <f>IF($H150=2,Data!$K$304,IF($H150=3,Data!$K$305,0))*MaskJust</f>
        <v>0</v>
      </c>
      <c r="NN150" s="3">
        <f>IF(Mark!JT150&lt;&gt;"",Mark!JT150,NM150)</f>
        <v>0</v>
      </c>
      <c r="NO150" s="3">
        <f>NN150*M150</f>
        <v>0</v>
      </c>
      <c r="NQ150">
        <f>HY150</f>
        <v>0</v>
      </c>
      <c r="NR150">
        <f>JJ150+MM150</f>
        <v>0</v>
      </c>
      <c r="NS150">
        <f>NQ150-NR150</f>
        <v>0</v>
      </c>
      <c r="NT150">
        <f>NS150*M150</f>
        <v>0</v>
      </c>
      <c r="NW150">
        <f>VLOOKUP($B150,Afgr,Data!$BP$3)+VLOOKUP($C150,Efgr,Data!$AM$53)</f>
        <v>0</v>
      </c>
      <c r="NX150" s="3">
        <f>NW150*M150</f>
        <v>0</v>
      </c>
      <c r="NY150">
        <f>VLOOKUP($E150,Afgr,Data!$BP$3)+VLOOKUP($G150,Efgr,Data!$AM$53)</f>
        <v>0</v>
      </c>
      <c r="NZ150" s="3">
        <f>NY150*M150</f>
        <v>0</v>
      </c>
      <c r="OB150">
        <f>VLOOKUP($C150,Efgr,Data!$AN$53)</f>
        <v>0</v>
      </c>
      <c r="OC150">
        <f>VLOOKUP($B150,Afgr,Data!$BQ$3)</f>
        <v>0</v>
      </c>
      <c r="OD150">
        <f>VLOOKUP($E150,Afgr,Data!$BR$3)</f>
        <v>1</v>
      </c>
      <c r="OE150">
        <f>OB150*OC150*OD150</f>
        <v>0</v>
      </c>
      <c r="OF150" s="3">
        <f>OE150*M150</f>
        <v>0</v>
      </c>
      <c r="OG150" s="3">
        <f>IF(D150,1,0)*OF150</f>
        <v>0</v>
      </c>
      <c r="OI150">
        <f>VLOOKUP($G150,Efgr,Data!$AN$53)</f>
        <v>0</v>
      </c>
      <c r="OJ150">
        <f>VLOOKUP($E150,Afgr,Data!$BQ$3)</f>
        <v>0</v>
      </c>
      <c r="OK150">
        <f>VLOOKUP($K150,Afgr,Data!$BR$3)</f>
        <v>1</v>
      </c>
      <c r="OL150">
        <f>OI150*OJ150*OK150</f>
        <v>0</v>
      </c>
      <c r="OM150" s="3">
        <f>OL150*M150</f>
        <v>0</v>
      </c>
      <c r="OO150">
        <f>VLOOKUP($G150,Efgr,Data!$AO$53)</f>
        <v>0</v>
      </c>
      <c r="OP150">
        <f>VLOOKUP($B150,Afgr,Data!$BQ$3)</f>
        <v>0</v>
      </c>
      <c r="OQ150">
        <f>VLOOKUP($E150,Afgr,Data!$BS$3)</f>
        <v>0</v>
      </c>
      <c r="OR150" s="3">
        <f>OO150*OP150*OQ150*$M150</f>
        <v>0</v>
      </c>
      <c r="OT150">
        <f>VLOOKUP($G150,Efgr,Data!$AO$53)</f>
        <v>0</v>
      </c>
      <c r="OU150">
        <f>VLOOKUP($E150,Afgr,Data!$BQ$3)</f>
        <v>0</v>
      </c>
      <c r="OV150">
        <f>VLOOKUP($K150,Afgr,Data!$BS$3)</f>
        <v>0</v>
      </c>
      <c r="OW150" s="3">
        <f>OT150*OU150*OV150*$M150</f>
        <v>0</v>
      </c>
      <c r="OX150" s="3"/>
      <c r="OY150" s="3">
        <f>VLOOKUP($B150,Afgr,Data!$BU$3)</f>
        <v>0</v>
      </c>
      <c r="OZ150" s="3">
        <f>OY150*M150</f>
        <v>0</v>
      </c>
      <c r="PA150" s="3">
        <f>VLOOKUP($E150,Afgr,Data!$BU$3)</f>
        <v>0</v>
      </c>
      <c r="PB150" s="3">
        <f>PA150*M150</f>
        <v>0</v>
      </c>
      <c r="PD150">
        <f>VLOOKUP(E150,Afgr,Data!$BX$3)+VLOOKUP(G150,Efgr,Data!$AQ$53)</f>
        <v>0</v>
      </c>
      <c r="PE150">
        <f>IF(PD150&gt;0,M150,0)</f>
        <v>0</v>
      </c>
      <c r="PG150">
        <f>VLOOKUP($B150,Afgr,Data!$BT$3)</f>
        <v>0</v>
      </c>
      <c r="PH150" s="3">
        <f>PG150*M150</f>
        <v>0</v>
      </c>
      <c r="PI150">
        <f>VLOOKUP($E150,Afgr,Data!$BT$3)</f>
        <v>0</v>
      </c>
      <c r="PJ150" s="3">
        <f>PI150*M150</f>
        <v>0</v>
      </c>
      <c r="PL150">
        <f>VLOOKUP($E150,Afgr,Data!$BV$3)</f>
        <v>0</v>
      </c>
      <c r="PM150">
        <f>PL150*M150</f>
        <v>0</v>
      </c>
      <c r="PO150">
        <f>VLOOKUP($E150,Afgr,Data!$BW$3)</f>
        <v>0</v>
      </c>
      <c r="PP150">
        <f>PO150*M150</f>
        <v>0</v>
      </c>
      <c r="PR150">
        <f>BI150*IF(VLOOKUP($E150,Afgr,Data!$BJ$3)&gt;0,1,0)</f>
        <v>0</v>
      </c>
      <c r="PS150">
        <f>PR150*M150</f>
        <v>0</v>
      </c>
      <c r="PU150">
        <f>BI150*VLOOKUP(E150,Afgr,Data!$BK$3)</f>
        <v>0</v>
      </c>
      <c r="PV150">
        <f>M150*PU150</f>
        <v>0</v>
      </c>
      <c r="PW150">
        <f>$BI150*VLOOKUP($E150,Afgr,Data!$BL$3)+$DD150*VLOOKUP($G150,Efgr,Data!$AP$53)</f>
        <v>0</v>
      </c>
      <c r="PX150">
        <f>PW150*M150</f>
        <v>0</v>
      </c>
      <c r="PY150">
        <f>$BI150*VLOOKUP($E150,Afgr,Data!$BM$3)</f>
        <v>0</v>
      </c>
      <c r="PZ150">
        <f>PY150*M150</f>
        <v>0</v>
      </c>
      <c r="QA150">
        <f>$BI150*VLOOKUP($E150,Afgr,Data!$BN$3)</f>
        <v>0</v>
      </c>
      <c r="QB150">
        <f>QA150*M150</f>
        <v>0</v>
      </c>
      <c r="QE150">
        <f>IF(VLOOKUP($E150,Afgr,Data!$DA$3)="Vårbyg",$BJ150,0)*VLOOKUP($E150,Afgr,Data!$BJ$3)</f>
        <v>0</v>
      </c>
      <c r="QF150">
        <f>IF(VLOOKUP($E150,Afgr,Data!$DA$3)="Vinterbyg",$BJ150,0)*VLOOKUP($E150,Afgr,Data!$BJ$3)</f>
        <v>0</v>
      </c>
      <c r="QG150">
        <f>IF(VLOOKUP($E150,Afgr,Data!$DA$3)="Havre",$BJ150,0)*VLOOKUP($E150,Afgr,Data!$BJ$3)</f>
        <v>0</v>
      </c>
      <c r="QH150">
        <f>IF(VLOOKUP($E150,Afgr,Data!$DA$3)="Hvede",$BJ150,0)*VLOOKUP($E150,Afgr,Data!$BJ$3)</f>
        <v>0</v>
      </c>
      <c r="QI150">
        <f>IF(VLOOKUP($E150,Afgr,Data!$DA$3)="Triticale",$BJ150,0)*VLOOKUP($E150,Afgr,Data!$BJ$3)</f>
        <v>0</v>
      </c>
      <c r="QJ150">
        <f>IF(VLOOKUP($E150,Afgr,Data!$DA$3)="Rug",$BJ150,0)*VLOOKUP($E150,Afgr,Data!$BJ$3)</f>
        <v>0</v>
      </c>
      <c r="QK150">
        <f>IF(VLOOKUP($E150,Afgr,Data!$DA$3)="Majs",$BJ150,0)*VLOOKUP($E150,Afgr,Data!$BJ$3)</f>
        <v>0</v>
      </c>
      <c r="QN150">
        <f>IF(OI150+OO150&gt;0,1,0)</f>
        <v>0</v>
      </c>
      <c r="QO150">
        <f>QN150*LJ150</f>
        <v>0</v>
      </c>
      <c r="QP150">
        <f>QN150*MG150</f>
        <v>0</v>
      </c>
      <c r="QQ150">
        <f>MQ150</f>
        <v>0</v>
      </c>
      <c r="QR150">
        <f>QN150*NO150</f>
        <v>0</v>
      </c>
    </row>
    <row r="151" spans="1:460" x14ac:dyDescent="0.25">
      <c r="GG151" s="12"/>
    </row>
    <row r="152" spans="1:460" x14ac:dyDescent="0.25">
      <c r="A152">
        <v>8</v>
      </c>
      <c r="B152">
        <v>1</v>
      </c>
      <c r="C152">
        <v>1</v>
      </c>
      <c r="D152" t="b">
        <v>1</v>
      </c>
      <c r="E152">
        <v>1</v>
      </c>
      <c r="F152">
        <v>1</v>
      </c>
      <c r="G152">
        <v>1</v>
      </c>
      <c r="H152">
        <v>1</v>
      </c>
      <c r="I152">
        <v>1</v>
      </c>
      <c r="K152">
        <v>1</v>
      </c>
      <c r="M152">
        <f>IF(ISERROR(N152*Areal4/$N$154),0,N152*Areal4/$N$154)</f>
        <v>0</v>
      </c>
      <c r="N152">
        <f>Mark!Z152</f>
        <v>0</v>
      </c>
      <c r="P152">
        <f>VLOOKUP($E152,Afgr,NnormKolonneNr4)</f>
        <v>0</v>
      </c>
      <c r="Q152">
        <f>VLOOKUP($B152,Afgr,Data!$AI$3)*VLOOKUP(E152,Afgr,Data!$AJ$3)</f>
        <v>0</v>
      </c>
      <c r="R152">
        <f>IF($D152,0,VLOOKUP($C152,Efgr,(Data!$W$53+$G$28-1)))</f>
        <v>0</v>
      </c>
      <c r="S152">
        <f>P152-Q152-R152</f>
        <v>0</v>
      </c>
      <c r="T152">
        <f>S152*M152</f>
        <v>0</v>
      </c>
      <c r="U152">
        <f>IF(Nmodel34=1,S152*Nniveau34*0.01,AO152)</f>
        <v>0</v>
      </c>
      <c r="V152" s="3">
        <f>IF(Mark!CI152&lt;&gt;"",Mark!CI152,U152)</f>
        <v>0</v>
      </c>
      <c r="W152" s="3">
        <f>V152*M152</f>
        <v>0</v>
      </c>
      <c r="Y152">
        <f>S152/NoptFaktor</f>
        <v>0</v>
      </c>
      <c r="Z152" s="3">
        <f>IF(Mark!BZ152&lt;&gt;"",Mark!BZ152,Y152)</f>
        <v>0</v>
      </c>
      <c r="AB152">
        <f>VLOOKUP($E152,Afgr,Data!$DE$3)</f>
        <v>0</v>
      </c>
      <c r="AC152">
        <f>VLOOKUP($E152,Afgr,Data!$DD$3)</f>
        <v>0</v>
      </c>
      <c r="AD152">
        <f>VLOOKUP($E152,Afgr,Data!$DC$3)</f>
        <v>0</v>
      </c>
      <c r="AE152">
        <f>IF(ISERROR($Z152+(-PrisN/$AD152-$AB152)/(2*$AC152)),0,($Z152+(-PrisN/$AD152-$AB152)/(2*$AC152)))</f>
        <v>0</v>
      </c>
      <c r="AF152">
        <f>($BD152+$BE152+$BF152)*1.03333</f>
        <v>0</v>
      </c>
      <c r="AG152">
        <f>$AF152-($AB152*($AE152-$Z152)+$AC152*($AE152-$Z152)^2)</f>
        <v>0</v>
      </c>
      <c r="AH152">
        <f>IF(Nmodel12=1,$AB152*($AE152-$S152)+$AC152*($AE152-$S152)^2,$AB152*($AE152-$AO152)+$AC152*($AE152-$AO152)^2)</f>
        <v>0</v>
      </c>
      <c r="AI152">
        <f>IF(Nmodel34=1,$AB152*($AE152-$V152)+$AC152*($AE152-$V152)^2,$AB152*($AE152-AO152)+$AC152*($AE152-AO152)^2)</f>
        <v>0</v>
      </c>
      <c r="AJ152">
        <f>AG152+AH152-BG152</f>
        <v>0</v>
      </c>
      <c r="AK152">
        <f>AG152+AI152-AJ152</f>
        <v>0</v>
      </c>
      <c r="AM152">
        <f>VLOOKUP(E152,Afgr,Data!$DF$3+SandLer4)</f>
        <v>0</v>
      </c>
      <c r="AN152">
        <f>IF(ISERROR(((-(PrisN+Pantafgift)+AM152*Pantfaktor*Pantafgift)/AD152-AB152)/(2*AC152)),0,((-(PrisN+Pantafgift)+AM152*Pantfaktor*Pantafgift)/AD152-AB152)/(2*AC152))</f>
        <v>0</v>
      </c>
      <c r="AO152">
        <f>AE152-AN152</f>
        <v>0</v>
      </c>
      <c r="AQ152">
        <f>IF(AT152&gt;0,0,W152)</f>
        <v>0</v>
      </c>
      <c r="AR152">
        <f>IF(ISERROR(W152*HdgNTilFordeling34/NnormIaltFordel34),0,W152*HdgNTilFordeling34/NnormIaltFordel34)</f>
        <v>0</v>
      </c>
      <c r="AS152">
        <f>IF(ISERROR($AR152/$M152),0,$AR152/$M152)</f>
        <v>0</v>
      </c>
      <c r="AT152">
        <f>IF(Mark!CO152&lt;&gt;"",Mark!CO152,0)</f>
        <v>0</v>
      </c>
      <c r="AU152">
        <f>$AT152*$M152</f>
        <v>0</v>
      </c>
      <c r="AV152" s="3">
        <f>IF(AT152&gt;0,AT152,AS152)</f>
        <v>0</v>
      </c>
      <c r="AW152" s="3">
        <f>AV152*M152</f>
        <v>0</v>
      </c>
      <c r="AY152">
        <f>UdnKrav*$AV152/100</f>
        <v>0</v>
      </c>
      <c r="BA152">
        <f>AV152*VLOOKUP($E152,Afgr,Data!$DJ$3)</f>
        <v>0</v>
      </c>
      <c r="BB152">
        <f>UdnKrav*$BA152/100</f>
        <v>0</v>
      </c>
      <c r="BD152">
        <f>VLOOKUP(E152,Afgr,NormudbKolonneNr4)</f>
        <v>0</v>
      </c>
      <c r="BE152">
        <f>VLOOKUP(B152,Afgr,Data!$AL$3)*VLOOKUP(E152,Afgr,MerudbKolonneNr4)</f>
        <v>0</v>
      </c>
      <c r="BF152">
        <f>VLOOKUP(C152,Efgr,(Data!$Y$53+EftervirkningUdb4))</f>
        <v>0</v>
      </c>
      <c r="BG152">
        <f>BD152+BE152+BF152</f>
        <v>0</v>
      </c>
      <c r="BH152">
        <f>IF(OR(V152&lt;&gt;S152,Nmodel34=2),AK152,BD152+BE152+BF152)</f>
        <v>0</v>
      </c>
      <c r="BI152" s="3">
        <f>IF(Mark!AK152&lt;&gt;"",Mark!AK152,BH152)</f>
        <v>0</v>
      </c>
      <c r="BJ152">
        <f>BI152*M152</f>
        <v>0</v>
      </c>
      <c r="BK152">
        <f>VLOOKUP(E152,Afgr,3)</f>
        <v>0</v>
      </c>
      <c r="BL152">
        <f>IF(BK152="FE",VLOOKUP($E152,Afgr,Data!$AV$3),0)</f>
        <v>0</v>
      </c>
      <c r="BN152">
        <f>VLOOKUP(E152,Afgr,4)</f>
        <v>0</v>
      </c>
      <c r="BO152" s="3">
        <f>IF(Mark!AW152&lt;&gt;"",Mark!AW152,Regn!BN152)</f>
        <v>0</v>
      </c>
      <c r="BP152" s="3">
        <f>BI152*BO152</f>
        <v>0</v>
      </c>
      <c r="BQ152" s="3">
        <f>BJ152*BO152</f>
        <v>0</v>
      </c>
      <c r="BS152">
        <f>VLOOKUP(E152,Afgr,Data!$AN$3)</f>
        <v>0</v>
      </c>
      <c r="BT152" s="3">
        <f>IF(Mark!BC152&lt;&gt;"",Mark!BC152,BS152)</f>
        <v>0</v>
      </c>
      <c r="BU152" s="3">
        <f>BT152*M152</f>
        <v>0</v>
      </c>
      <c r="BW152">
        <f>VLOOKUP(E152,Afgr,HalmudbKolonneNr4)</f>
        <v>0</v>
      </c>
      <c r="BX152">
        <f>IF(ISERROR(BW152*BI152/BG152),0,(BW152*BI152/BG152))</f>
        <v>0</v>
      </c>
      <c r="BY152" s="3">
        <f>IF(Mark!BI152&lt;&gt;"",Mark!BI152,BX152)</f>
        <v>0</v>
      </c>
      <c r="BZ152">
        <f>BY152*M152</f>
        <v>0</v>
      </c>
      <c r="CC152">
        <f>IF($F152=1,BY152,0)</f>
        <v>0</v>
      </c>
      <c r="CD152">
        <f>IF(F152=1,BZ152,0)</f>
        <v>0</v>
      </c>
      <c r="CE152">
        <f>VLOOKUP(E152,Afgr,Data!$AM$3)</f>
        <v>0</v>
      </c>
      <c r="CF152">
        <f>IF(Mark!BR152&lt;&gt;"",Mark!BR152,CE152)</f>
        <v>0</v>
      </c>
      <c r="CG152">
        <f>CC152*CF152</f>
        <v>0</v>
      </c>
      <c r="CH152">
        <f>CD152*CF152</f>
        <v>0</v>
      </c>
      <c r="CJ152">
        <f>VLOOKUP($G152,Efgr,NnormKolonneEfgr4)</f>
        <v>0</v>
      </c>
      <c r="CK152">
        <f>CJ152*M152</f>
        <v>0</v>
      </c>
      <c r="CL152">
        <f>CJ152*Nniveau34*0.01</f>
        <v>0</v>
      </c>
      <c r="CM152" s="3">
        <f>IF(Mark!DM152&lt;&gt;"",Mark!DM152,CL152)</f>
        <v>0</v>
      </c>
      <c r="CN152" s="3">
        <f>$CM152*$M152</f>
        <v>0</v>
      </c>
      <c r="CP152">
        <f>IF(CS152&gt;0,0,CN152)</f>
        <v>0</v>
      </c>
      <c r="CQ152" s="12">
        <f>IF(ISERROR(CN152*HdgNTilFordeling34/NnormIaltFordel34),0,CN152*HdgNTilFordeling34/NnormIaltFordel34)</f>
        <v>0</v>
      </c>
      <c r="CR152">
        <f>IF(ISERROR($CQ152/$M152),0,$CQ152/$M152)</f>
        <v>0</v>
      </c>
      <c r="CS152">
        <f>IF(Mark!DS152&lt;&gt;"",Mark!DS152,0)</f>
        <v>0</v>
      </c>
      <c r="CT152">
        <f>$CS152*$M152</f>
        <v>0</v>
      </c>
      <c r="CU152" s="3">
        <f>IF($CS152&gt;0,$CS152,$CR152)</f>
        <v>0</v>
      </c>
      <c r="CV152" s="3">
        <f>CU152*M152</f>
        <v>0</v>
      </c>
      <c r="CX152">
        <f>UdnKrav*$CU152/100</f>
        <v>0</v>
      </c>
      <c r="CZ152">
        <f>$CU152*VLOOKUP($G152,Efgr,Data!$BG$53)</f>
        <v>0</v>
      </c>
      <c r="DA152">
        <f>UdnKrav*$CZ152/100</f>
        <v>0</v>
      </c>
      <c r="DC152">
        <f>VLOOKUP(G152,Efgr,NormudbKolonneNrEfgr4)</f>
        <v>0</v>
      </c>
      <c r="DD152" s="3">
        <f>IF(Mark!DC152&lt;&gt;"",Mark!DC152,DC152)</f>
        <v>0</v>
      </c>
      <c r="DE152">
        <f>DD152*M152</f>
        <v>0</v>
      </c>
      <c r="DF152" t="s">
        <v>37</v>
      </c>
      <c r="DG152">
        <f>DD152*Efterslaetpris</f>
        <v>0</v>
      </c>
      <c r="DH152">
        <f>DE152*Efterslaetpris</f>
        <v>0</v>
      </c>
      <c r="DI152">
        <f>VLOOKUP(G152,Efgr,Data!$AG$53)</f>
        <v>0</v>
      </c>
      <c r="DJ152">
        <f>DD152*DI152</f>
        <v>0</v>
      </c>
      <c r="DL152">
        <f>VLOOKUP($E152,Afgr,Data!$AW$3)</f>
        <v>0</v>
      </c>
      <c r="DM152">
        <f>IF(BK152="FE",$BI152*$BL152*$DL152*0.01,$BI152*100*$DR152*0.01*$DL152*0.01)</f>
        <v>0</v>
      </c>
      <c r="DN152">
        <f>IF(VLOOKUP(E152,Afgr,Data!$BO$3)=1,DM152,0)*M152</f>
        <v>0</v>
      </c>
      <c r="DO152" s="12">
        <f>IF(Nmodel34=1,(V152-S152)*VLOOKUP($E152,Afgr,Data!$AX$3),(AO152-S152)*VLOOKUP(E152,Afgr,Data!$AX$3))</f>
        <v>0</v>
      </c>
      <c r="DP152">
        <f>DL152+DO152</f>
        <v>0</v>
      </c>
      <c r="DQ152">
        <f>IF(Mark!AQ152&lt;&gt;"",Mark!AQ152,DP152)</f>
        <v>0</v>
      </c>
      <c r="DR152">
        <f>VLOOKUP(E152,Afgr,Data!$AT$3)</f>
        <v>0</v>
      </c>
      <c r="DS152">
        <f>IF($BK152="FE",$BI152*$BL152*$DQ152*0.01,$BI152*100*$DR152*0.01*DQ152*0.01)</f>
        <v>0</v>
      </c>
      <c r="DT152">
        <f>IF(VLOOKUP(E152,Afgr,Data!$BO$3)=1,DS152,0)*M152</f>
        <v>0</v>
      </c>
      <c r="DU152">
        <f>IF(ISERROR(DS152/VLOOKUP(E152,Afgr,Data!$AY$3)),0,DS152/VLOOKUP(E152,Afgr,Data!$AY$3))</f>
        <v>0</v>
      </c>
      <c r="DV152">
        <f>DU152*M152</f>
        <v>0</v>
      </c>
      <c r="DX152">
        <f>IF($BK152="FE",$BI152*$BL152*VLOOKUP($E152,Afgr,Data!$BC$3)*0.001,$BI152*100*$DR152*0.01*VLOOKUP($E152,Afgr,Data!$BC$3)*0.001)</f>
        <v>0</v>
      </c>
      <c r="DY152">
        <f>DX152*M152</f>
        <v>0</v>
      </c>
      <c r="EA152">
        <f>IF($BK152="FE",$BI152*$BL152*VLOOKUP($E152,Afgr,Data!$BF$3)*0.001,$BI152*100*$DR152*0.01*VLOOKUP($E152,Afgr,Data!$BF$3)*0.001)</f>
        <v>0</v>
      </c>
      <c r="EB152">
        <f>EA152*M152</f>
        <v>0</v>
      </c>
      <c r="ED152">
        <f>IF(ISERROR(VLOOKUP(E152,Afgr,Data!$AZ$3)*DQ152/DL152),0,VLOOKUP(E152,Afgr,Data!$AZ$3)*DQ152/DL152)</f>
        <v>0</v>
      </c>
      <c r="EE152">
        <f>VLOOKUP(E152,Afgr,Data!$AU$3)</f>
        <v>0</v>
      </c>
      <c r="EF152">
        <f>IF($F152=1,$BY152*$EE152*0.01*ED152*0.01,0)</f>
        <v>0</v>
      </c>
      <c r="EG152">
        <f>EF152/6.25</f>
        <v>0</v>
      </c>
      <c r="EH152">
        <f>EG152*M152</f>
        <v>0</v>
      </c>
      <c r="EJ152">
        <f>IF($F152=1,$BY152*$EE152*0.01*VLOOKUP($E152,Afgr,Data!$BD$3)*0.001,0)</f>
        <v>0</v>
      </c>
      <c r="EK152">
        <f>EJ152*M152</f>
        <v>0</v>
      </c>
      <c r="EM152">
        <f>IF($F152=1,$BY152*$EE152*0.01*VLOOKUP($E152,Afgr,Data!$BG$3)*0.001,0)</f>
        <v>0</v>
      </c>
      <c r="EN152">
        <f>EM152*M152</f>
        <v>0</v>
      </c>
      <c r="EP152">
        <f>VLOOKUP(G152,Efgr,Data!$AI$53)</f>
        <v>0</v>
      </c>
      <c r="EQ152">
        <f>DJ152*EP152*0.01/6.25</f>
        <v>0</v>
      </c>
      <c r="ER152">
        <f>EQ152*M152</f>
        <v>0</v>
      </c>
      <c r="ET152">
        <f>$DJ152*VLOOKUP($G152,Efgr,Data!$AJ$53)*0.001</f>
        <v>0</v>
      </c>
      <c r="EU152">
        <f>ET152*M152</f>
        <v>0</v>
      </c>
      <c r="EW152">
        <f>$DJ152*VLOOKUP($G152,Efgr,Data!$AK$53)*0.001</f>
        <v>0</v>
      </c>
      <c r="EX152">
        <f>EW152*M152</f>
        <v>0</v>
      </c>
      <c r="EZ152">
        <f>IF(VLOOKUP(E152,Afgr,Data!$DS$3)=1,DU152*VLOOKUP(E152,Afgr,(Data!$DT$3+EftervirkningUdb4))*VLOOKUP(E152,Afgr,Data!$DV$3),0)</f>
        <v>0</v>
      </c>
      <c r="FA152">
        <f>IF(VLOOKUP(E152,Afgr,Data!$DS$3)=2,VLOOKUP(E152,Afgr,Data!$DX$3),0)</f>
        <v>0</v>
      </c>
      <c r="FB152">
        <f>IF(VLOOKUP(E152,Afgr,Data!$DS$3)=3,$DU152*VLOOKUP($E152,Afgr,IF(Jordtype4&lt;5,Data!$DT$3,Data!$DU$3))*VLOOKUP($E152,Afgr,Data!$DV$3),0)</f>
        <v>0</v>
      </c>
      <c r="FC152">
        <f>IF(VLOOKUP(E152,Afgr,Data!$DS$3)=4,(1.232+0.00469*BI152*100+(0.000256*BI152*100+0.089)*60),0)</f>
        <v>0</v>
      </c>
      <c r="FD152">
        <f>$V152+IF($AY152-$BB152&gt;$V152,$AY152-$V152,0)-$BB152</f>
        <v>0</v>
      </c>
      <c r="FE152">
        <f>IF(VLOOKUP($E152,Afgr,Data!$DS$3)=5,($BI152*0.02742-$BI152*0.0001*$FD152+$BI152*0.0000001111*$FD152*$FD152),0)</f>
        <v>0</v>
      </c>
      <c r="FF152">
        <f>$CM152+IF($CX152-$DA152&gt;$CM152,$CX152-$CM152,0)-$DA152</f>
        <v>0</v>
      </c>
      <c r="FG152">
        <f>IF(VLOOKUP($G152,Efgr,Data!$BH$53)=5,($DD152*0.02742-$DD152*0.0001*$FF152+$DD152*0.0000001111*$FF152*$FF152),0)</f>
        <v>0</v>
      </c>
      <c r="FH152" s="3">
        <f>EZ152+FA152+FB152+FC152+FE152+FG152</f>
        <v>0</v>
      </c>
      <c r="FI152" s="3">
        <f>FH152*M152</f>
        <v>0</v>
      </c>
      <c r="FK152">
        <f>$V152+$CM152</f>
        <v>0</v>
      </c>
      <c r="FL152">
        <f>($AV152-$AY152)+IF($AY152&gt;$V152,$AY152-$V152,0)+($CU152-$CX152)+IF($CX152&gt;$CM152,$CX152-$CM152,0)</f>
        <v>0</v>
      </c>
      <c r="FM152">
        <f>VLOOKUP($E152,Afgr,Data!$DK$3)*VLOOKUP($E152,Afgr,Data!$AT$3)*0.01*VLOOKUP($E152,Afgr,Data!$AW$3)*0.01/6.25</f>
        <v>0</v>
      </c>
      <c r="FN152" s="4">
        <f>IF(E152&gt;1,Deposition,0)</f>
        <v>0</v>
      </c>
      <c r="FO152">
        <f>FH152</f>
        <v>0</v>
      </c>
      <c r="FP152">
        <f>SUM(FK152:FO152)</f>
        <v>0</v>
      </c>
      <c r="FQ152">
        <f>DU152+EG152+EQ152</f>
        <v>0</v>
      </c>
      <c r="FR152" s="3">
        <f>FP152-FQ152</f>
        <v>0</v>
      </c>
      <c r="FS152" s="19">
        <f>FP152*M152</f>
        <v>0</v>
      </c>
      <c r="FT152" s="19">
        <f>FQ152*M152</f>
        <v>0</v>
      </c>
      <c r="FU152" s="3">
        <f>FR152*M152</f>
        <v>0</v>
      </c>
      <c r="FW152">
        <f>IL152+IM152+LP152+LQ152</f>
        <v>0</v>
      </c>
      <c r="FX152">
        <f>IK152+LO152</f>
        <v>0</v>
      </c>
      <c r="FY152">
        <f>FW152-FX152</f>
        <v>0</v>
      </c>
      <c r="FZ152">
        <f>FY152*M152</f>
        <v>0</v>
      </c>
      <c r="GB152">
        <f>IS152+IT152+LV152+LW152</f>
        <v>0</v>
      </c>
      <c r="GC152">
        <f>IR152+LU152</f>
        <v>0</v>
      </c>
      <c r="GD152">
        <f>GB152-GC152</f>
        <v>0</v>
      </c>
      <c r="GE152">
        <f>GD152*M152</f>
        <v>0</v>
      </c>
      <c r="GG152" s="149">
        <f>IF(OR(VLOOKUP(E152,Afgr,Data!$BV$3)=1,VLOOKUP(E152,Afgr,Data!$BW$3)=1),0,NniveauDelsaedsk4)</f>
        <v>0</v>
      </c>
      <c r="GH152" s="1">
        <v>0.32550000000000001</v>
      </c>
      <c r="GI152" s="6">
        <v>0</v>
      </c>
      <c r="GJ152" s="24">
        <f>IF(($V152-BB152+$CM152-DA152)&lt;0,0,$V152-BB152+$CM152-DA152)</f>
        <v>0</v>
      </c>
      <c r="GK152" s="6">
        <f>$FO152</f>
        <v>0</v>
      </c>
      <c r="GL152" s="1">
        <v>0.25280000000000002</v>
      </c>
      <c r="GM152">
        <f>$BA152+$CZ152</f>
        <v>0</v>
      </c>
      <c r="GN152" s="1">
        <v>0.376</v>
      </c>
      <c r="GO152" s="6">
        <v>0</v>
      </c>
      <c r="GP152" s="1">
        <f>IF(SandLer4&gt;1,0.3539,1.0749)</f>
        <v>0.35389999999999999</v>
      </c>
      <c r="GQ152" s="11">
        <f>$FQ152</f>
        <v>0</v>
      </c>
      <c r="GR152" s="1">
        <v>0.19359999999999999</v>
      </c>
      <c r="GS152" s="1">
        <f>VLOOKUP($E152,Afgr,Data!$DM$3)</f>
        <v>0</v>
      </c>
      <c r="GT152" s="24">
        <f>IF($GS152&gt;1,0,(VLOOKUP($K152,Afgr,Data!$DP$3)+IF(VLOOKUP($K152,Afgr,Data!$DP$3)=0,VLOOKUP($G152,Efgr,Data!$BI$53,0))))+IF(AND($GS152=7,VLOOKUP($K152,Afgr,Data!$DQ$3)=-2),-2,0)+IF(AND($GS152=6,VLOOKUP($G152,Efgr,Data!$BI$53)=2),8,0)</f>
        <v>0</v>
      </c>
      <c r="GU152" s="6" t="e">
        <f>VLOOKUP(SUM(GS152:GT152),Nlesafgr,3)</f>
        <v>#N/A</v>
      </c>
      <c r="GV152" s="7">
        <f>VLOOKUP($B152,Afgr,Data!$DN$3)</f>
        <v>0</v>
      </c>
      <c r="GW152" s="24">
        <f>IF(GV152&gt;1,0,VLOOKUP($E152,Afgr,Data!$DO$3)+IF(VLOOKUP($E152,Afgr,Data!$DO$3)=1,0,VLOOKUP($C152,Efgr,Data!$BJ$53)))</f>
        <v>0</v>
      </c>
      <c r="GX152" s="6" t="e">
        <f>VLOOKUP(SUM(GV152:GW152),Nlesforfrugt,3)</f>
        <v>#N/A</v>
      </c>
      <c r="GY152" s="1" t="e">
        <f>GH152*GG152+GL152*(GJ152+GK152)+GN152*GM152+GP152*GO152-GR152*GQ152+GU152+GX152</f>
        <v>#N/A</v>
      </c>
      <c r="GZ152" s="1">
        <f>Nlesafskaering</f>
        <v>59.6</v>
      </c>
      <c r="HA152" s="1">
        <f>Teknologi1</f>
        <v>2455</v>
      </c>
      <c r="HB152" s="6">
        <v>2001</v>
      </c>
      <c r="HC152" s="1">
        <f>Teknologi2</f>
        <v>1962.2</v>
      </c>
      <c r="HD152" s="1">
        <f>Tandel</f>
        <v>0.54659999999999997</v>
      </c>
      <c r="HE152" s="1" t="e">
        <f>IF(OR(GY152&gt;0,GY152=0),GZ152+HA152/(HB152-HC152),GZ152+HA152/(HB152-HC152)+HD152*GY152)</f>
        <v>#N/A</v>
      </c>
      <c r="HF152" s="1" t="e">
        <f>IF(GY152&gt;0,GY152,0.001)</f>
        <v>#N/A</v>
      </c>
      <c r="HG152" s="1">
        <v>1.5020000000000001E-3</v>
      </c>
      <c r="HH152" s="24">
        <f>IF(E152=1,0,VLOOKUP(Postnr,AfstromData,VLOOKUP($E152,Afgr,Data!$DL$3)+IF(Jordtype1&lt;7,Jordtype1,6),FALSE)-VLOOKUP(G152,Efgr,Data!$AA$53))</f>
        <v>0</v>
      </c>
      <c r="HI152" s="1">
        <v>5.5400000000000002E-4</v>
      </c>
      <c r="HJ152" s="24">
        <f>IF(E152=1,0,VLOOKUP(Postnr,AfstromData,VLOOKUP($B152,Afgr,Data!$DL$3)+IF(Jordtype1&lt;7,Jordtype1,6),FALSE)-VLOOKUP(C152,Efgr,Data!$AA$53))</f>
        <v>0</v>
      </c>
      <c r="HK152" s="1">
        <v>0.10639999999999999</v>
      </c>
      <c r="HL152" s="6">
        <f>VLOOKUP(Jordtype4,Jordtype,Data!$W$112)</f>
        <v>3</v>
      </c>
      <c r="HM152" s="1">
        <v>3.2500000000000001E-2</v>
      </c>
      <c r="HN152" s="6">
        <f>VLOOKUP(Jordtype4,Jordtype,Data!$X$112)</f>
        <v>12</v>
      </c>
      <c r="HO152" s="1">
        <v>1.2453000000000001</v>
      </c>
      <c r="HP152" s="1">
        <f>IF(VLOOKUP(G152,Efgr,Data!$AO$53)=1,MlafgrNUdvask,0)</f>
        <v>0</v>
      </c>
      <c r="HQ152" s="20">
        <f>IF(ISERROR((HE152+POWER(HF152,1.2))*(1-EXP(-HG152*HH152))*EXP(-HI152*HJ152)*EXP(-HK152*HL152)*EXP(-HM152*HN152)*HO152),0,(HE152+POWER(HF152,1.2))*(1-EXP(-HG152*HH152))*EXP(-HI152*HJ152)*EXP(-HK152*HL152)*EXP(-HM152*HN152)*HO152+HP152)</f>
        <v>0</v>
      </c>
      <c r="HR152">
        <f>HQ152*M152</f>
        <v>0</v>
      </c>
      <c r="HS152">
        <f>HQ152*(100-Retention4)*0.01</f>
        <v>0</v>
      </c>
      <c r="HT152">
        <f>HS152*M152</f>
        <v>0</v>
      </c>
      <c r="HU152" s="2">
        <f>HH152*10000</f>
        <v>0</v>
      </c>
      <c r="HV152" s="2">
        <f>HU152*M152</f>
        <v>0</v>
      </c>
      <c r="HW152">
        <f>IF(ISERROR(HQ152*1000*1000/HU152),0,HQ152*1000*1000/HU152)</f>
        <v>0</v>
      </c>
      <c r="HY152">
        <f>BP152+BT152+CG152+DG152</f>
        <v>0</v>
      </c>
      <c r="IB152">
        <f>VLOOKUP(E152,Afgr,Data!$AP$3)*UdsaedJust</f>
        <v>0</v>
      </c>
      <c r="IC152" s="3">
        <f>IF(Mark!EG152&lt;&gt;"",Mark!EG152,Regn!IB152)</f>
        <v>0</v>
      </c>
      <c r="ID152" s="3">
        <f>IC152*M152</f>
        <v>0</v>
      </c>
      <c r="IF152" s="3">
        <f>IF(HdgVaerdi=1,($V152-$AY152)*Npris,$V152*Npris)</f>
        <v>0</v>
      </c>
      <c r="IG152" s="3">
        <f>IF152*M152</f>
        <v>0</v>
      </c>
      <c r="II152">
        <f>VLOOKUP($E152,Afgr,Data!$BA$3)</f>
        <v>0</v>
      </c>
      <c r="IJ152">
        <f>VLOOKUP($E152,Afgr,Data!$BB$3)</f>
        <v>0</v>
      </c>
      <c r="IK152">
        <f>$DX152+$EJ152</f>
        <v>0</v>
      </c>
      <c r="IL152">
        <f>IF(HdgDyreart=2,$AV152*NPforholdSvin,$AV152*NPforholdKvaeg)</f>
        <v>0</v>
      </c>
      <c r="IM152">
        <f>II152+IF($IJ152+$IK152&gt;$IL152,($IJ152+$IK152-$IL152),0)</f>
        <v>0</v>
      </c>
      <c r="IN152" s="3">
        <f>IF(HdgVaerdi=1,($II152*Ppris+IF($IJ152+$IK152&gt;$IL152,($IJ152+$IK152-$IL152)*Ppris,0)),($II152+$IJ152+$IK152)*Ppris)</f>
        <v>0</v>
      </c>
      <c r="IO152" s="3">
        <f>IN152*M152</f>
        <v>0</v>
      </c>
      <c r="IQ152">
        <f>IF(AND(E152&gt;1,OR(Jordtype4=1,Jordtype4=3,Markvand4=2)),Kudvask,0)</f>
        <v>0</v>
      </c>
      <c r="IR152">
        <f>$EA152+$EM152</f>
        <v>0</v>
      </c>
      <c r="IS152">
        <f>IF(HdgDyreart=2,$AV152*NKforholdSvin,$AV152*NkforholdKvaeg)</f>
        <v>0</v>
      </c>
      <c r="IT152">
        <f>IF($IQ152+$IR152&gt;$IS152,($IQ152+$IR152-$IS152),0)</f>
        <v>0</v>
      </c>
      <c r="IU152" s="3">
        <f>IF(HdgVaerdi=1,IF($IQ152+$IR152&gt;$IS152,($IQ152+$IR152-$IS152)*Kpris,0),($IQ152+$IR152)*Kpris)</f>
        <v>0</v>
      </c>
      <c r="IV152" s="3">
        <f>IU152*M152</f>
        <v>0</v>
      </c>
      <c r="IX152">
        <f>IF152+IN152+IU152</f>
        <v>0</v>
      </c>
      <c r="IY152" s="3">
        <f>IF(Mark!EM152&lt;&gt;"",Mark!EM152,$IX152)</f>
        <v>0</v>
      </c>
      <c r="IZ152" s="3">
        <f>IY152*M152</f>
        <v>0</v>
      </c>
      <c r="JB152">
        <f>VLOOKUP(E152,Afgr,Data!$AQ$3)*PlantevJust</f>
        <v>0</v>
      </c>
      <c r="JC152" s="3">
        <f>IF(Mark!ES152&lt;&gt;"",Mark!ES152,JB152)</f>
        <v>0</v>
      </c>
      <c r="JD152" s="3">
        <f>JC152*M152</f>
        <v>0</v>
      </c>
      <c r="JF152">
        <f>VLOOKUP(E152,Afgr,Data!$AR$3)+BI152*VLOOKUP(E152,Afgr,Data!$BH$3)</f>
        <v>0</v>
      </c>
      <c r="JG152" s="3">
        <f>IF(Mark!EY152&lt;&gt;"",Mark!EY152,JF152)</f>
        <v>0</v>
      </c>
      <c r="JH152">
        <f>JG152*M152</f>
        <v>0</v>
      </c>
      <c r="JJ152">
        <f>IC152+IY152+JC152+JG152</f>
        <v>0</v>
      </c>
      <c r="JL152">
        <f>IF(VLOOKUP(E152,Afgr,Data!$BY$3)&gt;0,Data!$K$259*PlojJB4,0)</f>
        <v>0</v>
      </c>
      <c r="JM152">
        <f>IF(VLOOKUP(E152,Afgr,Data!$BZ$3)&gt;0,Data!$K$260*PlojJB4,0)</f>
        <v>0</v>
      </c>
      <c r="JN152">
        <f>(JL152+JM152)*MaskJust</f>
        <v>0</v>
      </c>
      <c r="JO152" s="3">
        <f>IF(Mark!FE152&lt;&gt;"",Mark!FE152,JN152)</f>
        <v>0</v>
      </c>
      <c r="JP152" s="3">
        <f>JO152*M152</f>
        <v>0</v>
      </c>
      <c r="JR152">
        <f>IF(VLOOKUP(E152,Afgr,Data!$CA$3)&gt;0,VLOOKUP(E152,Afgr,Data!$CA$3)*Data!$K$261*SaaJB4,0)</f>
        <v>0</v>
      </c>
      <c r="JS152">
        <f>IF(VLOOKUP(E152,Afgr,Data!$CC$3)&gt;0,Data!$K$262*SaaJB4,0)</f>
        <v>0</v>
      </c>
      <c r="JT152">
        <f>IF(VLOOKUP(E152,Afgr,Data!$CD$3)&gt;0,VLOOKUP(E152,Afgr,Data!$CD$3)*Data!$K$263*SaaJB4,0)</f>
        <v>0</v>
      </c>
      <c r="JU152">
        <f>IF(VLOOKUP(E152,Afgr,Data!$CE$3)&gt;0,Data!$K$264*SaaJB4,0)</f>
        <v>0</v>
      </c>
      <c r="JV152">
        <f>IF(VLOOKUP(E152,Afgr,Data!$CF$3)&gt;0,Data!$K$265*SaaJB4,0)</f>
        <v>0</v>
      </c>
      <c r="JW152">
        <f>IF(VLOOKUP(E152,Afgr,Data!$CV$3)&gt;0,Data!$K$266,0)</f>
        <v>0</v>
      </c>
      <c r="JX152">
        <f>IF(VLOOKUP(E152,Afgr,Data!$CG$3)&gt;0,Data!$K$267*SaaJB4,0)</f>
        <v>0</v>
      </c>
      <c r="JY152">
        <f>(JR152+JS152+JT152+JU152+JV152+JW152+JX152)*MaskJust</f>
        <v>0</v>
      </c>
      <c r="JZ152" s="3">
        <f>IF(Mark!FK152&lt;&gt;"",Mark!FK152,JY152)</f>
        <v>0</v>
      </c>
      <c r="KA152" s="3">
        <f>JZ152*M152</f>
        <v>0</v>
      </c>
      <c r="KC152">
        <f>IF(VLOOKUP(E152,Afgr,Data!$CJ$3)&gt;0,VLOOKUP(E152,Afgr,Data!$CJ$3)*Data!$K$268*SaaJB4,0)*MaskJust</f>
        <v>0</v>
      </c>
      <c r="KD152" s="3">
        <f>IF(Mark!FQ152&lt;&gt;"",Mark!FQ152,KC152)</f>
        <v>0</v>
      </c>
      <c r="KE152" s="3">
        <f>KD152*M152</f>
        <v>0</v>
      </c>
      <c r="KG152">
        <f>IF(VLOOKUP(E152,Afgr,Data!$CI$3)&gt;0,VLOOKUP(E152,Afgr,Data!$CI$3)*Data!$K$269,0)*MaskJust</f>
        <v>0</v>
      </c>
      <c r="KH152" s="3">
        <f>IF(Mark!FW152&lt;&gt;"",Mark!FW152,KG152)</f>
        <v>0</v>
      </c>
      <c r="KI152" s="3">
        <f>KH152*M152</f>
        <v>0</v>
      </c>
      <c r="KK152">
        <f>IF(Markvand4=2,VLOOKUP($E152,Afgr,Data!$CY$3),0)</f>
        <v>0</v>
      </c>
      <c r="KL152">
        <f>IF(Mark!GC152&lt;&gt;"",Mark!GC152,$KK152)</f>
        <v>0</v>
      </c>
      <c r="KM152">
        <f>IF(AND(E152&gt;1,Markvand4=2),Vandmaskin+$KL152*Flytning/mmprgang+$KL152*Prisprmm,0)</f>
        <v>0</v>
      </c>
      <c r="KN152" s="3">
        <f>IF(Mark!GI152&lt;&gt;"",Mark!GI152,$KM152)</f>
        <v>0</v>
      </c>
      <c r="KO152" s="3">
        <f>KN152*M152</f>
        <v>0</v>
      </c>
      <c r="KQ152">
        <f>IF(VLOOKUP($E152,Afgr,Data!$CK$3)&gt;0,((1+Regn!$BI152/VLOOKUP($E152,Afgr,Data!$CK$3))/2)*VLOOKUP($E152,Afgr,Data!$CL$3)*VLOOKUP($E152,Afgr,Data!$CN$3)+VLOOKUP($E152,Afgr,Data!$CM$3),0)</f>
        <v>0</v>
      </c>
      <c r="KR152">
        <f>IF(VLOOKUP($E152,Afgr,Data!$CK$3)&gt;0,IF(AND($F152=2,$BW152&gt;0),Data!$K$271,0),0)</f>
        <v>0</v>
      </c>
      <c r="KS152">
        <f>IF(VLOOKUP($E152,Afgr,Data!$CK$3)&gt;0,(Regn!$BI152/VLOOKUP($E152,Afgr,Data!$CK$3))*VLOOKUP($E152,Afgr,Data!$CO$3)*VLOOKUP($E152,Afgr,Data!$CN$3),0)</f>
        <v>0</v>
      </c>
      <c r="KT152">
        <f>(KQ152+KR152+KS152)*MaskJust</f>
        <v>0</v>
      </c>
      <c r="KU152" s="3">
        <f>IF(Mark!GO152&lt;&gt;"",Mark!GO152,KT152)</f>
        <v>0</v>
      </c>
      <c r="KV152" s="3">
        <f>KU152*M152</f>
        <v>0</v>
      </c>
      <c r="KW152" s="3"/>
      <c r="KX152">
        <f>IF(AND($F152=1,VLOOKUP($E152,Afgr,Data!$CP$3)&gt;0),((1+$BY152/VLOOKUP($E152,Afgr,Data!$CP$3))/2)*VLOOKUP($E152,Afgr,Data!$CQ$3),0)</f>
        <v>0</v>
      </c>
      <c r="KY152">
        <f>IF(AND($F152=1,VLOOKUP($E152,Afgr,Data!$CP$3)&gt;0),($BY152/VLOOKUP($E152,Afgr,Data!$CP$3))*VLOOKUP($E152,Afgr,Data!$CR$3),0)</f>
        <v>0</v>
      </c>
      <c r="KZ152">
        <f>(KX152+KY152)*MaskJust</f>
        <v>0</v>
      </c>
      <c r="LA152" s="3">
        <f>IF(Mark!GU152&lt;&gt;"",Mark!GU152,KZ152)</f>
        <v>0</v>
      </c>
      <c r="LB152" s="3">
        <f>LA152*M152</f>
        <v>0</v>
      </c>
      <c r="LD152">
        <f>$BI152*VLOOKUP($E152,Afgr,Data!$CS$3)*IF($I152=1,VLOOKUP($E152,Afgr,Data!$CT$3),IF($I152=2,VLOOKUP($E152,Afgr,Data!$CU$3),0))</f>
        <v>0</v>
      </c>
      <c r="LE152" s="3">
        <f>IF(Mark!HD152&lt;&gt;"",Mark!HD152,LD152)</f>
        <v>0</v>
      </c>
      <c r="LF152" s="3">
        <f>LE152*M152</f>
        <v>0</v>
      </c>
      <c r="LH152">
        <f>VLOOKUP($G152,Efgr,Data!$AC$53)*UdsaedJust</f>
        <v>0</v>
      </c>
      <c r="LI152" s="3">
        <f>IF(Mark!$HL152&lt;&gt;"",Mark!$HL152,LH152)</f>
        <v>0</v>
      </c>
      <c r="LJ152" s="3">
        <f>LI152*M152</f>
        <v>0</v>
      </c>
      <c r="LL152" s="3">
        <f>IF(HdgVaerdi=1,($CM152-$CX152)*Npris,$CM152*Npris)</f>
        <v>0</v>
      </c>
      <c r="LM152" s="3">
        <f>LL152*M152</f>
        <v>0</v>
      </c>
      <c r="LO152">
        <f>$ET152</f>
        <v>0</v>
      </c>
      <c r="LP152">
        <f>IF(HdgDyreart=2,$CU152*NPforholdSvin,$CU152*NPforholdKvaeg)</f>
        <v>0</v>
      </c>
      <c r="LQ152">
        <f>IF($LO152&gt;$LP152,($LO152-$LP152),0)</f>
        <v>0</v>
      </c>
      <c r="LR152" s="3">
        <f>IF(HdgVaerdi=1,IF($LO152&gt;$LP152,($LO152-$LP152)*Ppris,0),$LO152*Ppris)</f>
        <v>0</v>
      </c>
      <c r="LS152" s="3">
        <f>LR152*M152</f>
        <v>0</v>
      </c>
      <c r="LU152">
        <f>$EW152</f>
        <v>0</v>
      </c>
      <c r="LV152">
        <f>IF(HdgDyreart=2,$CU152*NKforholdSvin,$CU152*NkforholdKvaeg)</f>
        <v>0</v>
      </c>
      <c r="LW152">
        <f>IF($LU152&gt;$LV152,($LU152-$LV152),0)</f>
        <v>0</v>
      </c>
      <c r="LX152" s="3">
        <f>IF(HdgVaerdi=1,IF($LU152&gt;$LV152,($LU152-$LV152)*Ppris,0),$LU152*Ppris)</f>
        <v>0</v>
      </c>
      <c r="LY152" s="3">
        <f>LX152*M152</f>
        <v>0</v>
      </c>
      <c r="MA152">
        <f>LL152+LR152+LX152</f>
        <v>0</v>
      </c>
      <c r="MB152" s="3">
        <f>IF(Mark!HR152&lt;&gt;"",Mark!HR152,$MA152)</f>
        <v>0</v>
      </c>
      <c r="MC152" s="3">
        <f>MB152*M152</f>
        <v>0</v>
      </c>
      <c r="ME152">
        <f>VLOOKUP($G152,Efgr,Data!$AE$53)*PlantevJust</f>
        <v>0</v>
      </c>
      <c r="MF152" s="3">
        <f>IF(Mark!HX152&lt;&gt;"",Mark!HX152,ME152)</f>
        <v>0</v>
      </c>
      <c r="MG152" s="3">
        <f>MF152*M152</f>
        <v>0</v>
      </c>
      <c r="MI152">
        <f>VLOOKUP($G152,Efgr,Data!$AF$53)+$DD152*VLOOKUP($G152,Efgr,Data!$AL$53)</f>
        <v>0</v>
      </c>
      <c r="MJ152" s="3">
        <f>IF(Mark!ID152&lt;&gt;"",Mark!ID152,MI152)</f>
        <v>0</v>
      </c>
      <c r="MK152" s="3">
        <f>MJ152*M152</f>
        <v>0</v>
      </c>
      <c r="MM152">
        <f>LI152+MB152+MF152+MJ152</f>
        <v>0</v>
      </c>
      <c r="MO152">
        <f>VLOOKUP($G152,Efgr,Data!$AU$53)*SaaJB4*MaskJust</f>
        <v>0</v>
      </c>
      <c r="MP152" s="3">
        <f>IF(Mark!IJ152&lt;&gt;"",Mark!IJ152,MO152)</f>
        <v>0</v>
      </c>
      <c r="MQ152" s="3">
        <f>MP152*M152</f>
        <v>0</v>
      </c>
      <c r="MS152">
        <f>VLOOKUP($G152,Efgr,Data!$AW$53)*Data!$K$268*SaaJB4*MaskJust</f>
        <v>0</v>
      </c>
      <c r="MT152" s="3">
        <f>IF(Mark!IP152&lt;&gt;"",Mark!IP152,MS152)</f>
        <v>0</v>
      </c>
      <c r="MU152" s="3">
        <f>MT152*M152</f>
        <v>0</v>
      </c>
      <c r="MW152">
        <f>VLOOKUP($G152,Efgr,Data!$AV$53)*Data!$K$269*MaskJust</f>
        <v>0</v>
      </c>
      <c r="MX152" s="3">
        <f>IF(Mark!IV152&lt;&gt;"",Mark!IV152,MW152)</f>
        <v>0</v>
      </c>
      <c r="MY152" s="3">
        <f>MX152*M152</f>
        <v>0</v>
      </c>
      <c r="NA152">
        <f>IF(Markvand4=2,VLOOKUP($G152,Efgr,Data!$BC$53),0)</f>
        <v>0</v>
      </c>
      <c r="NB152">
        <f>IF(Mark!JB152&lt;&gt;"",Mark!JB152,$NA152)</f>
        <v>0</v>
      </c>
      <c r="NC152">
        <f>IF(Markvand4=2,$NB152*Flytning/mmprgang+$NB152*Prisprmm,0)</f>
        <v>0</v>
      </c>
      <c r="ND152" s="3">
        <f>IF(Mark!JH152&lt;&gt;"",Mark!JH152,$NC152)</f>
        <v>0</v>
      </c>
      <c r="NE152" s="3">
        <f>ND152*M152</f>
        <v>0</v>
      </c>
      <c r="NG152">
        <f>IF(VLOOKUP($G152,Efgr,Data!$AX$53)&gt;0,((1+Regn!DD152/VLOOKUP($G152,Efgr,Data!$AX$53))/2)*VLOOKUP($G152,Efgr,Data!$AY$53)*VLOOKUP($G152,Efgr,Data!$BA$53)+VLOOKUP($G152,Efgr,Data!$AZ$53),0)</f>
        <v>0</v>
      </c>
      <c r="NH152">
        <f>IF(VLOOKUP($G152,Efgr,Data!$AX$53)&gt;0,($DD152/VLOOKUP($G152,Efgr,Data!$AX$53))*VLOOKUP($G152,Efgr,Data!$BB$53)*VLOOKUP($G152,Efgr,Data!$BA$53),0)</f>
        <v>0</v>
      </c>
      <c r="NI152">
        <f>(NG152+NH152)*MaskJust</f>
        <v>0</v>
      </c>
      <c r="NJ152" s="3">
        <f>IF(Mark!JN152&lt;&gt;"",Mark!JN152,NI152)</f>
        <v>0</v>
      </c>
      <c r="NK152" s="3">
        <f>NJ152*M152</f>
        <v>0</v>
      </c>
      <c r="NM152">
        <f>IF($H152=2,Data!$K$304,IF($H152=3,Data!$K$305,0))*MaskJust</f>
        <v>0</v>
      </c>
      <c r="NN152" s="3">
        <f>IF(Mark!JT152&lt;&gt;"",Mark!JT152,NM152)</f>
        <v>0</v>
      </c>
      <c r="NO152" s="3">
        <f>NN152*M152</f>
        <v>0</v>
      </c>
      <c r="NQ152">
        <f>HY152</f>
        <v>0</v>
      </c>
      <c r="NR152">
        <f>JJ152+MM152</f>
        <v>0</v>
      </c>
      <c r="NS152">
        <f>NQ152-NR152</f>
        <v>0</v>
      </c>
      <c r="NT152">
        <f>NS152*M152</f>
        <v>0</v>
      </c>
      <c r="NW152">
        <f>VLOOKUP($B152,Afgr,Data!$BP$3)+VLOOKUP($C152,Efgr,Data!$AM$53)</f>
        <v>0</v>
      </c>
      <c r="NX152" s="3">
        <f>NW152*M152</f>
        <v>0</v>
      </c>
      <c r="NY152">
        <f>VLOOKUP($E152,Afgr,Data!$BP$3)+VLOOKUP($G152,Efgr,Data!$AM$53)</f>
        <v>0</v>
      </c>
      <c r="NZ152" s="3">
        <f>NY152*M152</f>
        <v>0</v>
      </c>
      <c r="OB152">
        <f>VLOOKUP($C152,Efgr,Data!$AN$53)</f>
        <v>0</v>
      </c>
      <c r="OC152">
        <f>VLOOKUP($B152,Afgr,Data!$BQ$3)</f>
        <v>0</v>
      </c>
      <c r="OD152">
        <f>VLOOKUP($E152,Afgr,Data!$BR$3)</f>
        <v>1</v>
      </c>
      <c r="OE152">
        <f>OB152*OC152*OD152</f>
        <v>0</v>
      </c>
      <c r="OF152" s="3">
        <f>OE152*M152</f>
        <v>0</v>
      </c>
      <c r="OG152" s="3">
        <f>IF(D152,1,0)*OF152</f>
        <v>0</v>
      </c>
      <c r="OI152">
        <f>VLOOKUP($G152,Efgr,Data!$AN$53)</f>
        <v>0</v>
      </c>
      <c r="OJ152">
        <f>VLOOKUP($E152,Afgr,Data!$BQ$3)</f>
        <v>0</v>
      </c>
      <c r="OK152">
        <f>VLOOKUP($K152,Afgr,Data!$BR$3)</f>
        <v>1</v>
      </c>
      <c r="OL152">
        <f>OI152*OJ152*OK152</f>
        <v>0</v>
      </c>
      <c r="OM152" s="3">
        <f>OL152*M152</f>
        <v>0</v>
      </c>
      <c r="OO152">
        <f>VLOOKUP($G152,Efgr,Data!$AO$53)</f>
        <v>0</v>
      </c>
      <c r="OP152">
        <f>VLOOKUP($B152,Afgr,Data!$BQ$3)</f>
        <v>0</v>
      </c>
      <c r="OQ152">
        <f>VLOOKUP($E152,Afgr,Data!$BS$3)</f>
        <v>0</v>
      </c>
      <c r="OR152" s="3">
        <f>OO152*OP152*OQ152*$M152</f>
        <v>0</v>
      </c>
      <c r="OT152">
        <f>VLOOKUP($G152,Efgr,Data!$AO$53)</f>
        <v>0</v>
      </c>
      <c r="OU152">
        <f>VLOOKUP($E152,Afgr,Data!$BQ$3)</f>
        <v>0</v>
      </c>
      <c r="OV152">
        <f>VLOOKUP($K152,Afgr,Data!$BS$3)</f>
        <v>0</v>
      </c>
      <c r="OW152" s="3">
        <f>OT152*OU152*OV152*$M152</f>
        <v>0</v>
      </c>
      <c r="OX152" s="3"/>
      <c r="OY152" s="3">
        <f>VLOOKUP($B152,Afgr,Data!$BU$3)</f>
        <v>0</v>
      </c>
      <c r="OZ152" s="3">
        <f>OY152*M152</f>
        <v>0</v>
      </c>
      <c r="PA152" s="3">
        <f>VLOOKUP($E152,Afgr,Data!$BU$3)</f>
        <v>0</v>
      </c>
      <c r="PB152" s="3">
        <f>PA152*M152</f>
        <v>0</v>
      </c>
      <c r="PD152">
        <f>VLOOKUP(E152,Afgr,Data!$BX$3)+VLOOKUP(G152,Efgr,Data!$AQ$53)</f>
        <v>0</v>
      </c>
      <c r="PE152">
        <f>IF(PD152&gt;0,M152,0)</f>
        <v>0</v>
      </c>
      <c r="PG152">
        <f>VLOOKUP($B152,Afgr,Data!$BT$3)</f>
        <v>0</v>
      </c>
      <c r="PH152" s="3">
        <f>PG152*M152</f>
        <v>0</v>
      </c>
      <c r="PI152">
        <f>VLOOKUP($E152,Afgr,Data!$BT$3)</f>
        <v>0</v>
      </c>
      <c r="PJ152" s="3">
        <f>PI152*M152</f>
        <v>0</v>
      </c>
      <c r="PL152">
        <f>VLOOKUP($E152,Afgr,Data!$BV$3)</f>
        <v>0</v>
      </c>
      <c r="PM152">
        <f>PL152*M152</f>
        <v>0</v>
      </c>
      <c r="PO152">
        <f>VLOOKUP($E152,Afgr,Data!$BW$3)</f>
        <v>0</v>
      </c>
      <c r="PP152">
        <f>PO152*M152</f>
        <v>0</v>
      </c>
      <c r="PR152">
        <f>BI152*IF(VLOOKUP($E152,Afgr,Data!$BJ$3)&gt;0,1,0)</f>
        <v>0</v>
      </c>
      <c r="PS152">
        <f>PR152*M152</f>
        <v>0</v>
      </c>
      <c r="PU152">
        <f>BI152*VLOOKUP(E152,Afgr,Data!$BK$3)</f>
        <v>0</v>
      </c>
      <c r="PV152">
        <f>M152*PU152</f>
        <v>0</v>
      </c>
      <c r="PW152">
        <f>$BI152*VLOOKUP($E152,Afgr,Data!$BL$3)+$DD152*VLOOKUP($G152,Efgr,Data!$AP$53)</f>
        <v>0</v>
      </c>
      <c r="PX152">
        <f>PW152*M152</f>
        <v>0</v>
      </c>
      <c r="PY152">
        <f>$BI152*VLOOKUP($E152,Afgr,Data!$BM$3)</f>
        <v>0</v>
      </c>
      <c r="PZ152">
        <f>PY152*M152</f>
        <v>0</v>
      </c>
      <c r="QA152">
        <f>$BI152*VLOOKUP($E152,Afgr,Data!$BN$3)</f>
        <v>0</v>
      </c>
      <c r="QB152">
        <f>QA152*M152</f>
        <v>0</v>
      </c>
      <c r="QE152">
        <f>IF(VLOOKUP($E152,Afgr,Data!$DA$3)="Vårbyg",$BJ152,0)*VLOOKUP($E152,Afgr,Data!$BJ$3)</f>
        <v>0</v>
      </c>
      <c r="QF152">
        <f>IF(VLOOKUP($E152,Afgr,Data!$DA$3)="Vinterbyg",$BJ152,0)*VLOOKUP($E152,Afgr,Data!$BJ$3)</f>
        <v>0</v>
      </c>
      <c r="QG152">
        <f>IF(VLOOKUP($E152,Afgr,Data!$DA$3)="Havre",$BJ152,0)*VLOOKUP($E152,Afgr,Data!$BJ$3)</f>
        <v>0</v>
      </c>
      <c r="QH152">
        <f>IF(VLOOKUP($E152,Afgr,Data!$DA$3)="Hvede",$BJ152,0)*VLOOKUP($E152,Afgr,Data!$BJ$3)</f>
        <v>0</v>
      </c>
      <c r="QI152">
        <f>IF(VLOOKUP($E152,Afgr,Data!$DA$3)="Triticale",$BJ152,0)*VLOOKUP($E152,Afgr,Data!$BJ$3)</f>
        <v>0</v>
      </c>
      <c r="QJ152">
        <f>IF(VLOOKUP($E152,Afgr,Data!$DA$3)="Rug",$BJ152,0)*VLOOKUP($E152,Afgr,Data!$BJ$3)</f>
        <v>0</v>
      </c>
      <c r="QK152">
        <f>IF(VLOOKUP($E152,Afgr,Data!$DA$3)="Majs",$BJ152,0)*VLOOKUP($E152,Afgr,Data!$BJ$3)</f>
        <v>0</v>
      </c>
      <c r="QN152">
        <f>IF(OI152+OO152&gt;0,1,0)</f>
        <v>0</v>
      </c>
      <c r="QO152">
        <f>QN152*LJ152</f>
        <v>0</v>
      </c>
      <c r="QP152">
        <f>QN152*MG152</f>
        <v>0</v>
      </c>
      <c r="QQ152">
        <f>MQ152</f>
        <v>0</v>
      </c>
      <c r="QR152">
        <f>QN152*NO152</f>
        <v>0</v>
      </c>
    </row>
    <row r="153" spans="1:460" x14ac:dyDescent="0.25">
      <c r="M153" t="s">
        <v>1598</v>
      </c>
      <c r="GG153" t="s">
        <v>1613</v>
      </c>
      <c r="NT153" t="s">
        <v>1873</v>
      </c>
      <c r="NU153" t="s">
        <v>1874</v>
      </c>
    </row>
    <row r="154" spans="1:460" x14ac:dyDescent="0.25">
      <c r="A154" s="3" t="s">
        <v>1281</v>
      </c>
      <c r="M154" s="3">
        <f>SUM(M138,M140,M142,M144,M146,M148,M150,M152)</f>
        <v>0</v>
      </c>
      <c r="N154" s="3">
        <f>SUM(N138,N140,N142,N144,N146,N148,N150,N152)</f>
        <v>0</v>
      </c>
      <c r="O154" s="3"/>
      <c r="W154" s="3">
        <f>SUM(W138,W140,W142,W144,W146,W148,W150,W152)</f>
        <v>0</v>
      </c>
      <c r="AW154" s="3">
        <f>SUM(AW138,AW140,AW142,AW144,AW146,AW148,AW150,AW152)</f>
        <v>0</v>
      </c>
      <c r="FI154" s="3">
        <f>SUM(FI138,FI140,FI142,FI144,FI146,FI148,FI150,FI152)</f>
        <v>0</v>
      </c>
      <c r="GG154" s="3">
        <f>IF(ISERROR((W154+AW154*(100-UdnKrav)*0.01+FI154)/M154),0,(W154+AW154*(100-UdnKrav)*0.01+FI154)/M154)</f>
        <v>0</v>
      </c>
      <c r="NT154" s="3">
        <f>NT138+NT140+NT142+NT144+NT146+NT148+NT150+NT152</f>
        <v>0</v>
      </c>
      <c r="NU154">
        <f>IF(ISERROR(DBIalt4/DyrkAreal4),0,DBIalt4/DyrkAreal4)</f>
        <v>0</v>
      </c>
    </row>
    <row r="155" spans="1:460" x14ac:dyDescent="0.25">
      <c r="M155" t="s">
        <v>1599</v>
      </c>
      <c r="T155" t="s">
        <v>1600</v>
      </c>
      <c r="W155" t="s">
        <v>1601</v>
      </c>
      <c r="AQ155" t="s">
        <v>1602</v>
      </c>
      <c r="AU155" t="s">
        <v>1603</v>
      </c>
      <c r="AW155" t="s">
        <v>1741</v>
      </c>
      <c r="BQ155" t="s">
        <v>1604</v>
      </c>
      <c r="BU155" t="s">
        <v>1605</v>
      </c>
      <c r="CH155" t="s">
        <v>1606</v>
      </c>
      <c r="CK155" t="s">
        <v>1920</v>
      </c>
      <c r="CN155" t="s">
        <v>1918</v>
      </c>
      <c r="CP155" t="s">
        <v>2014</v>
      </c>
      <c r="CT155" t="s">
        <v>2017</v>
      </c>
      <c r="CV155" t="s">
        <v>1738</v>
      </c>
      <c r="DH155" t="s">
        <v>1607</v>
      </c>
      <c r="DN155" t="s">
        <v>1608</v>
      </c>
      <c r="DT155" t="s">
        <v>1609</v>
      </c>
      <c r="FT155" t="s">
        <v>1931</v>
      </c>
      <c r="FU155" t="s">
        <v>1610</v>
      </c>
      <c r="FZ155" t="s">
        <v>1611</v>
      </c>
      <c r="GE155" t="s">
        <v>1612</v>
      </c>
      <c r="HR155" t="s">
        <v>1614</v>
      </c>
      <c r="HT155" t="s">
        <v>1615</v>
      </c>
      <c r="HV155" t="s">
        <v>1616</v>
      </c>
      <c r="HW155" t="s">
        <v>1617</v>
      </c>
      <c r="ID155" t="s">
        <v>1618</v>
      </c>
      <c r="IZ155" t="s">
        <v>1619</v>
      </c>
      <c r="JD155" t="s">
        <v>1620</v>
      </c>
      <c r="JH155" t="s">
        <v>1621</v>
      </c>
      <c r="JP155" t="s">
        <v>1622</v>
      </c>
      <c r="KA155" t="s">
        <v>1623</v>
      </c>
      <c r="KE155" t="s">
        <v>1624</v>
      </c>
      <c r="KI155" t="s">
        <v>1625</v>
      </c>
      <c r="KO155" t="s">
        <v>1626</v>
      </c>
      <c r="KV155" t="s">
        <v>1627</v>
      </c>
      <c r="LB155" t="s">
        <v>1628</v>
      </c>
      <c r="LF155" t="s">
        <v>1629</v>
      </c>
      <c r="LJ155" t="s">
        <v>1630</v>
      </c>
      <c r="MC155" t="s">
        <v>1631</v>
      </c>
      <c r="MG155" t="s">
        <v>1632</v>
      </c>
      <c r="MK155" t="s">
        <v>1633</v>
      </c>
      <c r="MQ155" t="s">
        <v>1634</v>
      </c>
      <c r="MU155" t="s">
        <v>1635</v>
      </c>
      <c r="MY155" t="s">
        <v>1636</v>
      </c>
      <c r="NE155" t="s">
        <v>1637</v>
      </c>
      <c r="NK155" t="s">
        <v>1638</v>
      </c>
      <c r="NO155" t="s">
        <v>1639</v>
      </c>
      <c r="NZ155" t="s">
        <v>1640</v>
      </c>
      <c r="OF155" t="s">
        <v>1641</v>
      </c>
      <c r="OG155" t="s">
        <v>1642</v>
      </c>
      <c r="OM155" t="s">
        <v>1643</v>
      </c>
      <c r="OR155" t="s">
        <v>1644</v>
      </c>
      <c r="OW155" t="s">
        <v>1645</v>
      </c>
      <c r="OZ155" t="s">
        <v>1646</v>
      </c>
      <c r="PB155" t="s">
        <v>1647</v>
      </c>
      <c r="PE155" t="s">
        <v>1648</v>
      </c>
      <c r="PH155" t="s">
        <v>1649</v>
      </c>
      <c r="PJ155" t="s">
        <v>1650</v>
      </c>
      <c r="PM155" t="s">
        <v>1651</v>
      </c>
      <c r="PP155" t="s">
        <v>1652</v>
      </c>
      <c r="PS155" t="s">
        <v>1725</v>
      </c>
      <c r="PV155" t="s">
        <v>1653</v>
      </c>
      <c r="PX155" t="s">
        <v>2008</v>
      </c>
      <c r="PZ155" t="s">
        <v>2009</v>
      </c>
      <c r="QB155" t="s">
        <v>2010</v>
      </c>
      <c r="QC155" t="s">
        <v>1654</v>
      </c>
      <c r="QL155" t="s">
        <v>1655</v>
      </c>
      <c r="QO155" t="s">
        <v>1813</v>
      </c>
      <c r="QP155" t="s">
        <v>1809</v>
      </c>
      <c r="QQ155" t="s">
        <v>1810</v>
      </c>
      <c r="QR155" t="s">
        <v>1811</v>
      </c>
    </row>
    <row r="156" spans="1:460" x14ac:dyDescent="0.25">
      <c r="A156" s="3" t="s">
        <v>1986</v>
      </c>
      <c r="M156">
        <f>SUM(M116,M118,M120,M122,M124,M126,M128,M130,M138,M140,M142,M144,M146,M148,M150,M152)</f>
        <v>0</v>
      </c>
      <c r="T156">
        <f>SUM(T116,T118,T120,T122,T124,T126,T128,T130,T138,T140,T142,T144,T146,T148,T150,T152)</f>
        <v>0</v>
      </c>
      <c r="W156">
        <f t="shared" ref="W156" si="82">SUM(W116,W118,W120,W122,W124,W126,W128,W130,W138,W140,W142,W144,W146,W148,W150,W152)</f>
        <v>0</v>
      </c>
      <c r="Y156">
        <f t="shared" ref="Y156:Z156" si="83">SUM(Y116,Y118,Y120,Y122,Y124,Y126,Y128,Y130,Y138,Y140,Y142,Y144,Y146,Y148,Y150,Y152)</f>
        <v>0</v>
      </c>
      <c r="Z156">
        <f t="shared" si="83"/>
        <v>0</v>
      </c>
      <c r="AQ156">
        <f>SUM(AQ116,AQ118,AQ120,AQ122,AQ124,AQ126,AQ128,AQ130,AQ138,AQ140,AQ142,AQ144,AQ146,AQ148,AQ150,AQ152)+NnormIaltFordelEfgr34</f>
        <v>0</v>
      </c>
      <c r="AU156">
        <f t="shared" ref="AU156" si="84">SUM(AU116,AU118,AU120,AU122,AU124,AU126,AU128,AU130,AU138,AU140,AU142,AU144,AU146,AU148,AU150,AU152)</f>
        <v>0</v>
      </c>
      <c r="AW156">
        <f t="shared" ref="AW156" si="85">SUM(AW116,AW118,AW120,AW122,AW124,AW126,AW128,AW130,AW138,AW140,AW142,AW144,AW146,AW148,AW150,AW152)</f>
        <v>0</v>
      </c>
      <c r="AY156">
        <f t="shared" ref="AY156" si="86">SUM(AY116,AY118,AY120,AY122,AY124,AY126,AY128,AY130,AY138,AY140,AY142,AY144,AY146,AY148,AY150,AY152)</f>
        <v>0</v>
      </c>
      <c r="BJ156">
        <f t="shared" ref="BJ156" si="87">SUM(BJ116,BJ118,BJ120,BJ122,BJ124,BJ126,BJ128,BJ130,BJ138,BJ140,BJ142,BJ144,BJ146,BJ148,BJ150,BJ152)</f>
        <v>0</v>
      </c>
      <c r="BQ156">
        <f t="shared" ref="BQ156" si="88">SUM(BQ116,BQ118,BQ120,BQ122,BQ124,BQ126,BQ128,BQ130,BQ138,BQ140,BQ142,BQ144,BQ146,BQ148,BQ150,BQ152)</f>
        <v>0</v>
      </c>
      <c r="BU156">
        <f t="shared" ref="BU156" si="89">SUM(BU116,BU118,BU120,BU122,BU124,BU126,BU128,BU130,BU138,BU140,BU142,BU144,BU146,BU148,BU150,BU152)</f>
        <v>0</v>
      </c>
      <c r="BZ156">
        <f t="shared" ref="BZ156" si="90">SUM(BZ116,BZ118,BZ120,BZ122,BZ124,BZ126,BZ128,BZ130,BZ138,BZ140,BZ142,BZ144,BZ146,BZ148,BZ150,BZ152)</f>
        <v>0</v>
      </c>
      <c r="CH156">
        <f t="shared" ref="CH156" si="91">SUM(CH116,CH118,CH120,CH122,CH124,CH126,CH128,CH130,CH138,CH140,CH142,CH144,CH146,CH148,CH150,CH152)</f>
        <v>0</v>
      </c>
      <c r="CK156">
        <f t="shared" ref="CK156" si="92">SUM(CK116,CK118,CK120,CK122,CK124,CK126,CK128,CK130,CK138,CK140,CK142,CK144,CK146,CK148,CK150,CK152)</f>
        <v>0</v>
      </c>
      <c r="CN156">
        <f t="shared" ref="CN156:CP156" si="93">SUM(CN116,CN118,CN120,CN122,CN124,CN126,CN128,CN130,CN138,CN140,CN142,CN144,CN146,CN148,CN150,CN152)</f>
        <v>0</v>
      </c>
      <c r="CP156">
        <f t="shared" si="93"/>
        <v>0</v>
      </c>
      <c r="CT156">
        <f t="shared" ref="CT156" si="94">SUM(CT116,CT118,CT120,CT122,CT124,CT126,CT128,CT130,CT138,CT140,CT142,CT144,CT146,CT148,CT150,CT152)</f>
        <v>0</v>
      </c>
      <c r="CV156">
        <f t="shared" ref="CV156" si="95">SUM(CV116,CV118,CV120,CV122,CV124,CV126,CV128,CV130,CV138,CV140,CV142,CV144,CV146,CV148,CV150,CV152)</f>
        <v>0</v>
      </c>
      <c r="DE156">
        <f t="shared" ref="DE156" si="96">SUM(DE116,DE118,DE120,DE122,DE124,DE126,DE128,DE130,DE138,DE140,DE142,DE144,DE146,DE148,DE150,DE152)</f>
        <v>0</v>
      </c>
      <c r="DH156">
        <f t="shared" ref="DH156" si="97">SUM(DH116,DH118,DH120,DH122,DH124,DH126,DH128,DH130,DH138,DH140,DH142,DH144,DH146,DH148,DH150,DH152)</f>
        <v>0</v>
      </c>
      <c r="DN156">
        <f t="shared" ref="DN156" si="98">SUM(DN116,DN118,DN120,DN122,DN124,DN126,DN128,DN130,DN138,DN140,DN142,DN144,DN146,DN148,DN150,DN152)</f>
        <v>0</v>
      </c>
      <c r="DT156">
        <f t="shared" ref="DT156" si="99">SUM(DT116,DT118,DT120,DT122,DT124,DT126,DT128,DT130,DT138,DT140,DT142,DT144,DT146,DT148,DT150,DT152)</f>
        <v>0</v>
      </c>
      <c r="DV156">
        <f t="shared" ref="DV156" si="100">SUM(DV116,DV118,DV120,DV122,DV124,DV126,DV128,DV130,DV138,DV140,DV142,DV144,DV146,DV148,DV150,DV152)</f>
        <v>0</v>
      </c>
      <c r="DY156">
        <f t="shared" ref="DY156" si="101">SUM(DY116,DY118,DY120,DY122,DY124,DY126,DY128,DY130,DY138,DY140,DY142,DY144,DY146,DY148,DY150,DY152)</f>
        <v>0</v>
      </c>
      <c r="EB156">
        <f t="shared" ref="EB156" si="102">SUM(EB116,EB118,EB120,EB122,EB124,EB126,EB128,EB130,EB138,EB140,EB142,EB144,EB146,EB148,EB150,EB152)</f>
        <v>0</v>
      </c>
      <c r="EH156">
        <f t="shared" ref="EH156" si="103">SUM(EH116,EH118,EH120,EH122,EH124,EH126,EH128,EH130,EH138,EH140,EH142,EH144,EH146,EH148,EH150,EH152)</f>
        <v>0</v>
      </c>
      <c r="EK156">
        <f t="shared" ref="EK156" si="104">SUM(EK116,EK118,EK120,EK122,EK124,EK126,EK128,EK130,EK138,EK140,EK142,EK144,EK146,EK148,EK150,EK152)</f>
        <v>0</v>
      </c>
      <c r="EN156">
        <f t="shared" ref="EN156" si="105">SUM(EN116,EN118,EN120,EN122,EN124,EN126,EN128,EN130,EN138,EN140,EN142,EN144,EN146,EN148,EN150,EN152)</f>
        <v>0</v>
      </c>
      <c r="ER156">
        <f t="shared" ref="ER156" si="106">SUM(ER116,ER118,ER120,ER122,ER124,ER126,ER128,ER130,ER138,ER140,ER142,ER144,ER146,ER148,ER150,ER152)</f>
        <v>0</v>
      </c>
      <c r="EU156">
        <f t="shared" ref="EU156" si="107">SUM(EU116,EU118,EU120,EU122,EU124,EU126,EU128,EU130,EU138,EU140,EU142,EU144,EU146,EU148,EU150,EU152)</f>
        <v>0</v>
      </c>
      <c r="EX156">
        <f t="shared" ref="EX156" si="108">SUM(EX116,EX118,EX120,EX122,EX124,EX126,EX128,EX130,EX138,EX140,EX142,EX144,EX146,EX148,EX150,EX152)</f>
        <v>0</v>
      </c>
      <c r="FI156">
        <f t="shared" ref="FI156" si="109">SUM(FI116,FI118,FI120,FI122,FI124,FI126,FI128,FI130,FI138,FI140,FI142,FI144,FI146,FI148,FI150,FI152)</f>
        <v>0</v>
      </c>
      <c r="FS156">
        <f t="shared" ref="FS156:FU156" si="110">SUM(FS116,FS118,FS120,FS122,FS124,FS126,FS128,FS130,FS138,FS140,FS142,FS144,FS146,FS148,FS150,FS152)</f>
        <v>0</v>
      </c>
      <c r="FT156">
        <f t="shared" si="110"/>
        <v>0</v>
      </c>
      <c r="FU156">
        <f t="shared" si="110"/>
        <v>0</v>
      </c>
      <c r="FZ156">
        <f t="shared" ref="FZ156" si="111">SUM(FZ116,FZ118,FZ120,FZ122,FZ124,FZ126,FZ128,FZ130,FZ138,FZ140,FZ142,FZ144,FZ146,FZ148,FZ150,FZ152)</f>
        <v>0</v>
      </c>
      <c r="GE156">
        <f t="shared" ref="GE156" si="112">SUM(GE116,GE118,GE120,GE122,GE124,GE126,GE128,GE130,GE138,GE140,GE142,GE144,GE146,GE148,GE150,GE152)</f>
        <v>0</v>
      </c>
      <c r="HR156">
        <f t="shared" ref="HR156" si="113">SUM(HR116,HR118,HR120,HR122,HR124,HR126,HR128,HR130,HR138,HR140,HR142,HR144,HR146,HR148,HR150,HR152)</f>
        <v>0</v>
      </c>
      <c r="HT156">
        <f t="shared" ref="HT156" si="114">SUM(HT116,HT118,HT120,HT122,HT124,HT126,HT128,HT130,HT138,HT140,HT142,HT144,HT146,HT148,HT150,HT152)</f>
        <v>0</v>
      </c>
      <c r="HV156">
        <f t="shared" ref="HV156" si="115">SUM(HV116,HV118,HV120,HV122,HV124,HV126,HV128,HV130,HV138,HV140,HV142,HV144,HV146,HV148,HV150,HV152)</f>
        <v>0</v>
      </c>
      <c r="HW156">
        <f>IF(ISERROR(HR156*1000*100/HV156),0,HR156*1000*1000/HV156)</f>
        <v>0</v>
      </c>
      <c r="ID156">
        <f t="shared" ref="ID156" si="116">SUM(ID116,ID118,ID120,ID122,ID124,ID126,ID128,ID130,ID138,ID140,ID142,ID144,ID146,ID148,ID150,ID152)</f>
        <v>0</v>
      </c>
      <c r="IG156">
        <f t="shared" ref="IG156" si="117">SUM(IG116,IG118,IG120,IG122,IG124,IG126,IG128,IG130,IG138,IG140,IG142,IG144,IG146,IG148,IG150,IG152)</f>
        <v>0</v>
      </c>
      <c r="IO156">
        <f t="shared" ref="IO156" si="118">SUM(IO116,IO118,IO120,IO122,IO124,IO126,IO128,IO130,IO138,IO140,IO142,IO144,IO146,IO148,IO150,IO152)</f>
        <v>0</v>
      </c>
      <c r="IV156">
        <f t="shared" ref="IV156" si="119">SUM(IV116,IV118,IV120,IV122,IV124,IV126,IV128,IV130,IV138,IV140,IV142,IV144,IV146,IV148,IV150,IV152)</f>
        <v>0</v>
      </c>
      <c r="IZ156">
        <f t="shared" ref="IZ156" si="120">SUM(IZ116,IZ118,IZ120,IZ122,IZ124,IZ126,IZ128,IZ130,IZ138,IZ140,IZ142,IZ144,IZ146,IZ148,IZ150,IZ152)</f>
        <v>0</v>
      </c>
      <c r="JD156">
        <f t="shared" ref="JD156" si="121">SUM(JD116,JD118,JD120,JD122,JD124,JD126,JD128,JD130,JD138,JD140,JD142,JD144,JD146,JD148,JD150,JD152)</f>
        <v>0</v>
      </c>
      <c r="JH156">
        <f t="shared" ref="JH156" si="122">SUM(JH116,JH118,JH120,JH122,JH124,JH126,JH128,JH130,JH138,JH140,JH142,JH144,JH146,JH148,JH150,JH152)</f>
        <v>0</v>
      </c>
      <c r="JP156">
        <f t="shared" ref="JP156" si="123">SUM(JP116,JP118,JP120,JP122,JP124,JP126,JP128,JP130,JP138,JP140,JP142,JP144,JP146,JP148,JP150,JP152)</f>
        <v>0</v>
      </c>
      <c r="KA156">
        <f t="shared" ref="KA156" si="124">SUM(KA116,KA118,KA120,KA122,KA124,KA126,KA128,KA130,KA138,KA140,KA142,KA144,KA146,KA148,KA150,KA152)</f>
        <v>0</v>
      </c>
      <c r="KE156">
        <f t="shared" ref="KE156" si="125">SUM(KE116,KE118,KE120,KE122,KE124,KE126,KE128,KE130,KE138,KE140,KE142,KE144,KE146,KE148,KE150,KE152)</f>
        <v>0</v>
      </c>
      <c r="KI156">
        <f t="shared" ref="KI156" si="126">SUM(KI116,KI118,KI120,KI122,KI124,KI126,KI128,KI130,KI138,KI140,KI142,KI144,KI146,KI148,KI150,KI152)</f>
        <v>0</v>
      </c>
      <c r="KO156">
        <f t="shared" ref="KO156" si="127">SUM(KO116,KO118,KO120,KO122,KO124,KO126,KO128,KO130,KO138,KO140,KO142,KO144,KO146,KO148,KO150,KO152)</f>
        <v>0</v>
      </c>
      <c r="KV156">
        <f t="shared" ref="KV156" si="128">SUM(KV116,KV118,KV120,KV122,KV124,KV126,KV128,KV130,KV138,KV140,KV142,KV144,KV146,KV148,KV150,KV152)</f>
        <v>0</v>
      </c>
      <c r="LB156">
        <f t="shared" ref="LB156" si="129">SUM(LB116,LB118,LB120,LB122,LB124,LB126,LB128,LB130,LB138,LB140,LB142,LB144,LB146,LB148,LB150,LB152)</f>
        <v>0</v>
      </c>
      <c r="LF156">
        <f t="shared" ref="LF156" si="130">SUM(LF116,LF118,LF120,LF122,LF124,LF126,LF128,LF130,LF138,LF140,LF142,LF144,LF146,LF148,LF150,LF152)</f>
        <v>0</v>
      </c>
      <c r="LJ156">
        <f t="shared" ref="LJ156" si="131">SUM(LJ116,LJ118,LJ120,LJ122,LJ124,LJ126,LJ128,LJ130,LJ138,LJ140,LJ142,LJ144,LJ146,LJ148,LJ150,LJ152)</f>
        <v>0</v>
      </c>
      <c r="LM156">
        <f t="shared" ref="LM156" si="132">SUM(LM116,LM118,LM120,LM122,LM124,LM126,LM128,LM130,LM138,LM140,LM142,LM144,LM146,LM148,LM150,LM152)</f>
        <v>0</v>
      </c>
      <c r="LS156">
        <f t="shared" ref="LS156" si="133">SUM(LS116,LS118,LS120,LS122,LS124,LS126,LS128,LS130,LS138,LS140,LS142,LS144,LS146,LS148,LS150,LS152)</f>
        <v>0</v>
      </c>
      <c r="LY156">
        <f t="shared" ref="LY156" si="134">SUM(LY116,LY118,LY120,LY122,LY124,LY126,LY128,LY130,LY138,LY140,LY142,LY144,LY146,LY148,LY150,LY152)</f>
        <v>0</v>
      </c>
      <c r="MC156">
        <f t="shared" ref="MC156" si="135">SUM(MC116,MC118,MC120,MC122,MC124,MC126,MC128,MC130,MC138,MC140,MC142,MC144,MC146,MC148,MC150,MC152)</f>
        <v>0</v>
      </c>
      <c r="MG156">
        <f t="shared" ref="MG156" si="136">SUM(MG116,MG118,MG120,MG122,MG124,MG126,MG128,MG130,MG138,MG140,MG142,MG144,MG146,MG148,MG150,MG152)</f>
        <v>0</v>
      </c>
      <c r="MK156">
        <f t="shared" ref="MK156" si="137">SUM(MK116,MK118,MK120,MK122,MK124,MK126,MK128,MK130,MK138,MK140,MK142,MK144,MK146,MK148,MK150,MK152)</f>
        <v>0</v>
      </c>
      <c r="MQ156">
        <f t="shared" ref="MQ156" si="138">SUM(MQ116,MQ118,MQ120,MQ122,MQ124,MQ126,MQ128,MQ130,MQ138,MQ140,MQ142,MQ144,MQ146,MQ148,MQ150,MQ152)</f>
        <v>0</v>
      </c>
      <c r="MU156">
        <f t="shared" ref="MU156" si="139">SUM(MU116,MU118,MU120,MU122,MU124,MU126,MU128,MU130,MU138,MU140,MU142,MU144,MU146,MU148,MU150,MU152)</f>
        <v>0</v>
      </c>
      <c r="MY156">
        <f t="shared" ref="MY156" si="140">SUM(MY116,MY118,MY120,MY122,MY124,MY126,MY128,MY130,MY138,MY140,MY142,MY144,MY146,MY148,MY150,MY152)</f>
        <v>0</v>
      </c>
      <c r="NE156">
        <f t="shared" ref="NE156" si="141">SUM(NE116,NE118,NE120,NE122,NE124,NE126,NE128,NE130,NE138,NE140,NE142,NE144,NE146,NE148,NE150,NE152)</f>
        <v>0</v>
      </c>
      <c r="NK156">
        <f t="shared" ref="NK156" si="142">SUM(NK116,NK118,NK120,NK122,NK124,NK126,NK128,NK130,NK138,NK140,NK142,NK144,NK146,NK148,NK150,NK152)</f>
        <v>0</v>
      </c>
      <c r="NO156">
        <f t="shared" ref="NO156" si="143">SUM(NO116,NO118,NO120,NO122,NO124,NO126,NO128,NO130,NO138,NO140,NO142,NO144,NO146,NO148,NO150,NO152)</f>
        <v>0</v>
      </c>
      <c r="NX156">
        <f t="shared" ref="NX156" si="144">SUM(NX116,NX118,NX120,NX122,NX124,NX126,NX128,NX130,NX138,NX140,NX142,NX144,NX146,NX148,NX150,NX152)</f>
        <v>0</v>
      </c>
      <c r="NZ156" s="3">
        <f t="shared" ref="NZ156" si="145">SUM(NZ116,NZ118,NZ120,NZ122,NZ124,NZ126,NZ128,NZ130,NZ138,NZ140,NZ142,NZ144,NZ146,NZ148,NZ150,NZ152)</f>
        <v>0</v>
      </c>
      <c r="OF156" s="21">
        <f>SUM(OF116,OF118,OF120,OF122,OF124,OF126,OF128,OF130,OF138,OF140,OF142,OF144,OF146,OF148,OF150,OF152)</f>
        <v>0</v>
      </c>
      <c r="OG156">
        <f t="shared" ref="OG156" si="146">SUM(OG116,OG118,OG120,OG122,OG124,OG126,OG128,OG130,OG138,OG140,OG142,OG144,OG146,OG148,OG150,OG152)</f>
        <v>0</v>
      </c>
      <c r="OM156">
        <f t="shared" ref="OM156" si="147">SUM(OM116,OM118,OM120,OM122,OM124,OM126,OM128,OM130,OM138,OM140,OM142,OM144,OM146,OM148,OM150,OM152)</f>
        <v>0</v>
      </c>
      <c r="OR156">
        <f t="shared" ref="OR156" si="148">SUM(OR116,OR118,OR120,OR122,OR124,OR126,OR128,OR130,OR138,OR140,OR142,OR144,OR146,OR148,OR150,OR152)</f>
        <v>0</v>
      </c>
      <c r="OW156">
        <f t="shared" ref="OW156" si="149">SUM(OW116,OW118,OW120,OW122,OW124,OW126,OW128,OW130,OW138,OW140,OW142,OW144,OW146,OW148,OW150,OW152)</f>
        <v>0</v>
      </c>
      <c r="OZ156">
        <f t="shared" ref="OZ156" si="150">SUM(OZ116,OZ118,OZ120,OZ122,OZ124,OZ126,OZ128,OZ130,OZ138,OZ140,OZ142,OZ144,OZ146,OZ148,OZ150,OZ152)</f>
        <v>0</v>
      </c>
      <c r="PB156">
        <f t="shared" ref="PB156" si="151">SUM(PB116,PB118,PB120,PB122,PB124,PB126,PB128,PB130,PB138,PB140,PB142,PB144,PB146,PB148,PB150,PB152)</f>
        <v>0</v>
      </c>
      <c r="PE156">
        <f t="shared" ref="PE156" si="152">SUM(PE116,PE118,PE120,PE122,PE124,PE126,PE128,PE130,PE138,PE140,PE142,PE144,PE146,PE148,PE150,PE152)</f>
        <v>0</v>
      </c>
      <c r="PH156">
        <f t="shared" ref="PH156" si="153">SUM(PH116,PH118,PH120,PH122,PH124,PH126,PH128,PH130,PH138,PH140,PH142,PH144,PH146,PH148,PH150,PH152)</f>
        <v>0</v>
      </c>
      <c r="PJ156">
        <f t="shared" ref="PJ156" si="154">SUM(PJ116,PJ118,PJ120,PJ122,PJ124,PJ126,PJ128,PJ130,PJ138,PJ140,PJ142,PJ144,PJ146,PJ148,PJ150,PJ152)</f>
        <v>0</v>
      </c>
      <c r="PM156">
        <f t="shared" ref="PM156" si="155">SUM(PM116,PM118,PM120,PM122,PM124,PM126,PM128,PM130,PM138,PM140,PM142,PM144,PM146,PM148,PM150,PM152)</f>
        <v>0</v>
      </c>
      <c r="PP156">
        <f t="shared" ref="PP156" si="156">SUM(PP116,PP118,PP120,PP122,PP124,PP126,PP128,PP130,PP138,PP140,PP142,PP144,PP146,PP148,PP150,PP152)</f>
        <v>0</v>
      </c>
      <c r="PS156">
        <f t="shared" ref="PS156" si="157">SUM(PS116,PS118,PS120,PS122,PS124,PS126,PS128,PS130,PS138,PS140,PS142,PS144,PS146,PS148,PS150,PS152)</f>
        <v>0</v>
      </c>
      <c r="PV156">
        <f t="shared" ref="PV156" si="158">SUM(PV116,PV118,PV120,PV122,PV124,PV126,PV128,PV130,PV138,PV140,PV142,PV144,PV146,PV148,PV150,PV152)</f>
        <v>0</v>
      </c>
      <c r="PX156">
        <f t="shared" ref="PX156" si="159">SUM(PX116,PX118,PX120,PX122,PX124,PX126,PX128,PX130,PX138,PX140,PX142,PX144,PX146,PX148,PX150,PX152)</f>
        <v>0</v>
      </c>
      <c r="PZ156">
        <f t="shared" ref="PZ156" si="160">SUM(PZ116,PZ118,PZ120,PZ122,PZ124,PZ126,PZ128,PZ130,PZ138,PZ140,PZ142,PZ144,PZ146,PZ148,PZ150,PZ152)</f>
        <v>0</v>
      </c>
      <c r="QB156">
        <f t="shared" ref="QB156" si="161">SUM(QB116,QB118,QB120,QB122,QB124,QB126,QB128,QB130,QB138,QB140,QB142,QB144,QB146,QB148,QB150,QB152)</f>
        <v>0</v>
      </c>
      <c r="QC156">
        <f>PX156+PZ156+QB156</f>
        <v>0</v>
      </c>
      <c r="QE156">
        <f t="shared" ref="QE156:QK156" si="162">SUM(QE116,QE118,QE120,QE122,QE124,QE126,QE128,QE130,QE138,QE140,QE142,QE144,QE146,QE148,QE150,QE152)</f>
        <v>0</v>
      </c>
      <c r="QF156">
        <f t="shared" si="162"/>
        <v>0</v>
      </c>
      <c r="QG156">
        <f t="shared" si="162"/>
        <v>0</v>
      </c>
      <c r="QH156">
        <f t="shared" si="162"/>
        <v>0</v>
      </c>
      <c r="QI156">
        <f t="shared" si="162"/>
        <v>0</v>
      </c>
      <c r="QJ156">
        <f t="shared" si="162"/>
        <v>0</v>
      </c>
      <c r="QK156">
        <f t="shared" si="162"/>
        <v>0</v>
      </c>
      <c r="QL156">
        <f>QE156+QF156+QG156+QH156+QI156+QJ156+QK156</f>
        <v>0</v>
      </c>
      <c r="QO156">
        <f t="shared" ref="QO156:QR156" si="163">SUM(QO116,QO118,QO120,QO122,QO124,QO126,QO128,QO130,QO138,QO140,QO142,QO144,QO146,QO148,QO150,QO152)</f>
        <v>0</v>
      </c>
      <c r="QP156">
        <f t="shared" si="163"/>
        <v>0</v>
      </c>
      <c r="QQ156">
        <f t="shared" si="163"/>
        <v>0</v>
      </c>
      <c r="QR156">
        <f t="shared" si="163"/>
        <v>0</v>
      </c>
    </row>
    <row r="158" spans="1:460" x14ac:dyDescent="0.25">
      <c r="D158" s="3" t="s">
        <v>1334</v>
      </c>
      <c r="F158" t="s">
        <v>205</v>
      </c>
      <c r="G158" t="s">
        <v>205</v>
      </c>
      <c r="H158" t="s">
        <v>205</v>
      </c>
      <c r="I158" t="s">
        <v>205</v>
      </c>
      <c r="J158" t="s">
        <v>85</v>
      </c>
      <c r="L158" s="3" t="s">
        <v>1335</v>
      </c>
      <c r="M158" s="3"/>
      <c r="N158" s="3"/>
      <c r="O158" s="3"/>
    </row>
    <row r="159" spans="1:460" x14ac:dyDescent="0.25">
      <c r="D159" t="s">
        <v>1288</v>
      </c>
      <c r="E159" t="s">
        <v>1289</v>
      </c>
      <c r="F159" t="s">
        <v>1291</v>
      </c>
      <c r="G159" t="s">
        <v>1347</v>
      </c>
      <c r="H159" t="s">
        <v>1348</v>
      </c>
      <c r="I159" t="s">
        <v>1656</v>
      </c>
      <c r="J159" t="s">
        <v>1657</v>
      </c>
      <c r="L159" t="s">
        <v>1288</v>
      </c>
      <c r="P159" t="s">
        <v>1333</v>
      </c>
      <c r="Q159" t="s">
        <v>1289</v>
      </c>
      <c r="R159" t="s">
        <v>1658</v>
      </c>
      <c r="S159" t="s">
        <v>1744</v>
      </c>
    </row>
    <row r="160" spans="1:460" x14ac:dyDescent="0.25">
      <c r="B160" t="s">
        <v>1287</v>
      </c>
      <c r="D160">
        <f>IF(DyrkAreal34&lt;10,0,IF(DEprHa34&gt;=0.8,14,10))</f>
        <v>0</v>
      </c>
      <c r="E160">
        <f>EfgrKravMiljogodk</f>
        <v>0</v>
      </c>
      <c r="F160">
        <f>EfgrKravVandplan34</f>
        <v>0</v>
      </c>
      <c r="G160">
        <f>IF(ISERROR(-EfgrErstatKvoteReduk34*100/EfgrGrundareal34),0,-EfgrErstatKvoteReduk34*100/EfgrGrundareal34)</f>
        <v>0</v>
      </c>
      <c r="H160">
        <f>IF(ISERROR(EfgrEkstraKvoteTillaeg34*100/EfgrGrundareal34),0,EfgrEkstraKvoteTillaeg34*100/EfgrGrundareal34)</f>
        <v>0</v>
      </c>
      <c r="I160" s="3">
        <f>D160+E160+F160+H160</f>
        <v>0</v>
      </c>
      <c r="J160">
        <f>EfgrKravIaltPct34*EfgrGrundareal34*0.01</f>
        <v>0</v>
      </c>
      <c r="L160">
        <f>IF(DyrkAreal34&lt;10,0,IF(DEprHa34&gt;=0.8,14,10))</f>
        <v>0</v>
      </c>
      <c r="P160">
        <f>IF(ISERROR(GronMarkAreal34*100/DyrkAreal34),0,GronMarkAreal34*100/DyrkAreal34)</f>
        <v>0</v>
      </c>
      <c r="Q160">
        <f>EfgrKravMiljogodk</f>
        <v>0</v>
      </c>
      <c r="R160" s="3">
        <f>IF(DyrkAreal34&lt;10,0,IF(DyrkAreal34&lt;30,(Q160+IF(GronMarkPct34&lt;100-L160,L160,GronMarkPct34-100)),Q160+IF(GronMarkPct34&lt;100-L160,L160,IF(100-GronMarkPct34&lt;4,4,100-GronMarkPct34))))</f>
        <v>0</v>
      </c>
      <c r="S160">
        <f>EfgrKrav2010IaltPct34*EfgrGrundareal34*0.01</f>
        <v>0</v>
      </c>
    </row>
    <row r="161" spans="2:11" x14ac:dyDescent="0.25">
      <c r="B161" t="s">
        <v>1290</v>
      </c>
    </row>
    <row r="167" spans="2:11" x14ac:dyDescent="0.25">
      <c r="B167" t="s">
        <v>76</v>
      </c>
      <c r="C167" t="s">
        <v>80</v>
      </c>
      <c r="D167" t="s">
        <v>81</v>
      </c>
      <c r="E167" t="s">
        <v>28</v>
      </c>
      <c r="F167" t="s">
        <v>194</v>
      </c>
      <c r="G167" t="s">
        <v>78</v>
      </c>
      <c r="H167" t="s">
        <v>426</v>
      </c>
      <c r="I167" t="s">
        <v>15</v>
      </c>
      <c r="K167" t="s">
        <v>83</v>
      </c>
    </row>
    <row r="168" spans="2:11" x14ac:dyDescent="0.25">
      <c r="B168" s="3" t="s">
        <v>1942</v>
      </c>
    </row>
    <row r="170" spans="2:11" x14ac:dyDescent="0.25">
      <c r="B170">
        <v>36</v>
      </c>
      <c r="C170">
        <v>1</v>
      </c>
      <c r="D170" t="b">
        <v>0</v>
      </c>
      <c r="E170">
        <v>34</v>
      </c>
      <c r="F170">
        <v>1</v>
      </c>
      <c r="G170">
        <v>1</v>
      </c>
      <c r="H170">
        <v>1</v>
      </c>
      <c r="I170">
        <v>1</v>
      </c>
      <c r="K170">
        <v>34</v>
      </c>
    </row>
    <row r="172" spans="2:11" x14ac:dyDescent="0.25">
      <c r="B172">
        <v>34</v>
      </c>
      <c r="C172">
        <v>1</v>
      </c>
      <c r="D172" t="b">
        <v>0</v>
      </c>
      <c r="E172">
        <v>34</v>
      </c>
      <c r="F172">
        <v>1</v>
      </c>
      <c r="G172">
        <v>1</v>
      </c>
      <c r="H172">
        <v>1</v>
      </c>
      <c r="I172">
        <v>1</v>
      </c>
      <c r="K172">
        <v>33</v>
      </c>
    </row>
    <row r="174" spans="2:11" x14ac:dyDescent="0.25">
      <c r="B174">
        <v>34</v>
      </c>
      <c r="C174">
        <v>1</v>
      </c>
      <c r="D174" t="b">
        <v>0</v>
      </c>
      <c r="E174">
        <v>34</v>
      </c>
      <c r="F174">
        <v>1</v>
      </c>
      <c r="G174">
        <v>2</v>
      </c>
      <c r="H174">
        <v>1</v>
      </c>
      <c r="I174">
        <v>1</v>
      </c>
      <c r="K174">
        <v>39</v>
      </c>
    </row>
    <row r="176" spans="2:11" x14ac:dyDescent="0.25">
      <c r="B176">
        <v>34</v>
      </c>
      <c r="C176">
        <v>2</v>
      </c>
      <c r="D176" t="b">
        <v>0</v>
      </c>
      <c r="E176">
        <v>39</v>
      </c>
      <c r="F176">
        <v>1</v>
      </c>
      <c r="G176">
        <v>1</v>
      </c>
      <c r="H176">
        <v>1</v>
      </c>
      <c r="I176">
        <v>1</v>
      </c>
      <c r="K176">
        <v>36</v>
      </c>
    </row>
    <row r="178" spans="2:11" x14ac:dyDescent="0.25">
      <c r="B178">
        <v>34</v>
      </c>
      <c r="C178">
        <v>1</v>
      </c>
      <c r="D178" t="b">
        <v>0</v>
      </c>
      <c r="E178">
        <v>33</v>
      </c>
      <c r="F178">
        <v>1</v>
      </c>
      <c r="G178">
        <v>1</v>
      </c>
      <c r="H178">
        <v>1</v>
      </c>
      <c r="I178">
        <v>1</v>
      </c>
      <c r="K178">
        <v>36</v>
      </c>
    </row>
    <row r="180" spans="2:11" x14ac:dyDescent="0.25">
      <c r="B180">
        <v>33</v>
      </c>
      <c r="C180">
        <v>1</v>
      </c>
      <c r="D180" t="b">
        <v>0</v>
      </c>
      <c r="E180">
        <v>36</v>
      </c>
      <c r="F180">
        <v>2</v>
      </c>
      <c r="G180">
        <v>1</v>
      </c>
      <c r="H180">
        <v>1</v>
      </c>
      <c r="I180">
        <v>1</v>
      </c>
      <c r="K180">
        <v>34</v>
      </c>
    </row>
    <row r="182" spans="2:11" x14ac:dyDescent="0.25">
      <c r="B182">
        <v>1</v>
      </c>
      <c r="C182">
        <v>1</v>
      </c>
      <c r="D182" t="b">
        <v>0</v>
      </c>
      <c r="E182">
        <v>1</v>
      </c>
      <c r="F182">
        <v>1</v>
      </c>
      <c r="G182">
        <v>1</v>
      </c>
      <c r="H182">
        <v>1</v>
      </c>
      <c r="I182">
        <v>1</v>
      </c>
      <c r="K182">
        <v>1</v>
      </c>
    </row>
    <row r="184" spans="2:11" x14ac:dyDescent="0.25">
      <c r="B184">
        <v>1</v>
      </c>
      <c r="C184">
        <v>1</v>
      </c>
      <c r="D184" t="b">
        <v>0</v>
      </c>
      <c r="E184">
        <v>1</v>
      </c>
      <c r="F184">
        <v>1</v>
      </c>
      <c r="G184">
        <v>1</v>
      </c>
      <c r="H184">
        <v>1</v>
      </c>
      <c r="I184">
        <v>1</v>
      </c>
      <c r="K184">
        <v>1</v>
      </c>
    </row>
    <row r="186" spans="2:11" x14ac:dyDescent="0.25">
      <c r="B186" t="s">
        <v>76</v>
      </c>
      <c r="C186" t="s">
        <v>80</v>
      </c>
      <c r="D186" t="s">
        <v>81</v>
      </c>
      <c r="E186" t="s">
        <v>28</v>
      </c>
      <c r="F186" t="s">
        <v>194</v>
      </c>
      <c r="G186" t="s">
        <v>78</v>
      </c>
      <c r="H186" t="s">
        <v>426</v>
      </c>
      <c r="I186" t="s">
        <v>15</v>
      </c>
      <c r="K186" t="s">
        <v>83</v>
      </c>
    </row>
    <row r="187" spans="2:11" x14ac:dyDescent="0.25">
      <c r="B187" s="3" t="s">
        <v>1944</v>
      </c>
    </row>
    <row r="188" spans="2:11" x14ac:dyDescent="0.25">
      <c r="B188">
        <v>36</v>
      </c>
      <c r="C188">
        <v>1</v>
      </c>
      <c r="D188" t="b">
        <v>0</v>
      </c>
      <c r="E188">
        <v>34</v>
      </c>
      <c r="F188">
        <v>1</v>
      </c>
      <c r="G188">
        <v>1</v>
      </c>
      <c r="H188">
        <v>1</v>
      </c>
      <c r="I188">
        <v>1</v>
      </c>
      <c r="K188">
        <v>34</v>
      </c>
    </row>
    <row r="190" spans="2:11" x14ac:dyDescent="0.25">
      <c r="B190">
        <v>34</v>
      </c>
      <c r="C190">
        <v>1</v>
      </c>
      <c r="D190" t="b">
        <v>0</v>
      </c>
      <c r="E190">
        <v>34</v>
      </c>
      <c r="F190">
        <v>1</v>
      </c>
      <c r="G190">
        <v>1</v>
      </c>
      <c r="H190">
        <v>1</v>
      </c>
      <c r="I190">
        <v>1</v>
      </c>
      <c r="K190">
        <v>33</v>
      </c>
    </row>
    <row r="192" spans="2:11" x14ac:dyDescent="0.25">
      <c r="B192">
        <v>34</v>
      </c>
      <c r="C192">
        <v>1</v>
      </c>
      <c r="D192" t="b">
        <v>0</v>
      </c>
      <c r="E192">
        <v>34</v>
      </c>
      <c r="F192">
        <v>1</v>
      </c>
      <c r="G192">
        <v>3</v>
      </c>
      <c r="H192">
        <v>1</v>
      </c>
      <c r="I192">
        <v>1</v>
      </c>
      <c r="K192">
        <v>33</v>
      </c>
    </row>
    <row r="194" spans="2:11" x14ac:dyDescent="0.25">
      <c r="B194">
        <v>34</v>
      </c>
      <c r="C194">
        <v>3</v>
      </c>
      <c r="D194" t="b">
        <v>0</v>
      </c>
      <c r="E194">
        <v>33</v>
      </c>
      <c r="F194">
        <v>1</v>
      </c>
      <c r="G194">
        <v>1</v>
      </c>
      <c r="H194">
        <v>1</v>
      </c>
      <c r="I194">
        <v>1</v>
      </c>
      <c r="K194">
        <v>36</v>
      </c>
    </row>
    <row r="196" spans="2:11" x14ac:dyDescent="0.25">
      <c r="B196">
        <v>34</v>
      </c>
      <c r="C196">
        <v>1</v>
      </c>
      <c r="D196" t="b">
        <v>0</v>
      </c>
      <c r="E196">
        <v>33</v>
      </c>
      <c r="F196">
        <v>1</v>
      </c>
      <c r="G196">
        <v>1</v>
      </c>
      <c r="H196">
        <v>1</v>
      </c>
      <c r="I196">
        <v>1</v>
      </c>
      <c r="K196">
        <v>36</v>
      </c>
    </row>
    <row r="198" spans="2:11" x14ac:dyDescent="0.25">
      <c r="B198">
        <v>33</v>
      </c>
      <c r="C198">
        <v>1</v>
      </c>
      <c r="D198" t="b">
        <v>0</v>
      </c>
      <c r="E198">
        <v>36</v>
      </c>
      <c r="F198">
        <v>2</v>
      </c>
      <c r="G198">
        <v>1</v>
      </c>
      <c r="H198">
        <v>1</v>
      </c>
      <c r="I198">
        <v>1</v>
      </c>
      <c r="K198">
        <v>34</v>
      </c>
    </row>
    <row r="200" spans="2:11" x14ac:dyDescent="0.25">
      <c r="B200">
        <v>1</v>
      </c>
      <c r="C200">
        <v>1</v>
      </c>
      <c r="D200" t="b">
        <v>0</v>
      </c>
      <c r="E200">
        <v>1</v>
      </c>
      <c r="F200">
        <v>1</v>
      </c>
      <c r="G200">
        <v>1</v>
      </c>
      <c r="H200">
        <v>1</v>
      </c>
      <c r="I200">
        <v>1</v>
      </c>
      <c r="K200">
        <v>1</v>
      </c>
    </row>
    <row r="202" spans="2:11" x14ac:dyDescent="0.25">
      <c r="B202">
        <v>1</v>
      </c>
      <c r="C202">
        <v>1</v>
      </c>
      <c r="D202" t="b">
        <v>0</v>
      </c>
      <c r="E202">
        <v>1</v>
      </c>
      <c r="F202">
        <v>1</v>
      </c>
      <c r="G202">
        <v>1</v>
      </c>
      <c r="H202">
        <v>1</v>
      </c>
      <c r="I202">
        <v>1</v>
      </c>
      <c r="K202">
        <v>1</v>
      </c>
    </row>
    <row r="204" spans="2:11" x14ac:dyDescent="0.25">
      <c r="B204" t="s">
        <v>76</v>
      </c>
      <c r="C204" t="s">
        <v>80</v>
      </c>
      <c r="D204" t="s">
        <v>81</v>
      </c>
      <c r="E204" t="s">
        <v>28</v>
      </c>
      <c r="F204" t="s">
        <v>194</v>
      </c>
      <c r="G204" t="s">
        <v>78</v>
      </c>
      <c r="H204" t="s">
        <v>426</v>
      </c>
      <c r="I204" t="s">
        <v>15</v>
      </c>
      <c r="K204" t="s">
        <v>83</v>
      </c>
    </row>
    <row r="205" spans="2:11" x14ac:dyDescent="0.25">
      <c r="B205" s="3" t="s">
        <v>1945</v>
      </c>
    </row>
    <row r="206" spans="2:11" x14ac:dyDescent="0.25">
      <c r="B206">
        <v>1</v>
      </c>
      <c r="C206">
        <v>1</v>
      </c>
      <c r="D206" t="b">
        <v>0</v>
      </c>
      <c r="E206">
        <v>1</v>
      </c>
      <c r="F206">
        <v>1</v>
      </c>
      <c r="G206">
        <v>1</v>
      </c>
      <c r="H206">
        <v>1</v>
      </c>
      <c r="I206">
        <v>1</v>
      </c>
      <c r="K206">
        <v>1</v>
      </c>
    </row>
    <row r="208" spans="2:11" x14ac:dyDescent="0.25">
      <c r="B208">
        <v>1</v>
      </c>
      <c r="C208">
        <v>1</v>
      </c>
      <c r="D208" t="b">
        <v>0</v>
      </c>
      <c r="E208">
        <v>1</v>
      </c>
      <c r="F208">
        <v>1</v>
      </c>
      <c r="G208">
        <v>1</v>
      </c>
      <c r="H208">
        <v>1</v>
      </c>
      <c r="I208">
        <v>1</v>
      </c>
      <c r="K208">
        <v>1</v>
      </c>
    </row>
    <row r="210" spans="2:11" x14ac:dyDescent="0.25">
      <c r="B210">
        <v>1</v>
      </c>
      <c r="C210">
        <v>1</v>
      </c>
      <c r="D210" t="b">
        <v>0</v>
      </c>
      <c r="E210">
        <v>1</v>
      </c>
      <c r="F210">
        <v>1</v>
      </c>
      <c r="G210">
        <v>1</v>
      </c>
      <c r="H210">
        <v>1</v>
      </c>
      <c r="I210">
        <v>1</v>
      </c>
      <c r="K210">
        <v>1</v>
      </c>
    </row>
    <row r="212" spans="2:11" x14ac:dyDescent="0.25">
      <c r="B212">
        <v>1</v>
      </c>
      <c r="C212">
        <v>1</v>
      </c>
      <c r="D212" t="b">
        <v>0</v>
      </c>
      <c r="E212">
        <v>1</v>
      </c>
      <c r="F212">
        <v>1</v>
      </c>
      <c r="G212">
        <v>1</v>
      </c>
      <c r="H212">
        <v>1</v>
      </c>
      <c r="I212">
        <v>1</v>
      </c>
      <c r="K212">
        <v>1</v>
      </c>
    </row>
    <row r="214" spans="2:11" x14ac:dyDescent="0.25">
      <c r="B214">
        <v>1</v>
      </c>
      <c r="C214">
        <v>1</v>
      </c>
      <c r="D214" t="b">
        <v>0</v>
      </c>
      <c r="E214">
        <v>1</v>
      </c>
      <c r="F214">
        <v>1</v>
      </c>
      <c r="G214">
        <v>1</v>
      </c>
      <c r="H214">
        <v>1</v>
      </c>
      <c r="I214">
        <v>1</v>
      </c>
      <c r="K214">
        <v>1</v>
      </c>
    </row>
    <row r="216" spans="2:11" x14ac:dyDescent="0.25">
      <c r="B216">
        <v>1</v>
      </c>
      <c r="C216">
        <v>1</v>
      </c>
      <c r="D216" t="b">
        <v>0</v>
      </c>
      <c r="E216">
        <v>1</v>
      </c>
      <c r="F216">
        <v>1</v>
      </c>
      <c r="G216">
        <v>1</v>
      </c>
      <c r="H216">
        <v>1</v>
      </c>
      <c r="I216">
        <v>1</v>
      </c>
      <c r="K216">
        <v>1</v>
      </c>
    </row>
    <row r="218" spans="2:11" x14ac:dyDescent="0.25">
      <c r="B218">
        <v>1</v>
      </c>
      <c r="C218">
        <v>1</v>
      </c>
      <c r="D218" t="b">
        <v>0</v>
      </c>
      <c r="E218">
        <v>1</v>
      </c>
      <c r="F218">
        <v>1</v>
      </c>
      <c r="G218">
        <v>1</v>
      </c>
      <c r="H218">
        <v>1</v>
      </c>
      <c r="I218">
        <v>1</v>
      </c>
      <c r="K218">
        <v>1</v>
      </c>
    </row>
    <row r="220" spans="2:11" x14ac:dyDescent="0.25">
      <c r="B220">
        <v>1</v>
      </c>
      <c r="C220">
        <v>1</v>
      </c>
      <c r="D220" t="b">
        <v>0</v>
      </c>
      <c r="E220">
        <v>1</v>
      </c>
      <c r="F220">
        <v>1</v>
      </c>
      <c r="G220">
        <v>1</v>
      </c>
      <c r="H220">
        <v>1</v>
      </c>
      <c r="I220">
        <v>1</v>
      </c>
      <c r="K220">
        <v>1</v>
      </c>
    </row>
    <row r="222" spans="2:11" x14ac:dyDescent="0.25">
      <c r="B222" s="3" t="s">
        <v>1990</v>
      </c>
    </row>
    <row r="223" spans="2:11" x14ac:dyDescent="0.25">
      <c r="B223">
        <v>18</v>
      </c>
      <c r="C223">
        <v>1</v>
      </c>
      <c r="D223" t="b">
        <v>0</v>
      </c>
      <c r="E223">
        <v>22</v>
      </c>
      <c r="F223">
        <v>1</v>
      </c>
      <c r="G223">
        <v>1</v>
      </c>
      <c r="H223">
        <v>1</v>
      </c>
      <c r="I223">
        <v>1</v>
      </c>
      <c r="K223">
        <v>22</v>
      </c>
    </row>
    <row r="225" spans="2:11" x14ac:dyDescent="0.25">
      <c r="B225">
        <v>18</v>
      </c>
      <c r="C225">
        <v>1</v>
      </c>
      <c r="D225" t="b">
        <v>0</v>
      </c>
      <c r="E225">
        <v>22</v>
      </c>
      <c r="F225">
        <v>1</v>
      </c>
      <c r="G225">
        <v>4</v>
      </c>
      <c r="H225">
        <v>1</v>
      </c>
      <c r="I225">
        <v>1</v>
      </c>
      <c r="K225">
        <v>22</v>
      </c>
    </row>
    <row r="227" spans="2:11" x14ac:dyDescent="0.25">
      <c r="B227">
        <v>22</v>
      </c>
      <c r="C227">
        <v>4</v>
      </c>
      <c r="D227" t="b">
        <v>0</v>
      </c>
      <c r="E227">
        <v>22</v>
      </c>
      <c r="F227">
        <v>1</v>
      </c>
      <c r="G227">
        <v>1</v>
      </c>
      <c r="H227">
        <v>1</v>
      </c>
      <c r="I227">
        <v>1</v>
      </c>
      <c r="K227">
        <v>39</v>
      </c>
    </row>
    <row r="229" spans="2:11" x14ac:dyDescent="0.25">
      <c r="B229">
        <v>22</v>
      </c>
      <c r="C229">
        <v>1</v>
      </c>
      <c r="D229" t="b">
        <v>0</v>
      </c>
      <c r="E229">
        <v>22</v>
      </c>
      <c r="F229">
        <v>1</v>
      </c>
      <c r="G229">
        <v>1</v>
      </c>
      <c r="H229">
        <v>1</v>
      </c>
      <c r="I229">
        <v>1</v>
      </c>
      <c r="K229">
        <v>39</v>
      </c>
    </row>
    <row r="231" spans="2:11" x14ac:dyDescent="0.25">
      <c r="B231">
        <v>22</v>
      </c>
      <c r="C231">
        <v>1</v>
      </c>
      <c r="D231" t="b">
        <v>0</v>
      </c>
      <c r="E231">
        <v>39</v>
      </c>
      <c r="F231">
        <v>1</v>
      </c>
      <c r="G231">
        <v>13</v>
      </c>
      <c r="H231">
        <v>1</v>
      </c>
      <c r="I231">
        <v>1</v>
      </c>
      <c r="K231">
        <v>18</v>
      </c>
    </row>
    <row r="233" spans="2:11" x14ac:dyDescent="0.25">
      <c r="B233">
        <v>39</v>
      </c>
      <c r="C233">
        <v>13</v>
      </c>
      <c r="D233" t="b">
        <v>0</v>
      </c>
      <c r="E233">
        <v>18</v>
      </c>
      <c r="F233">
        <v>1</v>
      </c>
      <c r="G233">
        <v>1</v>
      </c>
      <c r="H233">
        <v>1</v>
      </c>
      <c r="I233">
        <v>1</v>
      </c>
      <c r="K233">
        <v>18</v>
      </c>
    </row>
    <row r="235" spans="2:11" x14ac:dyDescent="0.25">
      <c r="B235">
        <v>18</v>
      </c>
      <c r="C235">
        <v>1</v>
      </c>
      <c r="D235" t="b">
        <v>0</v>
      </c>
      <c r="E235">
        <v>18</v>
      </c>
      <c r="F235">
        <v>1</v>
      </c>
      <c r="G235">
        <v>1</v>
      </c>
      <c r="H235">
        <v>1</v>
      </c>
      <c r="I235">
        <v>1</v>
      </c>
      <c r="K235">
        <v>22</v>
      </c>
    </row>
    <row r="237" spans="2:11" x14ac:dyDescent="0.25">
      <c r="B237">
        <v>1</v>
      </c>
      <c r="C237">
        <v>1</v>
      </c>
      <c r="D237" t="b">
        <v>0</v>
      </c>
      <c r="E237">
        <v>1</v>
      </c>
      <c r="F237">
        <v>1</v>
      </c>
      <c r="G237">
        <v>1</v>
      </c>
      <c r="H237">
        <v>1</v>
      </c>
      <c r="I237">
        <v>1</v>
      </c>
      <c r="K237">
        <v>1</v>
      </c>
    </row>
    <row r="239" spans="2:11" x14ac:dyDescent="0.25">
      <c r="B239" s="3" t="s">
        <v>1991</v>
      </c>
    </row>
    <row r="240" spans="2:11" x14ac:dyDescent="0.25">
      <c r="B240">
        <v>31</v>
      </c>
      <c r="C240">
        <v>1</v>
      </c>
      <c r="D240" t="b">
        <v>0</v>
      </c>
      <c r="E240">
        <v>39</v>
      </c>
      <c r="F240">
        <v>1</v>
      </c>
      <c r="G240">
        <v>1</v>
      </c>
      <c r="H240">
        <v>1</v>
      </c>
      <c r="I240">
        <v>1</v>
      </c>
      <c r="K240">
        <v>33</v>
      </c>
    </row>
    <row r="242" spans="2:11" x14ac:dyDescent="0.25">
      <c r="B242">
        <v>39</v>
      </c>
      <c r="C242">
        <v>1</v>
      </c>
      <c r="D242" t="b">
        <v>0</v>
      </c>
      <c r="E242">
        <v>33</v>
      </c>
      <c r="F242">
        <v>1</v>
      </c>
      <c r="G242">
        <v>1</v>
      </c>
      <c r="H242">
        <v>1</v>
      </c>
      <c r="I242">
        <v>1</v>
      </c>
      <c r="K242">
        <v>36</v>
      </c>
    </row>
    <row r="244" spans="2:11" x14ac:dyDescent="0.25">
      <c r="B244">
        <v>33</v>
      </c>
      <c r="C244">
        <v>1</v>
      </c>
      <c r="D244" t="b">
        <v>0</v>
      </c>
      <c r="E244">
        <v>36</v>
      </c>
      <c r="F244">
        <v>2</v>
      </c>
      <c r="G244">
        <v>1</v>
      </c>
      <c r="H244">
        <v>1</v>
      </c>
      <c r="I244">
        <v>1</v>
      </c>
      <c r="K244">
        <v>34</v>
      </c>
    </row>
    <row r="246" spans="2:11" x14ac:dyDescent="0.25">
      <c r="B246">
        <v>36</v>
      </c>
      <c r="C246">
        <v>1</v>
      </c>
      <c r="D246" t="b">
        <v>0</v>
      </c>
      <c r="E246">
        <v>34</v>
      </c>
      <c r="F246">
        <v>1</v>
      </c>
      <c r="G246">
        <v>1</v>
      </c>
      <c r="H246">
        <v>1</v>
      </c>
      <c r="I246">
        <v>1</v>
      </c>
      <c r="K246">
        <v>31</v>
      </c>
    </row>
    <row r="248" spans="2:11" x14ac:dyDescent="0.25">
      <c r="B248">
        <v>36</v>
      </c>
      <c r="C248">
        <v>1</v>
      </c>
      <c r="D248" t="b">
        <v>0</v>
      </c>
      <c r="E248">
        <v>34</v>
      </c>
      <c r="F248">
        <v>1</v>
      </c>
      <c r="G248">
        <v>2</v>
      </c>
      <c r="H248">
        <v>1</v>
      </c>
      <c r="I248">
        <v>1</v>
      </c>
      <c r="K248">
        <v>31</v>
      </c>
    </row>
    <row r="250" spans="2:11" x14ac:dyDescent="0.25">
      <c r="B250">
        <v>34</v>
      </c>
      <c r="C250">
        <v>2</v>
      </c>
      <c r="D250" t="b">
        <v>0</v>
      </c>
      <c r="E250">
        <v>31</v>
      </c>
      <c r="F250">
        <v>2</v>
      </c>
      <c r="G250">
        <v>1</v>
      </c>
      <c r="H250">
        <v>1</v>
      </c>
      <c r="I250">
        <v>1</v>
      </c>
      <c r="K250">
        <v>39</v>
      </c>
    </row>
    <row r="252" spans="2:11" x14ac:dyDescent="0.25">
      <c r="B252">
        <v>34</v>
      </c>
      <c r="C252">
        <v>1</v>
      </c>
      <c r="D252" t="b">
        <v>0</v>
      </c>
      <c r="E252">
        <v>31</v>
      </c>
      <c r="F252">
        <v>2</v>
      </c>
      <c r="G252">
        <v>1</v>
      </c>
      <c r="H252">
        <v>1</v>
      </c>
      <c r="I252">
        <v>1</v>
      </c>
      <c r="K252">
        <v>39</v>
      </c>
    </row>
    <row r="254" spans="2:11" x14ac:dyDescent="0.25">
      <c r="B254">
        <v>1</v>
      </c>
      <c r="C254">
        <v>1</v>
      </c>
      <c r="D254" t="b">
        <v>0</v>
      </c>
      <c r="E254">
        <v>1</v>
      </c>
      <c r="F254">
        <v>1</v>
      </c>
      <c r="G254">
        <v>1</v>
      </c>
      <c r="H254">
        <v>1</v>
      </c>
      <c r="I254">
        <v>1</v>
      </c>
      <c r="K254">
        <v>1</v>
      </c>
    </row>
    <row r="257" spans="2:11" x14ac:dyDescent="0.25">
      <c r="B257" s="3" t="s">
        <v>1993</v>
      </c>
    </row>
    <row r="258" spans="2:11" x14ac:dyDescent="0.25">
      <c r="B258">
        <v>40</v>
      </c>
      <c r="C258">
        <v>1</v>
      </c>
      <c r="D258" t="b">
        <v>0</v>
      </c>
      <c r="E258">
        <v>33</v>
      </c>
      <c r="F258">
        <v>1</v>
      </c>
      <c r="G258">
        <v>1</v>
      </c>
      <c r="H258">
        <v>1</v>
      </c>
      <c r="I258">
        <v>1</v>
      </c>
      <c r="K258">
        <v>36</v>
      </c>
    </row>
    <row r="260" spans="2:11" x14ac:dyDescent="0.25">
      <c r="B260">
        <v>33</v>
      </c>
      <c r="C260">
        <v>1</v>
      </c>
      <c r="D260" t="b">
        <v>0</v>
      </c>
      <c r="E260">
        <v>36</v>
      </c>
      <c r="F260">
        <v>2</v>
      </c>
      <c r="G260">
        <v>1</v>
      </c>
      <c r="H260">
        <v>1</v>
      </c>
      <c r="I260">
        <v>1</v>
      </c>
      <c r="K260">
        <v>34</v>
      </c>
    </row>
    <row r="262" spans="2:11" x14ac:dyDescent="0.25">
      <c r="B262">
        <v>36</v>
      </c>
      <c r="C262">
        <v>1</v>
      </c>
      <c r="D262" t="b">
        <v>0</v>
      </c>
      <c r="E262">
        <v>34</v>
      </c>
      <c r="F262">
        <v>1</v>
      </c>
      <c r="G262">
        <v>1</v>
      </c>
      <c r="H262">
        <v>1</v>
      </c>
      <c r="I262">
        <v>1</v>
      </c>
      <c r="K262">
        <v>40</v>
      </c>
    </row>
    <row r="264" spans="2:11" x14ac:dyDescent="0.25">
      <c r="B264">
        <v>34</v>
      </c>
      <c r="C264">
        <v>1</v>
      </c>
      <c r="D264" t="b">
        <v>0</v>
      </c>
      <c r="E264">
        <v>40</v>
      </c>
      <c r="F264">
        <v>1</v>
      </c>
      <c r="G264">
        <v>14</v>
      </c>
      <c r="H264">
        <v>1</v>
      </c>
      <c r="I264">
        <v>1</v>
      </c>
      <c r="K264">
        <v>3</v>
      </c>
    </row>
    <row r="266" spans="2:11" x14ac:dyDescent="0.25">
      <c r="B266">
        <v>40</v>
      </c>
      <c r="C266">
        <v>14</v>
      </c>
      <c r="D266" t="b">
        <v>0</v>
      </c>
      <c r="E266">
        <v>3</v>
      </c>
      <c r="F266">
        <v>1</v>
      </c>
      <c r="G266">
        <v>1</v>
      </c>
      <c r="H266">
        <v>1</v>
      </c>
      <c r="I266">
        <v>1</v>
      </c>
      <c r="K266">
        <v>34</v>
      </c>
    </row>
    <row r="268" spans="2:11" x14ac:dyDescent="0.25">
      <c r="B268">
        <v>40</v>
      </c>
      <c r="C268">
        <v>14</v>
      </c>
      <c r="D268" t="b">
        <v>0</v>
      </c>
      <c r="E268">
        <v>3</v>
      </c>
      <c r="F268">
        <v>1</v>
      </c>
      <c r="G268">
        <v>7</v>
      </c>
      <c r="H268">
        <v>1</v>
      </c>
      <c r="I268">
        <v>1</v>
      </c>
      <c r="K268">
        <v>40</v>
      </c>
    </row>
    <row r="270" spans="2:11" x14ac:dyDescent="0.25">
      <c r="B270">
        <v>3</v>
      </c>
      <c r="C270">
        <v>7</v>
      </c>
      <c r="D270" t="b">
        <v>0</v>
      </c>
      <c r="E270">
        <v>40</v>
      </c>
      <c r="F270">
        <v>1</v>
      </c>
      <c r="G270">
        <v>1</v>
      </c>
      <c r="H270">
        <v>1</v>
      </c>
      <c r="I270">
        <v>1</v>
      </c>
      <c r="K270">
        <v>33</v>
      </c>
    </row>
    <row r="272" spans="2:11" x14ac:dyDescent="0.25">
      <c r="B272">
        <v>3</v>
      </c>
      <c r="C272">
        <v>1</v>
      </c>
      <c r="D272" t="b">
        <v>0</v>
      </c>
      <c r="E272">
        <v>34</v>
      </c>
      <c r="F272">
        <v>1</v>
      </c>
      <c r="G272">
        <v>1</v>
      </c>
      <c r="H272">
        <v>1</v>
      </c>
      <c r="I272">
        <v>1</v>
      </c>
      <c r="K272">
        <v>33</v>
      </c>
    </row>
  </sheetData>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3">
    <pageSetUpPr fitToPage="1"/>
  </sheetPr>
  <dimension ref="E1:EF1155"/>
  <sheetViews>
    <sheetView topLeftCell="BP1" zoomScaleNormal="100" workbookViewId="0">
      <selection activeCell="EE3" sqref="EE3"/>
    </sheetView>
  </sheetViews>
  <sheetFormatPr defaultRowHeight="15" x14ac:dyDescent="0.25"/>
  <cols>
    <col min="2" max="9" width="9.140625" customWidth="1"/>
    <col min="10" max="10" width="45.28515625" customWidth="1"/>
    <col min="11" max="27" width="9.140625" customWidth="1"/>
    <col min="28" max="28" width="18.7109375" customWidth="1"/>
    <col min="29" max="29" width="15.85546875" customWidth="1"/>
    <col min="30" max="41" width="9.140625" customWidth="1"/>
    <col min="42" max="42" width="9.5703125" customWidth="1"/>
    <col min="43" max="43" width="8.42578125" customWidth="1"/>
    <col min="44" max="45" width="9.140625" customWidth="1"/>
    <col min="46" max="46" width="10.42578125" customWidth="1"/>
    <col min="47" max="47" width="9.140625" customWidth="1"/>
    <col min="48" max="48" width="10.5703125" customWidth="1"/>
    <col min="49" max="49" width="8" customWidth="1"/>
    <col min="50" max="56" width="9.140625" customWidth="1"/>
    <col min="57" max="57" width="8.85546875" customWidth="1"/>
    <col min="58" max="58" width="7.28515625" customWidth="1"/>
    <col min="59" max="59" width="7.5703125" customWidth="1"/>
    <col min="60" max="60" width="19.140625" customWidth="1"/>
    <col min="61" max="61" width="9.140625" customWidth="1"/>
    <col min="62" max="62" width="9.140625" style="12" customWidth="1"/>
    <col min="63" max="76" width="9.140625" customWidth="1"/>
    <col min="77" max="83" width="9.140625" style="4" customWidth="1"/>
    <col min="84" max="84" width="9.42578125" style="4" customWidth="1"/>
    <col min="85" max="88" width="9.140625" style="4" customWidth="1"/>
    <col min="89" max="91" width="9.140625" style="12"/>
    <col min="92" max="92" width="8.28515625" style="12" customWidth="1"/>
    <col min="93" max="97" width="9.140625" style="12"/>
    <col min="98" max="98" width="7.28515625" style="12" customWidth="1"/>
    <col min="99" max="99" width="9.28515625" style="12" customWidth="1"/>
    <col min="100" max="100" width="12" customWidth="1"/>
    <col min="101" max="101" width="9.140625" customWidth="1"/>
    <col min="102" max="102" width="8.42578125" customWidth="1"/>
    <col min="103" max="103" width="7" customWidth="1"/>
    <col min="104" max="104" width="8.5703125" customWidth="1"/>
    <col min="105" max="105" width="16.140625" customWidth="1"/>
    <col min="106" max="106" width="18.140625" customWidth="1"/>
    <col min="107" max="125" width="9.140625" customWidth="1"/>
    <col min="126" max="126" width="10.7109375" customWidth="1"/>
    <col min="127" max="146" width="9.140625" customWidth="1"/>
  </cols>
  <sheetData>
    <row r="1" spans="8:136" x14ac:dyDescent="0.25">
      <c r="AH1" s="12"/>
      <c r="AI1" s="12"/>
      <c r="AJ1" s="12"/>
      <c r="AK1" s="12"/>
      <c r="AL1" s="12"/>
      <c r="AR1" s="12"/>
      <c r="AT1" s="12"/>
      <c r="AV1" s="12"/>
      <c r="AY1" s="12"/>
      <c r="AZ1" s="12"/>
      <c r="BA1" s="12"/>
      <c r="BY1" s="12"/>
      <c r="BZ1" s="12"/>
      <c r="CA1" s="12"/>
      <c r="CB1" s="12"/>
      <c r="CC1" s="12"/>
      <c r="CD1" s="12"/>
      <c r="CE1" s="12"/>
      <c r="CF1" s="12"/>
      <c r="CG1" s="12"/>
      <c r="CH1" s="12"/>
      <c r="CI1" s="12"/>
      <c r="CJ1" s="12"/>
      <c r="DB1" s="109" t="s">
        <v>1752</v>
      </c>
      <c r="DC1" s="109"/>
      <c r="DD1" s="109"/>
      <c r="DE1" s="109"/>
      <c r="DF1" s="109"/>
      <c r="DG1" s="109"/>
      <c r="DH1" s="109"/>
    </row>
    <row r="2" spans="8:136" x14ac:dyDescent="0.25">
      <c r="AM2" s="12"/>
      <c r="AN2" s="12"/>
      <c r="AR2" s="12"/>
      <c r="AS2" s="12"/>
      <c r="AT2" s="12"/>
      <c r="AY2" s="12"/>
      <c r="AZ2" s="12"/>
      <c r="BA2" s="12"/>
      <c r="BY2" s="200" t="s">
        <v>1831</v>
      </c>
      <c r="BZ2" s="12"/>
      <c r="CA2" s="12"/>
      <c r="CB2" s="12"/>
      <c r="CC2" s="12"/>
      <c r="CD2" s="12"/>
      <c r="CE2" s="12"/>
      <c r="CF2" s="12"/>
      <c r="CG2" s="12"/>
      <c r="CH2" s="12"/>
      <c r="CI2" s="12"/>
      <c r="CJ2" s="12"/>
      <c r="CV2" s="12"/>
      <c r="CW2" s="12"/>
      <c r="DB2" s="3" t="s">
        <v>1754</v>
      </c>
      <c r="DL2" s="3" t="s">
        <v>290</v>
      </c>
      <c r="DS2" s="3" t="s">
        <v>1753</v>
      </c>
      <c r="DY2" s="23" t="s">
        <v>1516</v>
      </c>
      <c r="DZ2" s="4"/>
      <c r="EA2" s="4"/>
      <c r="EB2" s="4"/>
      <c r="EC2" s="4"/>
      <c r="ED2" s="4"/>
      <c r="EE2" s="12"/>
      <c r="EF2" s="12"/>
    </row>
    <row r="3" spans="8:136" x14ac:dyDescent="0.25">
      <c r="I3">
        <v>1</v>
      </c>
      <c r="J3">
        <v>2</v>
      </c>
      <c r="K3">
        <v>3</v>
      </c>
      <c r="L3">
        <v>4</v>
      </c>
      <c r="M3">
        <v>5</v>
      </c>
      <c r="N3">
        <v>6</v>
      </c>
      <c r="O3">
        <v>7</v>
      </c>
      <c r="P3">
        <v>8</v>
      </c>
      <c r="Q3">
        <v>9</v>
      </c>
      <c r="R3">
        <v>10</v>
      </c>
      <c r="S3">
        <v>11</v>
      </c>
      <c r="T3">
        <v>12</v>
      </c>
      <c r="U3">
        <v>13</v>
      </c>
      <c r="V3">
        <v>14</v>
      </c>
      <c r="W3">
        <v>15</v>
      </c>
      <c r="X3">
        <v>16</v>
      </c>
      <c r="Y3">
        <v>17</v>
      </c>
      <c r="Z3">
        <v>18</v>
      </c>
      <c r="AA3">
        <v>19</v>
      </c>
      <c r="AB3">
        <v>20</v>
      </c>
      <c r="AC3">
        <v>21</v>
      </c>
      <c r="AD3">
        <v>22</v>
      </c>
      <c r="AE3">
        <v>23</v>
      </c>
      <c r="AF3">
        <v>24</v>
      </c>
      <c r="AG3">
        <v>25</v>
      </c>
      <c r="AH3">
        <v>26</v>
      </c>
      <c r="AI3">
        <v>27</v>
      </c>
      <c r="AJ3">
        <v>28</v>
      </c>
      <c r="AK3">
        <v>29</v>
      </c>
      <c r="AL3">
        <v>30</v>
      </c>
      <c r="AM3">
        <v>31</v>
      </c>
      <c r="AN3">
        <v>32</v>
      </c>
      <c r="AO3">
        <v>33</v>
      </c>
      <c r="AP3">
        <v>34</v>
      </c>
      <c r="AQ3">
        <v>35</v>
      </c>
      <c r="AR3">
        <v>36</v>
      </c>
      <c r="AS3">
        <v>37</v>
      </c>
      <c r="AT3">
        <v>38</v>
      </c>
      <c r="AU3">
        <v>39</v>
      </c>
      <c r="AV3">
        <v>40</v>
      </c>
      <c r="AW3">
        <v>41</v>
      </c>
      <c r="AX3">
        <v>42</v>
      </c>
      <c r="AY3">
        <v>43</v>
      </c>
      <c r="AZ3">
        <v>44</v>
      </c>
      <c r="BA3">
        <v>45</v>
      </c>
      <c r="BB3">
        <v>46</v>
      </c>
      <c r="BC3">
        <v>47</v>
      </c>
      <c r="BD3">
        <v>48</v>
      </c>
      <c r="BE3">
        <v>49</v>
      </c>
      <c r="BF3">
        <v>50</v>
      </c>
      <c r="BG3">
        <v>51</v>
      </c>
      <c r="BH3">
        <v>52</v>
      </c>
      <c r="BI3">
        <v>53</v>
      </c>
      <c r="BJ3" s="12">
        <v>54</v>
      </c>
      <c r="BK3">
        <v>55</v>
      </c>
      <c r="BL3">
        <v>56</v>
      </c>
      <c r="BM3">
        <v>57</v>
      </c>
      <c r="BN3">
        <v>58</v>
      </c>
      <c r="BO3">
        <v>59</v>
      </c>
      <c r="BP3">
        <v>60</v>
      </c>
      <c r="BQ3">
        <v>61</v>
      </c>
      <c r="BR3">
        <v>62</v>
      </c>
      <c r="BS3">
        <v>63</v>
      </c>
      <c r="BT3">
        <v>64</v>
      </c>
      <c r="BU3">
        <v>65</v>
      </c>
      <c r="BV3">
        <v>66</v>
      </c>
      <c r="BW3">
        <v>67</v>
      </c>
      <c r="BX3">
        <v>68</v>
      </c>
      <c r="BY3" s="12">
        <v>69</v>
      </c>
      <c r="BZ3" s="12">
        <v>70</v>
      </c>
      <c r="CA3" s="12">
        <v>71</v>
      </c>
      <c r="CB3" s="12">
        <v>72</v>
      </c>
      <c r="CC3" s="12">
        <v>73</v>
      </c>
      <c r="CD3" s="12">
        <v>74</v>
      </c>
      <c r="CE3" s="12">
        <v>75</v>
      </c>
      <c r="CF3" s="12">
        <v>76</v>
      </c>
      <c r="CG3" s="12">
        <v>77</v>
      </c>
      <c r="CH3" s="12">
        <v>78</v>
      </c>
      <c r="CI3" s="12">
        <v>79</v>
      </c>
      <c r="CJ3" s="12">
        <v>80</v>
      </c>
      <c r="CK3" s="12">
        <v>81</v>
      </c>
      <c r="CL3" s="12">
        <v>82</v>
      </c>
      <c r="CM3" s="12">
        <v>83</v>
      </c>
      <c r="CN3" s="12">
        <v>84</v>
      </c>
      <c r="CO3" s="12">
        <v>85</v>
      </c>
      <c r="CP3" s="12">
        <v>86</v>
      </c>
      <c r="CQ3" s="12">
        <v>87</v>
      </c>
      <c r="CR3" s="12">
        <v>88</v>
      </c>
      <c r="CS3" s="12">
        <v>89</v>
      </c>
      <c r="CT3" s="12">
        <v>90</v>
      </c>
      <c r="CU3" s="12">
        <v>91</v>
      </c>
      <c r="CV3">
        <v>92</v>
      </c>
      <c r="CW3">
        <v>93</v>
      </c>
      <c r="CX3">
        <v>94</v>
      </c>
      <c r="CY3">
        <v>95</v>
      </c>
      <c r="CZ3">
        <v>96</v>
      </c>
      <c r="DA3">
        <v>97</v>
      </c>
      <c r="DB3">
        <v>98</v>
      </c>
      <c r="DC3">
        <v>99</v>
      </c>
      <c r="DD3">
        <v>100</v>
      </c>
      <c r="DE3">
        <v>101</v>
      </c>
      <c r="DF3">
        <v>102</v>
      </c>
      <c r="DG3">
        <v>103</v>
      </c>
      <c r="DH3">
        <v>104</v>
      </c>
      <c r="DI3">
        <v>105</v>
      </c>
      <c r="DJ3">
        <v>106</v>
      </c>
      <c r="DK3">
        <v>107</v>
      </c>
      <c r="DL3">
        <v>108</v>
      </c>
      <c r="DM3">
        <v>109</v>
      </c>
      <c r="DN3">
        <v>110</v>
      </c>
      <c r="DO3">
        <v>111</v>
      </c>
      <c r="DP3">
        <v>112</v>
      </c>
      <c r="DQ3">
        <v>113</v>
      </c>
      <c r="DR3">
        <v>114</v>
      </c>
      <c r="DS3">
        <v>115</v>
      </c>
      <c r="DT3">
        <v>116</v>
      </c>
      <c r="DU3">
        <v>117</v>
      </c>
      <c r="DV3">
        <v>118</v>
      </c>
      <c r="DW3">
        <v>119</v>
      </c>
      <c r="DX3">
        <v>120</v>
      </c>
      <c r="DY3">
        <v>121</v>
      </c>
      <c r="DZ3">
        <v>122</v>
      </c>
      <c r="EA3">
        <v>123</v>
      </c>
      <c r="EB3">
        <v>124</v>
      </c>
      <c r="EC3">
        <v>125</v>
      </c>
      <c r="ED3">
        <v>126</v>
      </c>
      <c r="EE3" s="12">
        <v>127</v>
      </c>
      <c r="EF3" s="12">
        <v>128</v>
      </c>
    </row>
    <row r="4" spans="8:136" ht="45" x14ac:dyDescent="0.25">
      <c r="N4" t="s">
        <v>0</v>
      </c>
      <c r="S4" t="s">
        <v>1321</v>
      </c>
      <c r="X4" t="s">
        <v>1</v>
      </c>
      <c r="AD4" t="s">
        <v>77</v>
      </c>
      <c r="AI4" t="s">
        <v>1515</v>
      </c>
      <c r="AJ4" t="s">
        <v>1989</v>
      </c>
      <c r="AK4" t="s">
        <v>1322</v>
      </c>
      <c r="AL4" t="s">
        <v>1988</v>
      </c>
      <c r="AM4" t="s">
        <v>198</v>
      </c>
      <c r="AN4" t="s">
        <v>1337</v>
      </c>
      <c r="AP4" t="s">
        <v>2</v>
      </c>
      <c r="AQ4" t="s">
        <v>3</v>
      </c>
      <c r="AR4" t="s">
        <v>4</v>
      </c>
      <c r="AT4" t="s">
        <v>210</v>
      </c>
      <c r="AU4" t="s">
        <v>203</v>
      </c>
      <c r="AV4" t="s">
        <v>209</v>
      </c>
      <c r="AW4" t="s">
        <v>211</v>
      </c>
      <c r="AX4" t="s">
        <v>1139</v>
      </c>
      <c r="AY4" t="s">
        <v>252</v>
      </c>
      <c r="AZ4" t="s">
        <v>204</v>
      </c>
      <c r="BA4" t="s">
        <v>6</v>
      </c>
      <c r="BB4" t="s">
        <v>7</v>
      </c>
      <c r="BC4" t="s">
        <v>8</v>
      </c>
      <c r="BD4" t="s">
        <v>9</v>
      </c>
      <c r="BE4" t="s">
        <v>10</v>
      </c>
      <c r="BF4" t="s">
        <v>11</v>
      </c>
      <c r="BG4" t="s">
        <v>12</v>
      </c>
      <c r="BH4" t="s">
        <v>1832</v>
      </c>
      <c r="BI4" t="s">
        <v>14</v>
      </c>
      <c r="BJ4" s="12" t="s">
        <v>1239</v>
      </c>
      <c r="BK4" t="s">
        <v>1240</v>
      </c>
      <c r="BL4" t="s">
        <v>1244</v>
      </c>
      <c r="BM4" t="s">
        <v>1194</v>
      </c>
      <c r="BN4" t="s">
        <v>1246</v>
      </c>
      <c r="BO4" t="s">
        <v>1238</v>
      </c>
      <c r="BP4" t="s">
        <v>1144</v>
      </c>
      <c r="BQ4" t="s">
        <v>1151</v>
      </c>
      <c r="BR4" t="s">
        <v>1152</v>
      </c>
      <c r="BS4" t="s">
        <v>1164</v>
      </c>
      <c r="BT4" t="s">
        <v>473</v>
      </c>
      <c r="BU4" t="s">
        <v>1305</v>
      </c>
      <c r="BV4" t="s">
        <v>1169</v>
      </c>
      <c r="BW4" t="s">
        <v>1170</v>
      </c>
      <c r="BX4" t="s">
        <v>1328</v>
      </c>
      <c r="BY4" s="6" t="s">
        <v>17</v>
      </c>
      <c r="BZ4" s="6" t="s">
        <v>353</v>
      </c>
      <c r="CA4" s="6" t="s">
        <v>1829</v>
      </c>
      <c r="CB4" s="6" t="s">
        <v>19</v>
      </c>
      <c r="CC4" s="6" t="s">
        <v>354</v>
      </c>
      <c r="CD4" s="6" t="s">
        <v>340</v>
      </c>
      <c r="CE4" s="6" t="s">
        <v>341</v>
      </c>
      <c r="CF4" s="6" t="s">
        <v>355</v>
      </c>
      <c r="CG4" s="6" t="s">
        <v>343</v>
      </c>
      <c r="CH4" s="6" t="s">
        <v>21</v>
      </c>
      <c r="CI4" s="6" t="s">
        <v>3</v>
      </c>
      <c r="CJ4" s="6" t="s">
        <v>26</v>
      </c>
      <c r="CK4" s="12" t="s">
        <v>22</v>
      </c>
      <c r="CM4" s="12" t="s">
        <v>368</v>
      </c>
      <c r="CN4" s="12" t="s">
        <v>377</v>
      </c>
      <c r="CO4" s="12" t="s">
        <v>390</v>
      </c>
      <c r="CP4" s="12" t="s">
        <v>23</v>
      </c>
      <c r="CQ4" s="12" t="s">
        <v>399</v>
      </c>
      <c r="CR4" s="12" t="s">
        <v>400</v>
      </c>
      <c r="CS4" s="12" t="s">
        <v>15</v>
      </c>
      <c r="CT4" s="12" t="s">
        <v>431</v>
      </c>
      <c r="CU4" s="12" t="s">
        <v>432</v>
      </c>
      <c r="CV4" s="12" t="s">
        <v>24</v>
      </c>
      <c r="CW4" s="12" t="s">
        <v>24</v>
      </c>
      <c r="CX4" s="12" t="s">
        <v>25</v>
      </c>
      <c r="CY4" t="s">
        <v>104</v>
      </c>
      <c r="DA4" t="s">
        <v>27</v>
      </c>
      <c r="DC4" t="s">
        <v>439</v>
      </c>
      <c r="DD4" t="s">
        <v>442</v>
      </c>
      <c r="DE4" t="s">
        <v>441</v>
      </c>
      <c r="DF4" t="s">
        <v>1885</v>
      </c>
      <c r="DG4" t="s">
        <v>1885</v>
      </c>
      <c r="DH4" t="s">
        <v>1906</v>
      </c>
      <c r="DI4" t="s">
        <v>1907</v>
      </c>
      <c r="DJ4" t="s">
        <v>487</v>
      </c>
      <c r="DK4" t="s">
        <v>2</v>
      </c>
      <c r="DL4" t="s">
        <v>226</v>
      </c>
      <c r="DM4" t="s">
        <v>227</v>
      </c>
      <c r="DN4" t="s">
        <v>228</v>
      </c>
      <c r="DO4" t="s">
        <v>229</v>
      </c>
      <c r="DP4" t="s">
        <v>230</v>
      </c>
      <c r="DQ4" t="s">
        <v>231</v>
      </c>
      <c r="DR4" t="s">
        <v>266</v>
      </c>
      <c r="DS4" t="s">
        <v>540</v>
      </c>
      <c r="DT4" t="s">
        <v>233</v>
      </c>
      <c r="DU4" t="s">
        <v>233</v>
      </c>
      <c r="DV4" t="s">
        <v>234</v>
      </c>
      <c r="DW4" t="s">
        <v>235</v>
      </c>
      <c r="DX4" t="s">
        <v>236</v>
      </c>
      <c r="DY4" s="4" t="s">
        <v>237</v>
      </c>
      <c r="DZ4" s="4"/>
      <c r="EA4" s="4"/>
      <c r="EB4" s="4"/>
      <c r="EC4" s="4"/>
      <c r="ED4" s="4"/>
      <c r="EE4" s="12" t="s">
        <v>238</v>
      </c>
      <c r="EF4" s="12" t="s">
        <v>266</v>
      </c>
    </row>
    <row r="5" spans="8:136" ht="33" customHeight="1" x14ac:dyDescent="0.25">
      <c r="J5" t="s">
        <v>28</v>
      </c>
      <c r="K5" t="s">
        <v>29</v>
      </c>
      <c r="L5" s="1" t="s">
        <v>1760</v>
      </c>
      <c r="M5" s="1" t="s">
        <v>1761</v>
      </c>
      <c r="N5" t="s">
        <v>31</v>
      </c>
      <c r="O5" t="s">
        <v>32</v>
      </c>
      <c r="P5" t="s">
        <v>33</v>
      </c>
      <c r="Q5" t="s">
        <v>34</v>
      </c>
      <c r="R5" t="s">
        <v>35</v>
      </c>
      <c r="S5" t="s">
        <v>31</v>
      </c>
      <c r="T5" t="s">
        <v>32</v>
      </c>
      <c r="U5" t="s">
        <v>33</v>
      </c>
      <c r="V5" t="s">
        <v>34</v>
      </c>
      <c r="W5" t="s">
        <v>35</v>
      </c>
      <c r="X5" t="s">
        <v>31</v>
      </c>
      <c r="Y5" t="s">
        <v>32</v>
      </c>
      <c r="Z5" t="s">
        <v>33</v>
      </c>
      <c r="AA5" t="s">
        <v>34</v>
      </c>
      <c r="AB5" t="s">
        <v>35</v>
      </c>
      <c r="AD5" t="s">
        <v>31</v>
      </c>
      <c r="AE5" t="s">
        <v>32</v>
      </c>
      <c r="AF5" t="s">
        <v>33</v>
      </c>
      <c r="AG5" t="s">
        <v>34</v>
      </c>
      <c r="AH5" t="s">
        <v>35</v>
      </c>
      <c r="AI5" t="s">
        <v>82</v>
      </c>
      <c r="AJ5" t="s">
        <v>38</v>
      </c>
      <c r="AK5" t="s">
        <v>1319</v>
      </c>
      <c r="AL5" t="s">
        <v>38</v>
      </c>
      <c r="AN5" t="s">
        <v>1338</v>
      </c>
      <c r="AP5" t="s">
        <v>36</v>
      </c>
      <c r="AQ5" t="s">
        <v>36</v>
      </c>
      <c r="AR5" t="s">
        <v>36</v>
      </c>
      <c r="AT5" t="s">
        <v>205</v>
      </c>
      <c r="AU5" t="s">
        <v>205</v>
      </c>
      <c r="AV5" t="s">
        <v>209</v>
      </c>
      <c r="AW5" t="s">
        <v>201</v>
      </c>
      <c r="AX5" t="s">
        <v>1140</v>
      </c>
      <c r="AY5" t="s">
        <v>40</v>
      </c>
      <c r="AZ5" t="s">
        <v>201</v>
      </c>
      <c r="BA5" t="s">
        <v>1749</v>
      </c>
      <c r="BB5" t="s">
        <v>1749</v>
      </c>
      <c r="BC5" s="12" t="s">
        <v>528</v>
      </c>
      <c r="BD5" s="12" t="s">
        <v>528</v>
      </c>
      <c r="BE5" s="12" t="s">
        <v>1750</v>
      </c>
      <c r="BF5" s="12" t="s">
        <v>1745</v>
      </c>
      <c r="BG5" s="12" t="s">
        <v>528</v>
      </c>
      <c r="BH5" t="s">
        <v>1833</v>
      </c>
      <c r="BJ5" s="12" t="s">
        <v>1143</v>
      </c>
      <c r="BK5" t="s">
        <v>1143</v>
      </c>
      <c r="BL5" t="s">
        <v>38</v>
      </c>
      <c r="BM5" t="s">
        <v>38</v>
      </c>
      <c r="BN5" t="s">
        <v>38</v>
      </c>
      <c r="BO5" t="s">
        <v>38</v>
      </c>
      <c r="BP5" t="s">
        <v>38</v>
      </c>
      <c r="BQ5" t="s">
        <v>1163</v>
      </c>
      <c r="BR5" t="s">
        <v>1163</v>
      </c>
      <c r="BS5" t="s">
        <v>1163</v>
      </c>
      <c r="BT5" t="s">
        <v>38</v>
      </c>
      <c r="BU5" t="s">
        <v>38</v>
      </c>
      <c r="BV5" t="s">
        <v>38</v>
      </c>
      <c r="BW5" t="s">
        <v>38</v>
      </c>
      <c r="BX5" t="s">
        <v>38</v>
      </c>
      <c r="BY5" s="12"/>
      <c r="BZ5" s="12"/>
      <c r="CA5" s="6" t="s">
        <v>1828</v>
      </c>
      <c r="CB5" s="12"/>
      <c r="CC5" s="12" t="s">
        <v>1830</v>
      </c>
      <c r="CD5" s="12" t="s">
        <v>1830</v>
      </c>
      <c r="CE5" s="12" t="s">
        <v>1830</v>
      </c>
      <c r="CF5" s="12" t="s">
        <v>1830</v>
      </c>
      <c r="CG5" s="12"/>
      <c r="CH5" s="12" t="s">
        <v>39</v>
      </c>
      <c r="CI5" s="12" t="s">
        <v>43</v>
      </c>
      <c r="CJ5" s="12" t="s">
        <v>43</v>
      </c>
      <c r="CK5" s="12" t="s">
        <v>191</v>
      </c>
      <c r="CL5" s="12" t="s">
        <v>371</v>
      </c>
      <c r="CM5" s="12" t="s">
        <v>188</v>
      </c>
      <c r="CO5" s="12" t="s">
        <v>391</v>
      </c>
      <c r="CP5" s="12" t="s">
        <v>191</v>
      </c>
      <c r="CQ5" s="12" t="s">
        <v>186</v>
      </c>
      <c r="CR5" s="12" t="s">
        <v>391</v>
      </c>
      <c r="CS5" s="12" t="s">
        <v>430</v>
      </c>
      <c r="CT5" s="12" t="s">
        <v>436</v>
      </c>
      <c r="CU5" s="12" t="s">
        <v>436</v>
      </c>
      <c r="CV5" s="12" t="s">
        <v>41</v>
      </c>
      <c r="CW5" s="12" t="s">
        <v>42</v>
      </c>
      <c r="CX5" s="12" t="s">
        <v>42</v>
      </c>
      <c r="CY5" t="s">
        <v>531</v>
      </c>
      <c r="DA5" t="s">
        <v>44</v>
      </c>
      <c r="DB5" t="s">
        <v>28</v>
      </c>
      <c r="DC5" t="s">
        <v>440</v>
      </c>
      <c r="DD5" t="s">
        <v>1884</v>
      </c>
      <c r="DE5" t="s">
        <v>1883</v>
      </c>
      <c r="DF5" t="s">
        <v>1908</v>
      </c>
      <c r="DG5" t="s">
        <v>1909</v>
      </c>
      <c r="DH5" t="s">
        <v>1910</v>
      </c>
      <c r="DI5" t="s">
        <v>1911</v>
      </c>
      <c r="DK5" t="s">
        <v>192</v>
      </c>
      <c r="DL5" t="s">
        <v>239</v>
      </c>
      <c r="DR5" t="s">
        <v>2196</v>
      </c>
      <c r="DT5" t="s">
        <v>181</v>
      </c>
      <c r="DU5" t="s">
        <v>182</v>
      </c>
      <c r="DY5" s="4" t="s">
        <v>240</v>
      </c>
      <c r="DZ5" s="4" t="s">
        <v>241</v>
      </c>
      <c r="EA5" s="4" t="s">
        <v>242</v>
      </c>
      <c r="EB5" s="4" t="s">
        <v>243</v>
      </c>
      <c r="EC5" s="4" t="s">
        <v>244</v>
      </c>
      <c r="ED5" s="24" t="s">
        <v>1518</v>
      </c>
      <c r="EE5" s="12" t="s">
        <v>1517</v>
      </c>
      <c r="EF5" s="12" t="s">
        <v>2254</v>
      </c>
    </row>
    <row r="6" spans="8:136" x14ac:dyDescent="0.25">
      <c r="I6">
        <v>1</v>
      </c>
      <c r="BO6">
        <v>1</v>
      </c>
      <c r="BR6">
        <v>1</v>
      </c>
      <c r="BY6" s="12"/>
      <c r="BZ6" s="12"/>
      <c r="CA6" s="12"/>
      <c r="CB6" s="12"/>
      <c r="CC6" s="12"/>
      <c r="CD6" s="12"/>
      <c r="CE6" s="12"/>
      <c r="CF6" s="12"/>
      <c r="CG6" s="12"/>
      <c r="CH6" s="12"/>
      <c r="CI6" s="12"/>
      <c r="CJ6" s="12"/>
    </row>
    <row r="7" spans="8:136" x14ac:dyDescent="0.25">
      <c r="H7">
        <v>101</v>
      </c>
      <c r="I7">
        <v>2</v>
      </c>
      <c r="J7" t="s">
        <v>45</v>
      </c>
      <c r="K7" t="s">
        <v>46</v>
      </c>
      <c r="L7">
        <f>IF(Normer!W27&lt;&gt;"",Normer!W27,Data!M7)</f>
        <v>1100</v>
      </c>
      <c r="M7" s="196">
        <v>1100</v>
      </c>
      <c r="N7" s="196">
        <v>12</v>
      </c>
      <c r="O7" s="196">
        <v>12</v>
      </c>
      <c r="P7" s="196">
        <v>12</v>
      </c>
      <c r="Q7" s="196">
        <v>12</v>
      </c>
      <c r="R7" s="196">
        <v>12</v>
      </c>
      <c r="X7">
        <v>4000</v>
      </c>
      <c r="Y7">
        <v>4000</v>
      </c>
      <c r="Z7">
        <v>4200</v>
      </c>
      <c r="AA7">
        <v>4200</v>
      </c>
      <c r="AB7">
        <v>4200</v>
      </c>
      <c r="AC7" t="str">
        <f>J7</f>
        <v>Alm. rajgræs 2n</v>
      </c>
      <c r="AD7" s="198">
        <v>146</v>
      </c>
      <c r="AE7" s="198">
        <v>146</v>
      </c>
      <c r="AF7" s="198">
        <v>146</v>
      </c>
      <c r="AG7" s="198">
        <v>146</v>
      </c>
      <c r="AH7" s="198">
        <v>146</v>
      </c>
      <c r="AI7">
        <v>10</v>
      </c>
      <c r="AJ7">
        <v>0</v>
      </c>
      <c r="AK7">
        <v>0</v>
      </c>
      <c r="AL7">
        <v>1</v>
      </c>
      <c r="AM7">
        <f>Halmpris</f>
        <v>0.5</v>
      </c>
      <c r="AN7" s="196">
        <v>0</v>
      </c>
      <c r="AP7" s="196">
        <v>245</v>
      </c>
      <c r="AQ7" s="196">
        <v>395</v>
      </c>
      <c r="AR7" s="196">
        <v>175</v>
      </c>
      <c r="AS7" t="str">
        <f>J7</f>
        <v>Alm. rajgræs 2n</v>
      </c>
      <c r="AT7">
        <v>88</v>
      </c>
      <c r="AU7">
        <v>85</v>
      </c>
      <c r="AW7">
        <v>24.375</v>
      </c>
      <c r="AX7">
        <v>0</v>
      </c>
      <c r="AY7">
        <v>6.25</v>
      </c>
      <c r="AZ7">
        <v>5.0625</v>
      </c>
      <c r="BB7">
        <v>5</v>
      </c>
      <c r="BC7">
        <v>4.5</v>
      </c>
      <c r="BD7">
        <v>3.5</v>
      </c>
      <c r="BE7">
        <v>20</v>
      </c>
      <c r="BF7">
        <v>7.5</v>
      </c>
      <c r="BG7">
        <v>25</v>
      </c>
      <c r="BH7" s="196">
        <f>(175+552)/13</f>
        <v>55.92307692307692</v>
      </c>
      <c r="BI7" t="str">
        <f>J7</f>
        <v>Alm. rajgræs 2n</v>
      </c>
      <c r="BJ7" s="12">
        <v>0</v>
      </c>
      <c r="BK7">
        <v>0</v>
      </c>
      <c r="BL7">
        <v>0</v>
      </c>
      <c r="BM7">
        <v>0</v>
      </c>
      <c r="BN7">
        <v>0</v>
      </c>
      <c r="BO7">
        <v>2</v>
      </c>
      <c r="BP7">
        <v>0</v>
      </c>
      <c r="BQ7">
        <v>1</v>
      </c>
      <c r="BR7">
        <v>0</v>
      </c>
      <c r="BS7">
        <v>0</v>
      </c>
      <c r="BT7">
        <v>1</v>
      </c>
      <c r="BU7">
        <v>0</v>
      </c>
      <c r="BV7">
        <v>0</v>
      </c>
      <c r="BW7">
        <v>0</v>
      </c>
      <c r="BX7">
        <v>1</v>
      </c>
      <c r="BY7" s="196">
        <v>0</v>
      </c>
      <c r="BZ7" s="196">
        <v>0</v>
      </c>
      <c r="CA7" s="196">
        <v>0</v>
      </c>
      <c r="CB7" s="196"/>
      <c r="CC7" s="196"/>
      <c r="CD7" s="196">
        <v>1</v>
      </c>
      <c r="CE7" s="196"/>
      <c r="CF7" s="196"/>
      <c r="CG7" s="196"/>
      <c r="CH7" s="196">
        <v>2</v>
      </c>
      <c r="CI7" s="196">
        <v>1</v>
      </c>
      <c r="CJ7" s="196">
        <v>1</v>
      </c>
      <c r="CK7" s="196">
        <v>14.583299999999999</v>
      </c>
      <c r="CL7" s="4">
        <f>$K$270</f>
        <v>900</v>
      </c>
      <c r="CM7" s="196">
        <v>450</v>
      </c>
      <c r="CN7" s="196">
        <v>1</v>
      </c>
      <c r="CO7" s="4">
        <f>$K$285</f>
        <v>325</v>
      </c>
      <c r="CP7" s="196">
        <v>3000</v>
      </c>
      <c r="CQ7" s="196">
        <f>$K$291</f>
        <v>525</v>
      </c>
      <c r="CR7" s="196">
        <f>$K$292</f>
        <v>200</v>
      </c>
      <c r="CS7" s="196">
        <v>1.333</v>
      </c>
      <c r="CT7" s="12">
        <f>$K$299</f>
        <v>35</v>
      </c>
      <c r="CU7" s="196">
        <v>17</v>
      </c>
      <c r="CY7">
        <v>75</v>
      </c>
      <c r="DB7" t="str">
        <f>J7</f>
        <v>Alm. rajgræs 2n</v>
      </c>
      <c r="DC7">
        <v>600</v>
      </c>
      <c r="DD7" s="12">
        <v>-2.5000000000000001E-4</v>
      </c>
      <c r="DE7" s="12">
        <v>-2.1800000000000001E-3</v>
      </c>
      <c r="DF7" s="12">
        <v>0.19</v>
      </c>
      <c r="DG7" s="12">
        <v>0.2</v>
      </c>
      <c r="DH7" s="12">
        <v>0.22</v>
      </c>
      <c r="DI7" s="12">
        <v>0.23</v>
      </c>
      <c r="DJ7" s="12">
        <v>0</v>
      </c>
      <c r="DK7">
        <v>8</v>
      </c>
      <c r="DL7">
        <v>8</v>
      </c>
      <c r="DM7">
        <v>7</v>
      </c>
      <c r="DN7">
        <v>3</v>
      </c>
      <c r="DR7">
        <v>1</v>
      </c>
      <c r="DY7">
        <v>0.8</v>
      </c>
      <c r="DZ7">
        <v>0.05</v>
      </c>
      <c r="ED7">
        <v>1</v>
      </c>
      <c r="EE7">
        <v>3</v>
      </c>
    </row>
    <row r="8" spans="8:136" x14ac:dyDescent="0.25">
      <c r="H8">
        <v>101</v>
      </c>
      <c r="I8">
        <v>3</v>
      </c>
      <c r="J8" t="s">
        <v>47</v>
      </c>
      <c r="K8" t="s">
        <v>46</v>
      </c>
      <c r="L8">
        <f>IF(Normer!W29&lt;&gt;"",Normer!W29,Data!M8)</f>
        <v>1200</v>
      </c>
      <c r="M8" s="196">
        <v>1200</v>
      </c>
      <c r="N8" s="196">
        <v>12</v>
      </c>
      <c r="O8" s="196">
        <v>12</v>
      </c>
      <c r="P8" s="196">
        <v>12</v>
      </c>
      <c r="Q8" s="196">
        <v>12</v>
      </c>
      <c r="R8" s="196">
        <v>12</v>
      </c>
      <c r="X8">
        <v>4000</v>
      </c>
      <c r="Y8">
        <v>4000</v>
      </c>
      <c r="Z8">
        <v>4200</v>
      </c>
      <c r="AA8">
        <v>4200</v>
      </c>
      <c r="AB8">
        <v>4200</v>
      </c>
      <c r="AC8" t="str">
        <f t="shared" ref="AC8:AC48" si="0">J8</f>
        <v>Alm. rajgræs 4n</v>
      </c>
      <c r="AD8" s="198">
        <v>146</v>
      </c>
      <c r="AE8" s="198">
        <v>146</v>
      </c>
      <c r="AF8" s="198">
        <v>146</v>
      </c>
      <c r="AG8" s="198">
        <v>146</v>
      </c>
      <c r="AH8" s="198">
        <v>146</v>
      </c>
      <c r="AI8">
        <v>10</v>
      </c>
      <c r="AJ8">
        <v>0</v>
      </c>
      <c r="AK8">
        <v>0</v>
      </c>
      <c r="AL8">
        <v>1</v>
      </c>
      <c r="AM8">
        <f>Halmpris</f>
        <v>0.5</v>
      </c>
      <c r="AN8" s="196">
        <v>0</v>
      </c>
      <c r="AP8" s="196">
        <v>245</v>
      </c>
      <c r="AQ8" s="196">
        <v>395</v>
      </c>
      <c r="AR8" s="196">
        <v>175</v>
      </c>
      <c r="AS8" t="str">
        <f t="shared" ref="AS8:AS48" si="1">J8</f>
        <v>Alm. rajgræs 4n</v>
      </c>
      <c r="AT8">
        <v>88</v>
      </c>
      <c r="AU8">
        <v>85</v>
      </c>
      <c r="AW8">
        <v>24.375</v>
      </c>
      <c r="AX8">
        <v>0</v>
      </c>
      <c r="AY8">
        <v>6.25</v>
      </c>
      <c r="AZ8">
        <v>5.0625</v>
      </c>
      <c r="BB8">
        <v>5</v>
      </c>
      <c r="BC8">
        <v>4.5</v>
      </c>
      <c r="BD8">
        <v>3.5</v>
      </c>
      <c r="BE8">
        <v>20</v>
      </c>
      <c r="BF8">
        <v>7.5</v>
      </c>
      <c r="BG8">
        <v>25</v>
      </c>
      <c r="BH8" s="196">
        <f>(175+552)/13</f>
        <v>55.92307692307692</v>
      </c>
      <c r="BI8" t="str">
        <f t="shared" ref="BI8:BI48" si="2">J8</f>
        <v>Alm. rajgræs 4n</v>
      </c>
      <c r="BJ8" s="12">
        <v>0</v>
      </c>
      <c r="BK8">
        <v>0</v>
      </c>
      <c r="BL8">
        <v>0</v>
      </c>
      <c r="BM8">
        <v>0</v>
      </c>
      <c r="BN8">
        <v>0</v>
      </c>
      <c r="BO8">
        <v>2</v>
      </c>
      <c r="BP8">
        <v>0</v>
      </c>
      <c r="BQ8">
        <v>1</v>
      </c>
      <c r="BR8">
        <v>0</v>
      </c>
      <c r="BS8">
        <v>0</v>
      </c>
      <c r="BT8">
        <v>1</v>
      </c>
      <c r="BU8">
        <v>0</v>
      </c>
      <c r="BV8">
        <v>0</v>
      </c>
      <c r="BW8">
        <v>0</v>
      </c>
      <c r="BX8">
        <v>1</v>
      </c>
      <c r="BY8" s="196">
        <v>0</v>
      </c>
      <c r="BZ8" s="196">
        <v>0</v>
      </c>
      <c r="CA8" s="196">
        <v>0</v>
      </c>
      <c r="CB8" s="196"/>
      <c r="CC8" s="196"/>
      <c r="CD8" s="196">
        <v>1</v>
      </c>
      <c r="CE8" s="196"/>
      <c r="CF8" s="196"/>
      <c r="CG8" s="196"/>
      <c r="CH8" s="196">
        <v>2</v>
      </c>
      <c r="CI8" s="196">
        <v>1</v>
      </c>
      <c r="CJ8" s="196">
        <v>1</v>
      </c>
      <c r="CK8" s="196">
        <v>14.583299999999999</v>
      </c>
      <c r="CL8" s="4">
        <f>$K$270</f>
        <v>900</v>
      </c>
      <c r="CM8" s="196">
        <v>450</v>
      </c>
      <c r="CN8" s="196">
        <v>1</v>
      </c>
      <c r="CO8" s="4">
        <f>$K$285</f>
        <v>325</v>
      </c>
      <c r="CP8" s="196">
        <v>3000</v>
      </c>
      <c r="CQ8" s="196">
        <f>$K$291</f>
        <v>525</v>
      </c>
      <c r="CR8" s="196">
        <f>$K$292</f>
        <v>200</v>
      </c>
      <c r="CS8" s="196">
        <v>1.333</v>
      </c>
      <c r="CT8" s="12">
        <f>$K$299</f>
        <v>35</v>
      </c>
      <c r="CU8" s="196">
        <v>17</v>
      </c>
      <c r="CY8">
        <v>75</v>
      </c>
      <c r="DB8" t="str">
        <f t="shared" ref="DB8:DB48" si="3">J8</f>
        <v>Alm. rajgræs 4n</v>
      </c>
      <c r="DC8">
        <v>500</v>
      </c>
      <c r="DD8" s="12">
        <v>-2.5000000000000001E-4</v>
      </c>
      <c r="DE8" s="12">
        <v>-2.1800000000000001E-3</v>
      </c>
      <c r="DF8" s="12">
        <v>0.19</v>
      </c>
      <c r="DG8" s="12">
        <v>0.2</v>
      </c>
      <c r="DH8" s="12">
        <v>0.22</v>
      </c>
      <c r="DI8" s="12">
        <v>0.23</v>
      </c>
      <c r="DJ8" s="12">
        <v>0</v>
      </c>
      <c r="DK8">
        <v>8</v>
      </c>
      <c r="DL8">
        <v>8</v>
      </c>
      <c r="DM8">
        <v>7</v>
      </c>
      <c r="DN8">
        <v>3</v>
      </c>
      <c r="DR8">
        <v>1</v>
      </c>
      <c r="DY8">
        <v>0.8</v>
      </c>
      <c r="DZ8">
        <v>0.05</v>
      </c>
      <c r="ED8">
        <v>1</v>
      </c>
      <c r="EE8">
        <v>3</v>
      </c>
    </row>
    <row r="9" spans="8:136" x14ac:dyDescent="0.25">
      <c r="H9">
        <v>153</v>
      </c>
      <c r="I9">
        <v>4</v>
      </c>
      <c r="J9" t="s">
        <v>1320</v>
      </c>
      <c r="K9" t="s">
        <v>46</v>
      </c>
      <c r="L9">
        <v>45</v>
      </c>
      <c r="M9" s="196">
        <v>50</v>
      </c>
      <c r="N9" s="196">
        <v>441</v>
      </c>
      <c r="O9" s="196">
        <v>492</v>
      </c>
      <c r="P9" s="196">
        <v>543</v>
      </c>
      <c r="Q9" s="196">
        <v>543</v>
      </c>
      <c r="R9" s="196">
        <v>543</v>
      </c>
      <c r="X9">
        <v>0</v>
      </c>
      <c r="Y9">
        <v>0</v>
      </c>
      <c r="Z9">
        <v>0</v>
      </c>
      <c r="AA9">
        <v>0</v>
      </c>
      <c r="AB9">
        <v>0</v>
      </c>
      <c r="AC9" t="str">
        <f t="shared" si="0"/>
        <v>Bagekartofler, andre k.</v>
      </c>
      <c r="AD9" s="198">
        <v>189</v>
      </c>
      <c r="AE9" s="198">
        <v>185</v>
      </c>
      <c r="AF9" s="198">
        <v>207</v>
      </c>
      <c r="AG9" s="198">
        <v>185</v>
      </c>
      <c r="AH9" s="198">
        <v>194</v>
      </c>
      <c r="AI9">
        <v>0</v>
      </c>
      <c r="AJ9">
        <v>1</v>
      </c>
      <c r="AK9">
        <v>0.2</v>
      </c>
      <c r="AL9">
        <v>1</v>
      </c>
      <c r="AM9">
        <v>0</v>
      </c>
      <c r="AN9" s="196">
        <v>0</v>
      </c>
      <c r="AP9" s="196">
        <v>3300</v>
      </c>
      <c r="AQ9" s="196">
        <v>3350</v>
      </c>
      <c r="AR9" s="196">
        <v>200</v>
      </c>
      <c r="AS9" t="str">
        <f t="shared" si="1"/>
        <v>Bagekartofler, andre k.</v>
      </c>
      <c r="AT9">
        <v>20</v>
      </c>
      <c r="AW9">
        <v>9.1875</v>
      </c>
      <c r="AX9">
        <v>0.02</v>
      </c>
      <c r="AY9">
        <v>6.25</v>
      </c>
      <c r="BA9">
        <v>7.5</v>
      </c>
      <c r="BC9">
        <v>2.2999999999999998</v>
      </c>
      <c r="BD9">
        <v>0</v>
      </c>
      <c r="BE9">
        <v>20</v>
      </c>
      <c r="BF9">
        <v>20.100000000000001</v>
      </c>
      <c r="BG9">
        <v>0</v>
      </c>
      <c r="BH9" s="196">
        <f>3000/500</f>
        <v>6</v>
      </c>
      <c r="BI9" t="str">
        <f t="shared" si="2"/>
        <v>Bagekartofler, andre k.</v>
      </c>
      <c r="BJ9" s="12">
        <v>0</v>
      </c>
      <c r="BK9">
        <v>0</v>
      </c>
      <c r="BL9">
        <v>0</v>
      </c>
      <c r="BM9">
        <v>0</v>
      </c>
      <c r="BN9">
        <v>0</v>
      </c>
      <c r="BO9">
        <v>2</v>
      </c>
      <c r="BP9">
        <v>0</v>
      </c>
      <c r="BQ9">
        <v>0</v>
      </c>
      <c r="BR9">
        <v>1</v>
      </c>
      <c r="BS9">
        <v>0</v>
      </c>
      <c r="BT9">
        <v>1</v>
      </c>
      <c r="BU9">
        <v>0</v>
      </c>
      <c r="BV9">
        <v>0</v>
      </c>
      <c r="BW9">
        <v>0</v>
      </c>
      <c r="BX9">
        <v>1</v>
      </c>
      <c r="BY9" s="196">
        <v>1</v>
      </c>
      <c r="BZ9" s="196">
        <v>1</v>
      </c>
      <c r="CA9" s="196">
        <v>2</v>
      </c>
      <c r="CB9" s="196">
        <v>1</v>
      </c>
      <c r="CC9" s="196"/>
      <c r="CD9" s="196"/>
      <c r="CE9" s="196"/>
      <c r="CF9" s="196"/>
      <c r="CG9" s="196"/>
      <c r="CH9" s="196">
        <v>3</v>
      </c>
      <c r="CI9" s="196">
        <v>12</v>
      </c>
      <c r="CJ9" s="196">
        <v>1</v>
      </c>
      <c r="CK9" s="196">
        <v>490</v>
      </c>
      <c r="CL9" s="4">
        <f>$K$273</f>
        <v>2900</v>
      </c>
      <c r="CM9" s="196">
        <v>0</v>
      </c>
      <c r="CN9" s="196">
        <v>1</v>
      </c>
      <c r="CO9" s="4">
        <f>$K$286</f>
        <v>900</v>
      </c>
      <c r="CP9" s="196">
        <v>0</v>
      </c>
      <c r="CQ9" s="196">
        <v>0</v>
      </c>
      <c r="CR9" s="196">
        <v>0</v>
      </c>
      <c r="CS9" s="196">
        <v>0</v>
      </c>
      <c r="CT9" s="12">
        <v>0</v>
      </c>
      <c r="CU9" s="196">
        <v>0</v>
      </c>
      <c r="CV9">
        <v>1</v>
      </c>
      <c r="CW9">
        <v>1</v>
      </c>
      <c r="CY9">
        <v>100</v>
      </c>
      <c r="DB9" t="str">
        <f t="shared" si="3"/>
        <v>Bagekartofler, andre k.</v>
      </c>
      <c r="DC9">
        <v>47</v>
      </c>
      <c r="DD9" s="12">
        <v>-4.5599999999999998E-3</v>
      </c>
      <c r="DE9" s="12">
        <v>0</v>
      </c>
      <c r="DF9" s="12"/>
      <c r="DG9" s="12"/>
      <c r="DH9" s="12"/>
      <c r="DI9" s="12"/>
      <c r="DJ9" s="12">
        <v>0</v>
      </c>
      <c r="DK9">
        <v>150</v>
      </c>
      <c r="DL9">
        <v>20</v>
      </c>
      <c r="DM9">
        <v>6</v>
      </c>
      <c r="DN9">
        <v>6</v>
      </c>
      <c r="DR9">
        <v>1</v>
      </c>
      <c r="DY9">
        <v>1.1000000000000001</v>
      </c>
      <c r="DZ9">
        <v>7.5</v>
      </c>
      <c r="EA9">
        <v>1</v>
      </c>
      <c r="ED9">
        <v>10</v>
      </c>
      <c r="EE9">
        <v>5</v>
      </c>
    </row>
    <row r="10" spans="8:136" x14ac:dyDescent="0.25">
      <c r="H10">
        <v>592</v>
      </c>
      <c r="I10">
        <v>5</v>
      </c>
      <c r="J10" t="s">
        <v>1303</v>
      </c>
      <c r="K10" t="s">
        <v>57</v>
      </c>
      <c r="L10">
        <f>IF(Normer!$W49&lt;&gt;"",Normer!$W49,Data!M10)</f>
        <v>68</v>
      </c>
      <c r="M10" s="196">
        <v>68</v>
      </c>
      <c r="N10" s="196">
        <v>100</v>
      </c>
      <c r="O10" s="196">
        <v>120</v>
      </c>
      <c r="P10" s="196">
        <v>120</v>
      </c>
      <c r="Q10" s="196">
        <v>120</v>
      </c>
      <c r="R10" s="196">
        <v>120</v>
      </c>
      <c r="X10">
        <v>0</v>
      </c>
      <c r="Y10">
        <v>0</v>
      </c>
      <c r="Z10">
        <v>0</v>
      </c>
      <c r="AA10">
        <v>0</v>
      </c>
      <c r="AC10" t="str">
        <f t="shared" si="0"/>
        <v>Energipil --&gt; 2010</v>
      </c>
      <c r="AD10" s="198">
        <v>120</v>
      </c>
      <c r="AE10" s="198">
        <v>120</v>
      </c>
      <c r="AF10" s="198">
        <v>120</v>
      </c>
      <c r="AG10" s="198">
        <v>120</v>
      </c>
      <c r="AH10" s="198">
        <v>120</v>
      </c>
      <c r="AI10">
        <v>0</v>
      </c>
      <c r="AJ10">
        <v>0</v>
      </c>
      <c r="AK10">
        <v>0</v>
      </c>
      <c r="AL10">
        <v>1</v>
      </c>
      <c r="AM10">
        <v>0</v>
      </c>
      <c r="AN10" s="196">
        <f>TilskudEnergipil</f>
        <v>500</v>
      </c>
      <c r="AP10" s="196">
        <v>900</v>
      </c>
      <c r="AQ10" s="196">
        <v>120</v>
      </c>
      <c r="AR10" s="196">
        <v>0</v>
      </c>
      <c r="AS10" t="str">
        <f t="shared" si="1"/>
        <v>Energipil --&gt; 2010</v>
      </c>
      <c r="AT10">
        <v>100</v>
      </c>
      <c r="AW10">
        <v>3.75</v>
      </c>
      <c r="AX10">
        <v>0</v>
      </c>
      <c r="AY10">
        <v>6.25</v>
      </c>
      <c r="BC10">
        <v>0.7</v>
      </c>
      <c r="BF10">
        <v>2.5</v>
      </c>
      <c r="BH10" s="196"/>
      <c r="BI10" t="str">
        <f t="shared" si="2"/>
        <v>Energipil --&gt; 2010</v>
      </c>
      <c r="BJ10" s="12">
        <v>0</v>
      </c>
      <c r="BK10">
        <v>0</v>
      </c>
      <c r="BL10">
        <v>0</v>
      </c>
      <c r="BM10">
        <v>0</v>
      </c>
      <c r="BN10">
        <v>0</v>
      </c>
      <c r="BO10">
        <v>0</v>
      </c>
      <c r="BP10">
        <v>0</v>
      </c>
      <c r="BQ10">
        <v>0</v>
      </c>
      <c r="BR10">
        <v>0</v>
      </c>
      <c r="BS10">
        <v>0</v>
      </c>
      <c r="BT10">
        <v>1</v>
      </c>
      <c r="BU10">
        <v>0</v>
      </c>
      <c r="BV10">
        <v>0</v>
      </c>
      <c r="BW10">
        <v>0</v>
      </c>
      <c r="BX10">
        <v>1</v>
      </c>
      <c r="BY10" s="196">
        <v>0</v>
      </c>
      <c r="BZ10" s="196">
        <v>0</v>
      </c>
      <c r="CA10" s="196">
        <v>0</v>
      </c>
      <c r="CB10" s="196"/>
      <c r="CC10" s="196"/>
      <c r="CD10" s="196"/>
      <c r="CE10" s="196"/>
      <c r="CF10" s="196"/>
      <c r="CG10" s="196"/>
      <c r="CH10" s="196">
        <v>0</v>
      </c>
      <c r="CI10" s="196">
        <v>1</v>
      </c>
      <c r="CJ10" s="196">
        <v>1</v>
      </c>
      <c r="CK10" s="196">
        <v>120</v>
      </c>
      <c r="CL10" s="4">
        <v>1100</v>
      </c>
      <c r="CM10" s="196"/>
      <c r="CN10" s="196">
        <v>1</v>
      </c>
      <c r="CO10" s="4">
        <v>850</v>
      </c>
      <c r="CP10" s="196"/>
      <c r="CQ10" s="196"/>
      <c r="CR10" s="196"/>
      <c r="CS10" s="196"/>
      <c r="CU10" s="196"/>
      <c r="CY10">
        <v>0</v>
      </c>
      <c r="DB10" t="str">
        <f t="shared" si="3"/>
        <v>Energipil --&gt; 2010</v>
      </c>
      <c r="DD10" s="12"/>
      <c r="DE10" s="12"/>
      <c r="DF10" s="12"/>
      <c r="DG10" s="12"/>
      <c r="DH10" s="12"/>
      <c r="DI10" s="12"/>
      <c r="DJ10" s="12">
        <v>0</v>
      </c>
      <c r="DL10">
        <v>8</v>
      </c>
      <c r="DM10" s="109">
        <v>7</v>
      </c>
      <c r="DN10" s="109">
        <v>4</v>
      </c>
      <c r="DR10">
        <v>3</v>
      </c>
    </row>
    <row r="11" spans="8:136" x14ac:dyDescent="0.25">
      <c r="H11">
        <v>592</v>
      </c>
      <c r="I11">
        <v>6</v>
      </c>
      <c r="J11" t="s">
        <v>1304</v>
      </c>
      <c r="K11" t="s">
        <v>57</v>
      </c>
      <c r="L11">
        <f>IF(Normer!$W50&lt;&gt;"",Normer!$W50,Data!M11)</f>
        <v>68</v>
      </c>
      <c r="M11" s="196">
        <v>68</v>
      </c>
      <c r="N11" s="196">
        <v>100</v>
      </c>
      <c r="O11" s="196">
        <v>120</v>
      </c>
      <c r="P11" s="196">
        <v>120</v>
      </c>
      <c r="Q11" s="196">
        <v>120</v>
      </c>
      <c r="R11" s="196">
        <v>120</v>
      </c>
      <c r="X11">
        <v>0</v>
      </c>
      <c r="Y11">
        <v>0</v>
      </c>
      <c r="Z11">
        <v>0</v>
      </c>
      <c r="AA11">
        <v>0</v>
      </c>
      <c r="AB11">
        <v>0</v>
      </c>
      <c r="AC11" t="str">
        <f t="shared" si="0"/>
        <v>Energipil 2011--&gt;</v>
      </c>
      <c r="AD11" s="198">
        <v>120</v>
      </c>
      <c r="AE11" s="198">
        <v>120</v>
      </c>
      <c r="AF11" s="198">
        <v>120</v>
      </c>
      <c r="AG11" s="198">
        <v>120</v>
      </c>
      <c r="AH11" s="198">
        <v>120</v>
      </c>
      <c r="AI11">
        <v>0</v>
      </c>
      <c r="AJ11">
        <v>0</v>
      </c>
      <c r="AK11">
        <v>0</v>
      </c>
      <c r="AL11">
        <v>1</v>
      </c>
      <c r="AM11">
        <v>0</v>
      </c>
      <c r="AN11" s="196">
        <f>TilskudEnergipil</f>
        <v>500</v>
      </c>
      <c r="AP11" s="196">
        <v>900</v>
      </c>
      <c r="AQ11" s="196">
        <v>120</v>
      </c>
      <c r="AR11" s="196">
        <v>0</v>
      </c>
      <c r="AS11" t="str">
        <f t="shared" si="1"/>
        <v>Energipil 2011--&gt;</v>
      </c>
      <c r="AT11">
        <v>100</v>
      </c>
      <c r="AW11">
        <v>3.75</v>
      </c>
      <c r="AX11">
        <v>0</v>
      </c>
      <c r="AY11">
        <v>6.25</v>
      </c>
      <c r="BC11">
        <v>0.7</v>
      </c>
      <c r="BF11">
        <v>2.5</v>
      </c>
      <c r="BH11" s="196"/>
      <c r="BI11" t="str">
        <f t="shared" si="2"/>
        <v>Energipil 2011--&gt;</v>
      </c>
      <c r="BJ11" s="12">
        <v>0</v>
      </c>
      <c r="BK11">
        <v>0</v>
      </c>
      <c r="BL11">
        <v>0</v>
      </c>
      <c r="BM11">
        <v>0</v>
      </c>
      <c r="BN11">
        <v>0</v>
      </c>
      <c r="BO11">
        <v>0</v>
      </c>
      <c r="BP11">
        <v>0</v>
      </c>
      <c r="BQ11">
        <v>0</v>
      </c>
      <c r="BR11">
        <v>0</v>
      </c>
      <c r="BS11">
        <v>0</v>
      </c>
      <c r="BT11">
        <v>1</v>
      </c>
      <c r="BU11">
        <v>1</v>
      </c>
      <c r="BV11">
        <v>0</v>
      </c>
      <c r="BW11">
        <v>0</v>
      </c>
      <c r="BX11">
        <v>1</v>
      </c>
      <c r="BY11" s="196">
        <v>0</v>
      </c>
      <c r="BZ11" s="196">
        <v>0</v>
      </c>
      <c r="CA11" s="196">
        <v>0</v>
      </c>
      <c r="CB11" s="196"/>
      <c r="CC11" s="196"/>
      <c r="CD11" s="196"/>
      <c r="CE11" s="196"/>
      <c r="CF11" s="196"/>
      <c r="CG11" s="196"/>
      <c r="CH11" s="196">
        <v>0</v>
      </c>
      <c r="CI11" s="196">
        <v>1</v>
      </c>
      <c r="CJ11" s="196">
        <v>1</v>
      </c>
      <c r="CK11" s="196">
        <v>120</v>
      </c>
      <c r="CL11" s="4">
        <v>1100</v>
      </c>
      <c r="CM11" s="196"/>
      <c r="CN11" s="196">
        <v>1</v>
      </c>
      <c r="CO11" s="4">
        <v>850</v>
      </c>
      <c r="CP11" s="196"/>
      <c r="CQ11" s="196"/>
      <c r="CR11" s="196"/>
      <c r="CS11" s="196"/>
      <c r="CU11" s="196"/>
      <c r="CY11">
        <v>0</v>
      </c>
      <c r="DB11" t="str">
        <f t="shared" si="3"/>
        <v>Energipil 2011--&gt;</v>
      </c>
      <c r="DD11" s="12"/>
      <c r="DE11" s="12"/>
      <c r="DF11" s="12"/>
      <c r="DG11" s="12"/>
      <c r="DH11" s="12"/>
      <c r="DI11" s="12"/>
      <c r="DJ11" s="12">
        <v>0</v>
      </c>
      <c r="DL11">
        <v>8</v>
      </c>
      <c r="DM11" s="109">
        <v>7</v>
      </c>
      <c r="DN11" s="109">
        <v>4</v>
      </c>
      <c r="DR11">
        <v>3</v>
      </c>
    </row>
    <row r="12" spans="8:136" x14ac:dyDescent="0.25">
      <c r="H12">
        <v>112</v>
      </c>
      <c r="I12">
        <v>7</v>
      </c>
      <c r="J12" t="s">
        <v>48</v>
      </c>
      <c r="K12" t="s">
        <v>46</v>
      </c>
      <c r="L12">
        <f>IF(Normer!W31&lt;&gt;"",Normer!W31,Data!M12)</f>
        <v>1550</v>
      </c>
      <c r="M12" s="196">
        <v>1550</v>
      </c>
      <c r="N12" s="196">
        <v>11</v>
      </c>
      <c r="O12" s="196">
        <v>11</v>
      </c>
      <c r="P12" s="196">
        <v>11</v>
      </c>
      <c r="Q12" s="196">
        <v>11</v>
      </c>
      <c r="R12" s="196">
        <v>11</v>
      </c>
      <c r="X12">
        <v>4400</v>
      </c>
      <c r="Y12">
        <v>4400</v>
      </c>
      <c r="Z12">
        <v>5000</v>
      </c>
      <c r="AA12">
        <v>5000</v>
      </c>
      <c r="AB12">
        <v>5000</v>
      </c>
      <c r="AC12" t="str">
        <f t="shared" si="0"/>
        <v>Engrapgræs (mark)</v>
      </c>
      <c r="AD12" s="196">
        <v>129</v>
      </c>
      <c r="AE12" s="196">
        <v>129</v>
      </c>
      <c r="AF12" s="196">
        <v>129</v>
      </c>
      <c r="AG12" s="196">
        <v>129</v>
      </c>
      <c r="AH12" s="196">
        <v>129</v>
      </c>
      <c r="AI12">
        <v>10</v>
      </c>
      <c r="AJ12">
        <v>0</v>
      </c>
      <c r="AK12">
        <v>0</v>
      </c>
      <c r="AL12">
        <v>1</v>
      </c>
      <c r="AM12">
        <f>Halmpris</f>
        <v>0.5</v>
      </c>
      <c r="AN12" s="196">
        <v>0</v>
      </c>
      <c r="AP12" s="196">
        <v>270</v>
      </c>
      <c r="AQ12" s="196">
        <v>295</v>
      </c>
      <c r="AR12" s="196">
        <v>175</v>
      </c>
      <c r="AS12" t="str">
        <f t="shared" si="1"/>
        <v>Engrapgræs (mark)</v>
      </c>
      <c r="AT12">
        <v>88</v>
      </c>
      <c r="AU12">
        <v>85</v>
      </c>
      <c r="AW12">
        <v>24.375</v>
      </c>
      <c r="AX12">
        <v>0</v>
      </c>
      <c r="AY12">
        <v>6.25</v>
      </c>
      <c r="AZ12">
        <v>5.0625</v>
      </c>
      <c r="BB12">
        <v>5</v>
      </c>
      <c r="BC12">
        <v>4.5</v>
      </c>
      <c r="BD12">
        <v>3.5</v>
      </c>
      <c r="BE12">
        <v>20</v>
      </c>
      <c r="BF12">
        <v>7.5</v>
      </c>
      <c r="BG12">
        <v>25</v>
      </c>
      <c r="BH12" s="196">
        <f>(175+838)/11</f>
        <v>92.090909090909093</v>
      </c>
      <c r="BI12" t="str">
        <f t="shared" si="2"/>
        <v>Engrapgræs (mark)</v>
      </c>
      <c r="BJ12" s="12">
        <v>0</v>
      </c>
      <c r="BK12">
        <v>0</v>
      </c>
      <c r="BL12">
        <v>0</v>
      </c>
      <c r="BM12">
        <v>0</v>
      </c>
      <c r="BN12">
        <v>0</v>
      </c>
      <c r="BO12">
        <v>2</v>
      </c>
      <c r="BP12">
        <v>0</v>
      </c>
      <c r="BQ12">
        <v>1</v>
      </c>
      <c r="BR12">
        <v>0</v>
      </c>
      <c r="BS12">
        <v>0</v>
      </c>
      <c r="BT12">
        <v>1</v>
      </c>
      <c r="BU12">
        <v>0</v>
      </c>
      <c r="BV12">
        <v>0</v>
      </c>
      <c r="BW12">
        <v>0</v>
      </c>
      <c r="BX12">
        <v>1</v>
      </c>
      <c r="BY12" s="196">
        <v>0</v>
      </c>
      <c r="BZ12" s="196">
        <v>0</v>
      </c>
      <c r="CA12" s="196">
        <v>0</v>
      </c>
      <c r="CB12" s="196"/>
      <c r="CC12" s="196">
        <v>1</v>
      </c>
      <c r="CD12" s="196">
        <v>0.33</v>
      </c>
      <c r="CE12" s="196"/>
      <c r="CF12" s="196"/>
      <c r="CG12" s="196"/>
      <c r="CH12" s="196">
        <v>2</v>
      </c>
      <c r="CI12" s="196">
        <v>2</v>
      </c>
      <c r="CJ12" s="196">
        <v>1</v>
      </c>
      <c r="CK12" s="196">
        <v>14.583299999999999</v>
      </c>
      <c r="CL12" s="4">
        <f>$K$270</f>
        <v>900</v>
      </c>
      <c r="CM12" s="196">
        <v>650</v>
      </c>
      <c r="CN12" s="196">
        <v>1</v>
      </c>
      <c r="CO12" s="4">
        <f>$K$285</f>
        <v>325</v>
      </c>
      <c r="CP12" s="196">
        <v>3000</v>
      </c>
      <c r="CQ12" s="196">
        <f>$K$291</f>
        <v>525</v>
      </c>
      <c r="CR12" s="196">
        <f>$K$292</f>
        <v>200</v>
      </c>
      <c r="CS12" s="196">
        <v>1.333</v>
      </c>
      <c r="CT12" s="12">
        <f>$K$299</f>
        <v>35</v>
      </c>
      <c r="CU12" s="196">
        <v>17</v>
      </c>
      <c r="CY12">
        <v>75</v>
      </c>
      <c r="DB12" t="str">
        <f t="shared" si="3"/>
        <v>Engrapgræs (mark)</v>
      </c>
      <c r="DC12">
        <v>900</v>
      </c>
      <c r="DD12" s="109">
        <v>-2.5000000000000001E-4</v>
      </c>
      <c r="DE12" s="109">
        <v>-2.1800000000000001E-3</v>
      </c>
      <c r="DF12" s="12">
        <v>0.19</v>
      </c>
      <c r="DG12" s="12">
        <v>0.2</v>
      </c>
      <c r="DH12" s="12">
        <v>0.22</v>
      </c>
      <c r="DI12" s="12">
        <v>0.23</v>
      </c>
      <c r="DJ12" s="12">
        <v>0</v>
      </c>
      <c r="DK12">
        <v>8</v>
      </c>
      <c r="DL12">
        <v>8</v>
      </c>
      <c r="DM12">
        <v>7</v>
      </c>
      <c r="DN12">
        <v>3</v>
      </c>
      <c r="DR12">
        <v>1</v>
      </c>
      <c r="DY12">
        <v>1.2</v>
      </c>
      <c r="DZ12">
        <v>0.15</v>
      </c>
      <c r="ED12">
        <v>2</v>
      </c>
      <c r="EE12">
        <v>3</v>
      </c>
    </row>
    <row r="13" spans="8:136" x14ac:dyDescent="0.25">
      <c r="H13">
        <v>113</v>
      </c>
      <c r="I13">
        <v>8</v>
      </c>
      <c r="J13" t="s">
        <v>49</v>
      </c>
      <c r="K13" t="s">
        <v>46</v>
      </c>
      <c r="L13">
        <f>IF(Normer!W33&lt;&gt;"",Normer!W33,Data!M13)</f>
        <v>1750</v>
      </c>
      <c r="M13" s="196">
        <v>1750</v>
      </c>
      <c r="N13" s="196">
        <v>8</v>
      </c>
      <c r="O13" s="196">
        <v>8</v>
      </c>
      <c r="P13" s="196">
        <v>8</v>
      </c>
      <c r="Q13" s="196">
        <v>8</v>
      </c>
      <c r="R13" s="196">
        <v>8</v>
      </c>
      <c r="X13">
        <v>4400</v>
      </c>
      <c r="Y13">
        <v>4400</v>
      </c>
      <c r="Z13">
        <v>5000</v>
      </c>
      <c r="AA13">
        <v>5000</v>
      </c>
      <c r="AB13">
        <v>5000</v>
      </c>
      <c r="AC13" t="str">
        <f t="shared" si="0"/>
        <v>Engrapgræs (plæne)</v>
      </c>
      <c r="AD13" s="196">
        <v>138</v>
      </c>
      <c r="AE13" s="196">
        <v>138</v>
      </c>
      <c r="AF13" s="196">
        <v>138</v>
      </c>
      <c r="AG13" s="196">
        <v>138</v>
      </c>
      <c r="AH13" s="196">
        <v>138</v>
      </c>
      <c r="AI13">
        <v>10</v>
      </c>
      <c r="AJ13">
        <v>0</v>
      </c>
      <c r="AK13">
        <v>0</v>
      </c>
      <c r="AL13">
        <v>1</v>
      </c>
      <c r="AM13">
        <f>Halmpris</f>
        <v>0.5</v>
      </c>
      <c r="AN13" s="196">
        <v>0</v>
      </c>
      <c r="AP13" s="196">
        <v>270</v>
      </c>
      <c r="AQ13" s="196">
        <v>295</v>
      </c>
      <c r="AR13" s="196">
        <v>175</v>
      </c>
      <c r="AS13" t="str">
        <f t="shared" si="1"/>
        <v>Engrapgræs (plæne)</v>
      </c>
      <c r="AT13">
        <v>88</v>
      </c>
      <c r="AU13">
        <v>85</v>
      </c>
      <c r="AW13">
        <v>24.375</v>
      </c>
      <c r="AX13">
        <v>0</v>
      </c>
      <c r="AY13">
        <v>6.25</v>
      </c>
      <c r="AZ13">
        <v>5.0625</v>
      </c>
      <c r="BB13">
        <v>5</v>
      </c>
      <c r="BC13">
        <v>4.5</v>
      </c>
      <c r="BD13">
        <v>3.5</v>
      </c>
      <c r="BE13">
        <v>20</v>
      </c>
      <c r="BF13">
        <v>7.5</v>
      </c>
      <c r="BG13">
        <v>25</v>
      </c>
      <c r="BH13" s="196">
        <f>(175+838)/11</f>
        <v>92.090909090909093</v>
      </c>
      <c r="BI13" t="str">
        <f t="shared" si="2"/>
        <v>Engrapgræs (plæne)</v>
      </c>
      <c r="BJ13" s="12">
        <v>0</v>
      </c>
      <c r="BK13">
        <v>0</v>
      </c>
      <c r="BL13">
        <v>0</v>
      </c>
      <c r="BM13">
        <v>0</v>
      </c>
      <c r="BN13">
        <v>0</v>
      </c>
      <c r="BO13">
        <v>2</v>
      </c>
      <c r="BP13">
        <v>0</v>
      </c>
      <c r="BQ13">
        <v>1</v>
      </c>
      <c r="BR13">
        <v>0</v>
      </c>
      <c r="BS13">
        <v>0</v>
      </c>
      <c r="BT13">
        <v>1</v>
      </c>
      <c r="BU13">
        <v>0</v>
      </c>
      <c r="BV13">
        <v>0</v>
      </c>
      <c r="BW13">
        <v>0</v>
      </c>
      <c r="BX13">
        <v>1</v>
      </c>
      <c r="BY13" s="196">
        <v>0</v>
      </c>
      <c r="BZ13" s="196">
        <v>0</v>
      </c>
      <c r="CA13" s="196">
        <v>0</v>
      </c>
      <c r="CB13" s="196"/>
      <c r="CC13" s="196">
        <v>1</v>
      </c>
      <c r="CD13" s="196">
        <v>0.33</v>
      </c>
      <c r="CE13" s="196"/>
      <c r="CF13" s="196"/>
      <c r="CG13" s="196"/>
      <c r="CH13" s="196">
        <v>2</v>
      </c>
      <c r="CI13" s="196">
        <v>2</v>
      </c>
      <c r="CJ13" s="196">
        <v>1</v>
      </c>
      <c r="CK13" s="196">
        <v>14.583299999999999</v>
      </c>
      <c r="CL13" s="4">
        <f>$K$270</f>
        <v>900</v>
      </c>
      <c r="CM13" s="196">
        <v>650</v>
      </c>
      <c r="CN13" s="196">
        <v>1</v>
      </c>
      <c r="CO13" s="4">
        <f>$K$285</f>
        <v>325</v>
      </c>
      <c r="CP13" s="196">
        <v>3000</v>
      </c>
      <c r="CQ13" s="196">
        <f>$K$291</f>
        <v>525</v>
      </c>
      <c r="CR13" s="196">
        <f>$K$292</f>
        <v>200</v>
      </c>
      <c r="CS13" s="196">
        <v>1.333</v>
      </c>
      <c r="CT13" s="12">
        <f>$K$299</f>
        <v>35</v>
      </c>
      <c r="CU13" s="196">
        <v>17</v>
      </c>
      <c r="CY13">
        <v>75</v>
      </c>
      <c r="DB13" t="str">
        <f t="shared" si="3"/>
        <v>Engrapgræs (plæne)</v>
      </c>
      <c r="DC13">
        <v>1100</v>
      </c>
      <c r="DD13" s="109">
        <v>-2.5000000000000001E-4</v>
      </c>
      <c r="DE13" s="109">
        <v>-2.1800000000000001E-3</v>
      </c>
      <c r="DF13" s="12">
        <v>0.19</v>
      </c>
      <c r="DG13" s="12">
        <v>0.2</v>
      </c>
      <c r="DH13" s="12">
        <v>0.22</v>
      </c>
      <c r="DI13" s="12">
        <v>0.23</v>
      </c>
      <c r="DJ13" s="12">
        <v>0</v>
      </c>
      <c r="DK13">
        <v>8</v>
      </c>
      <c r="DL13">
        <v>8</v>
      </c>
      <c r="DM13">
        <v>7</v>
      </c>
      <c r="DN13">
        <v>3</v>
      </c>
      <c r="DR13">
        <v>1</v>
      </c>
      <c r="DY13">
        <v>1.2</v>
      </c>
      <c r="DZ13">
        <v>0.15</v>
      </c>
      <c r="ED13">
        <v>2</v>
      </c>
      <c r="EE13">
        <v>3</v>
      </c>
    </row>
    <row r="14" spans="8:136" x14ac:dyDescent="0.25">
      <c r="H14">
        <v>160</v>
      </c>
      <c r="I14">
        <v>9</v>
      </c>
      <c r="J14" t="s">
        <v>246</v>
      </c>
      <c r="K14" t="s">
        <v>46</v>
      </c>
      <c r="L14">
        <f>IF(Normer!W43&lt;&gt;"",Normer!W43,Data!M14)</f>
        <v>33</v>
      </c>
      <c r="M14" s="196">
        <v>33</v>
      </c>
      <c r="N14" s="196">
        <v>416</v>
      </c>
      <c r="O14" s="196">
        <v>466</v>
      </c>
      <c r="P14" s="196">
        <v>466</v>
      </c>
      <c r="Q14" s="196">
        <v>586</v>
      </c>
      <c r="R14" s="196">
        <v>646</v>
      </c>
      <c r="X14">
        <v>0</v>
      </c>
      <c r="Y14">
        <v>0</v>
      </c>
      <c r="Z14">
        <v>0</v>
      </c>
      <c r="AA14">
        <v>0</v>
      </c>
      <c r="AB14">
        <v>0</v>
      </c>
      <c r="AC14" t="str">
        <f t="shared" si="0"/>
        <v>Fabriksroer</v>
      </c>
      <c r="AD14" s="196">
        <v>113</v>
      </c>
      <c r="AE14" s="196">
        <v>104</v>
      </c>
      <c r="AF14" s="196">
        <v>117</v>
      </c>
      <c r="AG14" s="196">
        <v>106</v>
      </c>
      <c r="AH14" s="196">
        <v>120</v>
      </c>
      <c r="AI14">
        <v>14</v>
      </c>
      <c r="AJ14">
        <v>1</v>
      </c>
      <c r="AK14">
        <v>0.1</v>
      </c>
      <c r="AL14">
        <v>1</v>
      </c>
      <c r="AN14" s="196">
        <v>0</v>
      </c>
      <c r="AP14" s="196">
        <v>2040</v>
      </c>
      <c r="AQ14" s="196">
        <v>1465</v>
      </c>
      <c r="AR14" s="196">
        <v>0</v>
      </c>
      <c r="AS14" t="str">
        <f t="shared" si="1"/>
        <v>Fabriksroer</v>
      </c>
      <c r="AT14">
        <v>24</v>
      </c>
      <c r="AW14">
        <v>5.875</v>
      </c>
      <c r="AX14">
        <v>0</v>
      </c>
      <c r="AY14">
        <v>6.25</v>
      </c>
      <c r="AZ14">
        <v>27.6875</v>
      </c>
      <c r="BA14">
        <v>7.5</v>
      </c>
      <c r="BC14">
        <v>1.7</v>
      </c>
      <c r="BD14">
        <v>4.2</v>
      </c>
      <c r="BE14">
        <v>20</v>
      </c>
      <c r="BF14">
        <v>10</v>
      </c>
      <c r="BG14">
        <v>46.2</v>
      </c>
      <c r="BH14" s="196">
        <f>2930/586</f>
        <v>5</v>
      </c>
      <c r="BI14" t="str">
        <f t="shared" si="2"/>
        <v>Fabriksroer</v>
      </c>
      <c r="BJ14" s="12">
        <v>0</v>
      </c>
      <c r="BK14">
        <v>0</v>
      </c>
      <c r="BL14">
        <v>0</v>
      </c>
      <c r="BM14">
        <v>0</v>
      </c>
      <c r="BN14">
        <v>0</v>
      </c>
      <c r="BO14">
        <v>2</v>
      </c>
      <c r="BP14">
        <v>0</v>
      </c>
      <c r="BQ14">
        <v>0</v>
      </c>
      <c r="BR14">
        <v>1</v>
      </c>
      <c r="BS14">
        <v>0</v>
      </c>
      <c r="BT14">
        <v>1</v>
      </c>
      <c r="BU14">
        <v>0</v>
      </c>
      <c r="BV14">
        <v>0</v>
      </c>
      <c r="BW14">
        <v>0</v>
      </c>
      <c r="BX14">
        <v>1</v>
      </c>
      <c r="BY14" s="196">
        <v>1</v>
      </c>
      <c r="BZ14" s="196">
        <v>0</v>
      </c>
      <c r="CA14" s="196">
        <v>2</v>
      </c>
      <c r="CB14" s="196">
        <v>1</v>
      </c>
      <c r="CC14" s="196"/>
      <c r="CD14" s="196"/>
      <c r="CE14" s="196">
        <v>1</v>
      </c>
      <c r="CF14" s="196"/>
      <c r="CG14" s="196">
        <v>1</v>
      </c>
      <c r="CH14" s="196"/>
      <c r="CI14" s="196">
        <v>4</v>
      </c>
      <c r="CJ14" s="196">
        <v>1</v>
      </c>
      <c r="CK14" s="196">
        <v>520</v>
      </c>
      <c r="CL14" s="4">
        <f>$K$276</f>
        <v>1750</v>
      </c>
      <c r="CM14" s="196">
        <v>0</v>
      </c>
      <c r="CN14" s="196">
        <v>1</v>
      </c>
      <c r="CO14" s="4">
        <f>$K$288</f>
        <v>900</v>
      </c>
      <c r="CP14" s="196">
        <v>0</v>
      </c>
      <c r="CQ14" s="196">
        <v>0</v>
      </c>
      <c r="CR14" s="196">
        <v>0</v>
      </c>
      <c r="CS14" s="196">
        <v>0</v>
      </c>
      <c r="CT14" s="12">
        <v>0</v>
      </c>
      <c r="CU14" s="196">
        <v>0</v>
      </c>
      <c r="CX14">
        <v>1</v>
      </c>
      <c r="CY14">
        <v>75</v>
      </c>
      <c r="DB14" t="str">
        <f t="shared" si="3"/>
        <v>Fabriksroer</v>
      </c>
      <c r="DC14">
        <v>22.3</v>
      </c>
      <c r="DD14" s="12">
        <v>-1.54E-2</v>
      </c>
      <c r="DE14" s="12">
        <v>0</v>
      </c>
      <c r="DF14" s="12"/>
      <c r="DG14" s="12"/>
      <c r="DH14" s="12"/>
      <c r="DI14" s="12"/>
      <c r="DJ14" s="12">
        <v>0</v>
      </c>
      <c r="DK14">
        <v>5</v>
      </c>
      <c r="DL14">
        <v>2</v>
      </c>
      <c r="DM14">
        <v>5</v>
      </c>
      <c r="DN14">
        <v>5</v>
      </c>
      <c r="DR14">
        <v>1</v>
      </c>
      <c r="EE14">
        <v>5</v>
      </c>
    </row>
    <row r="15" spans="8:136" x14ac:dyDescent="0.25">
      <c r="H15">
        <v>280</v>
      </c>
      <c r="I15">
        <v>10</v>
      </c>
      <c r="J15" t="s">
        <v>374</v>
      </c>
      <c r="K15" t="s">
        <v>37</v>
      </c>
      <c r="L15" s="195">
        <f>Grovfoderpris</f>
        <v>1.2</v>
      </c>
      <c r="M15" s="194">
        <v>0</v>
      </c>
      <c r="N15" s="196">
        <v>11900</v>
      </c>
      <c r="O15" s="196">
        <v>11900</v>
      </c>
      <c r="P15" s="196">
        <v>11900</v>
      </c>
      <c r="Q15" s="196">
        <v>12800</v>
      </c>
      <c r="R15" s="196">
        <v>12800</v>
      </c>
      <c r="X15">
        <v>0</v>
      </c>
      <c r="Y15">
        <v>0</v>
      </c>
      <c r="Z15">
        <v>0</v>
      </c>
      <c r="AA15">
        <v>0</v>
      </c>
      <c r="AB15">
        <v>0</v>
      </c>
      <c r="AC15" t="str">
        <f t="shared" si="0"/>
        <v>Foderroer</v>
      </c>
      <c r="AD15" s="196">
        <v>158</v>
      </c>
      <c r="AE15" s="196">
        <v>171</v>
      </c>
      <c r="AF15" s="196">
        <v>184</v>
      </c>
      <c r="AG15" s="196">
        <v>171</v>
      </c>
      <c r="AH15" s="196">
        <v>179</v>
      </c>
      <c r="AI15">
        <v>14</v>
      </c>
      <c r="AJ15">
        <v>1</v>
      </c>
      <c r="AK15">
        <v>0</v>
      </c>
      <c r="AL15">
        <v>1</v>
      </c>
      <c r="AM15">
        <v>0</v>
      </c>
      <c r="AN15" s="196">
        <v>0</v>
      </c>
      <c r="AP15" s="196">
        <v>1300</v>
      </c>
      <c r="AQ15" s="196">
        <v>1300</v>
      </c>
      <c r="AR15" s="196">
        <v>0</v>
      </c>
      <c r="AS15" t="str">
        <f t="shared" si="1"/>
        <v>Foderroer</v>
      </c>
      <c r="AV15">
        <v>1.03</v>
      </c>
      <c r="AW15" s="12">
        <v>7.375</v>
      </c>
      <c r="AX15">
        <v>0</v>
      </c>
      <c r="AY15">
        <v>6.25</v>
      </c>
      <c r="AZ15">
        <v>27.6875</v>
      </c>
      <c r="BC15">
        <v>1.7</v>
      </c>
      <c r="BD15">
        <v>4.2</v>
      </c>
      <c r="BE15">
        <v>20</v>
      </c>
      <c r="BF15">
        <v>21</v>
      </c>
      <c r="BG15">
        <v>46.2</v>
      </c>
      <c r="BH15" s="196">
        <f>452/13000</f>
        <v>3.4769230769230768E-2</v>
      </c>
      <c r="BI15" t="str">
        <f t="shared" si="2"/>
        <v>Foderroer</v>
      </c>
      <c r="BJ15" s="12">
        <v>0</v>
      </c>
      <c r="BK15">
        <v>0</v>
      </c>
      <c r="BL15">
        <v>0</v>
      </c>
      <c r="BM15">
        <v>0</v>
      </c>
      <c r="BN15">
        <v>0</v>
      </c>
      <c r="BP15">
        <v>0</v>
      </c>
      <c r="BQ15">
        <v>0</v>
      </c>
      <c r="BR15">
        <v>1</v>
      </c>
      <c r="BS15">
        <v>0</v>
      </c>
      <c r="BT15">
        <v>1</v>
      </c>
      <c r="BU15">
        <v>0</v>
      </c>
      <c r="BV15">
        <v>0</v>
      </c>
      <c r="BW15">
        <v>0</v>
      </c>
      <c r="BX15">
        <v>1</v>
      </c>
      <c r="BY15" s="196">
        <v>1</v>
      </c>
      <c r="BZ15" s="196">
        <v>0</v>
      </c>
      <c r="CA15" s="196">
        <v>2</v>
      </c>
      <c r="CB15" s="196"/>
      <c r="CC15" s="196"/>
      <c r="CD15" s="196"/>
      <c r="CE15" s="196">
        <v>1</v>
      </c>
      <c r="CF15" s="196"/>
      <c r="CG15" s="196">
        <v>1</v>
      </c>
      <c r="CH15" s="196"/>
      <c r="CI15" s="196">
        <v>4</v>
      </c>
      <c r="CJ15" s="196">
        <v>1</v>
      </c>
      <c r="CK15" s="196">
        <v>12500</v>
      </c>
      <c r="CL15" s="4">
        <f>$K$276</f>
        <v>1750</v>
      </c>
      <c r="CM15" s="196">
        <v>0</v>
      </c>
      <c r="CN15" s="196">
        <v>1</v>
      </c>
      <c r="CO15" s="4">
        <f>$K$287</f>
        <v>1050</v>
      </c>
      <c r="CP15" s="196">
        <v>0</v>
      </c>
      <c r="CQ15" s="196">
        <v>0</v>
      </c>
      <c r="CR15" s="196">
        <v>0</v>
      </c>
      <c r="CS15" s="196">
        <v>0</v>
      </c>
      <c r="CT15" s="12">
        <v>0</v>
      </c>
      <c r="CU15" s="196">
        <v>0</v>
      </c>
      <c r="CX15">
        <v>1</v>
      </c>
      <c r="CY15">
        <v>75</v>
      </c>
      <c r="DB15" t="str">
        <f t="shared" si="3"/>
        <v>Foderroer</v>
      </c>
      <c r="DD15" s="12"/>
      <c r="DE15" s="12"/>
      <c r="DF15" s="12"/>
      <c r="DG15" s="12"/>
      <c r="DH15" s="12"/>
      <c r="DI15" s="12"/>
      <c r="DJ15" s="12">
        <v>0</v>
      </c>
      <c r="DK15">
        <v>5</v>
      </c>
      <c r="DL15">
        <v>2</v>
      </c>
      <c r="DM15">
        <v>5</v>
      </c>
      <c r="DN15">
        <v>5</v>
      </c>
      <c r="DR15">
        <v>1</v>
      </c>
    </row>
    <row r="16" spans="8:136" x14ac:dyDescent="0.25">
      <c r="H16">
        <v>263</v>
      </c>
      <c r="I16">
        <v>11</v>
      </c>
      <c r="J16" t="s">
        <v>382</v>
      </c>
      <c r="K16" t="s">
        <v>37</v>
      </c>
      <c r="L16" s="195">
        <f>Grovfoderpris</f>
        <v>1.2</v>
      </c>
      <c r="M16" s="194">
        <v>0</v>
      </c>
      <c r="N16" s="196">
        <v>7100</v>
      </c>
      <c r="O16" s="196">
        <v>7100</v>
      </c>
      <c r="P16" s="196">
        <v>8600</v>
      </c>
      <c r="Q16" s="196">
        <v>7600</v>
      </c>
      <c r="R16" s="196">
        <v>7600</v>
      </c>
      <c r="X16">
        <v>0</v>
      </c>
      <c r="Y16">
        <v>0</v>
      </c>
      <c r="Z16">
        <v>0</v>
      </c>
      <c r="AA16">
        <v>0</v>
      </c>
      <c r="AB16">
        <v>0</v>
      </c>
      <c r="AC16" t="str">
        <f t="shared" si="0"/>
        <v>Græs u kløver, 4 slæt</v>
      </c>
      <c r="AD16" s="196">
        <v>313</v>
      </c>
      <c r="AE16" s="196">
        <v>321</v>
      </c>
      <c r="AF16" s="196">
        <v>347</v>
      </c>
      <c r="AG16" s="196">
        <v>330</v>
      </c>
      <c r="AH16" s="196">
        <v>330</v>
      </c>
      <c r="AI16">
        <v>18</v>
      </c>
      <c r="AJ16">
        <v>0</v>
      </c>
      <c r="AK16">
        <v>0</v>
      </c>
      <c r="AL16">
        <v>1</v>
      </c>
      <c r="AN16" s="196">
        <v>0</v>
      </c>
      <c r="AP16" s="196">
        <v>390</v>
      </c>
      <c r="AQ16" s="196">
        <v>0</v>
      </c>
      <c r="AR16" s="196">
        <v>0</v>
      </c>
      <c r="AS16" t="str">
        <f t="shared" si="1"/>
        <v>Græs u kløver, 4 slæt</v>
      </c>
      <c r="AV16">
        <v>1.28</v>
      </c>
      <c r="AW16">
        <v>15.1875</v>
      </c>
      <c r="AX16">
        <v>0.02</v>
      </c>
      <c r="AY16">
        <v>6.25</v>
      </c>
      <c r="BC16">
        <v>3.6</v>
      </c>
      <c r="BD16">
        <v>0</v>
      </c>
      <c r="BE16">
        <v>20</v>
      </c>
      <c r="BF16">
        <v>30</v>
      </c>
      <c r="BG16">
        <v>0</v>
      </c>
      <c r="BH16" s="196">
        <f>494/9500</f>
        <v>5.1999999999999998E-2</v>
      </c>
      <c r="BI16" t="str">
        <f t="shared" si="2"/>
        <v>Græs u kløver, 4 slæt</v>
      </c>
      <c r="BJ16" s="12">
        <v>0</v>
      </c>
      <c r="BK16">
        <v>0</v>
      </c>
      <c r="BL16">
        <v>1</v>
      </c>
      <c r="BM16">
        <v>0</v>
      </c>
      <c r="BN16">
        <v>0</v>
      </c>
      <c r="BP16">
        <v>0</v>
      </c>
      <c r="BQ16">
        <v>0</v>
      </c>
      <c r="BR16">
        <v>0</v>
      </c>
      <c r="BS16">
        <v>0</v>
      </c>
      <c r="BT16">
        <v>1</v>
      </c>
      <c r="BU16">
        <v>0</v>
      </c>
      <c r="BV16">
        <v>0</v>
      </c>
      <c r="BW16">
        <v>0</v>
      </c>
      <c r="BX16">
        <v>1</v>
      </c>
      <c r="BY16" s="196">
        <v>0</v>
      </c>
      <c r="BZ16" s="196">
        <v>0</v>
      </c>
      <c r="CA16" s="196">
        <v>0</v>
      </c>
      <c r="CB16" s="196"/>
      <c r="CC16" s="196"/>
      <c r="CD16" s="196">
        <v>0.5</v>
      </c>
      <c r="CE16" s="196"/>
      <c r="CF16" s="196"/>
      <c r="CG16" s="196"/>
      <c r="CH16" s="196"/>
      <c r="CI16" s="196">
        <v>0</v>
      </c>
      <c r="CJ16" s="196">
        <v>3</v>
      </c>
      <c r="CK16" s="196">
        <v>8000</v>
      </c>
      <c r="CL16" s="4">
        <f>$K$278+$K$279</f>
        <v>390</v>
      </c>
      <c r="CM16" s="196">
        <v>0</v>
      </c>
      <c r="CN16" s="196">
        <v>4</v>
      </c>
      <c r="CO16" s="4">
        <f>$K$280</f>
        <v>575</v>
      </c>
      <c r="CP16" s="196">
        <v>0</v>
      </c>
      <c r="CQ16" s="196">
        <v>0</v>
      </c>
      <c r="CR16" s="196">
        <v>0</v>
      </c>
      <c r="CS16" s="196">
        <v>0</v>
      </c>
      <c r="CT16" s="12">
        <v>0</v>
      </c>
      <c r="CU16" s="196">
        <v>0</v>
      </c>
      <c r="CY16">
        <v>150</v>
      </c>
      <c r="DB16" t="str">
        <f t="shared" si="3"/>
        <v>Græs u kløver, 4 slæt</v>
      </c>
      <c r="DD16" s="12">
        <v>-1.9E-2</v>
      </c>
      <c r="DE16" s="12">
        <v>3.0760000000000001</v>
      </c>
      <c r="DF16" s="12">
        <v>0.42</v>
      </c>
      <c r="DG16" s="12">
        <v>0.44</v>
      </c>
      <c r="DH16" s="12">
        <v>0.48</v>
      </c>
      <c r="DI16" s="12">
        <v>0.51</v>
      </c>
      <c r="DJ16" s="12">
        <v>0</v>
      </c>
      <c r="DK16">
        <v>20</v>
      </c>
      <c r="DL16">
        <v>8</v>
      </c>
      <c r="DM16">
        <v>7</v>
      </c>
      <c r="DN16">
        <v>4</v>
      </c>
      <c r="DR16">
        <v>1</v>
      </c>
      <c r="DY16">
        <v>0.03</v>
      </c>
      <c r="EA16">
        <v>0.05</v>
      </c>
      <c r="ED16">
        <v>0.1</v>
      </c>
      <c r="EE16">
        <v>3</v>
      </c>
    </row>
    <row r="17" spans="8:135" x14ac:dyDescent="0.25">
      <c r="H17">
        <v>3</v>
      </c>
      <c r="I17">
        <v>12</v>
      </c>
      <c r="J17" t="s">
        <v>50</v>
      </c>
      <c r="K17" t="s">
        <v>46</v>
      </c>
      <c r="L17">
        <f>IF(Normer!W17&lt;&gt;"",Normer!W17,Data!M17)</f>
        <v>130</v>
      </c>
      <c r="M17" s="196">
        <v>130</v>
      </c>
      <c r="N17" s="196">
        <v>39</v>
      </c>
      <c r="O17" s="196">
        <v>46</v>
      </c>
      <c r="P17" s="196">
        <v>51</v>
      </c>
      <c r="Q17" s="196">
        <v>52</v>
      </c>
      <c r="R17" s="196">
        <v>55</v>
      </c>
      <c r="S17">
        <v>0</v>
      </c>
      <c r="T17">
        <v>0</v>
      </c>
      <c r="U17">
        <v>0</v>
      </c>
      <c r="V17">
        <v>0</v>
      </c>
      <c r="W17">
        <v>0</v>
      </c>
      <c r="X17">
        <v>2500</v>
      </c>
      <c r="Y17">
        <v>2500</v>
      </c>
      <c r="Z17">
        <v>3000</v>
      </c>
      <c r="AA17">
        <v>3000</v>
      </c>
      <c r="AB17">
        <v>3000</v>
      </c>
      <c r="AC17" t="str">
        <f t="shared" si="0"/>
        <v xml:space="preserve">Havre      </v>
      </c>
      <c r="AD17" s="196">
        <v>88</v>
      </c>
      <c r="AE17" s="196">
        <v>84</v>
      </c>
      <c r="AF17" s="196">
        <v>103</v>
      </c>
      <c r="AG17" s="196">
        <v>84</v>
      </c>
      <c r="AH17" s="196">
        <v>96</v>
      </c>
      <c r="AI17">
        <v>0</v>
      </c>
      <c r="AJ17">
        <v>1</v>
      </c>
      <c r="AK17">
        <v>1.5</v>
      </c>
      <c r="AL17">
        <v>0</v>
      </c>
      <c r="AM17">
        <f>Halmpris</f>
        <v>0.5</v>
      </c>
      <c r="AN17" s="196">
        <v>0</v>
      </c>
      <c r="AP17" s="196">
        <v>504</v>
      </c>
      <c r="AQ17" s="196">
        <v>283</v>
      </c>
      <c r="AR17" s="196">
        <v>0</v>
      </c>
      <c r="AS17" t="str">
        <f t="shared" si="1"/>
        <v xml:space="preserve">Havre      </v>
      </c>
      <c r="AT17">
        <v>85</v>
      </c>
      <c r="AU17">
        <v>85</v>
      </c>
      <c r="AW17">
        <v>12.125</v>
      </c>
      <c r="AX17">
        <v>0.02</v>
      </c>
      <c r="AY17">
        <v>6.25</v>
      </c>
      <c r="AZ17">
        <v>3.7</v>
      </c>
      <c r="BB17">
        <v>2.5</v>
      </c>
      <c r="BC17">
        <v>4.0999999999999996</v>
      </c>
      <c r="BD17">
        <v>1.4</v>
      </c>
      <c r="BE17">
        <v>20</v>
      </c>
      <c r="BF17">
        <v>5</v>
      </c>
      <c r="BG17">
        <v>15</v>
      </c>
      <c r="BH17" s="196"/>
      <c r="BI17" t="str">
        <f t="shared" si="2"/>
        <v xml:space="preserve">Havre      </v>
      </c>
      <c r="BJ17" s="12">
        <v>87</v>
      </c>
      <c r="BK17">
        <v>0</v>
      </c>
      <c r="BL17">
        <v>0</v>
      </c>
      <c r="BM17">
        <v>0</v>
      </c>
      <c r="BN17">
        <v>0</v>
      </c>
      <c r="BO17">
        <v>1</v>
      </c>
      <c r="BP17">
        <v>1</v>
      </c>
      <c r="BQ17">
        <v>1</v>
      </c>
      <c r="BR17">
        <v>1</v>
      </c>
      <c r="BS17">
        <v>0</v>
      </c>
      <c r="BT17">
        <v>1</v>
      </c>
      <c r="BU17">
        <v>0</v>
      </c>
      <c r="BV17">
        <v>0</v>
      </c>
      <c r="BW17">
        <v>0</v>
      </c>
      <c r="BX17">
        <v>0</v>
      </c>
      <c r="BY17" s="196">
        <v>1</v>
      </c>
      <c r="BZ17" s="196">
        <v>0</v>
      </c>
      <c r="CA17" s="196">
        <v>0</v>
      </c>
      <c r="CB17" s="196">
        <v>1</v>
      </c>
      <c r="CC17" s="196">
        <v>1</v>
      </c>
      <c r="CD17" s="196"/>
      <c r="CE17" s="196"/>
      <c r="CF17" s="196"/>
      <c r="CG17" s="196"/>
      <c r="CH17" s="196">
        <v>2</v>
      </c>
      <c r="CI17" s="196">
        <v>1.5</v>
      </c>
      <c r="CJ17" s="196">
        <v>1</v>
      </c>
      <c r="CK17" s="196">
        <v>85</v>
      </c>
      <c r="CL17" s="4">
        <f>$K$270</f>
        <v>900</v>
      </c>
      <c r="CM17" s="196">
        <v>0</v>
      </c>
      <c r="CN17" s="196">
        <v>1</v>
      </c>
      <c r="CO17" s="4">
        <f>$K$285</f>
        <v>325</v>
      </c>
      <c r="CP17" s="196">
        <v>3000</v>
      </c>
      <c r="CQ17" s="196">
        <f>$K$291</f>
        <v>525</v>
      </c>
      <c r="CR17" s="196">
        <f>$K$292</f>
        <v>200</v>
      </c>
      <c r="CS17" s="196">
        <v>1.05</v>
      </c>
      <c r="CT17" s="12">
        <f>$K$295</f>
        <v>8.8000000000000007</v>
      </c>
      <c r="CU17" s="196"/>
      <c r="CY17">
        <v>75</v>
      </c>
      <c r="DA17" t="s">
        <v>51</v>
      </c>
      <c r="DB17" t="str">
        <f t="shared" si="3"/>
        <v xml:space="preserve">Havre      </v>
      </c>
      <c r="DC17">
        <v>90</v>
      </c>
      <c r="DD17" s="12">
        <v>-1.2199999999999999E-3</v>
      </c>
      <c r="DE17" s="13">
        <v>-1.269E-2</v>
      </c>
      <c r="DF17" s="110">
        <v>0.33</v>
      </c>
      <c r="DG17" s="110">
        <v>0.34</v>
      </c>
      <c r="DH17" s="110">
        <v>0.38</v>
      </c>
      <c r="DI17" s="110">
        <v>0.39</v>
      </c>
      <c r="DJ17" s="12">
        <v>0</v>
      </c>
      <c r="DK17">
        <v>160</v>
      </c>
      <c r="DL17">
        <v>38</v>
      </c>
      <c r="DM17">
        <v>1</v>
      </c>
      <c r="DN17">
        <v>1</v>
      </c>
      <c r="DR17">
        <v>1</v>
      </c>
      <c r="DY17">
        <v>0.5</v>
      </c>
      <c r="DZ17">
        <v>0.15</v>
      </c>
      <c r="EA17">
        <v>0.25</v>
      </c>
      <c r="ED17">
        <v>1.5</v>
      </c>
      <c r="EE17">
        <v>5</v>
      </c>
    </row>
    <row r="18" spans="8:135" x14ac:dyDescent="0.25">
      <c r="H18">
        <v>214</v>
      </c>
      <c r="I18">
        <v>13</v>
      </c>
      <c r="J18" t="s">
        <v>247</v>
      </c>
      <c r="K18" t="s">
        <v>37</v>
      </c>
      <c r="L18" s="195">
        <f>Grovfoderpris</f>
        <v>1.2</v>
      </c>
      <c r="M18" s="194">
        <v>0</v>
      </c>
      <c r="N18" s="196">
        <v>4900</v>
      </c>
      <c r="O18" s="196">
        <v>5800</v>
      </c>
      <c r="P18" s="196">
        <v>6400</v>
      </c>
      <c r="Q18" s="196">
        <v>6400</v>
      </c>
      <c r="R18" s="196">
        <v>6800</v>
      </c>
      <c r="X18">
        <v>0</v>
      </c>
      <c r="Y18">
        <v>0</v>
      </c>
      <c r="Z18">
        <v>0</v>
      </c>
      <c r="AA18">
        <v>0</v>
      </c>
      <c r="AB18">
        <v>0</v>
      </c>
      <c r="AC18" t="str">
        <f t="shared" si="0"/>
        <v>Helsæd, byg/ært</v>
      </c>
      <c r="AD18" s="196">
        <v>65</v>
      </c>
      <c r="AE18" s="196">
        <v>53</v>
      </c>
      <c r="AF18" s="196">
        <v>68</v>
      </c>
      <c r="AG18" s="196">
        <v>47</v>
      </c>
      <c r="AH18" s="196">
        <v>57</v>
      </c>
      <c r="AI18">
        <v>5</v>
      </c>
      <c r="AJ18">
        <v>1</v>
      </c>
      <c r="AK18">
        <v>0</v>
      </c>
      <c r="AL18">
        <v>1</v>
      </c>
      <c r="AN18" s="196">
        <v>0</v>
      </c>
      <c r="AP18" s="196">
        <v>560</v>
      </c>
      <c r="AQ18" s="196">
        <v>400</v>
      </c>
      <c r="AR18" s="196">
        <v>0</v>
      </c>
      <c r="AS18" t="str">
        <f t="shared" si="1"/>
        <v>Helsæd, byg/ært</v>
      </c>
      <c r="AV18">
        <v>1.29</v>
      </c>
      <c r="AW18" s="12">
        <v>15.1875</v>
      </c>
      <c r="AX18">
        <v>0</v>
      </c>
      <c r="AY18">
        <v>6.25</v>
      </c>
      <c r="BB18">
        <v>2.5</v>
      </c>
      <c r="BC18">
        <v>3.1</v>
      </c>
      <c r="BE18">
        <v>20</v>
      </c>
      <c r="BF18">
        <v>19</v>
      </c>
      <c r="BH18" s="196">
        <v>5.1999999999999998E-2</v>
      </c>
      <c r="BI18" t="str">
        <f t="shared" si="2"/>
        <v>Helsæd, byg/ært</v>
      </c>
      <c r="BJ18" s="12">
        <v>0</v>
      </c>
      <c r="BK18">
        <v>0</v>
      </c>
      <c r="BL18">
        <v>0</v>
      </c>
      <c r="BM18">
        <v>0</v>
      </c>
      <c r="BN18">
        <v>1</v>
      </c>
      <c r="BP18">
        <v>1</v>
      </c>
      <c r="BQ18">
        <v>1</v>
      </c>
      <c r="BR18">
        <v>1</v>
      </c>
      <c r="BS18">
        <v>0</v>
      </c>
      <c r="BT18">
        <v>1</v>
      </c>
      <c r="BU18">
        <v>0</v>
      </c>
      <c r="BV18">
        <v>0</v>
      </c>
      <c r="BW18">
        <v>0</v>
      </c>
      <c r="BX18">
        <v>0</v>
      </c>
      <c r="BY18" s="196">
        <v>1</v>
      </c>
      <c r="BZ18" s="196">
        <v>0</v>
      </c>
      <c r="CA18" s="196">
        <v>0</v>
      </c>
      <c r="CB18" s="196"/>
      <c r="CC18" s="196">
        <v>1</v>
      </c>
      <c r="CD18" s="196"/>
      <c r="CE18" s="196"/>
      <c r="CF18" s="196"/>
      <c r="CG18" s="196">
        <v>1</v>
      </c>
      <c r="CH18" s="196"/>
      <c r="CI18" s="196">
        <v>1</v>
      </c>
      <c r="CJ18" s="196">
        <v>1</v>
      </c>
      <c r="CK18" s="196">
        <v>6700</v>
      </c>
      <c r="CL18" s="4">
        <f>$K$281</f>
        <v>1100</v>
      </c>
      <c r="CM18" s="196">
        <v>0</v>
      </c>
      <c r="CN18" s="196">
        <v>1</v>
      </c>
      <c r="CO18" s="4">
        <v>0</v>
      </c>
      <c r="CP18" s="196"/>
      <c r="CQ18" s="196"/>
      <c r="CR18" s="196"/>
      <c r="CS18" s="196"/>
      <c r="CU18" s="196"/>
      <c r="CY18">
        <v>75</v>
      </c>
      <c r="DB18" t="str">
        <f t="shared" si="3"/>
        <v>Helsæd, byg/ært</v>
      </c>
      <c r="DD18" s="12"/>
      <c r="DE18" s="12"/>
      <c r="DF18" s="12"/>
      <c r="DG18" s="12"/>
      <c r="DH18" s="12"/>
      <c r="DI18" s="12"/>
      <c r="DJ18" s="12">
        <v>0</v>
      </c>
      <c r="DK18">
        <v>180</v>
      </c>
      <c r="DL18">
        <v>14</v>
      </c>
      <c r="DM18">
        <v>1</v>
      </c>
      <c r="DN18">
        <v>1</v>
      </c>
      <c r="DR18">
        <v>1</v>
      </c>
      <c r="DS18">
        <v>4</v>
      </c>
      <c r="DY18">
        <v>0.65</v>
      </c>
      <c r="DZ18">
        <v>0.1</v>
      </c>
      <c r="EA18">
        <v>0.25</v>
      </c>
      <c r="ED18">
        <v>1</v>
      </c>
      <c r="EE18">
        <v>5</v>
      </c>
    </row>
    <row r="19" spans="8:135" x14ac:dyDescent="0.25">
      <c r="H19">
        <v>210</v>
      </c>
      <c r="I19">
        <v>14</v>
      </c>
      <c r="J19" t="s">
        <v>249</v>
      </c>
      <c r="K19" t="s">
        <v>37</v>
      </c>
      <c r="L19" s="195">
        <f>Grovfoderpris</f>
        <v>1.2</v>
      </c>
      <c r="M19" s="194">
        <v>0</v>
      </c>
      <c r="N19" s="196">
        <v>4700</v>
      </c>
      <c r="O19" s="196">
        <v>5500</v>
      </c>
      <c r="P19" s="196">
        <v>6100</v>
      </c>
      <c r="Q19" s="196">
        <v>6900</v>
      </c>
      <c r="R19" s="196">
        <v>7400</v>
      </c>
      <c r="X19">
        <v>0</v>
      </c>
      <c r="Y19">
        <v>0</v>
      </c>
      <c r="Z19">
        <v>0</v>
      </c>
      <c r="AA19">
        <v>0</v>
      </c>
      <c r="AB19">
        <v>0</v>
      </c>
      <c r="AC19" t="str">
        <f t="shared" si="0"/>
        <v>Helsæd, vårbyg</v>
      </c>
      <c r="AD19" s="196">
        <v>108</v>
      </c>
      <c r="AE19" s="196">
        <v>103</v>
      </c>
      <c r="AF19" s="196">
        <v>123</v>
      </c>
      <c r="AG19" s="196">
        <v>110</v>
      </c>
      <c r="AH19" s="196">
        <v>124</v>
      </c>
      <c r="AI19">
        <v>0</v>
      </c>
      <c r="AJ19">
        <v>1</v>
      </c>
      <c r="AK19">
        <v>0</v>
      </c>
      <c r="AL19">
        <v>0</v>
      </c>
      <c r="AN19" s="196">
        <v>0</v>
      </c>
      <c r="AP19" s="196">
        <v>325</v>
      </c>
      <c r="AQ19" s="196">
        <v>170</v>
      </c>
      <c r="AR19" s="196">
        <v>0</v>
      </c>
      <c r="AS19" t="str">
        <f t="shared" si="1"/>
        <v>Helsæd, vårbyg</v>
      </c>
      <c r="AV19">
        <v>1.35</v>
      </c>
      <c r="AW19" s="12">
        <v>10.375</v>
      </c>
      <c r="AX19">
        <v>0.02</v>
      </c>
      <c r="AY19">
        <v>6.25</v>
      </c>
      <c r="BB19">
        <v>2.5</v>
      </c>
      <c r="BC19">
        <v>2.7</v>
      </c>
      <c r="BE19">
        <v>20</v>
      </c>
      <c r="BF19">
        <v>17</v>
      </c>
      <c r="BH19" s="196">
        <v>5.1999999999999998E-2</v>
      </c>
      <c r="BI19" t="str">
        <f t="shared" si="2"/>
        <v>Helsæd, vårbyg</v>
      </c>
      <c r="BJ19" s="12">
        <v>0</v>
      </c>
      <c r="BK19">
        <v>0</v>
      </c>
      <c r="BL19">
        <v>0</v>
      </c>
      <c r="BM19">
        <v>0</v>
      </c>
      <c r="BN19">
        <v>1</v>
      </c>
      <c r="BP19">
        <v>1</v>
      </c>
      <c r="BQ19">
        <v>1</v>
      </c>
      <c r="BR19">
        <v>1</v>
      </c>
      <c r="BS19">
        <v>0</v>
      </c>
      <c r="BT19">
        <v>1</v>
      </c>
      <c r="BU19">
        <v>0</v>
      </c>
      <c r="BV19">
        <v>0</v>
      </c>
      <c r="BW19">
        <v>0</v>
      </c>
      <c r="BX19">
        <v>0</v>
      </c>
      <c r="BY19" s="196">
        <v>1</v>
      </c>
      <c r="BZ19" s="196">
        <v>0</v>
      </c>
      <c r="CA19" s="196">
        <v>0</v>
      </c>
      <c r="CB19" s="196"/>
      <c r="CC19" s="196">
        <v>1</v>
      </c>
      <c r="CD19" s="196"/>
      <c r="CE19" s="196"/>
      <c r="CF19" s="196"/>
      <c r="CG19" s="196">
        <v>1</v>
      </c>
      <c r="CH19" s="196"/>
      <c r="CI19" s="196">
        <v>2</v>
      </c>
      <c r="CJ19" s="196">
        <v>1</v>
      </c>
      <c r="CK19" s="196">
        <v>6700</v>
      </c>
      <c r="CL19" s="4">
        <f t="shared" ref="CL19:CL20" si="4">$K$281</f>
        <v>1100</v>
      </c>
      <c r="CM19" s="196">
        <v>0</v>
      </c>
      <c r="CN19" s="196">
        <v>1</v>
      </c>
      <c r="CO19" s="4">
        <v>0</v>
      </c>
      <c r="CP19" s="196"/>
      <c r="CQ19" s="196"/>
      <c r="CR19" s="196"/>
      <c r="CS19" s="196"/>
      <c r="CU19" s="196"/>
      <c r="CY19">
        <v>75</v>
      </c>
      <c r="DB19" t="str">
        <f t="shared" si="3"/>
        <v>Helsæd, vårbyg</v>
      </c>
      <c r="DC19">
        <v>0.95</v>
      </c>
      <c r="DD19" s="109">
        <v>-9.0999999999999998E-2</v>
      </c>
      <c r="DE19" s="110">
        <v>-0.31900000000000001</v>
      </c>
      <c r="DF19" s="110">
        <v>0.33</v>
      </c>
      <c r="DG19" s="110">
        <v>0.34</v>
      </c>
      <c r="DH19" s="110">
        <v>0.38</v>
      </c>
      <c r="DI19" s="110">
        <v>0.39</v>
      </c>
      <c r="DJ19" s="12">
        <v>0</v>
      </c>
      <c r="DK19">
        <v>140</v>
      </c>
      <c r="DL19">
        <v>14</v>
      </c>
      <c r="DM19">
        <v>1</v>
      </c>
      <c r="DN19">
        <v>1</v>
      </c>
      <c r="DR19">
        <v>1</v>
      </c>
      <c r="DY19">
        <v>0.4</v>
      </c>
      <c r="DZ19">
        <v>0.35</v>
      </c>
      <c r="EA19">
        <v>0.25</v>
      </c>
      <c r="ED19">
        <v>1</v>
      </c>
      <c r="EE19">
        <v>5</v>
      </c>
    </row>
    <row r="20" spans="8:135" x14ac:dyDescent="0.25">
      <c r="H20">
        <v>215</v>
      </c>
      <c r="I20">
        <v>15</v>
      </c>
      <c r="J20" t="s">
        <v>250</v>
      </c>
      <c r="K20" t="s">
        <v>37</v>
      </c>
      <c r="L20" s="195">
        <f>Grovfoderpris</f>
        <v>1.2</v>
      </c>
      <c r="M20" s="194">
        <v>0</v>
      </c>
      <c r="N20" s="196">
        <v>5300</v>
      </c>
      <c r="O20" s="196">
        <v>5300</v>
      </c>
      <c r="P20" s="196">
        <v>5300</v>
      </c>
      <c r="Q20" s="196">
        <v>5300</v>
      </c>
      <c r="R20" s="196">
        <v>5300</v>
      </c>
      <c r="X20">
        <v>0</v>
      </c>
      <c r="Y20">
        <v>0</v>
      </c>
      <c r="Z20">
        <v>0</v>
      </c>
      <c r="AA20">
        <v>0</v>
      </c>
      <c r="AB20">
        <v>0</v>
      </c>
      <c r="AC20" t="str">
        <f t="shared" si="0"/>
        <v>Helsæd, ært</v>
      </c>
      <c r="AD20" s="196">
        <v>0</v>
      </c>
      <c r="AE20" s="196">
        <v>0</v>
      </c>
      <c r="AF20" s="196">
        <v>0</v>
      </c>
      <c r="AG20" s="196">
        <v>0</v>
      </c>
      <c r="AH20" s="196">
        <v>0</v>
      </c>
      <c r="AI20">
        <v>10</v>
      </c>
      <c r="AJ20">
        <v>0</v>
      </c>
      <c r="AK20">
        <v>0</v>
      </c>
      <c r="AL20">
        <v>1</v>
      </c>
      <c r="AN20" s="196">
        <v>0</v>
      </c>
      <c r="AP20" s="196">
        <v>660</v>
      </c>
      <c r="AQ20" s="196">
        <v>400</v>
      </c>
      <c r="AR20" s="196">
        <v>0</v>
      </c>
      <c r="AS20" t="str">
        <f t="shared" si="1"/>
        <v>Helsæd, ært</v>
      </c>
      <c r="AV20">
        <v>1.2</v>
      </c>
      <c r="AW20" s="12">
        <v>16.6875</v>
      </c>
      <c r="AX20">
        <v>0</v>
      </c>
      <c r="AY20">
        <v>6.25</v>
      </c>
      <c r="BB20">
        <v>2.5</v>
      </c>
      <c r="BC20">
        <v>3.2</v>
      </c>
      <c r="BE20">
        <v>20</v>
      </c>
      <c r="BF20">
        <v>21</v>
      </c>
      <c r="BH20" s="196">
        <v>5.1999999999999998E-2</v>
      </c>
      <c r="BI20" t="str">
        <f t="shared" si="2"/>
        <v>Helsæd, ært</v>
      </c>
      <c r="BJ20" s="12">
        <v>0</v>
      </c>
      <c r="BK20">
        <v>0</v>
      </c>
      <c r="BL20">
        <v>0</v>
      </c>
      <c r="BM20">
        <v>0</v>
      </c>
      <c r="BN20">
        <v>1</v>
      </c>
      <c r="BP20">
        <v>1</v>
      </c>
      <c r="BQ20">
        <v>1</v>
      </c>
      <c r="BR20">
        <v>1</v>
      </c>
      <c r="BS20">
        <v>0</v>
      </c>
      <c r="BT20">
        <v>1</v>
      </c>
      <c r="BU20">
        <v>0</v>
      </c>
      <c r="BV20">
        <v>0</v>
      </c>
      <c r="BW20">
        <v>0</v>
      </c>
      <c r="BX20">
        <v>0</v>
      </c>
      <c r="BY20" s="196">
        <v>1</v>
      </c>
      <c r="BZ20" s="196">
        <v>0</v>
      </c>
      <c r="CA20" s="196">
        <v>0</v>
      </c>
      <c r="CB20" s="196"/>
      <c r="CC20" s="196">
        <v>1</v>
      </c>
      <c r="CD20" s="196"/>
      <c r="CE20" s="196"/>
      <c r="CF20" s="196"/>
      <c r="CG20" s="196">
        <v>1</v>
      </c>
      <c r="CH20" s="196"/>
      <c r="CI20" s="196">
        <v>1</v>
      </c>
      <c r="CJ20" s="196">
        <v>1</v>
      </c>
      <c r="CK20" s="196">
        <v>6700</v>
      </c>
      <c r="CL20" s="4">
        <f t="shared" si="4"/>
        <v>1100</v>
      </c>
      <c r="CM20" s="196">
        <v>0</v>
      </c>
      <c r="CN20" s="196">
        <v>1</v>
      </c>
      <c r="CO20" s="4">
        <v>0</v>
      </c>
      <c r="CP20" s="196"/>
      <c r="CQ20" s="196"/>
      <c r="CR20" s="196"/>
      <c r="CS20" s="196"/>
      <c r="CU20" s="196"/>
      <c r="CY20">
        <v>75</v>
      </c>
      <c r="DB20" t="str">
        <f t="shared" si="3"/>
        <v>Helsæd, ært</v>
      </c>
      <c r="DD20" s="12"/>
      <c r="DE20" s="12"/>
      <c r="DF20" s="12"/>
      <c r="DG20" s="12"/>
      <c r="DH20" s="12"/>
      <c r="DI20" s="12"/>
      <c r="DJ20" s="12">
        <v>0</v>
      </c>
      <c r="DK20">
        <v>220</v>
      </c>
      <c r="DL20">
        <v>14</v>
      </c>
      <c r="DM20">
        <v>4</v>
      </c>
      <c r="DN20">
        <v>1</v>
      </c>
      <c r="DR20">
        <v>1</v>
      </c>
      <c r="DS20">
        <v>3</v>
      </c>
      <c r="DT20">
        <v>0.7</v>
      </c>
      <c r="DU20">
        <v>0.64</v>
      </c>
      <c r="DV20">
        <v>1.25</v>
      </c>
      <c r="DW20">
        <v>1</v>
      </c>
      <c r="DY20">
        <v>1.8</v>
      </c>
      <c r="DZ20">
        <v>0.1</v>
      </c>
      <c r="EA20">
        <v>0.6</v>
      </c>
      <c r="ED20">
        <v>1</v>
      </c>
      <c r="EE20">
        <v>5</v>
      </c>
    </row>
    <row r="21" spans="8:135" x14ac:dyDescent="0.25">
      <c r="I21">
        <v>16</v>
      </c>
      <c r="J21" t="s">
        <v>2039</v>
      </c>
      <c r="K21" t="s">
        <v>46</v>
      </c>
      <c r="L21">
        <f>IF(Normer!W25&lt;&gt;"",Normer!W25,Data!M21)</f>
        <v>150</v>
      </c>
      <c r="M21" s="196">
        <v>150</v>
      </c>
      <c r="N21" s="196">
        <v>35</v>
      </c>
      <c r="O21" s="196">
        <v>40</v>
      </c>
      <c r="P21" s="196">
        <v>45</v>
      </c>
      <c r="Q21" s="196">
        <v>45</v>
      </c>
      <c r="R21" s="196">
        <v>45</v>
      </c>
      <c r="S21">
        <v>0</v>
      </c>
      <c r="T21">
        <v>0</v>
      </c>
      <c r="U21">
        <v>0</v>
      </c>
      <c r="V21">
        <v>0</v>
      </c>
      <c r="W21">
        <v>0</v>
      </c>
      <c r="X21">
        <v>2100</v>
      </c>
      <c r="Y21">
        <v>2100</v>
      </c>
      <c r="Z21">
        <v>2400</v>
      </c>
      <c r="AA21">
        <v>2400</v>
      </c>
      <c r="AB21">
        <v>2400</v>
      </c>
      <c r="AC21" t="str">
        <f t="shared" ref="AC21" si="5">J21</f>
        <v>Hestebønne</v>
      </c>
      <c r="AD21" s="196">
        <v>0</v>
      </c>
      <c r="AE21" s="196">
        <v>0</v>
      </c>
      <c r="AF21" s="196">
        <v>0</v>
      </c>
      <c r="AG21" s="196">
        <v>0</v>
      </c>
      <c r="AH21" s="196">
        <v>0</v>
      </c>
      <c r="AI21">
        <v>10</v>
      </c>
      <c r="AJ21">
        <v>0</v>
      </c>
      <c r="AK21">
        <v>0</v>
      </c>
      <c r="AL21">
        <v>1</v>
      </c>
      <c r="AM21">
        <f>Halmpris</f>
        <v>0.5</v>
      </c>
      <c r="AN21" s="196">
        <v>0</v>
      </c>
      <c r="AP21" s="196">
        <v>690</v>
      </c>
      <c r="AQ21" s="196">
        <v>345</v>
      </c>
      <c r="AR21" s="196">
        <v>0</v>
      </c>
      <c r="AS21" t="str">
        <f t="shared" ref="AS21" si="6">J21</f>
        <v>Hestebønne</v>
      </c>
      <c r="AT21">
        <v>86</v>
      </c>
      <c r="AU21">
        <v>85</v>
      </c>
      <c r="AW21">
        <v>26.5</v>
      </c>
      <c r="AX21">
        <v>0</v>
      </c>
      <c r="AY21">
        <v>6.25</v>
      </c>
      <c r="AZ21">
        <v>7.1875</v>
      </c>
      <c r="BB21">
        <v>2.5</v>
      </c>
      <c r="BC21">
        <v>4.9000000000000004</v>
      </c>
      <c r="BD21">
        <v>2</v>
      </c>
      <c r="BE21">
        <v>20</v>
      </c>
      <c r="BF21">
        <v>11.4</v>
      </c>
      <c r="BG21">
        <v>7.5</v>
      </c>
      <c r="BH21" s="196">
        <v>0</v>
      </c>
      <c r="BI21" t="str">
        <f t="shared" ref="BI21" si="7">J21</f>
        <v>Hestebønne</v>
      </c>
      <c r="BJ21" s="12">
        <v>84</v>
      </c>
      <c r="BK21">
        <v>0</v>
      </c>
      <c r="BL21">
        <v>0</v>
      </c>
      <c r="BM21">
        <v>0</v>
      </c>
      <c r="BN21">
        <v>0</v>
      </c>
      <c r="BO21">
        <v>2</v>
      </c>
      <c r="BP21">
        <v>1</v>
      </c>
      <c r="BQ21">
        <v>1</v>
      </c>
      <c r="BR21">
        <v>1</v>
      </c>
      <c r="BS21">
        <v>0</v>
      </c>
      <c r="BT21">
        <v>1</v>
      </c>
      <c r="BU21">
        <v>0</v>
      </c>
      <c r="BV21">
        <v>0</v>
      </c>
      <c r="BW21">
        <v>0</v>
      </c>
      <c r="BX21">
        <v>0</v>
      </c>
      <c r="BY21" s="196">
        <v>1</v>
      </c>
      <c r="BZ21" s="196">
        <v>0</v>
      </c>
      <c r="CA21" s="196">
        <v>1</v>
      </c>
      <c r="CB21" s="196">
        <v>1</v>
      </c>
      <c r="CC21" s="196">
        <v>1</v>
      </c>
      <c r="CD21" s="196"/>
      <c r="CE21" s="196"/>
      <c r="CF21" s="196"/>
      <c r="CG21" s="196"/>
      <c r="CH21" s="196">
        <v>2</v>
      </c>
      <c r="CI21" s="196">
        <v>2</v>
      </c>
      <c r="CJ21" s="196">
        <v>1</v>
      </c>
      <c r="CK21" s="196">
        <v>45</v>
      </c>
      <c r="CL21" s="4">
        <f>$K$270</f>
        <v>900</v>
      </c>
      <c r="CM21" s="196">
        <f>$K$272</f>
        <v>550</v>
      </c>
      <c r="CN21" s="196">
        <v>1</v>
      </c>
      <c r="CO21" s="4">
        <f>$K$285</f>
        <v>325</v>
      </c>
      <c r="CP21" s="196">
        <v>3000</v>
      </c>
      <c r="CQ21" s="196">
        <f>$K$291</f>
        <v>525</v>
      </c>
      <c r="CR21" s="196">
        <f>$K$292</f>
        <v>200</v>
      </c>
      <c r="CS21" s="196">
        <v>1.04</v>
      </c>
      <c r="CT21" s="12">
        <f>$K$296</f>
        <v>14.5</v>
      </c>
      <c r="CU21" s="196">
        <v>7</v>
      </c>
      <c r="CY21">
        <v>75</v>
      </c>
      <c r="DB21" t="str">
        <f t="shared" ref="DB21" si="8">J21</f>
        <v>Hestebønne</v>
      </c>
      <c r="DC21">
        <v>121</v>
      </c>
      <c r="DD21" s="12">
        <v>0</v>
      </c>
      <c r="DE21" s="12">
        <v>0</v>
      </c>
      <c r="DF21" s="12"/>
      <c r="DG21" s="12"/>
      <c r="DH21" s="12"/>
      <c r="DI21" s="12"/>
      <c r="DJ21" s="12">
        <v>0</v>
      </c>
      <c r="DK21">
        <v>250</v>
      </c>
      <c r="DL21">
        <v>38</v>
      </c>
      <c r="DM21">
        <v>4</v>
      </c>
      <c r="DN21">
        <v>5</v>
      </c>
      <c r="DR21">
        <v>1</v>
      </c>
      <c r="DS21">
        <v>1</v>
      </c>
      <c r="DT21">
        <v>0.77</v>
      </c>
      <c r="DU21">
        <v>0.7</v>
      </c>
      <c r="DV21">
        <v>1.31</v>
      </c>
      <c r="DY21">
        <v>1.8</v>
      </c>
      <c r="DZ21">
        <v>0.1</v>
      </c>
      <c r="EA21">
        <v>0.6</v>
      </c>
      <c r="ED21">
        <v>2</v>
      </c>
      <c r="EE21">
        <v>5</v>
      </c>
    </row>
    <row r="22" spans="8:135" x14ac:dyDescent="0.25">
      <c r="H22">
        <v>15</v>
      </c>
      <c r="I22">
        <v>17</v>
      </c>
      <c r="J22" t="s">
        <v>52</v>
      </c>
      <c r="K22" t="s">
        <v>46</v>
      </c>
      <c r="L22">
        <f>IF(Normer!W15&lt;&gt;"",Normer!W15,Data!M22)</f>
        <v>135</v>
      </c>
      <c r="M22" s="196">
        <v>135</v>
      </c>
      <c r="N22" s="196">
        <v>50</v>
      </c>
      <c r="O22" s="196">
        <v>65</v>
      </c>
      <c r="P22" s="196">
        <v>65</v>
      </c>
      <c r="Q22" s="196">
        <v>76</v>
      </c>
      <c r="R22" s="196">
        <v>81</v>
      </c>
      <c r="S22">
        <v>5</v>
      </c>
      <c r="T22">
        <v>7</v>
      </c>
      <c r="U22">
        <v>7</v>
      </c>
      <c r="V22">
        <v>8</v>
      </c>
      <c r="W22">
        <v>8</v>
      </c>
      <c r="X22">
        <v>3400</v>
      </c>
      <c r="Y22">
        <v>3400</v>
      </c>
      <c r="Z22">
        <v>4500</v>
      </c>
      <c r="AA22">
        <v>4500</v>
      </c>
      <c r="AB22">
        <v>4500</v>
      </c>
      <c r="AC22" t="str">
        <f t="shared" si="0"/>
        <v>Hybridrug</v>
      </c>
      <c r="AD22" s="196">
        <v>123</v>
      </c>
      <c r="AE22" s="196">
        <v>126</v>
      </c>
      <c r="AF22" s="196">
        <v>139</v>
      </c>
      <c r="AG22" s="196">
        <v>128</v>
      </c>
      <c r="AH22" s="196">
        <v>142</v>
      </c>
      <c r="AI22">
        <v>0</v>
      </c>
      <c r="AJ22">
        <v>1</v>
      </c>
      <c r="AK22">
        <v>1.2</v>
      </c>
      <c r="AL22">
        <v>0</v>
      </c>
      <c r="AM22">
        <f>Halmpris</f>
        <v>0.5</v>
      </c>
      <c r="AN22" s="196">
        <v>0</v>
      </c>
      <c r="AP22" s="196">
        <v>720</v>
      </c>
      <c r="AQ22" s="196">
        <v>480</v>
      </c>
      <c r="AR22" s="196">
        <v>0</v>
      </c>
      <c r="AS22" t="str">
        <f t="shared" si="1"/>
        <v>Hybridrug</v>
      </c>
      <c r="AT22">
        <v>85</v>
      </c>
      <c r="AU22">
        <v>85</v>
      </c>
      <c r="AW22" s="12">
        <v>9.75</v>
      </c>
      <c r="AX22">
        <v>0.02</v>
      </c>
      <c r="AY22">
        <v>6.25</v>
      </c>
      <c r="AZ22">
        <v>3.8125</v>
      </c>
      <c r="BC22">
        <v>3.4</v>
      </c>
      <c r="BD22">
        <v>0.9</v>
      </c>
      <c r="BE22">
        <v>20</v>
      </c>
      <c r="BF22">
        <v>5.5</v>
      </c>
      <c r="BG22">
        <v>12</v>
      </c>
      <c r="BH22" s="196">
        <v>0</v>
      </c>
      <c r="BI22" t="str">
        <f t="shared" si="2"/>
        <v>Hybridrug</v>
      </c>
      <c r="BJ22" s="12">
        <v>110</v>
      </c>
      <c r="BK22">
        <v>0</v>
      </c>
      <c r="BL22">
        <v>0</v>
      </c>
      <c r="BM22">
        <v>0</v>
      </c>
      <c r="BN22">
        <v>0</v>
      </c>
      <c r="BO22">
        <v>1</v>
      </c>
      <c r="BP22">
        <v>1</v>
      </c>
      <c r="BQ22">
        <v>1</v>
      </c>
      <c r="BR22">
        <v>1</v>
      </c>
      <c r="BS22">
        <v>1</v>
      </c>
      <c r="BT22">
        <v>1</v>
      </c>
      <c r="BU22">
        <v>0</v>
      </c>
      <c r="BV22">
        <v>0</v>
      </c>
      <c r="BW22">
        <v>0</v>
      </c>
      <c r="BX22">
        <v>1</v>
      </c>
      <c r="BY22" s="196">
        <v>1</v>
      </c>
      <c r="BZ22" s="196">
        <v>0</v>
      </c>
      <c r="CA22" s="196">
        <v>0</v>
      </c>
      <c r="CB22" s="196">
        <v>3</v>
      </c>
      <c r="CC22" s="196">
        <v>1</v>
      </c>
      <c r="CD22" s="196"/>
      <c r="CE22" s="196"/>
      <c r="CF22" s="196"/>
      <c r="CG22" s="196"/>
      <c r="CH22" s="196">
        <v>2</v>
      </c>
      <c r="CI22" s="196">
        <v>2</v>
      </c>
      <c r="CJ22" s="196">
        <v>2</v>
      </c>
      <c r="CK22" s="196">
        <v>85</v>
      </c>
      <c r="CL22" s="4">
        <f>$K$270</f>
        <v>900</v>
      </c>
      <c r="CM22" s="196">
        <v>0</v>
      </c>
      <c r="CN22" s="196">
        <v>1</v>
      </c>
      <c r="CO22" s="4">
        <f>$K$285</f>
        <v>325</v>
      </c>
      <c r="CP22" s="196">
        <v>3000</v>
      </c>
      <c r="CQ22" s="196">
        <f>$K$291</f>
        <v>525</v>
      </c>
      <c r="CR22" s="196">
        <f>$K$292</f>
        <v>200</v>
      </c>
      <c r="CS22" s="196">
        <v>1.05</v>
      </c>
      <c r="CT22" s="12">
        <f>$K$295</f>
        <v>8.8000000000000007</v>
      </c>
      <c r="CU22" s="196">
        <v>5</v>
      </c>
      <c r="CY22">
        <v>90</v>
      </c>
      <c r="DA22" t="s">
        <v>53</v>
      </c>
      <c r="DB22" t="str">
        <f t="shared" si="3"/>
        <v>Hybridrug</v>
      </c>
      <c r="DC22">
        <v>89</v>
      </c>
      <c r="DD22" s="12">
        <v>-9.7999999999999997E-4</v>
      </c>
      <c r="DE22" s="12">
        <v>-2.1860000000000001E-2</v>
      </c>
      <c r="DF22" s="12">
        <v>0.28999999999999998</v>
      </c>
      <c r="DG22" s="12">
        <v>0.31</v>
      </c>
      <c r="DH22" s="12">
        <v>0.34</v>
      </c>
      <c r="DI22" s="12">
        <v>0.35</v>
      </c>
      <c r="DJ22" s="12">
        <v>0</v>
      </c>
      <c r="DK22">
        <v>120</v>
      </c>
      <c r="DL22">
        <v>32</v>
      </c>
      <c r="DM22">
        <v>1</v>
      </c>
      <c r="DN22">
        <v>1</v>
      </c>
      <c r="DP22">
        <v>1</v>
      </c>
      <c r="DQ22">
        <v>-2</v>
      </c>
      <c r="DR22">
        <v>1</v>
      </c>
      <c r="DY22">
        <v>0.7</v>
      </c>
      <c r="DZ22">
        <v>0.1</v>
      </c>
      <c r="EA22">
        <v>0.1</v>
      </c>
      <c r="EB22">
        <v>0.2</v>
      </c>
      <c r="ED22">
        <v>1.5</v>
      </c>
      <c r="EE22">
        <v>5</v>
      </c>
    </row>
    <row r="23" spans="8:135" x14ac:dyDescent="0.25">
      <c r="H23">
        <v>260</v>
      </c>
      <c r="I23">
        <v>18</v>
      </c>
      <c r="J23" t="s">
        <v>1249</v>
      </c>
      <c r="K23" t="s">
        <v>37</v>
      </c>
      <c r="L23" s="195">
        <f>Grovfoderpris</f>
        <v>1.2</v>
      </c>
      <c r="M23" s="194">
        <v>0</v>
      </c>
      <c r="N23" s="196">
        <v>6200</v>
      </c>
      <c r="O23" s="196">
        <v>6400</v>
      </c>
      <c r="P23" s="196">
        <v>7700</v>
      </c>
      <c r="Q23" s="196">
        <v>6700</v>
      </c>
      <c r="R23" s="196">
        <v>6700</v>
      </c>
      <c r="S23">
        <v>0</v>
      </c>
      <c r="T23">
        <v>0</v>
      </c>
      <c r="U23">
        <v>0</v>
      </c>
      <c r="V23">
        <v>0</v>
      </c>
      <c r="W23">
        <v>0</v>
      </c>
      <c r="X23">
        <v>0</v>
      </c>
      <c r="Y23">
        <v>0</v>
      </c>
      <c r="Z23">
        <v>0</v>
      </c>
      <c r="AA23">
        <v>0</v>
      </c>
      <c r="AB23">
        <v>0</v>
      </c>
      <c r="AC23" t="str">
        <f t="shared" si="0"/>
        <v>Kløvergræs, slæt+afgr.</v>
      </c>
      <c r="AD23" s="196">
        <v>235</v>
      </c>
      <c r="AE23" s="196">
        <v>237</v>
      </c>
      <c r="AF23" s="196">
        <v>247</v>
      </c>
      <c r="AG23" s="196">
        <v>240</v>
      </c>
      <c r="AH23" s="196">
        <v>240</v>
      </c>
      <c r="AI23">
        <v>85</v>
      </c>
      <c r="AJ23">
        <v>0</v>
      </c>
      <c r="AK23">
        <v>0</v>
      </c>
      <c r="AL23">
        <v>1</v>
      </c>
      <c r="AM23">
        <v>0</v>
      </c>
      <c r="AN23" s="196">
        <v>0</v>
      </c>
      <c r="AP23" s="196">
        <v>420</v>
      </c>
      <c r="AQ23" s="196">
        <v>0</v>
      </c>
      <c r="AR23" s="196">
        <v>0</v>
      </c>
      <c r="AS23" t="str">
        <f t="shared" si="1"/>
        <v>Kløvergræs, slæt+afgr.</v>
      </c>
      <c r="AV23">
        <v>1.2</v>
      </c>
      <c r="AW23">
        <v>16.3125</v>
      </c>
      <c r="AX23">
        <v>0</v>
      </c>
      <c r="AY23">
        <v>6.25</v>
      </c>
      <c r="BC23">
        <v>3.7</v>
      </c>
      <c r="BE23">
        <v>20</v>
      </c>
      <c r="BF23">
        <v>29</v>
      </c>
      <c r="BH23" s="196">
        <v>5.1999999999999998E-2</v>
      </c>
      <c r="BI23" t="str">
        <f t="shared" si="2"/>
        <v>Kløvergræs, slæt+afgr.</v>
      </c>
      <c r="BJ23" s="12">
        <v>0</v>
      </c>
      <c r="BK23">
        <v>0</v>
      </c>
      <c r="BL23">
        <v>1</v>
      </c>
      <c r="BM23">
        <v>0</v>
      </c>
      <c r="BN23">
        <v>0</v>
      </c>
      <c r="BO23">
        <v>2</v>
      </c>
      <c r="BP23">
        <v>0</v>
      </c>
      <c r="BQ23">
        <v>0</v>
      </c>
      <c r="BR23">
        <v>1</v>
      </c>
      <c r="BS23">
        <v>0</v>
      </c>
      <c r="BT23">
        <v>1</v>
      </c>
      <c r="BU23">
        <v>0</v>
      </c>
      <c r="BV23">
        <v>0</v>
      </c>
      <c r="BW23">
        <v>0</v>
      </c>
      <c r="BX23">
        <v>1</v>
      </c>
      <c r="BY23" s="196">
        <v>0</v>
      </c>
      <c r="BZ23" s="196">
        <v>0</v>
      </c>
      <c r="CA23" s="196">
        <v>0</v>
      </c>
      <c r="CB23" s="196"/>
      <c r="CC23" s="196"/>
      <c r="CD23" s="196">
        <v>0.5</v>
      </c>
      <c r="CE23" s="196"/>
      <c r="CF23" s="196"/>
      <c r="CG23" s="196"/>
      <c r="CH23" s="196"/>
      <c r="CI23" s="196">
        <v>0</v>
      </c>
      <c r="CJ23" s="196">
        <v>3</v>
      </c>
      <c r="CK23" s="196">
        <v>7000</v>
      </c>
      <c r="CL23" s="4">
        <f>$K$278+$K$279</f>
        <v>390</v>
      </c>
      <c r="CM23" s="196">
        <f>$K$293</f>
        <v>425</v>
      </c>
      <c r="CN23" s="196">
        <v>1</v>
      </c>
      <c r="CO23" s="4">
        <f>$K$280</f>
        <v>575</v>
      </c>
      <c r="CP23" s="196">
        <v>0</v>
      </c>
      <c r="CQ23" s="196">
        <v>0</v>
      </c>
      <c r="CR23" s="196">
        <v>0</v>
      </c>
      <c r="CS23" s="196">
        <v>0</v>
      </c>
      <c r="CT23" s="12">
        <v>0</v>
      </c>
      <c r="CU23" s="196"/>
      <c r="CY23">
        <v>150</v>
      </c>
      <c r="DB23" t="str">
        <f t="shared" si="3"/>
        <v>Kløvergræs, slæt+afgr.</v>
      </c>
      <c r="DC23">
        <v>0.95</v>
      </c>
      <c r="DD23" s="12">
        <v>-0.01</v>
      </c>
      <c r="DE23" s="12">
        <v>5.8999999999999997E-2</v>
      </c>
      <c r="DF23" s="12">
        <v>0.28999999999999998</v>
      </c>
      <c r="DG23" s="12">
        <v>0.3</v>
      </c>
      <c r="DH23" s="12">
        <v>0.33</v>
      </c>
      <c r="DI23" s="12">
        <v>0.35</v>
      </c>
      <c r="DJ23" s="12">
        <v>0.7</v>
      </c>
      <c r="DK23">
        <v>20</v>
      </c>
      <c r="DL23">
        <v>8</v>
      </c>
      <c r="DM23">
        <v>7</v>
      </c>
      <c r="DN23">
        <v>4</v>
      </c>
      <c r="DR23">
        <v>1</v>
      </c>
      <c r="DS23">
        <v>5</v>
      </c>
      <c r="DY23">
        <v>0.03</v>
      </c>
      <c r="EA23">
        <v>0.05</v>
      </c>
      <c r="ED23">
        <v>0.1</v>
      </c>
      <c r="EE23">
        <v>3</v>
      </c>
    </row>
    <row r="24" spans="8:135" x14ac:dyDescent="0.25">
      <c r="H24">
        <v>260</v>
      </c>
      <c r="I24">
        <v>19</v>
      </c>
      <c r="J24" t="s">
        <v>378</v>
      </c>
      <c r="K24" t="s">
        <v>37</v>
      </c>
      <c r="L24" s="195">
        <f>Grovfoderpris</f>
        <v>1.2</v>
      </c>
      <c r="M24" s="194">
        <v>0</v>
      </c>
      <c r="N24" s="196">
        <v>7100</v>
      </c>
      <c r="O24" s="196">
        <v>7100</v>
      </c>
      <c r="P24" s="196">
        <v>8600</v>
      </c>
      <c r="Q24" s="196">
        <v>7600</v>
      </c>
      <c r="R24" s="196">
        <v>7600</v>
      </c>
      <c r="S24">
        <v>0</v>
      </c>
      <c r="T24">
        <v>0</v>
      </c>
      <c r="U24">
        <v>0</v>
      </c>
      <c r="V24">
        <v>0</v>
      </c>
      <c r="W24">
        <v>0</v>
      </c>
      <c r="X24">
        <v>0</v>
      </c>
      <c r="Y24">
        <v>0</v>
      </c>
      <c r="Z24">
        <v>0</v>
      </c>
      <c r="AA24">
        <v>0</v>
      </c>
      <c r="AB24">
        <v>0</v>
      </c>
      <c r="AC24" t="str">
        <f t="shared" si="0"/>
        <v>Kløvergræs, 4 slæt</v>
      </c>
      <c r="AD24" s="196">
        <v>313</v>
      </c>
      <c r="AE24" s="196">
        <v>321</v>
      </c>
      <c r="AF24" s="196">
        <v>347</v>
      </c>
      <c r="AG24" s="196">
        <v>330</v>
      </c>
      <c r="AH24" s="196">
        <v>330</v>
      </c>
      <c r="AI24">
        <v>85</v>
      </c>
      <c r="AJ24">
        <v>0</v>
      </c>
      <c r="AK24">
        <v>0</v>
      </c>
      <c r="AL24">
        <v>1</v>
      </c>
      <c r="AM24">
        <v>0</v>
      </c>
      <c r="AN24" s="196">
        <v>0</v>
      </c>
      <c r="AP24" s="196">
        <v>420</v>
      </c>
      <c r="AQ24" s="196">
        <v>0</v>
      </c>
      <c r="AR24" s="196">
        <v>0</v>
      </c>
      <c r="AS24" t="str">
        <f t="shared" si="1"/>
        <v>Kløvergræs, 4 slæt</v>
      </c>
      <c r="AV24">
        <v>1.24</v>
      </c>
      <c r="AW24" s="12">
        <v>16.3125</v>
      </c>
      <c r="AX24">
        <v>0</v>
      </c>
      <c r="AY24">
        <v>6.25</v>
      </c>
      <c r="BC24">
        <v>3.7</v>
      </c>
      <c r="BE24">
        <v>20</v>
      </c>
      <c r="BF24">
        <v>29</v>
      </c>
      <c r="BH24" s="196">
        <v>5.1999999999999998E-2</v>
      </c>
      <c r="BI24" t="str">
        <f t="shared" si="2"/>
        <v>Kløvergræs, 4 slæt</v>
      </c>
      <c r="BJ24" s="12">
        <v>0</v>
      </c>
      <c r="BK24">
        <v>0</v>
      </c>
      <c r="BL24">
        <v>1</v>
      </c>
      <c r="BM24">
        <v>0</v>
      </c>
      <c r="BN24">
        <v>0</v>
      </c>
      <c r="BP24">
        <v>0</v>
      </c>
      <c r="BQ24">
        <v>0</v>
      </c>
      <c r="BR24">
        <v>1</v>
      </c>
      <c r="BS24">
        <v>0</v>
      </c>
      <c r="BT24">
        <v>1</v>
      </c>
      <c r="BU24">
        <v>0</v>
      </c>
      <c r="BV24">
        <v>0</v>
      </c>
      <c r="BW24">
        <v>0</v>
      </c>
      <c r="BX24">
        <v>1</v>
      </c>
      <c r="BY24" s="196">
        <v>0</v>
      </c>
      <c r="BZ24" s="196">
        <v>0</v>
      </c>
      <c r="CA24" s="196">
        <v>0</v>
      </c>
      <c r="CB24" s="196"/>
      <c r="CC24" s="196"/>
      <c r="CD24" s="196">
        <v>0.5</v>
      </c>
      <c r="CE24" s="196"/>
      <c r="CF24" s="196"/>
      <c r="CG24" s="196"/>
      <c r="CH24" s="196"/>
      <c r="CI24" s="196">
        <v>0</v>
      </c>
      <c r="CJ24" s="196">
        <v>3</v>
      </c>
      <c r="CK24" s="196">
        <v>8000</v>
      </c>
      <c r="CL24" s="4">
        <f>$K$278+$K$279</f>
        <v>390</v>
      </c>
      <c r="CM24" s="196">
        <v>0</v>
      </c>
      <c r="CN24" s="196">
        <v>4</v>
      </c>
      <c r="CO24" s="4">
        <f>$K$280</f>
        <v>575</v>
      </c>
      <c r="CP24" s="196">
        <v>0</v>
      </c>
      <c r="CQ24" s="196">
        <v>0</v>
      </c>
      <c r="CR24" s="196">
        <v>0</v>
      </c>
      <c r="CS24" s="196">
        <v>0</v>
      </c>
      <c r="CT24" s="12">
        <v>0</v>
      </c>
      <c r="CU24" s="196"/>
      <c r="CY24">
        <v>150</v>
      </c>
      <c r="DB24" t="str">
        <f t="shared" si="3"/>
        <v>Kløvergræs, 4 slæt</v>
      </c>
      <c r="DC24">
        <v>0.95</v>
      </c>
      <c r="DD24" s="12">
        <v>-0.01</v>
      </c>
      <c r="DE24" s="12">
        <v>5.8999999999999997E-2</v>
      </c>
      <c r="DF24" s="12">
        <v>0.28999999999999998</v>
      </c>
      <c r="DG24" s="12">
        <v>0.3</v>
      </c>
      <c r="DH24" s="12">
        <v>0.33</v>
      </c>
      <c r="DI24" s="12">
        <v>0.35</v>
      </c>
      <c r="DJ24" s="12">
        <v>0</v>
      </c>
      <c r="DL24">
        <v>8</v>
      </c>
      <c r="DM24">
        <v>7</v>
      </c>
      <c r="DN24">
        <v>4</v>
      </c>
      <c r="DR24">
        <v>1</v>
      </c>
      <c r="DS24">
        <v>5</v>
      </c>
    </row>
    <row r="25" spans="8:135" x14ac:dyDescent="0.25">
      <c r="H25">
        <v>262</v>
      </c>
      <c r="I25">
        <v>20</v>
      </c>
      <c r="J25" t="s">
        <v>54</v>
      </c>
      <c r="K25" t="s">
        <v>46</v>
      </c>
      <c r="L25">
        <f>IF(Normer!W45&lt;&gt;"",Normer!W45,Data!M25)</f>
        <v>50</v>
      </c>
      <c r="M25" s="196">
        <v>50</v>
      </c>
      <c r="N25" s="196">
        <v>120</v>
      </c>
      <c r="O25" s="196">
        <v>120</v>
      </c>
      <c r="P25" s="196">
        <v>140</v>
      </c>
      <c r="Q25" s="196">
        <v>130</v>
      </c>
      <c r="R25" s="196">
        <v>130</v>
      </c>
      <c r="S25">
        <v>0</v>
      </c>
      <c r="T25">
        <v>0</v>
      </c>
      <c r="U25">
        <v>0</v>
      </c>
      <c r="V25">
        <v>0</v>
      </c>
      <c r="W25">
        <v>0</v>
      </c>
      <c r="X25">
        <v>0</v>
      </c>
      <c r="Y25">
        <v>0</v>
      </c>
      <c r="Z25">
        <v>0</v>
      </c>
      <c r="AA25">
        <v>0</v>
      </c>
      <c r="AB25">
        <v>0</v>
      </c>
      <c r="AC25" t="str">
        <f t="shared" si="0"/>
        <v>Lucerne (tørret)</v>
      </c>
      <c r="AD25" s="196">
        <v>0</v>
      </c>
      <c r="AE25" s="196">
        <v>0</v>
      </c>
      <c r="AF25" s="196">
        <v>0</v>
      </c>
      <c r="AG25" s="196">
        <v>0</v>
      </c>
      <c r="AH25" s="196">
        <v>0</v>
      </c>
      <c r="AI25">
        <v>85</v>
      </c>
      <c r="AJ25">
        <v>0</v>
      </c>
      <c r="AK25">
        <v>0</v>
      </c>
      <c r="AL25">
        <v>1</v>
      </c>
      <c r="AN25" s="196">
        <v>0</v>
      </c>
      <c r="AP25" s="196">
        <v>570</v>
      </c>
      <c r="AQ25" s="196">
        <v>0</v>
      </c>
      <c r="AR25" s="196">
        <v>0</v>
      </c>
      <c r="AS25" t="str">
        <f t="shared" si="1"/>
        <v>Lucerne (tørret)</v>
      </c>
      <c r="AT25">
        <v>93</v>
      </c>
      <c r="AW25" s="12">
        <v>19</v>
      </c>
      <c r="AX25">
        <v>0</v>
      </c>
      <c r="AY25">
        <v>6.25</v>
      </c>
      <c r="BC25">
        <v>2.8</v>
      </c>
      <c r="BE25">
        <v>20</v>
      </c>
      <c r="BF25">
        <v>28</v>
      </c>
      <c r="BH25" s="196"/>
      <c r="BI25" t="str">
        <f t="shared" si="2"/>
        <v>Lucerne (tørret)</v>
      </c>
      <c r="BJ25" s="12">
        <v>0</v>
      </c>
      <c r="BK25">
        <v>0</v>
      </c>
      <c r="BL25">
        <v>0</v>
      </c>
      <c r="BM25">
        <v>0</v>
      </c>
      <c r="BN25">
        <v>0</v>
      </c>
      <c r="BO25">
        <v>2</v>
      </c>
      <c r="BP25">
        <v>0</v>
      </c>
      <c r="BQ25">
        <v>0</v>
      </c>
      <c r="BR25">
        <v>0</v>
      </c>
      <c r="BS25">
        <v>0</v>
      </c>
      <c r="BT25">
        <v>1</v>
      </c>
      <c r="BU25">
        <v>0</v>
      </c>
      <c r="BV25">
        <v>0</v>
      </c>
      <c r="BW25">
        <v>0</v>
      </c>
      <c r="BX25">
        <v>1</v>
      </c>
      <c r="BY25" s="196">
        <v>0</v>
      </c>
      <c r="BZ25" s="196">
        <v>0</v>
      </c>
      <c r="CA25" s="196">
        <v>0</v>
      </c>
      <c r="CB25" s="196"/>
      <c r="CC25" s="196"/>
      <c r="CD25" s="196">
        <v>0</v>
      </c>
      <c r="CE25" s="196"/>
      <c r="CF25" s="196"/>
      <c r="CG25" s="196"/>
      <c r="CH25" s="196"/>
      <c r="CI25" s="196">
        <v>0.33</v>
      </c>
      <c r="CJ25" s="196">
        <v>2</v>
      </c>
      <c r="CK25" s="196">
        <v>0</v>
      </c>
      <c r="CL25" s="4">
        <v>0</v>
      </c>
      <c r="CM25" s="196">
        <v>0</v>
      </c>
      <c r="CN25" s="196">
        <v>3</v>
      </c>
      <c r="CO25" s="4">
        <v>0</v>
      </c>
      <c r="CP25" s="196"/>
      <c r="CQ25" s="196"/>
      <c r="CR25" s="196"/>
      <c r="CS25" s="196"/>
      <c r="CU25" s="196"/>
      <c r="CY25">
        <v>150</v>
      </c>
      <c r="DB25" t="str">
        <f t="shared" si="3"/>
        <v>Lucerne (tørret)</v>
      </c>
      <c r="DC25">
        <v>56</v>
      </c>
      <c r="DD25" s="12"/>
      <c r="DE25" s="12"/>
      <c r="DF25" s="12"/>
      <c r="DG25" s="12"/>
      <c r="DH25" s="12"/>
      <c r="DI25" s="12"/>
      <c r="DJ25" s="12">
        <v>0</v>
      </c>
      <c r="DL25">
        <v>8</v>
      </c>
      <c r="DM25">
        <v>7</v>
      </c>
      <c r="DN25">
        <v>4</v>
      </c>
      <c r="DR25">
        <v>1</v>
      </c>
      <c r="DS25">
        <v>3</v>
      </c>
      <c r="DT25">
        <v>0.74</v>
      </c>
      <c r="DU25">
        <v>0.67</v>
      </c>
      <c r="DV25">
        <v>1.5</v>
      </c>
      <c r="DW25">
        <v>1</v>
      </c>
    </row>
    <row r="26" spans="8:135" x14ac:dyDescent="0.25">
      <c r="H26">
        <v>150</v>
      </c>
      <c r="I26">
        <v>21</v>
      </c>
      <c r="J26" t="s">
        <v>55</v>
      </c>
      <c r="K26" t="s">
        <v>46</v>
      </c>
      <c r="L26">
        <f>IF(Normer!W41&lt;&gt;"",Normer!W41,Data!M26)</f>
        <v>150</v>
      </c>
      <c r="M26" s="196">
        <v>150</v>
      </c>
      <c r="N26" s="196">
        <v>290</v>
      </c>
      <c r="O26" s="196">
        <v>316</v>
      </c>
      <c r="P26" s="196">
        <v>341</v>
      </c>
      <c r="Q26" s="196">
        <v>341</v>
      </c>
      <c r="R26" s="196">
        <v>341</v>
      </c>
      <c r="X26">
        <v>0</v>
      </c>
      <c r="Y26">
        <v>0</v>
      </c>
      <c r="Z26">
        <v>0</v>
      </c>
      <c r="AA26">
        <v>0</v>
      </c>
      <c r="AB26">
        <v>0</v>
      </c>
      <c r="AC26" t="str">
        <f t="shared" si="0"/>
        <v>Læggekartofler</v>
      </c>
      <c r="AD26" s="196">
        <v>113</v>
      </c>
      <c r="AE26" s="196">
        <v>105</v>
      </c>
      <c r="AF26" s="196">
        <v>122</v>
      </c>
      <c r="AG26" s="196">
        <v>101</v>
      </c>
      <c r="AH26" s="196">
        <v>109</v>
      </c>
      <c r="AI26">
        <v>0</v>
      </c>
      <c r="AJ26">
        <v>1</v>
      </c>
      <c r="AK26">
        <v>0.2</v>
      </c>
      <c r="AL26">
        <v>1</v>
      </c>
      <c r="AN26" s="196">
        <v>0</v>
      </c>
      <c r="AP26" s="196">
        <v>8400</v>
      </c>
      <c r="AQ26" s="196">
        <v>3310</v>
      </c>
      <c r="AR26" s="196">
        <v>0</v>
      </c>
      <c r="AS26" t="str">
        <f t="shared" si="1"/>
        <v>Læggekartofler</v>
      </c>
      <c r="AT26">
        <v>20</v>
      </c>
      <c r="AW26">
        <v>10.9375</v>
      </c>
      <c r="AX26">
        <v>0.02</v>
      </c>
      <c r="AY26">
        <v>6.25</v>
      </c>
      <c r="BA26">
        <v>7.5</v>
      </c>
      <c r="BC26">
        <v>2.2999999999999998</v>
      </c>
      <c r="BE26">
        <v>20</v>
      </c>
      <c r="BF26">
        <v>20.100000000000001</v>
      </c>
      <c r="BH26" s="196">
        <f>(7502+1364)/341</f>
        <v>26</v>
      </c>
      <c r="BI26" t="str">
        <f t="shared" si="2"/>
        <v>Læggekartofler</v>
      </c>
      <c r="BJ26" s="12">
        <v>0</v>
      </c>
      <c r="BK26">
        <v>0</v>
      </c>
      <c r="BL26">
        <v>0</v>
      </c>
      <c r="BM26">
        <v>0</v>
      </c>
      <c r="BN26">
        <v>0</v>
      </c>
      <c r="BO26">
        <v>2</v>
      </c>
      <c r="BP26">
        <v>0</v>
      </c>
      <c r="BQ26">
        <v>0</v>
      </c>
      <c r="BR26">
        <v>1</v>
      </c>
      <c r="BS26">
        <v>0</v>
      </c>
      <c r="BT26">
        <v>1</v>
      </c>
      <c r="BU26">
        <v>0</v>
      </c>
      <c r="BV26">
        <v>0</v>
      </c>
      <c r="BW26">
        <v>0</v>
      </c>
      <c r="BX26">
        <v>1</v>
      </c>
      <c r="BY26" s="196">
        <v>1</v>
      </c>
      <c r="BZ26" s="196">
        <v>1</v>
      </c>
      <c r="CA26" s="196">
        <v>2</v>
      </c>
      <c r="CB26" s="196">
        <v>1</v>
      </c>
      <c r="CC26" s="196"/>
      <c r="CD26" s="196"/>
      <c r="CE26" s="196"/>
      <c r="CF26" s="196"/>
      <c r="CG26" s="196"/>
      <c r="CH26" s="196">
        <v>3</v>
      </c>
      <c r="CI26" s="196">
        <v>12</v>
      </c>
      <c r="CJ26" s="196">
        <v>1</v>
      </c>
      <c r="CK26" s="196">
        <v>490</v>
      </c>
      <c r="CL26" s="4">
        <f>$K$273</f>
        <v>2900</v>
      </c>
      <c r="CM26" s="196">
        <f>$K$275</f>
        <v>675</v>
      </c>
      <c r="CN26" s="196">
        <v>1</v>
      </c>
      <c r="CO26" s="4">
        <f>$K$286</f>
        <v>900</v>
      </c>
      <c r="CP26" s="196">
        <v>0</v>
      </c>
      <c r="CQ26" s="196">
        <v>0</v>
      </c>
      <c r="CR26" s="196">
        <v>0</v>
      </c>
      <c r="CS26" s="196">
        <v>0</v>
      </c>
      <c r="CT26" s="12">
        <v>0</v>
      </c>
      <c r="CU26" s="196"/>
      <c r="CV26">
        <v>1</v>
      </c>
      <c r="CW26">
        <v>1</v>
      </c>
      <c r="CY26">
        <v>100</v>
      </c>
      <c r="DB26" t="str">
        <f t="shared" si="3"/>
        <v>Læggekartofler</v>
      </c>
      <c r="DC26">
        <v>175</v>
      </c>
      <c r="DD26" s="12">
        <v>-4.5599999999999998E-3</v>
      </c>
      <c r="DE26" s="12">
        <v>0</v>
      </c>
      <c r="DF26" s="12"/>
      <c r="DG26" s="12"/>
      <c r="DH26" s="12"/>
      <c r="DI26" s="12"/>
      <c r="DJ26" s="12">
        <v>0</v>
      </c>
      <c r="DK26">
        <v>150</v>
      </c>
      <c r="DL26">
        <v>20</v>
      </c>
      <c r="DM26">
        <v>6</v>
      </c>
      <c r="DN26">
        <v>6</v>
      </c>
      <c r="DR26">
        <v>1</v>
      </c>
      <c r="DY26">
        <v>1.8</v>
      </c>
      <c r="DZ26">
        <v>5</v>
      </c>
      <c r="EA26">
        <v>0.2</v>
      </c>
      <c r="ED26">
        <v>8</v>
      </c>
      <c r="EE26">
        <v>5</v>
      </c>
    </row>
    <row r="27" spans="8:135" x14ac:dyDescent="0.25">
      <c r="H27">
        <v>216</v>
      </c>
      <c r="I27">
        <v>22</v>
      </c>
      <c r="J27" t="s">
        <v>56</v>
      </c>
      <c r="K27" t="s">
        <v>57</v>
      </c>
      <c r="L27">
        <f>IF(Normer!W47&lt;&gt;"",Normer!W47,Data!M27)</f>
        <v>70</v>
      </c>
      <c r="M27" s="196">
        <v>70</v>
      </c>
      <c r="N27" s="196">
        <v>109</v>
      </c>
      <c r="O27" s="196">
        <v>109</v>
      </c>
      <c r="P27" s="196">
        <v>121</v>
      </c>
      <c r="Q27" s="196">
        <v>119</v>
      </c>
      <c r="R27" s="196">
        <v>125</v>
      </c>
      <c r="X27">
        <v>0</v>
      </c>
      <c r="Y27">
        <v>0</v>
      </c>
      <c r="Z27">
        <v>0</v>
      </c>
      <c r="AA27">
        <v>0</v>
      </c>
      <c r="AB27">
        <v>0</v>
      </c>
      <c r="AC27" t="str">
        <f t="shared" si="0"/>
        <v>Majs, biogas</v>
      </c>
      <c r="AD27" s="196">
        <v>149</v>
      </c>
      <c r="AE27" s="196">
        <v>136</v>
      </c>
      <c r="AF27" s="196">
        <v>162</v>
      </c>
      <c r="AG27" s="196">
        <v>139</v>
      </c>
      <c r="AH27" s="196">
        <v>154</v>
      </c>
      <c r="AI27">
        <v>0</v>
      </c>
      <c r="AJ27">
        <v>1</v>
      </c>
      <c r="AL27">
        <v>0</v>
      </c>
      <c r="AN27" s="196">
        <v>0</v>
      </c>
      <c r="AP27" s="196">
        <v>1400</v>
      </c>
      <c r="AQ27" s="196">
        <v>660</v>
      </c>
      <c r="AR27" s="196">
        <v>0</v>
      </c>
      <c r="AS27" t="str">
        <f t="shared" si="1"/>
        <v>Majs, biogas</v>
      </c>
      <c r="AT27">
        <v>100</v>
      </c>
      <c r="AW27">
        <v>7.6</v>
      </c>
      <c r="AX27">
        <v>0.02</v>
      </c>
      <c r="AY27">
        <v>6.25</v>
      </c>
      <c r="BA27">
        <v>7.5</v>
      </c>
      <c r="BC27">
        <v>2.6</v>
      </c>
      <c r="BE27">
        <v>20</v>
      </c>
      <c r="BF27">
        <v>12</v>
      </c>
      <c r="BH27" s="196"/>
      <c r="BI27" t="str">
        <f t="shared" si="2"/>
        <v>Majs, biogas</v>
      </c>
      <c r="BJ27" s="12">
        <v>0</v>
      </c>
      <c r="BK27">
        <v>0</v>
      </c>
      <c r="BL27">
        <v>0</v>
      </c>
      <c r="BM27">
        <v>0</v>
      </c>
      <c r="BN27">
        <v>0</v>
      </c>
      <c r="BO27">
        <v>2</v>
      </c>
      <c r="BP27">
        <v>1</v>
      </c>
      <c r="BQ27">
        <v>1</v>
      </c>
      <c r="BR27">
        <v>1</v>
      </c>
      <c r="BS27">
        <v>0</v>
      </c>
      <c r="BT27">
        <v>1</v>
      </c>
      <c r="BU27">
        <v>0</v>
      </c>
      <c r="BV27">
        <v>0</v>
      </c>
      <c r="BW27">
        <v>0</v>
      </c>
      <c r="BX27">
        <v>1</v>
      </c>
      <c r="BY27" s="196">
        <v>1</v>
      </c>
      <c r="BZ27" s="196">
        <v>0</v>
      </c>
      <c r="CA27" s="196">
        <v>1</v>
      </c>
      <c r="CB27" s="196">
        <v>1</v>
      </c>
      <c r="CC27" s="196"/>
      <c r="CD27" s="196"/>
      <c r="CE27" s="196"/>
      <c r="CF27" s="196">
        <v>1</v>
      </c>
      <c r="CG27" s="196">
        <v>1</v>
      </c>
      <c r="CH27" s="196">
        <v>3</v>
      </c>
      <c r="CI27" s="196">
        <v>2</v>
      </c>
      <c r="CJ27" s="196">
        <v>1</v>
      </c>
      <c r="CK27" s="196">
        <v>100</v>
      </c>
      <c r="CL27" s="4">
        <f>$K$282</f>
        <v>1600</v>
      </c>
      <c r="CM27" s="196">
        <v>0</v>
      </c>
      <c r="CN27" s="196">
        <v>1</v>
      </c>
      <c r="CO27" s="4">
        <v>0</v>
      </c>
      <c r="CP27" s="196">
        <v>0</v>
      </c>
      <c r="CQ27" s="196">
        <v>0</v>
      </c>
      <c r="CR27" s="196">
        <v>0</v>
      </c>
      <c r="CS27" s="196">
        <v>0</v>
      </c>
      <c r="CT27" s="12">
        <v>0</v>
      </c>
      <c r="CU27" s="196"/>
      <c r="CY27">
        <v>75</v>
      </c>
      <c r="DB27" t="str">
        <f t="shared" si="3"/>
        <v>Majs, biogas</v>
      </c>
      <c r="DC27">
        <v>60</v>
      </c>
      <c r="DD27" s="12">
        <v>-1.31E-3</v>
      </c>
      <c r="DE27" s="12">
        <v>5.4999999999999997E-3</v>
      </c>
      <c r="DF27" s="12">
        <v>0.33</v>
      </c>
      <c r="DG27" s="12">
        <v>0.34</v>
      </c>
      <c r="DH27" s="12">
        <v>0.38</v>
      </c>
      <c r="DI27" s="12">
        <v>0.39</v>
      </c>
      <c r="DJ27" s="12">
        <v>0</v>
      </c>
      <c r="DK27" s="12">
        <v>100</v>
      </c>
      <c r="DL27" s="12">
        <v>26</v>
      </c>
      <c r="DM27" s="12">
        <v>6</v>
      </c>
      <c r="DN27" s="12">
        <v>3</v>
      </c>
      <c r="DR27">
        <v>1</v>
      </c>
    </row>
    <row r="28" spans="8:135" x14ac:dyDescent="0.25">
      <c r="H28">
        <v>216</v>
      </c>
      <c r="I28">
        <v>23</v>
      </c>
      <c r="J28" t="s">
        <v>58</v>
      </c>
      <c r="K28" t="s">
        <v>37</v>
      </c>
      <c r="L28" s="195">
        <f>Grovfoderpris</f>
        <v>1.2</v>
      </c>
      <c r="M28" s="194">
        <v>0</v>
      </c>
      <c r="N28" s="196">
        <v>9400</v>
      </c>
      <c r="O28" s="196">
        <v>9400</v>
      </c>
      <c r="P28" s="196">
        <v>10400</v>
      </c>
      <c r="Q28" s="196">
        <v>10300</v>
      </c>
      <c r="R28" s="196">
        <v>10800</v>
      </c>
      <c r="S28">
        <v>0</v>
      </c>
      <c r="T28">
        <v>0</v>
      </c>
      <c r="U28">
        <v>0</v>
      </c>
      <c r="V28">
        <v>0</v>
      </c>
      <c r="W28">
        <v>0</v>
      </c>
      <c r="X28">
        <v>0</v>
      </c>
      <c r="Y28">
        <v>0</v>
      </c>
      <c r="Z28">
        <v>0</v>
      </c>
      <c r="AA28">
        <v>0</v>
      </c>
      <c r="AB28">
        <v>0</v>
      </c>
      <c r="AC28" t="str">
        <f t="shared" si="0"/>
        <v>Majs, helsæd</v>
      </c>
      <c r="AD28" s="196">
        <v>149</v>
      </c>
      <c r="AE28" s="196">
        <v>136</v>
      </c>
      <c r="AF28" s="196">
        <v>162</v>
      </c>
      <c r="AG28" s="196">
        <v>139</v>
      </c>
      <c r="AH28" s="196">
        <v>154</v>
      </c>
      <c r="AI28">
        <v>0</v>
      </c>
      <c r="AJ28">
        <v>1</v>
      </c>
      <c r="AK28">
        <v>0</v>
      </c>
      <c r="AL28">
        <v>0</v>
      </c>
      <c r="AN28" s="196">
        <v>0</v>
      </c>
      <c r="AP28" s="196">
        <v>1400</v>
      </c>
      <c r="AQ28" s="196">
        <v>660</v>
      </c>
      <c r="AR28" s="196">
        <v>0</v>
      </c>
      <c r="AS28" t="str">
        <f t="shared" si="1"/>
        <v>Majs, helsæd</v>
      </c>
      <c r="AV28">
        <v>1.1399999999999999</v>
      </c>
      <c r="AW28">
        <v>7.6</v>
      </c>
      <c r="AX28">
        <v>0.02</v>
      </c>
      <c r="AY28">
        <v>6.25</v>
      </c>
      <c r="BA28">
        <v>7.5</v>
      </c>
      <c r="BC28">
        <v>2.6</v>
      </c>
      <c r="BE28">
        <v>20</v>
      </c>
      <c r="BF28">
        <v>12</v>
      </c>
      <c r="BH28" s="196">
        <f>429/11000</f>
        <v>3.9E-2</v>
      </c>
      <c r="BI28" t="str">
        <f t="shared" si="2"/>
        <v>Majs, helsæd</v>
      </c>
      <c r="BJ28" s="12">
        <v>0</v>
      </c>
      <c r="BK28">
        <v>0</v>
      </c>
      <c r="BL28">
        <v>0</v>
      </c>
      <c r="BM28">
        <v>1</v>
      </c>
      <c r="BN28">
        <v>0</v>
      </c>
      <c r="BO28">
        <v>2</v>
      </c>
      <c r="BP28">
        <v>1</v>
      </c>
      <c r="BQ28">
        <v>1</v>
      </c>
      <c r="BR28">
        <v>1</v>
      </c>
      <c r="BS28">
        <v>0</v>
      </c>
      <c r="BT28">
        <v>1</v>
      </c>
      <c r="BU28">
        <v>0</v>
      </c>
      <c r="BV28">
        <v>0</v>
      </c>
      <c r="BW28">
        <v>0</v>
      </c>
      <c r="BX28">
        <v>1</v>
      </c>
      <c r="BY28" s="196">
        <v>1</v>
      </c>
      <c r="BZ28" s="196">
        <v>0</v>
      </c>
      <c r="CA28" s="196">
        <v>1</v>
      </c>
      <c r="CB28" s="196">
        <v>1</v>
      </c>
      <c r="CC28" s="196"/>
      <c r="CD28" s="196"/>
      <c r="CE28" s="196"/>
      <c r="CF28" s="196">
        <v>1</v>
      </c>
      <c r="CG28" s="196">
        <v>1</v>
      </c>
      <c r="CH28" s="196">
        <v>3</v>
      </c>
      <c r="CI28" s="196">
        <v>2</v>
      </c>
      <c r="CJ28" s="196">
        <v>1</v>
      </c>
      <c r="CK28" s="196">
        <v>9000</v>
      </c>
      <c r="CL28" s="4">
        <f>$K$282</f>
        <v>1600</v>
      </c>
      <c r="CM28" s="196">
        <v>0</v>
      </c>
      <c r="CN28" s="196">
        <v>1</v>
      </c>
      <c r="CO28" s="4">
        <v>0</v>
      </c>
      <c r="CP28" s="196">
        <v>0</v>
      </c>
      <c r="CQ28" s="196">
        <v>0</v>
      </c>
      <c r="CR28" s="196">
        <v>0</v>
      </c>
      <c r="CS28" s="196">
        <v>0</v>
      </c>
      <c r="CT28" s="12">
        <v>0</v>
      </c>
      <c r="CU28" s="196"/>
      <c r="CY28">
        <v>75</v>
      </c>
      <c r="DB28" t="str">
        <f t="shared" si="3"/>
        <v>Majs, helsæd</v>
      </c>
      <c r="DC28">
        <v>0.95</v>
      </c>
      <c r="DD28" s="12">
        <v>-0.13100000000000001</v>
      </c>
      <c r="DE28" s="12">
        <v>0.55000000000000004</v>
      </c>
      <c r="DF28" s="12">
        <v>0.33</v>
      </c>
      <c r="DG28" s="12">
        <v>0.34</v>
      </c>
      <c r="DH28" s="12">
        <v>0.38</v>
      </c>
      <c r="DI28" s="12">
        <v>0.39</v>
      </c>
      <c r="DJ28" s="12">
        <v>0</v>
      </c>
      <c r="DK28">
        <v>100</v>
      </c>
      <c r="DL28">
        <v>26</v>
      </c>
      <c r="DM28">
        <v>6</v>
      </c>
      <c r="DN28">
        <v>3</v>
      </c>
      <c r="DR28">
        <v>1</v>
      </c>
      <c r="DY28">
        <v>1</v>
      </c>
      <c r="EA28">
        <v>0.05</v>
      </c>
      <c r="ED28">
        <v>2</v>
      </c>
      <c r="EE28">
        <v>5</v>
      </c>
    </row>
    <row r="29" spans="8:135" x14ac:dyDescent="0.25">
      <c r="H29">
        <v>5</v>
      </c>
      <c r="I29">
        <v>24</v>
      </c>
      <c r="J29" t="s">
        <v>59</v>
      </c>
      <c r="K29" t="s">
        <v>46</v>
      </c>
      <c r="L29">
        <f>IF(Normer!W21&lt;&gt;"",Normer!W21,Data!M29)</f>
        <v>120</v>
      </c>
      <c r="M29" s="196">
        <v>120</v>
      </c>
      <c r="N29" s="196">
        <v>66</v>
      </c>
      <c r="O29" s="196">
        <v>66</v>
      </c>
      <c r="P29" s="196">
        <v>73</v>
      </c>
      <c r="Q29" s="196">
        <v>72</v>
      </c>
      <c r="R29" s="196">
        <v>76</v>
      </c>
      <c r="S29">
        <v>0</v>
      </c>
      <c r="T29">
        <v>0</v>
      </c>
      <c r="U29">
        <v>0</v>
      </c>
      <c r="V29">
        <v>0</v>
      </c>
      <c r="W29">
        <v>0</v>
      </c>
      <c r="X29">
        <v>0</v>
      </c>
      <c r="Y29">
        <v>0</v>
      </c>
      <c r="Z29">
        <v>0</v>
      </c>
      <c r="AA29">
        <v>0</v>
      </c>
      <c r="AB29">
        <v>0</v>
      </c>
      <c r="AC29" t="str">
        <f t="shared" si="0"/>
        <v>Majs, kerne</v>
      </c>
      <c r="AD29" s="196">
        <v>149</v>
      </c>
      <c r="AE29" s="196">
        <v>136</v>
      </c>
      <c r="AF29" s="196">
        <v>162</v>
      </c>
      <c r="AG29" s="196">
        <v>139</v>
      </c>
      <c r="AH29" s="196">
        <v>154</v>
      </c>
      <c r="AI29">
        <v>0</v>
      </c>
      <c r="AJ29">
        <v>1</v>
      </c>
      <c r="AK29">
        <v>1.5</v>
      </c>
      <c r="AL29">
        <v>0</v>
      </c>
      <c r="AN29" s="196">
        <v>0</v>
      </c>
      <c r="AP29" s="196">
        <v>1400</v>
      </c>
      <c r="AQ29" s="196">
        <v>660</v>
      </c>
      <c r="AR29" s="196">
        <v>0</v>
      </c>
      <c r="AS29" t="str">
        <f t="shared" si="1"/>
        <v>Majs, kerne</v>
      </c>
      <c r="AT29">
        <v>85</v>
      </c>
      <c r="AU29">
        <v>85</v>
      </c>
      <c r="AW29">
        <v>9.625</v>
      </c>
      <c r="AX29">
        <v>0.02</v>
      </c>
      <c r="AY29">
        <v>6.25</v>
      </c>
      <c r="AZ29">
        <v>3.3125</v>
      </c>
      <c r="BA29">
        <v>7.5</v>
      </c>
      <c r="BC29">
        <v>3.2</v>
      </c>
      <c r="BD29">
        <v>0.9</v>
      </c>
      <c r="BE29">
        <v>20</v>
      </c>
      <c r="BF29">
        <v>4</v>
      </c>
      <c r="BG29">
        <v>15</v>
      </c>
      <c r="BH29" s="196">
        <v>1.6345000000000001</v>
      </c>
      <c r="BI29" t="str">
        <f t="shared" si="2"/>
        <v>Majs, kerne</v>
      </c>
      <c r="BJ29" s="12">
        <v>122</v>
      </c>
      <c r="BK29">
        <v>106</v>
      </c>
      <c r="BL29">
        <v>0</v>
      </c>
      <c r="BM29">
        <v>0</v>
      </c>
      <c r="BN29">
        <v>0</v>
      </c>
      <c r="BO29">
        <v>1</v>
      </c>
      <c r="BP29">
        <v>1</v>
      </c>
      <c r="BQ29">
        <v>1</v>
      </c>
      <c r="BR29">
        <v>1</v>
      </c>
      <c r="BS29">
        <v>0</v>
      </c>
      <c r="BT29">
        <v>1</v>
      </c>
      <c r="BU29">
        <v>0</v>
      </c>
      <c r="BV29">
        <v>0</v>
      </c>
      <c r="BW29">
        <v>0</v>
      </c>
      <c r="BX29">
        <v>1</v>
      </c>
      <c r="BY29" s="196">
        <v>1</v>
      </c>
      <c r="BZ29" s="196">
        <v>0</v>
      </c>
      <c r="CA29" s="196">
        <v>1</v>
      </c>
      <c r="CB29" s="196">
        <v>1</v>
      </c>
      <c r="CC29" s="196"/>
      <c r="CD29" s="196"/>
      <c r="CE29" s="196"/>
      <c r="CF29" s="196">
        <v>1</v>
      </c>
      <c r="CG29" s="196">
        <v>1</v>
      </c>
      <c r="CH29" s="196">
        <v>3</v>
      </c>
      <c r="CI29" s="196">
        <v>2</v>
      </c>
      <c r="CJ29" s="196">
        <v>1</v>
      </c>
      <c r="CK29" s="196">
        <v>76</v>
      </c>
      <c r="CL29" s="4">
        <f>$K$283</f>
        <v>1100</v>
      </c>
      <c r="CM29" s="196">
        <v>0</v>
      </c>
      <c r="CN29" s="196">
        <v>1</v>
      </c>
      <c r="CO29" s="4">
        <f>$K$284</f>
        <v>2700</v>
      </c>
      <c r="CP29" s="196">
        <v>0</v>
      </c>
      <c r="CQ29" s="196">
        <v>0</v>
      </c>
      <c r="CR29" s="196">
        <v>0</v>
      </c>
      <c r="CS29" s="196">
        <v>0</v>
      </c>
      <c r="CT29" s="12">
        <v>0</v>
      </c>
      <c r="CU29" s="196"/>
      <c r="CY29">
        <v>75</v>
      </c>
      <c r="DA29" t="s">
        <v>60</v>
      </c>
      <c r="DB29" t="str">
        <f t="shared" si="3"/>
        <v>Majs, kerne</v>
      </c>
      <c r="DC29">
        <v>100</v>
      </c>
      <c r="DD29" s="109">
        <v>-1.31E-3</v>
      </c>
      <c r="DE29" s="109">
        <v>5.4999999999999997E-3</v>
      </c>
      <c r="DF29" s="109">
        <v>0.33</v>
      </c>
      <c r="DG29" s="109">
        <v>0.34</v>
      </c>
      <c r="DH29" s="109">
        <v>0.38</v>
      </c>
      <c r="DI29" s="109">
        <v>0.39</v>
      </c>
      <c r="DJ29" s="12">
        <v>0</v>
      </c>
      <c r="DK29">
        <v>100</v>
      </c>
      <c r="DL29">
        <v>26</v>
      </c>
      <c r="DM29">
        <v>6</v>
      </c>
      <c r="DN29">
        <v>3</v>
      </c>
      <c r="DR29">
        <v>1</v>
      </c>
      <c r="DY29">
        <v>1</v>
      </c>
      <c r="EA29">
        <v>0.05</v>
      </c>
      <c r="ED29">
        <v>1</v>
      </c>
      <c r="EE29">
        <v>5</v>
      </c>
    </row>
    <row r="30" spans="8:135" x14ac:dyDescent="0.25">
      <c r="H30">
        <v>30</v>
      </c>
      <c r="I30">
        <v>25</v>
      </c>
      <c r="J30" t="s">
        <v>61</v>
      </c>
      <c r="K30" t="s">
        <v>46</v>
      </c>
      <c r="L30">
        <f>IF(Normer!W23&lt;&gt;"",Normer!W23,Data!M30)</f>
        <v>150</v>
      </c>
      <c r="M30" s="196">
        <v>150</v>
      </c>
      <c r="N30" s="196">
        <v>45</v>
      </c>
      <c r="O30" s="196">
        <v>45</v>
      </c>
      <c r="P30" s="196">
        <v>45</v>
      </c>
      <c r="Q30" s="196">
        <v>45</v>
      </c>
      <c r="R30" s="196">
        <v>45</v>
      </c>
      <c r="S30">
        <v>0</v>
      </c>
      <c r="T30">
        <v>0</v>
      </c>
      <c r="U30">
        <v>0</v>
      </c>
      <c r="V30">
        <v>0</v>
      </c>
      <c r="W30">
        <v>0</v>
      </c>
      <c r="X30">
        <v>2100</v>
      </c>
      <c r="Y30">
        <v>2100</v>
      </c>
      <c r="Z30">
        <v>2400</v>
      </c>
      <c r="AA30">
        <v>2400</v>
      </c>
      <c r="AB30">
        <v>2400</v>
      </c>
      <c r="AC30" t="str">
        <f t="shared" si="0"/>
        <v>Markært</v>
      </c>
      <c r="AD30" s="196">
        <v>0</v>
      </c>
      <c r="AE30" s="196">
        <v>0</v>
      </c>
      <c r="AF30" s="196">
        <v>0</v>
      </c>
      <c r="AG30" s="196">
        <v>0</v>
      </c>
      <c r="AH30" s="196">
        <v>0</v>
      </c>
      <c r="AI30">
        <v>10</v>
      </c>
      <c r="AJ30">
        <v>0</v>
      </c>
      <c r="AK30">
        <v>0</v>
      </c>
      <c r="AL30">
        <v>1</v>
      </c>
      <c r="AM30">
        <f>Halmpris</f>
        <v>0.5</v>
      </c>
      <c r="AN30" s="196">
        <v>0</v>
      </c>
      <c r="AP30" s="196">
        <v>660</v>
      </c>
      <c r="AQ30" s="196">
        <v>230</v>
      </c>
      <c r="AR30" s="196">
        <v>0</v>
      </c>
      <c r="AS30" t="str">
        <f t="shared" si="1"/>
        <v>Markært</v>
      </c>
      <c r="AT30">
        <v>86</v>
      </c>
      <c r="AU30">
        <v>85</v>
      </c>
      <c r="AW30">
        <v>24.8125</v>
      </c>
      <c r="AX30">
        <v>0</v>
      </c>
      <c r="AY30">
        <v>6.25</v>
      </c>
      <c r="AZ30">
        <v>7.1875</v>
      </c>
      <c r="BB30">
        <v>2.5</v>
      </c>
      <c r="BC30">
        <v>4.9000000000000004</v>
      </c>
      <c r="BD30">
        <v>2</v>
      </c>
      <c r="BE30">
        <v>20</v>
      </c>
      <c r="BF30">
        <v>11.4</v>
      </c>
      <c r="BG30">
        <v>7.5</v>
      </c>
      <c r="BH30" s="196">
        <v>0</v>
      </c>
      <c r="BI30" t="str">
        <f t="shared" si="2"/>
        <v>Markært</v>
      </c>
      <c r="BJ30" s="12">
        <v>101</v>
      </c>
      <c r="BK30">
        <v>0</v>
      </c>
      <c r="BL30">
        <v>0</v>
      </c>
      <c r="BM30">
        <v>0</v>
      </c>
      <c r="BN30">
        <v>0</v>
      </c>
      <c r="BO30">
        <v>2</v>
      </c>
      <c r="BP30">
        <v>1</v>
      </c>
      <c r="BQ30">
        <v>1</v>
      </c>
      <c r="BR30">
        <v>1</v>
      </c>
      <c r="BS30">
        <v>0</v>
      </c>
      <c r="BT30">
        <v>1</v>
      </c>
      <c r="BU30">
        <v>0</v>
      </c>
      <c r="BV30">
        <v>0</v>
      </c>
      <c r="BW30">
        <v>0</v>
      </c>
      <c r="BX30">
        <v>0</v>
      </c>
      <c r="BY30" s="196">
        <v>1</v>
      </c>
      <c r="BZ30" s="196">
        <v>0</v>
      </c>
      <c r="CA30" s="196">
        <v>1</v>
      </c>
      <c r="CB30" s="196">
        <v>1</v>
      </c>
      <c r="CC30" s="196">
        <v>1</v>
      </c>
      <c r="CD30" s="196"/>
      <c r="CE30" s="196"/>
      <c r="CF30" s="196"/>
      <c r="CG30" s="196"/>
      <c r="CH30" s="196">
        <v>2</v>
      </c>
      <c r="CI30" s="196">
        <v>2</v>
      </c>
      <c r="CJ30" s="196">
        <v>1</v>
      </c>
      <c r="CK30" s="196">
        <v>45</v>
      </c>
      <c r="CL30" s="4">
        <f>$K$270</f>
        <v>900</v>
      </c>
      <c r="CM30" s="196">
        <f>$K$272</f>
        <v>550</v>
      </c>
      <c r="CN30" s="196">
        <v>1</v>
      </c>
      <c r="CO30" s="4">
        <f>$K$285</f>
        <v>325</v>
      </c>
      <c r="CP30" s="196">
        <v>3000</v>
      </c>
      <c r="CQ30" s="196">
        <f>$K$291</f>
        <v>525</v>
      </c>
      <c r="CR30" s="196">
        <f>$K$292</f>
        <v>200</v>
      </c>
      <c r="CS30" s="196">
        <v>1.04</v>
      </c>
      <c r="CT30" s="12">
        <f>$K$296</f>
        <v>14.5</v>
      </c>
      <c r="CU30" s="196">
        <v>7</v>
      </c>
      <c r="CY30">
        <v>75</v>
      </c>
      <c r="DB30" t="str">
        <f t="shared" si="3"/>
        <v>Markært</v>
      </c>
      <c r="DC30">
        <v>121</v>
      </c>
      <c r="DD30" s="12">
        <v>0</v>
      </c>
      <c r="DE30" s="12">
        <v>0</v>
      </c>
      <c r="DF30" s="12"/>
      <c r="DG30" s="12"/>
      <c r="DH30" s="12"/>
      <c r="DI30" s="12"/>
      <c r="DJ30" s="12">
        <v>0</v>
      </c>
      <c r="DK30">
        <v>250</v>
      </c>
      <c r="DL30">
        <v>38</v>
      </c>
      <c r="DM30">
        <v>4</v>
      </c>
      <c r="DN30">
        <v>5</v>
      </c>
      <c r="DR30">
        <v>1</v>
      </c>
      <c r="DS30">
        <v>1</v>
      </c>
      <c r="DT30">
        <v>0.77</v>
      </c>
      <c r="DU30">
        <v>0.7</v>
      </c>
      <c r="DV30">
        <v>1.31</v>
      </c>
      <c r="DY30">
        <v>1.8</v>
      </c>
      <c r="DZ30">
        <v>0.1</v>
      </c>
      <c r="EA30">
        <v>0.6</v>
      </c>
      <c r="ED30">
        <v>2</v>
      </c>
      <c r="EE30">
        <v>5</v>
      </c>
    </row>
    <row r="31" spans="8:135" x14ac:dyDescent="0.25">
      <c r="H31">
        <v>252</v>
      </c>
      <c r="I31">
        <v>26</v>
      </c>
      <c r="J31" t="s">
        <v>1167</v>
      </c>
      <c r="K31" t="s">
        <v>37</v>
      </c>
      <c r="L31" s="195">
        <f>Grovfoderpris</f>
        <v>1.2</v>
      </c>
      <c r="M31" s="194">
        <v>0</v>
      </c>
      <c r="N31" s="196">
        <v>3000</v>
      </c>
      <c r="O31" s="196">
        <v>3000</v>
      </c>
      <c r="P31" s="196">
        <v>3000</v>
      </c>
      <c r="Q31" s="196">
        <v>3000</v>
      </c>
      <c r="R31" s="196">
        <v>3000</v>
      </c>
      <c r="S31">
        <v>0</v>
      </c>
      <c r="T31">
        <v>0</v>
      </c>
      <c r="U31">
        <v>0</v>
      </c>
      <c r="V31">
        <v>0</v>
      </c>
      <c r="W31">
        <v>0</v>
      </c>
      <c r="X31">
        <v>0</v>
      </c>
      <c r="Y31">
        <v>0</v>
      </c>
      <c r="Z31">
        <v>0</v>
      </c>
      <c r="AA31">
        <v>0</v>
      </c>
      <c r="AB31">
        <v>0</v>
      </c>
      <c r="AC31" t="str">
        <f t="shared" si="0"/>
        <v>Permanent græs</v>
      </c>
      <c r="AD31" s="196">
        <v>134</v>
      </c>
      <c r="AE31" s="196">
        <v>134</v>
      </c>
      <c r="AF31" s="196">
        <v>134</v>
      </c>
      <c r="AG31" s="196">
        <v>134</v>
      </c>
      <c r="AH31" s="196">
        <v>134</v>
      </c>
      <c r="AI31">
        <v>18</v>
      </c>
      <c r="AJ31">
        <v>0</v>
      </c>
      <c r="AK31">
        <v>0</v>
      </c>
      <c r="AL31">
        <v>1</v>
      </c>
      <c r="AN31" s="196">
        <v>0</v>
      </c>
      <c r="AP31" s="196">
        <v>0</v>
      </c>
      <c r="AQ31" s="196">
        <v>0</v>
      </c>
      <c r="AR31" s="196">
        <v>0</v>
      </c>
      <c r="AS31" t="str">
        <f t="shared" si="1"/>
        <v>Permanent græs</v>
      </c>
      <c r="AV31">
        <v>1.1599999999999999</v>
      </c>
      <c r="AW31">
        <v>14</v>
      </c>
      <c r="AX31">
        <v>0</v>
      </c>
      <c r="AY31">
        <v>6.25</v>
      </c>
      <c r="BC31">
        <v>2.8</v>
      </c>
      <c r="BE31">
        <v>20</v>
      </c>
      <c r="BF31">
        <v>18</v>
      </c>
      <c r="BH31" s="196"/>
      <c r="BI31" t="str">
        <f t="shared" si="2"/>
        <v>Permanent græs</v>
      </c>
      <c r="BJ31" s="12">
        <v>0</v>
      </c>
      <c r="BK31">
        <v>0</v>
      </c>
      <c r="BL31">
        <v>1</v>
      </c>
      <c r="BM31">
        <v>0</v>
      </c>
      <c r="BN31">
        <v>0</v>
      </c>
      <c r="BP31">
        <v>0</v>
      </c>
      <c r="BQ31">
        <v>0</v>
      </c>
      <c r="BR31">
        <v>0</v>
      </c>
      <c r="BS31">
        <v>0</v>
      </c>
      <c r="BT31">
        <v>1</v>
      </c>
      <c r="BU31">
        <v>0</v>
      </c>
      <c r="BV31">
        <v>0</v>
      </c>
      <c r="BW31">
        <v>0</v>
      </c>
      <c r="BX31">
        <v>1</v>
      </c>
      <c r="BY31" s="196">
        <v>0</v>
      </c>
      <c r="BZ31" s="196">
        <v>0</v>
      </c>
      <c r="CA31" s="196">
        <v>0</v>
      </c>
      <c r="CB31" s="196"/>
      <c r="CC31" s="196"/>
      <c r="CD31" s="196"/>
      <c r="CE31" s="196"/>
      <c r="CF31" s="196"/>
      <c r="CG31" s="196"/>
      <c r="CH31" s="196"/>
      <c r="CI31" s="196">
        <v>0</v>
      </c>
      <c r="CJ31" s="196">
        <v>2</v>
      </c>
      <c r="CK31" s="196">
        <v>0</v>
      </c>
      <c r="CL31" s="4">
        <v>0</v>
      </c>
      <c r="CM31" s="196">
        <v>575</v>
      </c>
      <c r="CN31" s="196">
        <v>1</v>
      </c>
      <c r="CO31" s="4"/>
      <c r="CP31" s="196"/>
      <c r="CQ31" s="196"/>
      <c r="CR31" s="196"/>
      <c r="CS31" s="196"/>
      <c r="CU31" s="196"/>
      <c r="CY31">
        <v>0</v>
      </c>
      <c r="DB31" t="str">
        <f t="shared" si="3"/>
        <v>Permanent græs</v>
      </c>
      <c r="DC31">
        <v>0.95</v>
      </c>
      <c r="DD31" s="109">
        <v>-0.01</v>
      </c>
      <c r="DE31" s="109">
        <v>5.8999999999999997E-2</v>
      </c>
      <c r="DF31" s="109">
        <v>0.28999999999999998</v>
      </c>
      <c r="DG31" s="109">
        <v>0.3</v>
      </c>
      <c r="DH31" s="109">
        <v>0.33</v>
      </c>
      <c r="DI31" s="109">
        <v>0.35</v>
      </c>
      <c r="DJ31" s="12">
        <v>1</v>
      </c>
      <c r="DL31">
        <v>8</v>
      </c>
      <c r="DM31">
        <v>7</v>
      </c>
      <c r="DN31">
        <v>4</v>
      </c>
      <c r="DR31">
        <v>2</v>
      </c>
    </row>
    <row r="32" spans="8:135" x14ac:dyDescent="0.25">
      <c r="H32">
        <v>251</v>
      </c>
      <c r="I32">
        <v>27</v>
      </c>
      <c r="J32" t="s">
        <v>1542</v>
      </c>
      <c r="K32" t="s">
        <v>37</v>
      </c>
      <c r="L32" s="195">
        <f>Grovfoderpris</f>
        <v>1.2</v>
      </c>
      <c r="M32" s="194">
        <v>0</v>
      </c>
      <c r="N32" s="196">
        <v>1800</v>
      </c>
      <c r="O32" s="196">
        <v>1800</v>
      </c>
      <c r="P32" s="196">
        <v>1800</v>
      </c>
      <c r="Q32" s="196">
        <v>1800</v>
      </c>
      <c r="R32" s="196">
        <v>1800</v>
      </c>
      <c r="S32">
        <v>0</v>
      </c>
      <c r="T32">
        <v>0</v>
      </c>
      <c r="U32">
        <v>0</v>
      </c>
      <c r="V32">
        <v>0</v>
      </c>
      <c r="W32">
        <v>0</v>
      </c>
      <c r="X32">
        <v>0</v>
      </c>
      <c r="Y32">
        <v>0</v>
      </c>
      <c r="Z32">
        <v>0</v>
      </c>
      <c r="AA32">
        <v>0</v>
      </c>
      <c r="AB32">
        <v>0</v>
      </c>
      <c r="AC32" t="str">
        <f t="shared" si="0"/>
        <v>Perm. græs, lavt udb.</v>
      </c>
      <c r="AD32" s="196">
        <v>69</v>
      </c>
      <c r="AE32" s="196">
        <v>69</v>
      </c>
      <c r="AF32" s="196">
        <v>69</v>
      </c>
      <c r="AG32" s="196">
        <v>69</v>
      </c>
      <c r="AH32" s="196">
        <v>69</v>
      </c>
      <c r="AI32">
        <v>18</v>
      </c>
      <c r="AJ32">
        <v>0</v>
      </c>
      <c r="AK32">
        <v>0</v>
      </c>
      <c r="AL32">
        <v>1</v>
      </c>
      <c r="AN32" s="196">
        <v>0</v>
      </c>
      <c r="AP32" s="196">
        <v>0</v>
      </c>
      <c r="AQ32" s="196">
        <v>0</v>
      </c>
      <c r="AR32" s="196">
        <v>0</v>
      </c>
      <c r="AS32" t="str">
        <f t="shared" si="1"/>
        <v>Perm. græs, lavt udb.</v>
      </c>
      <c r="AV32">
        <v>1.1599999999999999</v>
      </c>
      <c r="AW32">
        <v>14</v>
      </c>
      <c r="AX32">
        <v>0</v>
      </c>
      <c r="AY32">
        <v>6.25</v>
      </c>
      <c r="BC32">
        <v>2.8</v>
      </c>
      <c r="BE32">
        <v>20</v>
      </c>
      <c r="BF32">
        <v>18</v>
      </c>
      <c r="BH32" s="196"/>
      <c r="BI32" t="str">
        <f t="shared" si="2"/>
        <v>Perm. græs, lavt udb.</v>
      </c>
      <c r="BJ32" s="12">
        <v>0</v>
      </c>
      <c r="BK32">
        <v>0</v>
      </c>
      <c r="BL32">
        <v>1</v>
      </c>
      <c r="BM32">
        <v>0</v>
      </c>
      <c r="BN32">
        <v>0</v>
      </c>
      <c r="BP32">
        <v>0</v>
      </c>
      <c r="BQ32">
        <v>0</v>
      </c>
      <c r="BR32">
        <v>0</v>
      </c>
      <c r="BS32">
        <v>0</v>
      </c>
      <c r="BT32">
        <v>1</v>
      </c>
      <c r="BU32">
        <v>0</v>
      </c>
      <c r="BV32">
        <v>0</v>
      </c>
      <c r="BW32">
        <v>0</v>
      </c>
      <c r="BX32">
        <v>1</v>
      </c>
      <c r="BY32" s="196">
        <v>0</v>
      </c>
      <c r="BZ32" s="196">
        <v>0</v>
      </c>
      <c r="CA32" s="196">
        <v>0</v>
      </c>
      <c r="CB32" s="196"/>
      <c r="CC32" s="196"/>
      <c r="CD32" s="196"/>
      <c r="CE32" s="196"/>
      <c r="CF32" s="196"/>
      <c r="CG32" s="196"/>
      <c r="CH32" s="196"/>
      <c r="CI32" s="196">
        <v>0</v>
      </c>
      <c r="CJ32" s="196">
        <v>1</v>
      </c>
      <c r="CK32" s="196">
        <v>0</v>
      </c>
      <c r="CL32" s="4">
        <v>0</v>
      </c>
      <c r="CM32" s="196">
        <v>575</v>
      </c>
      <c r="CN32" s="196">
        <v>1</v>
      </c>
      <c r="CO32" s="4"/>
      <c r="CP32" s="196"/>
      <c r="CQ32" s="196"/>
      <c r="CR32" s="196"/>
      <c r="CS32" s="196"/>
      <c r="CU32" s="196"/>
      <c r="CY32">
        <v>0</v>
      </c>
      <c r="DB32" t="str">
        <f t="shared" si="3"/>
        <v>Perm. græs, lavt udb.</v>
      </c>
      <c r="DC32">
        <v>0.95</v>
      </c>
      <c r="DD32" s="109">
        <v>-0.01</v>
      </c>
      <c r="DE32" s="109">
        <v>5.8999999999999997E-2</v>
      </c>
      <c r="DF32" s="109">
        <v>0.28999999999999998</v>
      </c>
      <c r="DG32" s="109">
        <v>0.3</v>
      </c>
      <c r="DH32" s="109">
        <v>0.33</v>
      </c>
      <c r="DI32" s="109">
        <v>0.35</v>
      </c>
      <c r="DJ32" s="12">
        <v>1</v>
      </c>
      <c r="DL32">
        <v>8</v>
      </c>
      <c r="DM32">
        <v>7</v>
      </c>
      <c r="DN32">
        <v>4</v>
      </c>
      <c r="DR32">
        <v>2</v>
      </c>
    </row>
    <row r="33" spans="8:135" x14ac:dyDescent="0.25">
      <c r="H33">
        <v>250</v>
      </c>
      <c r="I33">
        <v>28</v>
      </c>
      <c r="J33" t="s">
        <v>1168</v>
      </c>
      <c r="K33" t="s">
        <v>37</v>
      </c>
      <c r="L33" s="195">
        <f>Grovfoderpris</f>
        <v>1.2</v>
      </c>
      <c r="M33" s="194">
        <v>0</v>
      </c>
      <c r="N33" s="196">
        <v>0</v>
      </c>
      <c r="O33" s="196">
        <v>0</v>
      </c>
      <c r="P33" s="196">
        <v>0</v>
      </c>
      <c r="Q33" s="196">
        <v>0</v>
      </c>
      <c r="R33" s="196">
        <v>0</v>
      </c>
      <c r="S33">
        <v>0</v>
      </c>
      <c r="T33">
        <v>0</v>
      </c>
      <c r="U33">
        <v>0</v>
      </c>
      <c r="V33">
        <v>0</v>
      </c>
      <c r="W33">
        <v>0</v>
      </c>
      <c r="X33">
        <v>0</v>
      </c>
      <c r="Y33">
        <v>0</v>
      </c>
      <c r="Z33">
        <v>0</v>
      </c>
      <c r="AA33">
        <v>0</v>
      </c>
      <c r="AB33">
        <v>0</v>
      </c>
      <c r="AC33" t="str">
        <f t="shared" si="0"/>
        <v>Permanent græs (0N)</v>
      </c>
      <c r="AD33" s="196">
        <v>0</v>
      </c>
      <c r="AE33" s="196">
        <v>0</v>
      </c>
      <c r="AF33" s="196">
        <v>0</v>
      </c>
      <c r="AG33" s="196">
        <v>0</v>
      </c>
      <c r="AH33" s="196">
        <v>0</v>
      </c>
      <c r="AI33">
        <v>18</v>
      </c>
      <c r="AJ33">
        <v>0</v>
      </c>
      <c r="AK33">
        <v>0</v>
      </c>
      <c r="AL33">
        <v>1</v>
      </c>
      <c r="AN33" s="196"/>
      <c r="AP33" s="196">
        <v>0</v>
      </c>
      <c r="AQ33" s="196">
        <v>0</v>
      </c>
      <c r="AR33" s="196">
        <v>0</v>
      </c>
      <c r="AS33" t="str">
        <f t="shared" si="1"/>
        <v>Permanent græs (0N)</v>
      </c>
      <c r="AV33">
        <v>1.1599999999999999</v>
      </c>
      <c r="AW33">
        <v>14</v>
      </c>
      <c r="AX33">
        <v>0</v>
      </c>
      <c r="AY33">
        <v>6.25</v>
      </c>
      <c r="BC33">
        <v>2.8</v>
      </c>
      <c r="BE33">
        <v>20</v>
      </c>
      <c r="BF33">
        <v>18</v>
      </c>
      <c r="BH33" s="196"/>
      <c r="BI33" t="str">
        <f t="shared" si="2"/>
        <v>Permanent græs (0N)</v>
      </c>
      <c r="BJ33" s="12">
        <v>0</v>
      </c>
      <c r="BK33">
        <v>0</v>
      </c>
      <c r="BL33">
        <v>1</v>
      </c>
      <c r="BM33">
        <v>0</v>
      </c>
      <c r="BN33">
        <v>0</v>
      </c>
      <c r="BP33">
        <v>0</v>
      </c>
      <c r="BQ33">
        <v>0</v>
      </c>
      <c r="BR33">
        <v>0</v>
      </c>
      <c r="BS33">
        <v>0</v>
      </c>
      <c r="BT33">
        <v>0</v>
      </c>
      <c r="BU33">
        <v>0</v>
      </c>
      <c r="BV33">
        <v>0</v>
      </c>
      <c r="BW33">
        <v>0</v>
      </c>
      <c r="BX33">
        <v>1</v>
      </c>
      <c r="BY33" s="196">
        <v>0</v>
      </c>
      <c r="BZ33" s="196">
        <v>0</v>
      </c>
      <c r="CA33" s="196">
        <v>0</v>
      </c>
      <c r="CB33" s="196"/>
      <c r="CC33" s="196"/>
      <c r="CD33" s="196"/>
      <c r="CE33" s="196"/>
      <c r="CF33" s="196"/>
      <c r="CG33" s="196"/>
      <c r="CH33" s="196"/>
      <c r="CI33" s="196">
        <v>0</v>
      </c>
      <c r="CJ33" s="196">
        <v>0</v>
      </c>
      <c r="CK33" s="196">
        <v>0</v>
      </c>
      <c r="CL33" s="4">
        <v>0</v>
      </c>
      <c r="CM33" s="196">
        <v>575</v>
      </c>
      <c r="CN33" s="196">
        <v>1</v>
      </c>
      <c r="CO33" s="4"/>
      <c r="CP33" s="196"/>
      <c r="CQ33" s="196"/>
      <c r="CR33" s="196"/>
      <c r="CS33" s="196"/>
      <c r="CU33" s="196"/>
      <c r="CY33">
        <v>0</v>
      </c>
      <c r="DB33" t="str">
        <f t="shared" si="3"/>
        <v>Permanent græs (0N)</v>
      </c>
      <c r="DD33" s="12"/>
      <c r="DE33" s="12"/>
      <c r="DF33" s="12"/>
      <c r="DG33" s="12"/>
      <c r="DH33" s="12"/>
      <c r="DI33" s="12"/>
      <c r="DJ33" s="12">
        <v>1</v>
      </c>
      <c r="DL33">
        <v>8</v>
      </c>
      <c r="DM33">
        <v>7</v>
      </c>
      <c r="DN33">
        <v>4</v>
      </c>
      <c r="DR33">
        <v>2</v>
      </c>
    </row>
    <row r="34" spans="8:135" x14ac:dyDescent="0.25">
      <c r="I34">
        <v>29</v>
      </c>
      <c r="J34" t="s">
        <v>1169</v>
      </c>
      <c r="M34" s="196"/>
      <c r="N34" s="196">
        <v>0</v>
      </c>
      <c r="O34" s="196">
        <v>0</v>
      </c>
      <c r="P34" s="196">
        <v>0</v>
      </c>
      <c r="Q34" s="196">
        <v>0</v>
      </c>
      <c r="R34" s="196">
        <v>0</v>
      </c>
      <c r="S34">
        <v>0</v>
      </c>
      <c r="T34">
        <v>0</v>
      </c>
      <c r="U34">
        <v>0</v>
      </c>
      <c r="V34">
        <v>0</v>
      </c>
      <c r="W34">
        <v>0</v>
      </c>
      <c r="X34">
        <v>0</v>
      </c>
      <c r="Y34">
        <v>0</v>
      </c>
      <c r="Z34">
        <v>0</v>
      </c>
      <c r="AA34">
        <v>0</v>
      </c>
      <c r="AB34">
        <v>0</v>
      </c>
      <c r="AC34" t="str">
        <f t="shared" si="0"/>
        <v>Randzone</v>
      </c>
      <c r="AD34" s="196">
        <v>0</v>
      </c>
      <c r="AE34" s="196">
        <v>0</v>
      </c>
      <c r="AF34" s="196">
        <v>0</v>
      </c>
      <c r="AG34" s="196">
        <v>0</v>
      </c>
      <c r="AH34" s="196">
        <v>0</v>
      </c>
      <c r="AI34">
        <v>0</v>
      </c>
      <c r="AJ34">
        <v>0</v>
      </c>
      <c r="AK34">
        <v>0</v>
      </c>
      <c r="AL34">
        <v>1</v>
      </c>
      <c r="AN34" s="196">
        <v>2100</v>
      </c>
      <c r="AP34" s="196">
        <v>0</v>
      </c>
      <c r="AQ34" s="196">
        <v>0</v>
      </c>
      <c r="AR34" s="196">
        <v>0</v>
      </c>
      <c r="AS34" t="str">
        <f t="shared" si="1"/>
        <v>Randzone</v>
      </c>
      <c r="AW34">
        <v>0</v>
      </c>
      <c r="AX34">
        <v>0</v>
      </c>
      <c r="AY34">
        <v>6.25</v>
      </c>
      <c r="BC34">
        <v>0</v>
      </c>
      <c r="BE34">
        <v>0</v>
      </c>
      <c r="BF34">
        <v>0</v>
      </c>
      <c r="BH34" s="196"/>
      <c r="BI34" t="str">
        <f t="shared" si="2"/>
        <v>Randzone</v>
      </c>
      <c r="BJ34" s="12">
        <v>0</v>
      </c>
      <c r="BK34">
        <v>0</v>
      </c>
      <c r="BL34">
        <v>0</v>
      </c>
      <c r="BM34">
        <v>0</v>
      </c>
      <c r="BN34">
        <v>0</v>
      </c>
      <c r="BP34">
        <v>0</v>
      </c>
      <c r="BQ34">
        <v>0</v>
      </c>
      <c r="BR34">
        <v>0</v>
      </c>
      <c r="BS34">
        <v>0</v>
      </c>
      <c r="BT34">
        <v>0</v>
      </c>
      <c r="BU34">
        <v>0</v>
      </c>
      <c r="BV34">
        <v>1</v>
      </c>
      <c r="BW34">
        <v>0</v>
      </c>
      <c r="BX34">
        <v>1</v>
      </c>
      <c r="BY34" s="196">
        <v>0</v>
      </c>
      <c r="BZ34" s="196">
        <v>0</v>
      </c>
      <c r="CA34" s="196">
        <v>0</v>
      </c>
      <c r="CB34" s="196"/>
      <c r="CC34" s="196"/>
      <c r="CD34" s="196"/>
      <c r="CE34" s="196"/>
      <c r="CF34" s="196"/>
      <c r="CG34" s="196"/>
      <c r="CH34" s="196"/>
      <c r="CI34" s="196">
        <v>0</v>
      </c>
      <c r="CJ34" s="196">
        <v>0</v>
      </c>
      <c r="CK34" s="196">
        <v>0</v>
      </c>
      <c r="CL34" s="4">
        <v>0</v>
      </c>
      <c r="CM34" s="196">
        <v>0</v>
      </c>
      <c r="CN34" s="196">
        <v>0</v>
      </c>
      <c r="CO34" s="4"/>
      <c r="CP34" s="196"/>
      <c r="CQ34" s="196"/>
      <c r="CR34" s="196"/>
      <c r="CS34" s="196"/>
      <c r="CU34" s="196"/>
      <c r="CY34">
        <v>0</v>
      </c>
      <c r="DB34" t="str">
        <f t="shared" si="3"/>
        <v>Randzone</v>
      </c>
      <c r="DD34" s="12"/>
      <c r="DE34" s="12"/>
      <c r="DF34" s="12"/>
      <c r="DG34" s="12"/>
      <c r="DH34" s="12"/>
      <c r="DI34" s="12"/>
      <c r="DJ34" s="12">
        <v>0</v>
      </c>
      <c r="DL34">
        <v>8</v>
      </c>
      <c r="DM34">
        <v>7</v>
      </c>
      <c r="DN34">
        <v>4</v>
      </c>
      <c r="DR34">
        <v>4</v>
      </c>
    </row>
    <row r="35" spans="8:135" x14ac:dyDescent="0.25">
      <c r="H35">
        <v>108</v>
      </c>
      <c r="I35">
        <v>30</v>
      </c>
      <c r="J35" t="s">
        <v>62</v>
      </c>
      <c r="K35" t="s">
        <v>46</v>
      </c>
      <c r="L35">
        <f>IF(Normer!W35&lt;&gt;"",Normer!W35,Data!M35)</f>
        <v>875</v>
      </c>
      <c r="M35" s="196">
        <v>875</v>
      </c>
      <c r="N35" s="196">
        <v>8</v>
      </c>
      <c r="O35" s="196">
        <v>8</v>
      </c>
      <c r="P35" s="196">
        <v>8</v>
      </c>
      <c r="Q35" s="196">
        <v>8</v>
      </c>
      <c r="R35" s="196">
        <v>8</v>
      </c>
      <c r="S35">
        <v>0</v>
      </c>
      <c r="T35">
        <v>0</v>
      </c>
      <c r="U35">
        <v>0</v>
      </c>
      <c r="V35">
        <v>0</v>
      </c>
      <c r="W35">
        <v>0</v>
      </c>
      <c r="X35">
        <v>4400</v>
      </c>
      <c r="Y35">
        <v>4400</v>
      </c>
      <c r="Z35">
        <v>5000</v>
      </c>
      <c r="AA35">
        <v>5000</v>
      </c>
      <c r="AB35">
        <v>5000</v>
      </c>
      <c r="AC35" t="str">
        <f t="shared" si="0"/>
        <v>Rødsvingel</v>
      </c>
      <c r="AD35" s="196">
        <v>121</v>
      </c>
      <c r="AE35" s="196">
        <v>121</v>
      </c>
      <c r="AF35" s="196">
        <v>121</v>
      </c>
      <c r="AG35" s="196">
        <v>121</v>
      </c>
      <c r="AH35" s="196">
        <v>121</v>
      </c>
      <c r="AI35">
        <v>10</v>
      </c>
      <c r="AJ35">
        <v>0</v>
      </c>
      <c r="AK35">
        <v>0</v>
      </c>
      <c r="AL35">
        <v>1</v>
      </c>
      <c r="AM35">
        <f>Halmpris</f>
        <v>0.5</v>
      </c>
      <c r="AN35" s="196">
        <v>0</v>
      </c>
      <c r="AP35" s="196">
        <v>231</v>
      </c>
      <c r="AQ35" s="196">
        <v>655</v>
      </c>
      <c r="AR35" s="196">
        <v>175</v>
      </c>
      <c r="AS35" t="str">
        <f t="shared" si="1"/>
        <v>Rødsvingel</v>
      </c>
      <c r="AT35">
        <v>88</v>
      </c>
      <c r="AU35">
        <v>85</v>
      </c>
      <c r="AW35" s="12">
        <v>24.375</v>
      </c>
      <c r="AX35">
        <v>0</v>
      </c>
      <c r="AY35">
        <v>6.25</v>
      </c>
      <c r="AZ35">
        <v>5.0625</v>
      </c>
      <c r="BB35">
        <v>5</v>
      </c>
      <c r="BC35">
        <v>4.5</v>
      </c>
      <c r="BD35">
        <v>3.5</v>
      </c>
      <c r="BE35">
        <v>20</v>
      </c>
      <c r="BF35">
        <v>7.5</v>
      </c>
      <c r="BG35">
        <v>25</v>
      </c>
      <c r="BH35" s="196">
        <f>975/13.8</f>
        <v>70.65217391304347</v>
      </c>
      <c r="BI35" t="str">
        <f t="shared" si="2"/>
        <v>Rødsvingel</v>
      </c>
      <c r="BJ35" s="12">
        <v>0</v>
      </c>
      <c r="BK35">
        <v>0</v>
      </c>
      <c r="BL35">
        <v>0</v>
      </c>
      <c r="BM35">
        <v>0</v>
      </c>
      <c r="BN35">
        <v>0</v>
      </c>
      <c r="BO35">
        <v>2</v>
      </c>
      <c r="BP35">
        <v>0</v>
      </c>
      <c r="BQ35">
        <v>1</v>
      </c>
      <c r="BR35">
        <v>0</v>
      </c>
      <c r="BS35">
        <v>0</v>
      </c>
      <c r="BT35">
        <v>1</v>
      </c>
      <c r="BU35">
        <v>0</v>
      </c>
      <c r="BV35">
        <v>0</v>
      </c>
      <c r="BW35">
        <v>0</v>
      </c>
      <c r="BX35">
        <v>1</v>
      </c>
      <c r="BY35" s="196">
        <v>0</v>
      </c>
      <c r="BZ35" s="196">
        <v>0</v>
      </c>
      <c r="CA35" s="196">
        <v>0</v>
      </c>
      <c r="CB35" s="196"/>
      <c r="CC35" s="196"/>
      <c r="CD35" s="196">
        <v>0.5</v>
      </c>
      <c r="CE35" s="196"/>
      <c r="CF35" s="196"/>
      <c r="CG35" s="196"/>
      <c r="CH35" s="196">
        <v>2</v>
      </c>
      <c r="CI35" s="196">
        <v>2</v>
      </c>
      <c r="CJ35" s="196">
        <v>2</v>
      </c>
      <c r="CK35" s="196">
        <v>14.583299999999999</v>
      </c>
      <c r="CL35" s="4">
        <f>$K$270</f>
        <v>900</v>
      </c>
      <c r="CM35" s="196">
        <v>600</v>
      </c>
      <c r="CN35" s="196">
        <v>1</v>
      </c>
      <c r="CO35" s="4">
        <f>$K$285</f>
        <v>325</v>
      </c>
      <c r="CP35" s="196">
        <v>3000</v>
      </c>
      <c r="CQ35" s="196">
        <f>$K$291</f>
        <v>525</v>
      </c>
      <c r="CR35" s="196">
        <f>$K$292</f>
        <v>200</v>
      </c>
      <c r="CS35" s="196">
        <v>1.333</v>
      </c>
      <c r="CT35" s="12">
        <f>$K$299</f>
        <v>35</v>
      </c>
      <c r="CU35" s="196">
        <v>17</v>
      </c>
      <c r="CY35">
        <v>75</v>
      </c>
      <c r="DB35" t="str">
        <f t="shared" si="3"/>
        <v>Rødsvingel</v>
      </c>
      <c r="DC35">
        <v>523</v>
      </c>
      <c r="DD35" s="12">
        <v>-5.1999999999999995E-4</v>
      </c>
      <c r="DE35" s="12">
        <v>-5.2999999999999998E-4</v>
      </c>
      <c r="DF35" s="12">
        <v>0.19</v>
      </c>
      <c r="DG35" s="12">
        <v>0.2</v>
      </c>
      <c r="DH35" s="12">
        <v>0.22</v>
      </c>
      <c r="DI35" s="12">
        <v>0.23</v>
      </c>
      <c r="DJ35" s="12">
        <v>0</v>
      </c>
      <c r="DK35">
        <v>8</v>
      </c>
      <c r="DL35">
        <v>8</v>
      </c>
      <c r="DM35">
        <v>7</v>
      </c>
      <c r="DN35">
        <v>3</v>
      </c>
      <c r="DR35">
        <v>1</v>
      </c>
      <c r="DY35">
        <v>1</v>
      </c>
      <c r="EB35">
        <v>0.5</v>
      </c>
      <c r="ED35">
        <v>1</v>
      </c>
      <c r="EE35">
        <v>3</v>
      </c>
    </row>
    <row r="36" spans="8:135" x14ac:dyDescent="0.25">
      <c r="H36">
        <v>152</v>
      </c>
      <c r="I36">
        <v>31</v>
      </c>
      <c r="J36" t="s">
        <v>63</v>
      </c>
      <c r="K36" t="s">
        <v>46</v>
      </c>
      <c r="L36">
        <f>IF(Normer!W37&lt;&gt;"",Normer!W37,Data!M36)</f>
        <v>120</v>
      </c>
      <c r="M36" s="196">
        <v>120</v>
      </c>
      <c r="N36" s="196">
        <v>298</v>
      </c>
      <c r="O36" s="196">
        <v>375</v>
      </c>
      <c r="P36" s="196">
        <v>400</v>
      </c>
      <c r="Q36" s="196">
        <v>400</v>
      </c>
      <c r="R36" s="196">
        <v>400</v>
      </c>
      <c r="X36">
        <v>0</v>
      </c>
      <c r="Y36">
        <v>0</v>
      </c>
      <c r="Z36">
        <v>0</v>
      </c>
      <c r="AA36">
        <v>0</v>
      </c>
      <c r="AB36">
        <v>0</v>
      </c>
      <c r="AC36" t="str">
        <f t="shared" si="0"/>
        <v>Spisekartofler</v>
      </c>
      <c r="AD36" s="196">
        <v>141</v>
      </c>
      <c r="AE36" s="196">
        <v>141</v>
      </c>
      <c r="AF36" s="196">
        <v>159</v>
      </c>
      <c r="AG36" s="196">
        <v>137</v>
      </c>
      <c r="AH36" s="196">
        <v>146</v>
      </c>
      <c r="AI36">
        <v>0</v>
      </c>
      <c r="AJ36">
        <v>1</v>
      </c>
      <c r="AK36">
        <v>0.2</v>
      </c>
      <c r="AL36">
        <v>1</v>
      </c>
      <c r="AN36" s="196">
        <v>0</v>
      </c>
      <c r="AP36" s="196">
        <v>4800</v>
      </c>
      <c r="AQ36" s="196">
        <v>3020</v>
      </c>
      <c r="AR36" s="196">
        <v>0</v>
      </c>
      <c r="AS36" t="str">
        <f t="shared" si="1"/>
        <v>Spisekartofler</v>
      </c>
      <c r="AT36">
        <v>20</v>
      </c>
      <c r="AW36">
        <v>9.1875</v>
      </c>
      <c r="AX36">
        <v>0.02</v>
      </c>
      <c r="AY36">
        <v>6.25</v>
      </c>
      <c r="BA36">
        <v>7.5</v>
      </c>
      <c r="BC36">
        <v>2.2999999999999998</v>
      </c>
      <c r="BE36">
        <v>20</v>
      </c>
      <c r="BF36">
        <v>20.100000000000001</v>
      </c>
      <c r="BH36" s="196">
        <f>9600/400</f>
        <v>24</v>
      </c>
      <c r="BI36" t="str">
        <f t="shared" si="2"/>
        <v>Spisekartofler</v>
      </c>
      <c r="BJ36" s="12">
        <v>0</v>
      </c>
      <c r="BK36">
        <v>0</v>
      </c>
      <c r="BL36">
        <v>0</v>
      </c>
      <c r="BM36">
        <v>0</v>
      </c>
      <c r="BN36">
        <v>0</v>
      </c>
      <c r="BO36">
        <v>2</v>
      </c>
      <c r="BP36">
        <v>0</v>
      </c>
      <c r="BQ36">
        <v>0</v>
      </c>
      <c r="BR36">
        <v>1</v>
      </c>
      <c r="BS36">
        <v>0</v>
      </c>
      <c r="BT36">
        <v>1</v>
      </c>
      <c r="BU36">
        <v>0</v>
      </c>
      <c r="BV36">
        <v>0</v>
      </c>
      <c r="BW36">
        <v>0</v>
      </c>
      <c r="BX36">
        <v>0</v>
      </c>
      <c r="BY36" s="196">
        <v>1</v>
      </c>
      <c r="BZ36" s="196">
        <v>1</v>
      </c>
      <c r="CA36" s="196">
        <v>2</v>
      </c>
      <c r="CB36" s="196">
        <v>1</v>
      </c>
      <c r="CC36" s="196"/>
      <c r="CD36" s="196"/>
      <c r="CE36" s="196"/>
      <c r="CF36" s="196"/>
      <c r="CG36" s="196"/>
      <c r="CH36" s="196">
        <v>3</v>
      </c>
      <c r="CI36" s="196">
        <v>12</v>
      </c>
      <c r="CJ36" s="196">
        <v>1</v>
      </c>
      <c r="CK36" s="196">
        <v>400</v>
      </c>
      <c r="CL36" s="4">
        <f>$K$274</f>
        <v>3750</v>
      </c>
      <c r="CM36" s="196">
        <v>0</v>
      </c>
      <c r="CN36" s="196">
        <v>1</v>
      </c>
      <c r="CO36" s="4">
        <f>$K$286*400/490</f>
        <v>734.69387755102036</v>
      </c>
      <c r="CP36" s="196">
        <v>0</v>
      </c>
      <c r="CQ36" s="196">
        <v>0</v>
      </c>
      <c r="CR36" s="196">
        <v>0</v>
      </c>
      <c r="CS36" s="196">
        <v>0</v>
      </c>
      <c r="CT36" s="12">
        <v>0</v>
      </c>
      <c r="CU36" s="196"/>
      <c r="CV36">
        <v>1</v>
      </c>
      <c r="CW36">
        <v>1</v>
      </c>
      <c r="CY36">
        <v>100</v>
      </c>
      <c r="DB36" t="str">
        <f t="shared" si="3"/>
        <v>Spisekartofler</v>
      </c>
      <c r="DC36">
        <v>100</v>
      </c>
      <c r="DD36" s="12">
        <v>-4.5599999999999998E-3</v>
      </c>
      <c r="DE36" s="12">
        <v>0</v>
      </c>
      <c r="DF36" s="12"/>
      <c r="DG36" s="12"/>
      <c r="DH36" s="12"/>
      <c r="DI36" s="12"/>
      <c r="DJ36" s="12">
        <v>0</v>
      </c>
      <c r="DK36">
        <v>150</v>
      </c>
      <c r="DL36">
        <v>20</v>
      </c>
      <c r="DM36">
        <v>6</v>
      </c>
      <c r="DN36">
        <v>6</v>
      </c>
      <c r="DR36">
        <v>1</v>
      </c>
      <c r="DY36">
        <v>1.6</v>
      </c>
      <c r="DZ36">
        <v>5</v>
      </c>
      <c r="EA36">
        <v>0.5</v>
      </c>
      <c r="ED36">
        <v>8</v>
      </c>
      <c r="EE36">
        <v>5</v>
      </c>
    </row>
    <row r="37" spans="8:135" x14ac:dyDescent="0.25">
      <c r="H37">
        <v>151</v>
      </c>
      <c r="I37">
        <v>32</v>
      </c>
      <c r="J37" t="s">
        <v>1318</v>
      </c>
      <c r="K37" t="s">
        <v>46</v>
      </c>
      <c r="L37">
        <f>IF(Normer!W39&lt;&gt;"",Normer!W39,Data!M37)</f>
        <v>48</v>
      </c>
      <c r="M37" s="196">
        <v>48</v>
      </c>
      <c r="N37" s="196">
        <v>427</v>
      </c>
      <c r="O37" s="196">
        <v>478</v>
      </c>
      <c r="P37" s="196">
        <v>529</v>
      </c>
      <c r="Q37" s="196">
        <v>529</v>
      </c>
      <c r="R37" s="196">
        <v>529</v>
      </c>
      <c r="X37">
        <v>0</v>
      </c>
      <c r="Y37">
        <v>0</v>
      </c>
      <c r="Z37">
        <v>0</v>
      </c>
      <c r="AA37">
        <v>0</v>
      </c>
      <c r="AB37">
        <v>0</v>
      </c>
      <c r="AC37" t="str">
        <f t="shared" si="0"/>
        <v>Stivelseskartofler</v>
      </c>
      <c r="AD37" s="196">
        <v>189</v>
      </c>
      <c r="AE37" s="196">
        <v>185</v>
      </c>
      <c r="AF37" s="196">
        <v>207</v>
      </c>
      <c r="AG37" s="196">
        <v>185</v>
      </c>
      <c r="AH37" s="196">
        <v>194</v>
      </c>
      <c r="AI37">
        <v>0</v>
      </c>
      <c r="AJ37">
        <v>1</v>
      </c>
      <c r="AK37">
        <v>0.2</v>
      </c>
      <c r="AL37">
        <v>1</v>
      </c>
      <c r="AN37" s="196">
        <v>0</v>
      </c>
      <c r="AP37" s="196">
        <v>3312</v>
      </c>
      <c r="AQ37" s="196">
        <v>2750</v>
      </c>
      <c r="AR37" s="196">
        <v>0</v>
      </c>
      <c r="AS37" t="str">
        <f t="shared" si="1"/>
        <v>Stivelseskartofler</v>
      </c>
      <c r="AT37">
        <v>24</v>
      </c>
      <c r="AW37">
        <v>9.1875</v>
      </c>
      <c r="AX37">
        <v>0.02</v>
      </c>
      <c r="AY37">
        <v>6.25</v>
      </c>
      <c r="BA37">
        <v>7.5</v>
      </c>
      <c r="BC37">
        <v>2.2999999999999998</v>
      </c>
      <c r="BE37">
        <v>20</v>
      </c>
      <c r="BF37">
        <v>20.100000000000001</v>
      </c>
      <c r="BH37" s="196">
        <f>2000/500</f>
        <v>4</v>
      </c>
      <c r="BI37" t="str">
        <f t="shared" si="2"/>
        <v>Stivelseskartofler</v>
      </c>
      <c r="BJ37" s="12">
        <v>0</v>
      </c>
      <c r="BK37">
        <v>0</v>
      </c>
      <c r="BL37">
        <v>0</v>
      </c>
      <c r="BM37">
        <v>0</v>
      </c>
      <c r="BN37">
        <v>0</v>
      </c>
      <c r="BO37">
        <v>2</v>
      </c>
      <c r="BP37">
        <v>0</v>
      </c>
      <c r="BQ37">
        <v>0</v>
      </c>
      <c r="BR37">
        <v>1</v>
      </c>
      <c r="BS37">
        <v>0</v>
      </c>
      <c r="BT37">
        <v>1</v>
      </c>
      <c r="BU37">
        <v>0</v>
      </c>
      <c r="BV37">
        <v>0</v>
      </c>
      <c r="BW37">
        <v>0</v>
      </c>
      <c r="BX37">
        <v>1</v>
      </c>
      <c r="BY37" s="196">
        <v>1</v>
      </c>
      <c r="BZ37" s="196">
        <v>1</v>
      </c>
      <c r="CA37" s="196">
        <v>2</v>
      </c>
      <c r="CB37" s="196">
        <v>1</v>
      </c>
      <c r="CC37" s="196"/>
      <c r="CD37" s="196"/>
      <c r="CE37" s="196"/>
      <c r="CF37" s="196"/>
      <c r="CG37" s="196"/>
      <c r="CH37" s="196">
        <v>3</v>
      </c>
      <c r="CI37" s="196">
        <v>14</v>
      </c>
      <c r="CJ37" s="196">
        <v>1</v>
      </c>
      <c r="CK37" s="196">
        <v>490</v>
      </c>
      <c r="CL37" s="4">
        <f>$K$273</f>
        <v>2900</v>
      </c>
      <c r="CM37" s="196">
        <v>0</v>
      </c>
      <c r="CN37" s="196">
        <v>1</v>
      </c>
      <c r="CO37" s="4">
        <f>$K$286</f>
        <v>900</v>
      </c>
      <c r="CP37" s="196">
        <v>0</v>
      </c>
      <c r="CQ37" s="196">
        <v>0</v>
      </c>
      <c r="CR37" s="196">
        <v>0</v>
      </c>
      <c r="CS37" s="196">
        <v>0</v>
      </c>
      <c r="CT37" s="12">
        <v>0</v>
      </c>
      <c r="CU37" s="196"/>
      <c r="CV37">
        <v>1</v>
      </c>
      <c r="CW37">
        <v>1</v>
      </c>
      <c r="CY37">
        <v>100</v>
      </c>
      <c r="DB37" t="str">
        <f t="shared" si="3"/>
        <v>Stivelseskartofler</v>
      </c>
      <c r="DC37">
        <v>47</v>
      </c>
      <c r="DD37" s="12">
        <v>-4.5599999999999998E-3</v>
      </c>
      <c r="DE37" s="12">
        <v>0</v>
      </c>
      <c r="DF37" s="12"/>
      <c r="DG37" s="12"/>
      <c r="DH37" s="12"/>
      <c r="DI37" s="12"/>
      <c r="DJ37" s="12">
        <v>0</v>
      </c>
      <c r="DK37">
        <v>150</v>
      </c>
      <c r="DL37">
        <v>20</v>
      </c>
      <c r="DM37">
        <v>6</v>
      </c>
      <c r="DN37">
        <v>6</v>
      </c>
      <c r="DR37">
        <v>1</v>
      </c>
      <c r="DY37">
        <v>1.1000000000000001</v>
      </c>
      <c r="DZ37">
        <v>7.5</v>
      </c>
      <c r="EA37">
        <v>1</v>
      </c>
      <c r="ED37">
        <v>10</v>
      </c>
      <c r="EE37">
        <v>5</v>
      </c>
    </row>
    <row r="38" spans="8:135" x14ac:dyDescent="0.25">
      <c r="H38">
        <v>16</v>
      </c>
      <c r="I38">
        <v>33</v>
      </c>
      <c r="J38" t="s">
        <v>64</v>
      </c>
      <c r="K38" t="s">
        <v>46</v>
      </c>
      <c r="L38">
        <f>IF(Normer!W13&lt;&gt;"",Normer!W13,Data!M38)</f>
        <v>135</v>
      </c>
      <c r="M38" s="196">
        <v>135</v>
      </c>
      <c r="N38" s="196">
        <v>41</v>
      </c>
      <c r="O38" s="196">
        <v>53</v>
      </c>
      <c r="P38" s="196">
        <v>53</v>
      </c>
      <c r="Q38" s="196">
        <v>61</v>
      </c>
      <c r="R38" s="196">
        <v>65</v>
      </c>
      <c r="S38">
        <v>4</v>
      </c>
      <c r="T38">
        <v>5</v>
      </c>
      <c r="U38">
        <v>5</v>
      </c>
      <c r="V38">
        <v>6</v>
      </c>
      <c r="W38">
        <v>6</v>
      </c>
      <c r="X38">
        <v>3400</v>
      </c>
      <c r="Y38">
        <v>3400</v>
      </c>
      <c r="Z38">
        <v>4300</v>
      </c>
      <c r="AA38">
        <v>4300</v>
      </c>
      <c r="AB38">
        <v>4300</v>
      </c>
      <c r="AC38" t="str">
        <f t="shared" si="0"/>
        <v xml:space="preserve">Triticale  </v>
      </c>
      <c r="AD38" s="196">
        <v>140</v>
      </c>
      <c r="AE38" s="196">
        <v>139</v>
      </c>
      <c r="AF38" s="196">
        <v>152</v>
      </c>
      <c r="AG38" s="196">
        <v>139</v>
      </c>
      <c r="AH38" s="196">
        <v>151</v>
      </c>
      <c r="AI38">
        <v>0</v>
      </c>
      <c r="AJ38">
        <v>1</v>
      </c>
      <c r="AK38">
        <v>1.2</v>
      </c>
      <c r="AL38">
        <v>0</v>
      </c>
      <c r="AM38">
        <f t="shared" ref="AM38:AM43" si="9">Halmpris</f>
        <v>0.5</v>
      </c>
      <c r="AN38" s="196">
        <v>0</v>
      </c>
      <c r="AP38" s="196">
        <v>680</v>
      </c>
      <c r="AQ38" s="196">
        <v>503</v>
      </c>
      <c r="AR38" s="196">
        <v>0</v>
      </c>
      <c r="AS38" t="str">
        <f t="shared" si="1"/>
        <v xml:space="preserve">Triticale  </v>
      </c>
      <c r="AT38">
        <v>85</v>
      </c>
      <c r="AU38">
        <v>85</v>
      </c>
      <c r="AW38">
        <v>11.5</v>
      </c>
      <c r="AX38">
        <v>0.02</v>
      </c>
      <c r="AY38">
        <v>6.25</v>
      </c>
      <c r="AZ38">
        <v>3.8125</v>
      </c>
      <c r="BC38">
        <v>4.2</v>
      </c>
      <c r="BD38">
        <v>1</v>
      </c>
      <c r="BE38">
        <v>20</v>
      </c>
      <c r="BF38">
        <v>6.4</v>
      </c>
      <c r="BG38">
        <v>12</v>
      </c>
      <c r="BH38" s="196">
        <v>0</v>
      </c>
      <c r="BI38" t="str">
        <f t="shared" si="2"/>
        <v xml:space="preserve">Triticale  </v>
      </c>
      <c r="BJ38" s="12">
        <v>113</v>
      </c>
      <c r="BK38">
        <v>0</v>
      </c>
      <c r="BL38">
        <v>0</v>
      </c>
      <c r="BM38">
        <v>0</v>
      </c>
      <c r="BN38">
        <v>0</v>
      </c>
      <c r="BO38">
        <v>1</v>
      </c>
      <c r="BP38">
        <v>1</v>
      </c>
      <c r="BQ38">
        <v>1</v>
      </c>
      <c r="BR38">
        <v>0</v>
      </c>
      <c r="BS38">
        <v>1</v>
      </c>
      <c r="BT38">
        <v>1</v>
      </c>
      <c r="BU38">
        <v>0</v>
      </c>
      <c r="BV38">
        <v>0</v>
      </c>
      <c r="BW38">
        <v>0</v>
      </c>
      <c r="BX38">
        <v>1</v>
      </c>
      <c r="BY38" s="196">
        <v>1</v>
      </c>
      <c r="BZ38" s="196">
        <v>0</v>
      </c>
      <c r="CA38" s="196">
        <v>0</v>
      </c>
      <c r="CB38" s="196">
        <v>3</v>
      </c>
      <c r="CC38" s="196">
        <v>1</v>
      </c>
      <c r="CD38" s="196"/>
      <c r="CE38" s="196"/>
      <c r="CF38" s="196"/>
      <c r="CG38" s="196"/>
      <c r="CH38" s="196">
        <v>2</v>
      </c>
      <c r="CI38" s="196">
        <v>2</v>
      </c>
      <c r="CJ38" s="196">
        <v>2</v>
      </c>
      <c r="CK38" s="196">
        <v>85</v>
      </c>
      <c r="CL38" s="4">
        <f t="shared" ref="CL38:CL43" si="10">$K$270</f>
        <v>900</v>
      </c>
      <c r="CM38" s="196">
        <v>0</v>
      </c>
      <c r="CN38" s="196">
        <v>1</v>
      </c>
      <c r="CO38" s="4">
        <f t="shared" ref="CO38:CO43" si="11">$K$285</f>
        <v>325</v>
      </c>
      <c r="CP38" s="196">
        <v>3000</v>
      </c>
      <c r="CQ38" s="196">
        <f t="shared" ref="CQ38:CQ43" si="12">$K$291</f>
        <v>525</v>
      </c>
      <c r="CR38" s="196">
        <f t="shared" ref="CR38:CR43" si="13">$K$292</f>
        <v>200</v>
      </c>
      <c r="CS38" s="196">
        <v>1.05</v>
      </c>
      <c r="CT38" s="12">
        <f>$K$295</f>
        <v>8.8000000000000007</v>
      </c>
      <c r="CU38" s="196">
        <v>5</v>
      </c>
      <c r="CY38">
        <v>90</v>
      </c>
      <c r="DA38" t="s">
        <v>65</v>
      </c>
      <c r="DB38" t="str">
        <f t="shared" si="3"/>
        <v xml:space="preserve">Triticale  </v>
      </c>
      <c r="DC38">
        <v>89</v>
      </c>
      <c r="DD38" s="12">
        <v>-7.2000000000000005E-4</v>
      </c>
      <c r="DE38" s="12">
        <v>1.8400000000000001E-3</v>
      </c>
      <c r="DF38" s="109">
        <v>0.28999999999999998</v>
      </c>
      <c r="DG38" s="109">
        <v>0.31</v>
      </c>
      <c r="DH38" s="109">
        <v>0.34</v>
      </c>
      <c r="DI38" s="109">
        <v>0.35</v>
      </c>
      <c r="DJ38" s="12">
        <v>0</v>
      </c>
      <c r="DK38">
        <v>160</v>
      </c>
      <c r="DL38">
        <v>32</v>
      </c>
      <c r="DM38">
        <v>1</v>
      </c>
      <c r="DN38">
        <v>1</v>
      </c>
      <c r="DP38">
        <v>1</v>
      </c>
      <c r="DQ38">
        <v>-2</v>
      </c>
      <c r="DR38">
        <v>1</v>
      </c>
      <c r="DY38">
        <v>0.7</v>
      </c>
      <c r="DZ38">
        <v>0.3</v>
      </c>
      <c r="EA38">
        <v>0.1</v>
      </c>
      <c r="EB38">
        <v>0.1</v>
      </c>
      <c r="ED38">
        <v>2</v>
      </c>
      <c r="EE38">
        <v>5</v>
      </c>
    </row>
    <row r="39" spans="8:135" x14ac:dyDescent="0.25">
      <c r="H39">
        <v>10</v>
      </c>
      <c r="I39">
        <v>34</v>
      </c>
      <c r="J39" t="s">
        <v>66</v>
      </c>
      <c r="K39" t="s">
        <v>46</v>
      </c>
      <c r="L39">
        <f>IF(Normer!W11&lt;&gt;"",Normer!W11,Data!M39)</f>
        <v>145</v>
      </c>
      <c r="M39" s="196">
        <v>145</v>
      </c>
      <c r="N39" s="196">
        <v>48</v>
      </c>
      <c r="O39" s="196">
        <v>52</v>
      </c>
      <c r="P39" s="196">
        <v>56</v>
      </c>
      <c r="Q39" s="196">
        <v>71</v>
      </c>
      <c r="R39" s="196">
        <v>76</v>
      </c>
      <c r="S39">
        <v>5</v>
      </c>
      <c r="T39">
        <v>5</v>
      </c>
      <c r="U39">
        <v>6</v>
      </c>
      <c r="V39">
        <v>7</v>
      </c>
      <c r="W39">
        <v>8</v>
      </c>
      <c r="X39">
        <v>3100</v>
      </c>
      <c r="Y39">
        <v>3100</v>
      </c>
      <c r="Z39">
        <v>3600</v>
      </c>
      <c r="AA39">
        <v>3600</v>
      </c>
      <c r="AB39">
        <v>3600</v>
      </c>
      <c r="AC39" t="str">
        <f t="shared" si="0"/>
        <v>Vinterbyg</v>
      </c>
      <c r="AD39" s="196">
        <v>146</v>
      </c>
      <c r="AE39" s="196">
        <v>137</v>
      </c>
      <c r="AF39" s="196">
        <v>154</v>
      </c>
      <c r="AG39" s="196">
        <v>148</v>
      </c>
      <c r="AH39" s="196">
        <v>162</v>
      </c>
      <c r="AI39">
        <v>0</v>
      </c>
      <c r="AJ39">
        <v>1</v>
      </c>
      <c r="AK39">
        <v>1.2</v>
      </c>
      <c r="AL39">
        <v>0</v>
      </c>
      <c r="AM39">
        <f t="shared" si="9"/>
        <v>0.5</v>
      </c>
      <c r="AN39" s="196">
        <v>0</v>
      </c>
      <c r="AP39" s="196">
        <v>520</v>
      </c>
      <c r="AQ39" s="196">
        <v>555</v>
      </c>
      <c r="AR39" s="196">
        <v>0</v>
      </c>
      <c r="AS39" t="str">
        <f t="shared" si="1"/>
        <v>Vinterbyg</v>
      </c>
      <c r="AT39">
        <v>85</v>
      </c>
      <c r="AU39">
        <v>85</v>
      </c>
      <c r="AW39">
        <v>11.2</v>
      </c>
      <c r="AX39">
        <v>0.02</v>
      </c>
      <c r="AY39">
        <v>6.25</v>
      </c>
      <c r="AZ39">
        <v>4</v>
      </c>
      <c r="BC39">
        <v>3.8</v>
      </c>
      <c r="BD39">
        <v>0.8</v>
      </c>
      <c r="BE39">
        <v>20</v>
      </c>
      <c r="BF39">
        <v>4.7</v>
      </c>
      <c r="BG39">
        <v>12</v>
      </c>
      <c r="BH39" s="196">
        <v>0</v>
      </c>
      <c r="BI39" t="str">
        <f t="shared" si="2"/>
        <v>Vinterbyg</v>
      </c>
      <c r="BJ39" s="12">
        <v>103</v>
      </c>
      <c r="BK39">
        <v>95</v>
      </c>
      <c r="BL39">
        <v>0</v>
      </c>
      <c r="BM39">
        <v>0</v>
      </c>
      <c r="BN39">
        <v>0</v>
      </c>
      <c r="BO39">
        <v>1</v>
      </c>
      <c r="BP39">
        <v>1</v>
      </c>
      <c r="BQ39">
        <v>1</v>
      </c>
      <c r="BR39">
        <v>0</v>
      </c>
      <c r="BS39">
        <v>1</v>
      </c>
      <c r="BT39">
        <v>1</v>
      </c>
      <c r="BU39">
        <v>0</v>
      </c>
      <c r="BV39">
        <v>0</v>
      </c>
      <c r="BW39">
        <v>0</v>
      </c>
      <c r="BX39">
        <v>1</v>
      </c>
      <c r="BY39" s="196">
        <v>1</v>
      </c>
      <c r="BZ39" s="196">
        <v>0</v>
      </c>
      <c r="CA39" s="196">
        <v>0</v>
      </c>
      <c r="CB39" s="196">
        <v>3</v>
      </c>
      <c r="CC39" s="196">
        <v>1</v>
      </c>
      <c r="CD39" s="196"/>
      <c r="CE39" s="196"/>
      <c r="CF39" s="196"/>
      <c r="CG39" s="196"/>
      <c r="CH39" s="196">
        <v>1</v>
      </c>
      <c r="CI39" s="196">
        <v>2</v>
      </c>
      <c r="CJ39" s="196">
        <v>1</v>
      </c>
      <c r="CK39" s="196">
        <v>85</v>
      </c>
      <c r="CL39" s="4">
        <f t="shared" si="10"/>
        <v>900</v>
      </c>
      <c r="CM39" s="196">
        <v>0</v>
      </c>
      <c r="CN39" s="196">
        <v>1</v>
      </c>
      <c r="CO39" s="4">
        <f t="shared" si="11"/>
        <v>325</v>
      </c>
      <c r="CP39" s="196">
        <v>3000</v>
      </c>
      <c r="CQ39" s="196">
        <f t="shared" si="12"/>
        <v>525</v>
      </c>
      <c r="CR39" s="196">
        <f t="shared" si="13"/>
        <v>200</v>
      </c>
      <c r="CS39" s="196">
        <v>1.05</v>
      </c>
      <c r="CT39" s="12">
        <f>$K$295</f>
        <v>8.8000000000000007</v>
      </c>
      <c r="CU39" s="196">
        <v>5</v>
      </c>
      <c r="CY39">
        <v>90</v>
      </c>
      <c r="DA39" t="s">
        <v>66</v>
      </c>
      <c r="DB39" t="str">
        <f t="shared" si="3"/>
        <v>Vinterbyg</v>
      </c>
      <c r="DC39">
        <v>94</v>
      </c>
      <c r="DD39" s="12">
        <v>-9.5E-4</v>
      </c>
      <c r="DE39" s="12">
        <v>-4.2700000000000004E-3</v>
      </c>
      <c r="DF39" s="12">
        <v>0.35</v>
      </c>
      <c r="DG39" s="12">
        <v>0.37</v>
      </c>
      <c r="DH39" s="12">
        <v>0.41</v>
      </c>
      <c r="DI39" s="12">
        <v>0.43</v>
      </c>
      <c r="DJ39" s="12">
        <v>0</v>
      </c>
      <c r="DK39">
        <v>160</v>
      </c>
      <c r="DL39">
        <v>32</v>
      </c>
      <c r="DM39">
        <v>1</v>
      </c>
      <c r="DN39">
        <v>1</v>
      </c>
      <c r="DP39">
        <v>1</v>
      </c>
      <c r="DQ39">
        <v>-2</v>
      </c>
      <c r="DR39">
        <v>1</v>
      </c>
      <c r="DY39">
        <v>0.7</v>
      </c>
      <c r="DZ39">
        <v>0.5</v>
      </c>
      <c r="ED39">
        <v>2</v>
      </c>
      <c r="EE39">
        <v>5</v>
      </c>
    </row>
    <row r="40" spans="8:135" x14ac:dyDescent="0.25">
      <c r="H40">
        <v>11</v>
      </c>
      <c r="I40">
        <v>35</v>
      </c>
      <c r="J40" t="s">
        <v>552</v>
      </c>
      <c r="K40" t="s">
        <v>46</v>
      </c>
      <c r="L40">
        <f>IF(Normer!W7&lt;&gt;"",Normer!W7,Data!M40)</f>
        <v>145</v>
      </c>
      <c r="M40" s="196">
        <v>145</v>
      </c>
      <c r="N40" s="196">
        <v>49</v>
      </c>
      <c r="O40" s="196">
        <v>63</v>
      </c>
      <c r="P40" s="196">
        <v>67</v>
      </c>
      <c r="Q40" s="196">
        <v>81</v>
      </c>
      <c r="R40" s="196">
        <v>86</v>
      </c>
      <c r="S40">
        <v>5</v>
      </c>
      <c r="T40">
        <v>6</v>
      </c>
      <c r="U40">
        <v>7</v>
      </c>
      <c r="V40">
        <v>8</v>
      </c>
      <c r="W40">
        <v>9</v>
      </c>
      <c r="X40">
        <v>3500</v>
      </c>
      <c r="Y40">
        <v>3500</v>
      </c>
      <c r="Z40">
        <v>4700</v>
      </c>
      <c r="AA40">
        <v>4700</v>
      </c>
      <c r="AB40">
        <v>4700</v>
      </c>
      <c r="AC40" t="str">
        <f t="shared" si="0"/>
        <v>Vinterhvede</v>
      </c>
      <c r="AD40" s="196">
        <v>144</v>
      </c>
      <c r="AE40" s="196">
        <v>146</v>
      </c>
      <c r="AF40" s="196">
        <v>164</v>
      </c>
      <c r="AG40" s="196">
        <v>159</v>
      </c>
      <c r="AH40" s="196">
        <v>172</v>
      </c>
      <c r="AI40">
        <v>0</v>
      </c>
      <c r="AJ40">
        <v>1</v>
      </c>
      <c r="AK40">
        <v>1.3</v>
      </c>
      <c r="AL40">
        <v>0</v>
      </c>
      <c r="AM40">
        <f t="shared" si="9"/>
        <v>0.5</v>
      </c>
      <c r="AN40" s="196">
        <v>0</v>
      </c>
      <c r="AP40" s="196">
        <v>578</v>
      </c>
      <c r="AQ40" s="196">
        <v>703</v>
      </c>
      <c r="AR40" s="196">
        <v>0</v>
      </c>
      <c r="AS40" t="str">
        <f t="shared" si="1"/>
        <v>Vinterhvede</v>
      </c>
      <c r="AT40">
        <v>85</v>
      </c>
      <c r="AU40">
        <v>85</v>
      </c>
      <c r="AW40">
        <v>10.7</v>
      </c>
      <c r="AX40">
        <v>0.02</v>
      </c>
      <c r="AY40">
        <v>5.7</v>
      </c>
      <c r="AZ40">
        <v>3.3125</v>
      </c>
      <c r="BC40">
        <v>3.4</v>
      </c>
      <c r="BD40">
        <v>0.9</v>
      </c>
      <c r="BE40">
        <v>20</v>
      </c>
      <c r="BF40">
        <v>4.8</v>
      </c>
      <c r="BG40">
        <v>15</v>
      </c>
      <c r="BH40" s="196">
        <v>0</v>
      </c>
      <c r="BI40" t="str">
        <f t="shared" si="2"/>
        <v>Vinterhvede</v>
      </c>
      <c r="BJ40" s="12">
        <v>115</v>
      </c>
      <c r="BK40">
        <v>103</v>
      </c>
      <c r="BL40">
        <v>0</v>
      </c>
      <c r="BM40">
        <v>0</v>
      </c>
      <c r="BN40">
        <v>0</v>
      </c>
      <c r="BO40">
        <v>1</v>
      </c>
      <c r="BP40">
        <v>1</v>
      </c>
      <c r="BQ40">
        <v>1</v>
      </c>
      <c r="BR40">
        <v>0</v>
      </c>
      <c r="BS40">
        <v>1</v>
      </c>
      <c r="BT40">
        <v>1</v>
      </c>
      <c r="BU40">
        <v>0</v>
      </c>
      <c r="BV40">
        <v>0</v>
      </c>
      <c r="BW40">
        <v>0</v>
      </c>
      <c r="BX40">
        <v>1</v>
      </c>
      <c r="BY40" s="196">
        <v>1</v>
      </c>
      <c r="BZ40" s="196">
        <v>0</v>
      </c>
      <c r="CA40" s="196">
        <v>0</v>
      </c>
      <c r="CB40" s="196">
        <v>3</v>
      </c>
      <c r="CC40" s="196">
        <v>1</v>
      </c>
      <c r="CD40" s="196"/>
      <c r="CE40" s="196"/>
      <c r="CF40" s="196"/>
      <c r="CG40" s="196"/>
      <c r="CH40" s="196">
        <v>2</v>
      </c>
      <c r="CI40" s="196">
        <v>3</v>
      </c>
      <c r="CJ40" s="196">
        <v>2</v>
      </c>
      <c r="CK40" s="196">
        <v>85</v>
      </c>
      <c r="CL40" s="4">
        <f t="shared" si="10"/>
        <v>900</v>
      </c>
      <c r="CM40" s="196">
        <v>0</v>
      </c>
      <c r="CN40" s="196">
        <v>1</v>
      </c>
      <c r="CO40" s="4">
        <f t="shared" si="11"/>
        <v>325</v>
      </c>
      <c r="CP40" s="196">
        <v>3000</v>
      </c>
      <c r="CQ40" s="196">
        <f t="shared" si="12"/>
        <v>525</v>
      </c>
      <c r="CR40" s="196">
        <f t="shared" si="13"/>
        <v>200</v>
      </c>
      <c r="CS40" s="196">
        <v>1.05</v>
      </c>
      <c r="CT40" s="12">
        <f>$K$295</f>
        <v>8.8000000000000007</v>
      </c>
      <c r="CU40" s="196">
        <v>5</v>
      </c>
      <c r="CY40">
        <v>110</v>
      </c>
      <c r="DA40" t="s">
        <v>68</v>
      </c>
      <c r="DB40" t="str">
        <f t="shared" si="3"/>
        <v>Vinterhvede</v>
      </c>
      <c r="DC40">
        <v>100</v>
      </c>
      <c r="DD40" s="12">
        <v>-9.5E-4</v>
      </c>
      <c r="DE40" s="12">
        <v>-4.2700000000000004E-3</v>
      </c>
      <c r="DF40" s="12">
        <v>0.37</v>
      </c>
      <c r="DG40" s="12">
        <v>0.39</v>
      </c>
      <c r="DH40" s="12">
        <v>0.43</v>
      </c>
      <c r="DI40" s="12">
        <v>0.45</v>
      </c>
      <c r="DJ40" s="12">
        <v>0</v>
      </c>
      <c r="DK40">
        <v>160</v>
      </c>
      <c r="DL40">
        <v>32</v>
      </c>
      <c r="DM40">
        <v>1</v>
      </c>
      <c r="DN40">
        <v>1</v>
      </c>
      <c r="DP40">
        <v>1</v>
      </c>
      <c r="DQ40">
        <v>-2</v>
      </c>
      <c r="DR40">
        <v>1</v>
      </c>
      <c r="DY40">
        <v>0.95</v>
      </c>
      <c r="DZ40">
        <v>0.65</v>
      </c>
      <c r="EA40">
        <v>0.15</v>
      </c>
      <c r="ED40">
        <v>4</v>
      </c>
      <c r="EE40">
        <v>5</v>
      </c>
    </row>
    <row r="41" spans="8:135" x14ac:dyDescent="0.25">
      <c r="H41">
        <v>13</v>
      </c>
      <c r="I41">
        <v>36</v>
      </c>
      <c r="J41" t="s">
        <v>1751</v>
      </c>
      <c r="K41" t="s">
        <v>46</v>
      </c>
      <c r="L41">
        <f>IF(Normer!W9&lt;&gt;"",Normer!W9,Data!M41)</f>
        <v>165</v>
      </c>
      <c r="M41" s="196">
        <v>165</v>
      </c>
      <c r="N41" s="196">
        <v>49</v>
      </c>
      <c r="O41" s="196">
        <v>63</v>
      </c>
      <c r="P41" s="196">
        <v>67</v>
      </c>
      <c r="Q41" s="196">
        <v>81</v>
      </c>
      <c r="R41" s="196">
        <v>86</v>
      </c>
      <c r="S41">
        <v>5</v>
      </c>
      <c r="T41">
        <v>6</v>
      </c>
      <c r="U41">
        <v>7</v>
      </c>
      <c r="V41">
        <v>8</v>
      </c>
      <c r="W41">
        <v>9</v>
      </c>
      <c r="X41">
        <v>3500</v>
      </c>
      <c r="Y41">
        <v>3500</v>
      </c>
      <c r="Z41">
        <v>4700</v>
      </c>
      <c r="AA41">
        <v>4700</v>
      </c>
      <c r="AB41">
        <v>4700</v>
      </c>
      <c r="AC41" t="str">
        <f t="shared" ref="AC41" si="14">J41</f>
        <v>Vinterhvede (brød)</v>
      </c>
      <c r="AD41" s="196">
        <v>208</v>
      </c>
      <c r="AE41" s="196">
        <v>217</v>
      </c>
      <c r="AF41" s="196">
        <v>239</v>
      </c>
      <c r="AG41" s="196">
        <v>238</v>
      </c>
      <c r="AH41" s="196">
        <v>256</v>
      </c>
      <c r="AI41">
        <v>0</v>
      </c>
      <c r="AJ41">
        <v>1</v>
      </c>
      <c r="AK41">
        <v>1.7</v>
      </c>
      <c r="AL41">
        <v>0</v>
      </c>
      <c r="AM41">
        <f t="shared" si="9"/>
        <v>0.5</v>
      </c>
      <c r="AN41" s="196">
        <v>0</v>
      </c>
      <c r="AP41" s="196">
        <v>578</v>
      </c>
      <c r="AQ41" s="196">
        <v>703</v>
      </c>
      <c r="AR41" s="196">
        <v>0</v>
      </c>
      <c r="AS41" t="str">
        <f t="shared" ref="AS41" si="15">J41</f>
        <v>Vinterhvede (brød)</v>
      </c>
      <c r="AT41">
        <v>85</v>
      </c>
      <c r="AU41">
        <v>85</v>
      </c>
      <c r="AW41">
        <v>12.198</v>
      </c>
      <c r="AX41">
        <v>0.02</v>
      </c>
      <c r="AY41">
        <v>5.7</v>
      </c>
      <c r="AZ41">
        <v>3.3125</v>
      </c>
      <c r="BC41">
        <v>3.4</v>
      </c>
      <c r="BD41">
        <v>0.9</v>
      </c>
      <c r="BE41">
        <v>20</v>
      </c>
      <c r="BF41">
        <v>4.8</v>
      </c>
      <c r="BG41">
        <v>15</v>
      </c>
      <c r="BH41" s="196">
        <v>0</v>
      </c>
      <c r="BI41" t="str">
        <f t="shared" ref="BI41" si="16">J41</f>
        <v>Vinterhvede (brød)</v>
      </c>
      <c r="BJ41" s="12">
        <v>0</v>
      </c>
      <c r="BK41">
        <v>0</v>
      </c>
      <c r="BL41">
        <v>0</v>
      </c>
      <c r="BM41">
        <v>0</v>
      </c>
      <c r="BN41">
        <v>0</v>
      </c>
      <c r="BO41">
        <v>2</v>
      </c>
      <c r="BP41">
        <v>1</v>
      </c>
      <c r="BQ41">
        <v>1</v>
      </c>
      <c r="BR41">
        <v>0</v>
      </c>
      <c r="BS41">
        <v>1</v>
      </c>
      <c r="BT41">
        <v>1</v>
      </c>
      <c r="BU41">
        <v>0</v>
      </c>
      <c r="BV41">
        <v>0</v>
      </c>
      <c r="BW41">
        <v>0</v>
      </c>
      <c r="BX41">
        <v>1</v>
      </c>
      <c r="BY41" s="196">
        <v>1</v>
      </c>
      <c r="BZ41" s="196">
        <v>0</v>
      </c>
      <c r="CA41" s="196">
        <v>0</v>
      </c>
      <c r="CB41" s="196">
        <v>3</v>
      </c>
      <c r="CC41" s="196">
        <v>1</v>
      </c>
      <c r="CD41" s="196"/>
      <c r="CE41" s="196"/>
      <c r="CF41" s="196"/>
      <c r="CG41" s="196"/>
      <c r="CH41" s="196">
        <v>2</v>
      </c>
      <c r="CI41" s="196">
        <v>3</v>
      </c>
      <c r="CJ41" s="196">
        <v>2</v>
      </c>
      <c r="CK41" s="196">
        <v>85</v>
      </c>
      <c r="CL41" s="4">
        <f t="shared" si="10"/>
        <v>900</v>
      </c>
      <c r="CM41" s="196">
        <v>0</v>
      </c>
      <c r="CN41" s="196">
        <v>1</v>
      </c>
      <c r="CO41" s="4">
        <f t="shared" si="11"/>
        <v>325</v>
      </c>
      <c r="CP41" s="196">
        <v>3000</v>
      </c>
      <c r="CQ41" s="196">
        <f t="shared" si="12"/>
        <v>525</v>
      </c>
      <c r="CR41" s="196">
        <f t="shared" si="13"/>
        <v>200</v>
      </c>
      <c r="CS41" s="196">
        <v>1.05</v>
      </c>
      <c r="CT41" s="12">
        <f>$K$295</f>
        <v>8.8000000000000007</v>
      </c>
      <c r="CU41" s="196">
        <v>5</v>
      </c>
      <c r="CY41">
        <v>110</v>
      </c>
      <c r="DA41" t="s">
        <v>68</v>
      </c>
      <c r="DB41" t="str">
        <f t="shared" si="3"/>
        <v>Vinterhvede (brød)</v>
      </c>
      <c r="DC41">
        <v>100</v>
      </c>
      <c r="DD41" s="12">
        <v>-9.5E-4</v>
      </c>
      <c r="DE41" s="12">
        <v>-4.2700000000000004E-3</v>
      </c>
      <c r="DF41" s="109">
        <v>0.37</v>
      </c>
      <c r="DG41" s="109">
        <v>0.39</v>
      </c>
      <c r="DH41" s="109">
        <v>0.43</v>
      </c>
      <c r="DI41" s="109">
        <v>0.45</v>
      </c>
      <c r="DJ41" s="12">
        <v>0</v>
      </c>
      <c r="DK41">
        <v>160</v>
      </c>
      <c r="DL41">
        <v>32</v>
      </c>
      <c r="DM41">
        <v>1</v>
      </c>
      <c r="DN41">
        <v>1</v>
      </c>
      <c r="DP41">
        <v>1</v>
      </c>
      <c r="DQ41">
        <v>-2</v>
      </c>
      <c r="DR41">
        <v>1</v>
      </c>
      <c r="DY41">
        <v>0.95</v>
      </c>
      <c r="DZ41">
        <v>0.65</v>
      </c>
      <c r="EA41">
        <v>0.15</v>
      </c>
      <c r="ED41">
        <v>4</v>
      </c>
      <c r="EE41">
        <v>5</v>
      </c>
    </row>
    <row r="42" spans="8:135" x14ac:dyDescent="0.25">
      <c r="H42">
        <v>22</v>
      </c>
      <c r="I42">
        <v>37</v>
      </c>
      <c r="J42" t="s">
        <v>69</v>
      </c>
      <c r="K42" t="s">
        <v>46</v>
      </c>
      <c r="L42">
        <f>IF(Normer!W19&lt;&gt;"",Normer!W19,Data!M42)</f>
        <v>320</v>
      </c>
      <c r="M42" s="196">
        <v>320</v>
      </c>
      <c r="N42" s="196">
        <v>27</v>
      </c>
      <c r="O42" s="196">
        <v>35</v>
      </c>
      <c r="P42" s="196">
        <v>35</v>
      </c>
      <c r="Q42" s="196">
        <v>40</v>
      </c>
      <c r="R42" s="196">
        <v>42</v>
      </c>
      <c r="S42">
        <v>0</v>
      </c>
      <c r="T42">
        <v>0</v>
      </c>
      <c r="U42">
        <v>0</v>
      </c>
      <c r="V42">
        <v>0</v>
      </c>
      <c r="W42">
        <v>0</v>
      </c>
      <c r="X42">
        <v>2400</v>
      </c>
      <c r="Y42">
        <v>2400</v>
      </c>
      <c r="Z42">
        <v>3000</v>
      </c>
      <c r="AA42">
        <v>3000</v>
      </c>
      <c r="AB42">
        <v>3000</v>
      </c>
      <c r="AC42" t="str">
        <f t="shared" si="0"/>
        <v>Vinterraps</v>
      </c>
      <c r="AD42" s="196">
        <v>177</v>
      </c>
      <c r="AE42" s="196">
        <v>188</v>
      </c>
      <c r="AF42" s="196">
        <v>188</v>
      </c>
      <c r="AG42" s="196">
        <v>194</v>
      </c>
      <c r="AH42" s="196">
        <v>196</v>
      </c>
      <c r="AI42">
        <v>22</v>
      </c>
      <c r="AJ42">
        <v>1</v>
      </c>
      <c r="AK42">
        <v>1.5</v>
      </c>
      <c r="AL42">
        <v>1</v>
      </c>
      <c r="AM42">
        <f t="shared" si="9"/>
        <v>0.5</v>
      </c>
      <c r="AN42" s="196">
        <v>0</v>
      </c>
      <c r="AP42" s="196">
        <v>500</v>
      </c>
      <c r="AQ42" s="196">
        <v>755</v>
      </c>
      <c r="AR42" s="196">
        <v>80</v>
      </c>
      <c r="AS42" t="str">
        <f t="shared" si="1"/>
        <v>Vinterraps</v>
      </c>
      <c r="AT42">
        <v>91</v>
      </c>
      <c r="AU42">
        <v>85</v>
      </c>
      <c r="AW42">
        <v>23</v>
      </c>
      <c r="AX42">
        <v>0.02</v>
      </c>
      <c r="AY42">
        <v>6.25</v>
      </c>
      <c r="AZ42">
        <v>5.3125</v>
      </c>
      <c r="BC42">
        <v>9</v>
      </c>
      <c r="BD42">
        <v>0.8</v>
      </c>
      <c r="BE42">
        <v>20</v>
      </c>
      <c r="BF42">
        <v>15</v>
      </c>
      <c r="BG42">
        <v>16.399999999999999</v>
      </c>
      <c r="BH42" s="196">
        <v>0</v>
      </c>
      <c r="BI42" t="str">
        <f t="shared" si="2"/>
        <v>Vinterraps</v>
      </c>
      <c r="BJ42" s="12">
        <v>0</v>
      </c>
      <c r="BK42">
        <v>0</v>
      </c>
      <c r="BL42">
        <v>0</v>
      </c>
      <c r="BM42">
        <v>0</v>
      </c>
      <c r="BN42">
        <v>0</v>
      </c>
      <c r="BO42">
        <v>2</v>
      </c>
      <c r="BP42">
        <v>1</v>
      </c>
      <c r="BQ42">
        <v>1</v>
      </c>
      <c r="BR42">
        <v>0</v>
      </c>
      <c r="BS42">
        <v>0</v>
      </c>
      <c r="BT42">
        <v>1</v>
      </c>
      <c r="BU42">
        <v>0</v>
      </c>
      <c r="BV42">
        <v>0</v>
      </c>
      <c r="BW42">
        <v>0</v>
      </c>
      <c r="BX42">
        <v>1</v>
      </c>
      <c r="BY42" s="196">
        <v>1</v>
      </c>
      <c r="BZ42" s="196">
        <v>1</v>
      </c>
      <c r="CA42" s="196">
        <v>0</v>
      </c>
      <c r="CB42" s="196">
        <v>2</v>
      </c>
      <c r="CC42" s="196">
        <v>1</v>
      </c>
      <c r="CD42" s="196"/>
      <c r="CE42" s="196"/>
      <c r="CF42" s="196"/>
      <c r="CG42" s="196"/>
      <c r="CH42" s="196">
        <v>1</v>
      </c>
      <c r="CI42" s="196">
        <v>3</v>
      </c>
      <c r="CJ42" s="196">
        <v>2</v>
      </c>
      <c r="CK42" s="196">
        <v>35</v>
      </c>
      <c r="CL42" s="4">
        <f t="shared" si="10"/>
        <v>900</v>
      </c>
      <c r="CM42" s="196">
        <v>0</v>
      </c>
      <c r="CN42" s="196">
        <v>1</v>
      </c>
      <c r="CO42" s="4">
        <f t="shared" si="11"/>
        <v>325</v>
      </c>
      <c r="CP42" s="196">
        <v>3000</v>
      </c>
      <c r="CQ42" s="196">
        <f t="shared" si="12"/>
        <v>525</v>
      </c>
      <c r="CR42" s="196">
        <f t="shared" si="13"/>
        <v>200</v>
      </c>
      <c r="CS42" s="196">
        <v>1.08</v>
      </c>
      <c r="CT42" s="12">
        <f>$K$298</f>
        <v>15.75</v>
      </c>
      <c r="CU42" s="196">
        <v>8</v>
      </c>
      <c r="CY42">
        <v>90</v>
      </c>
      <c r="DB42" t="str">
        <f t="shared" si="3"/>
        <v>Vinterraps</v>
      </c>
      <c r="DC42">
        <v>210</v>
      </c>
      <c r="DD42" s="12">
        <v>-3.5E-4</v>
      </c>
      <c r="DE42" s="12">
        <v>-5.6800000000000002E-3</v>
      </c>
      <c r="DF42" s="12">
        <v>0.31</v>
      </c>
      <c r="DG42" s="12">
        <v>0.33</v>
      </c>
      <c r="DH42" s="12">
        <v>0.36</v>
      </c>
      <c r="DI42" s="12">
        <v>0.38</v>
      </c>
      <c r="DJ42" s="12">
        <v>0</v>
      </c>
      <c r="DK42">
        <v>5</v>
      </c>
      <c r="DL42">
        <v>32</v>
      </c>
      <c r="DM42">
        <v>1</v>
      </c>
      <c r="DN42">
        <v>3</v>
      </c>
      <c r="DO42">
        <v>1</v>
      </c>
      <c r="DP42">
        <v>2</v>
      </c>
      <c r="DQ42">
        <v>-2</v>
      </c>
      <c r="DR42">
        <v>1</v>
      </c>
      <c r="DY42">
        <v>0.6</v>
      </c>
      <c r="DZ42">
        <v>0.15</v>
      </c>
      <c r="EA42">
        <v>0.8</v>
      </c>
      <c r="ED42">
        <v>3</v>
      </c>
      <c r="EE42">
        <v>5</v>
      </c>
    </row>
    <row r="43" spans="8:135" x14ac:dyDescent="0.25">
      <c r="H43">
        <v>14</v>
      </c>
      <c r="I43">
        <v>38</v>
      </c>
      <c r="J43" t="s">
        <v>70</v>
      </c>
      <c r="K43" t="s">
        <v>46</v>
      </c>
      <c r="L43">
        <f>IF(Normer!W15&lt;&gt;"",Normer!W15,Data!M43)</f>
        <v>135</v>
      </c>
      <c r="M43" s="196">
        <v>135</v>
      </c>
      <c r="N43" s="196">
        <v>40</v>
      </c>
      <c r="O43" s="196">
        <v>53</v>
      </c>
      <c r="P43" s="196">
        <v>52</v>
      </c>
      <c r="Q43" s="196">
        <v>65</v>
      </c>
      <c r="R43" s="196">
        <v>69</v>
      </c>
      <c r="S43">
        <v>4</v>
      </c>
      <c r="T43">
        <v>5</v>
      </c>
      <c r="U43">
        <v>5</v>
      </c>
      <c r="V43">
        <v>7</v>
      </c>
      <c r="W43">
        <v>7</v>
      </c>
      <c r="X43">
        <v>3400</v>
      </c>
      <c r="Y43">
        <v>3400</v>
      </c>
      <c r="Z43">
        <v>4500</v>
      </c>
      <c r="AA43">
        <v>4500</v>
      </c>
      <c r="AB43">
        <v>4500</v>
      </c>
      <c r="AC43" t="str">
        <f t="shared" si="0"/>
        <v>Vinterrug</v>
      </c>
      <c r="AD43" s="196">
        <v>112</v>
      </c>
      <c r="AE43" s="196">
        <v>113</v>
      </c>
      <c r="AF43" s="196">
        <v>124</v>
      </c>
      <c r="AG43" s="196">
        <v>116</v>
      </c>
      <c r="AH43" s="196">
        <v>129</v>
      </c>
      <c r="AI43">
        <v>0</v>
      </c>
      <c r="AJ43">
        <v>1</v>
      </c>
      <c r="AK43">
        <v>1.2</v>
      </c>
      <c r="AL43">
        <v>0</v>
      </c>
      <c r="AM43">
        <f t="shared" si="9"/>
        <v>0.5</v>
      </c>
      <c r="AN43" s="196">
        <v>0</v>
      </c>
      <c r="AP43" s="196">
        <v>360</v>
      </c>
      <c r="AQ43" s="196">
        <v>470</v>
      </c>
      <c r="AR43" s="196">
        <v>0</v>
      </c>
      <c r="AS43" t="str">
        <f t="shared" si="1"/>
        <v>Vinterrug</v>
      </c>
      <c r="AT43">
        <v>85</v>
      </c>
      <c r="AU43">
        <v>85</v>
      </c>
      <c r="AW43">
        <v>9.75</v>
      </c>
      <c r="AX43">
        <v>0.02</v>
      </c>
      <c r="AY43">
        <v>6.25</v>
      </c>
      <c r="AZ43">
        <v>3.8125</v>
      </c>
      <c r="BC43">
        <v>3.4</v>
      </c>
      <c r="BD43">
        <v>0.9</v>
      </c>
      <c r="BE43">
        <v>20</v>
      </c>
      <c r="BF43">
        <v>5.5</v>
      </c>
      <c r="BG43">
        <v>12</v>
      </c>
      <c r="BH43" s="196">
        <v>0</v>
      </c>
      <c r="BI43" t="str">
        <f t="shared" si="2"/>
        <v>Vinterrug</v>
      </c>
      <c r="BJ43" s="12">
        <v>110</v>
      </c>
      <c r="BK43">
        <v>0</v>
      </c>
      <c r="BL43">
        <v>0</v>
      </c>
      <c r="BM43">
        <v>0</v>
      </c>
      <c r="BN43">
        <v>0</v>
      </c>
      <c r="BO43">
        <v>1</v>
      </c>
      <c r="BP43">
        <v>1</v>
      </c>
      <c r="BQ43">
        <v>1</v>
      </c>
      <c r="BR43">
        <v>0</v>
      </c>
      <c r="BS43">
        <v>1</v>
      </c>
      <c r="BT43">
        <v>1</v>
      </c>
      <c r="BU43">
        <v>0</v>
      </c>
      <c r="BV43">
        <v>0</v>
      </c>
      <c r="BW43">
        <v>0</v>
      </c>
      <c r="BX43">
        <v>1</v>
      </c>
      <c r="BY43" s="196">
        <v>1</v>
      </c>
      <c r="BZ43" s="196">
        <v>0</v>
      </c>
      <c r="CA43" s="196">
        <v>0</v>
      </c>
      <c r="CB43" s="196">
        <v>3</v>
      </c>
      <c r="CC43" s="196">
        <v>1</v>
      </c>
      <c r="CD43" s="196"/>
      <c r="CE43" s="196"/>
      <c r="CF43" s="196"/>
      <c r="CG43" s="196"/>
      <c r="CH43" s="196">
        <v>2</v>
      </c>
      <c r="CI43" s="196">
        <v>2</v>
      </c>
      <c r="CJ43" s="196">
        <v>2</v>
      </c>
      <c r="CK43" s="196">
        <v>85</v>
      </c>
      <c r="CL43" s="4">
        <f t="shared" si="10"/>
        <v>900</v>
      </c>
      <c r="CM43" s="196">
        <v>0</v>
      </c>
      <c r="CN43" s="196">
        <v>1</v>
      </c>
      <c r="CO43" s="4">
        <f t="shared" si="11"/>
        <v>325</v>
      </c>
      <c r="CP43" s="196">
        <v>3000</v>
      </c>
      <c r="CQ43" s="196">
        <f t="shared" si="12"/>
        <v>525</v>
      </c>
      <c r="CR43" s="196">
        <f t="shared" si="13"/>
        <v>200</v>
      </c>
      <c r="CS43" s="196">
        <v>1.05</v>
      </c>
      <c r="CT43" s="12">
        <f>$K$295</f>
        <v>8.8000000000000007</v>
      </c>
      <c r="CU43" s="196">
        <v>5</v>
      </c>
      <c r="CY43">
        <v>90</v>
      </c>
      <c r="DA43" t="s">
        <v>53</v>
      </c>
      <c r="DB43" t="str">
        <f t="shared" si="3"/>
        <v>Vinterrug</v>
      </c>
      <c r="DC43">
        <v>89</v>
      </c>
      <c r="DD43" s="12">
        <v>-9.7999999999999997E-4</v>
      </c>
      <c r="DE43" s="12">
        <v>-2.1860000000000001E-2</v>
      </c>
      <c r="DF43" s="12">
        <v>0.28999999999999998</v>
      </c>
      <c r="DG43" s="12">
        <v>0.31</v>
      </c>
      <c r="DH43" s="12">
        <v>0.34</v>
      </c>
      <c r="DI43" s="12">
        <v>0.35</v>
      </c>
      <c r="DJ43" s="12">
        <v>0</v>
      </c>
      <c r="DK43">
        <v>120</v>
      </c>
      <c r="DL43">
        <v>32</v>
      </c>
      <c r="DM43">
        <v>1</v>
      </c>
      <c r="DN43">
        <v>1</v>
      </c>
      <c r="DP43">
        <v>1</v>
      </c>
      <c r="DQ43">
        <v>-2</v>
      </c>
      <c r="DR43">
        <v>1</v>
      </c>
      <c r="DY43">
        <v>0.7</v>
      </c>
      <c r="DZ43">
        <v>0.1</v>
      </c>
      <c r="EA43">
        <v>0.1</v>
      </c>
      <c r="EB43">
        <v>0.2</v>
      </c>
      <c r="ED43">
        <v>2</v>
      </c>
      <c r="EE43">
        <v>5</v>
      </c>
    </row>
    <row r="44" spans="8:135" x14ac:dyDescent="0.25">
      <c r="I44">
        <v>39</v>
      </c>
      <c r="J44" t="s">
        <v>1170</v>
      </c>
      <c r="M44" s="196"/>
      <c r="N44" s="196">
        <v>0</v>
      </c>
      <c r="O44" s="196">
        <v>0</v>
      </c>
      <c r="P44" s="196">
        <v>0</v>
      </c>
      <c r="Q44" s="196">
        <v>0</v>
      </c>
      <c r="R44" s="196">
        <v>0</v>
      </c>
      <c r="S44">
        <v>0</v>
      </c>
      <c r="T44">
        <v>0</v>
      </c>
      <c r="U44">
        <v>0</v>
      </c>
      <c r="V44">
        <v>0</v>
      </c>
      <c r="W44">
        <v>0</v>
      </c>
      <c r="X44">
        <v>0</v>
      </c>
      <c r="Y44">
        <v>0</v>
      </c>
      <c r="Z44">
        <v>0</v>
      </c>
      <c r="AA44">
        <v>0</v>
      </c>
      <c r="AB44">
        <v>0</v>
      </c>
      <c r="AC44" t="str">
        <f t="shared" si="0"/>
        <v>Vådområde</v>
      </c>
      <c r="AD44" s="196">
        <v>0</v>
      </c>
      <c r="AE44" s="196">
        <v>0</v>
      </c>
      <c r="AF44" s="196">
        <v>0</v>
      </c>
      <c r="AG44" s="196">
        <v>0</v>
      </c>
      <c r="AH44" s="196">
        <v>0</v>
      </c>
      <c r="AI44">
        <v>0</v>
      </c>
      <c r="AJ44">
        <v>0</v>
      </c>
      <c r="AK44">
        <v>0</v>
      </c>
      <c r="AL44">
        <v>1</v>
      </c>
      <c r="AN44" s="196">
        <f>TilskudVadomr</f>
        <v>1500</v>
      </c>
      <c r="AP44" s="196">
        <v>0</v>
      </c>
      <c r="AQ44" s="196">
        <v>0</v>
      </c>
      <c r="AR44" s="196">
        <v>0</v>
      </c>
      <c r="AS44" t="str">
        <f t="shared" si="1"/>
        <v>Vådområde</v>
      </c>
      <c r="AW44">
        <v>0</v>
      </c>
      <c r="AX44">
        <v>0</v>
      </c>
      <c r="AY44">
        <v>6.25</v>
      </c>
      <c r="BC44">
        <v>0</v>
      </c>
      <c r="BE44">
        <v>0</v>
      </c>
      <c r="BF44">
        <v>0</v>
      </c>
      <c r="BH44" s="196"/>
      <c r="BI44" t="str">
        <f t="shared" si="2"/>
        <v>Vådområde</v>
      </c>
      <c r="BJ44" s="12">
        <v>0</v>
      </c>
      <c r="BK44">
        <v>0</v>
      </c>
      <c r="BL44">
        <v>0</v>
      </c>
      <c r="BM44">
        <v>0</v>
      </c>
      <c r="BN44">
        <v>0</v>
      </c>
      <c r="BP44">
        <v>0</v>
      </c>
      <c r="BQ44">
        <v>0</v>
      </c>
      <c r="BR44">
        <v>0</v>
      </c>
      <c r="BS44">
        <v>0</v>
      </c>
      <c r="BT44">
        <v>0</v>
      </c>
      <c r="BU44">
        <v>0</v>
      </c>
      <c r="BV44">
        <v>0</v>
      </c>
      <c r="BW44">
        <v>1</v>
      </c>
      <c r="BX44">
        <v>1</v>
      </c>
      <c r="BY44" s="196">
        <v>0</v>
      </c>
      <c r="BZ44" s="196">
        <v>0</v>
      </c>
      <c r="CA44" s="196">
        <v>0</v>
      </c>
      <c r="CB44" s="196"/>
      <c r="CC44" s="196"/>
      <c r="CD44" s="196"/>
      <c r="CE44" s="196"/>
      <c r="CF44" s="196"/>
      <c r="CG44" s="196"/>
      <c r="CH44" s="196"/>
      <c r="CI44" s="196">
        <v>0</v>
      </c>
      <c r="CJ44" s="196">
        <v>0</v>
      </c>
      <c r="CK44" s="196">
        <v>0</v>
      </c>
      <c r="CL44" s="4">
        <v>0</v>
      </c>
      <c r="CM44" s="196">
        <v>0</v>
      </c>
      <c r="CN44" s="196">
        <v>0</v>
      </c>
      <c r="CO44" s="4"/>
      <c r="CP44" s="196"/>
      <c r="CQ44" s="196"/>
      <c r="CR44" s="196"/>
      <c r="CS44" s="196"/>
      <c r="CU44" s="196"/>
      <c r="CY44">
        <v>0</v>
      </c>
      <c r="DB44" t="str">
        <f t="shared" si="3"/>
        <v>Vådområde</v>
      </c>
      <c r="DD44" s="12"/>
      <c r="DE44" s="12"/>
      <c r="DF44" s="12"/>
      <c r="DG44" s="12"/>
      <c r="DH44" s="12"/>
      <c r="DI44" s="12"/>
      <c r="DJ44" s="12">
        <v>0</v>
      </c>
      <c r="DL44">
        <v>8</v>
      </c>
      <c r="DM44">
        <v>7</v>
      </c>
      <c r="DN44">
        <v>4</v>
      </c>
      <c r="DR44">
        <v>4</v>
      </c>
    </row>
    <row r="45" spans="8:135" x14ac:dyDescent="0.25">
      <c r="H45">
        <v>1</v>
      </c>
      <c r="I45">
        <v>40</v>
      </c>
      <c r="J45" t="s">
        <v>71</v>
      </c>
      <c r="K45" t="s">
        <v>46</v>
      </c>
      <c r="L45">
        <f>IF(Normer!W3&lt;&gt;"",Normer!W3,Data!M45)</f>
        <v>145</v>
      </c>
      <c r="M45" s="196">
        <v>145</v>
      </c>
      <c r="N45" s="196">
        <v>37</v>
      </c>
      <c r="O45" s="196">
        <v>44</v>
      </c>
      <c r="P45" s="196">
        <v>49</v>
      </c>
      <c r="Q45" s="196">
        <v>56</v>
      </c>
      <c r="R45" s="196">
        <v>60</v>
      </c>
      <c r="S45">
        <v>4</v>
      </c>
      <c r="T45">
        <v>5</v>
      </c>
      <c r="U45">
        <v>5</v>
      </c>
      <c r="V45">
        <v>6</v>
      </c>
      <c r="W45">
        <v>6</v>
      </c>
      <c r="X45">
        <v>2500</v>
      </c>
      <c r="Y45">
        <v>2500</v>
      </c>
      <c r="Z45">
        <v>3000</v>
      </c>
      <c r="AA45">
        <v>3000</v>
      </c>
      <c r="AB45">
        <v>3000</v>
      </c>
      <c r="AC45" t="str">
        <f t="shared" si="0"/>
        <v>Vårbyg, foder</v>
      </c>
      <c r="AD45" s="196">
        <v>108</v>
      </c>
      <c r="AE45" s="196">
        <v>103</v>
      </c>
      <c r="AF45" s="196">
        <v>123</v>
      </c>
      <c r="AG45" s="196">
        <v>110</v>
      </c>
      <c r="AH45" s="196">
        <v>124</v>
      </c>
      <c r="AI45">
        <v>0</v>
      </c>
      <c r="AJ45">
        <v>1</v>
      </c>
      <c r="AK45">
        <v>1.5</v>
      </c>
      <c r="AL45">
        <v>0</v>
      </c>
      <c r="AM45">
        <f>Halmpris</f>
        <v>0.5</v>
      </c>
      <c r="AN45" s="196">
        <v>0</v>
      </c>
      <c r="AP45" s="196">
        <v>488</v>
      </c>
      <c r="AQ45" s="196">
        <v>283</v>
      </c>
      <c r="AR45" s="196">
        <v>0</v>
      </c>
      <c r="AS45" t="str">
        <f t="shared" si="1"/>
        <v>Vårbyg, foder</v>
      </c>
      <c r="AT45">
        <v>85</v>
      </c>
      <c r="AU45">
        <v>85</v>
      </c>
      <c r="AW45">
        <v>11.1875</v>
      </c>
      <c r="AX45">
        <v>0.02</v>
      </c>
      <c r="AY45">
        <v>6.25</v>
      </c>
      <c r="AZ45">
        <v>4</v>
      </c>
      <c r="BB45">
        <v>2.5</v>
      </c>
      <c r="BC45">
        <v>3.8</v>
      </c>
      <c r="BD45">
        <v>0.9</v>
      </c>
      <c r="BE45">
        <v>20</v>
      </c>
      <c r="BF45">
        <v>4.7</v>
      </c>
      <c r="BG45">
        <v>12</v>
      </c>
      <c r="BH45" s="196">
        <v>0</v>
      </c>
      <c r="BI45" t="str">
        <f t="shared" si="2"/>
        <v>Vårbyg, foder</v>
      </c>
      <c r="BJ45" s="12">
        <v>102</v>
      </c>
      <c r="BK45">
        <v>94.5</v>
      </c>
      <c r="BL45">
        <v>0</v>
      </c>
      <c r="BM45">
        <v>0</v>
      </c>
      <c r="BN45">
        <v>0</v>
      </c>
      <c r="BO45">
        <v>1</v>
      </c>
      <c r="BP45">
        <v>1</v>
      </c>
      <c r="BQ45">
        <v>1</v>
      </c>
      <c r="BR45">
        <v>1</v>
      </c>
      <c r="BS45">
        <v>0</v>
      </c>
      <c r="BT45">
        <v>1</v>
      </c>
      <c r="BU45">
        <v>0</v>
      </c>
      <c r="BV45">
        <v>0</v>
      </c>
      <c r="BW45">
        <v>0</v>
      </c>
      <c r="BX45">
        <v>0</v>
      </c>
      <c r="BY45" s="196">
        <v>1</v>
      </c>
      <c r="BZ45" s="196">
        <v>0</v>
      </c>
      <c r="CA45" s="196">
        <v>0</v>
      </c>
      <c r="CB45" s="196">
        <v>1</v>
      </c>
      <c r="CC45" s="196">
        <v>1</v>
      </c>
      <c r="CD45" s="196"/>
      <c r="CE45" s="196"/>
      <c r="CF45" s="196"/>
      <c r="CG45" s="196"/>
      <c r="CH45" s="196">
        <v>2</v>
      </c>
      <c r="CI45" s="196">
        <v>2</v>
      </c>
      <c r="CJ45" s="196">
        <v>1</v>
      </c>
      <c r="CK45" s="196">
        <v>85</v>
      </c>
      <c r="CL45" s="4">
        <f>$K$270</f>
        <v>900</v>
      </c>
      <c r="CM45" s="196">
        <v>0</v>
      </c>
      <c r="CN45" s="196">
        <v>1</v>
      </c>
      <c r="CO45" s="4">
        <f>$K$285</f>
        <v>325</v>
      </c>
      <c r="CP45" s="196">
        <v>3000</v>
      </c>
      <c r="CQ45" s="196">
        <f>$K$291</f>
        <v>525</v>
      </c>
      <c r="CR45" s="196">
        <f>$K$292</f>
        <v>200</v>
      </c>
      <c r="CS45" s="196">
        <v>1.05</v>
      </c>
      <c r="CT45" s="12">
        <f>$K$295</f>
        <v>8.8000000000000007</v>
      </c>
      <c r="CU45" s="196">
        <v>5</v>
      </c>
      <c r="CY45">
        <v>75</v>
      </c>
      <c r="DA45" t="s">
        <v>251</v>
      </c>
      <c r="DB45" t="str">
        <f t="shared" si="3"/>
        <v>Vårbyg, foder</v>
      </c>
      <c r="DC45">
        <v>94</v>
      </c>
      <c r="DD45" s="12">
        <v>-9.1E-4</v>
      </c>
      <c r="DE45" s="13">
        <v>-3.1900000000000001E-3</v>
      </c>
      <c r="DF45" s="13">
        <v>0.33</v>
      </c>
      <c r="DG45" s="13">
        <v>0.34</v>
      </c>
      <c r="DH45" s="13">
        <v>0.38</v>
      </c>
      <c r="DI45" s="13">
        <v>0.39</v>
      </c>
      <c r="DJ45" s="12">
        <v>0</v>
      </c>
      <c r="DK45">
        <v>160</v>
      </c>
      <c r="DL45">
        <v>38</v>
      </c>
      <c r="DM45">
        <v>1</v>
      </c>
      <c r="DN45">
        <v>1</v>
      </c>
      <c r="DR45">
        <v>1</v>
      </c>
      <c r="DY45">
        <v>0.7</v>
      </c>
      <c r="DZ45">
        <v>0.35</v>
      </c>
      <c r="EA45">
        <v>0.25</v>
      </c>
      <c r="ED45">
        <v>2</v>
      </c>
      <c r="EE45">
        <v>5</v>
      </c>
    </row>
    <row r="46" spans="8:135" x14ac:dyDescent="0.25">
      <c r="H46">
        <v>1</v>
      </c>
      <c r="I46">
        <v>41</v>
      </c>
      <c r="J46" t="s">
        <v>72</v>
      </c>
      <c r="K46" t="s">
        <v>46</v>
      </c>
      <c r="L46">
        <f>IF(Normer!W5&lt;&gt;"",Normer!W5,Data!M46)</f>
        <v>170</v>
      </c>
      <c r="M46" s="196">
        <v>170</v>
      </c>
      <c r="N46" s="196">
        <v>37</v>
      </c>
      <c r="O46" s="196">
        <v>44</v>
      </c>
      <c r="P46" s="196">
        <v>50</v>
      </c>
      <c r="Q46" s="196">
        <v>57</v>
      </c>
      <c r="R46" s="196">
        <v>60</v>
      </c>
      <c r="S46">
        <v>4</v>
      </c>
      <c r="T46">
        <v>5</v>
      </c>
      <c r="U46">
        <v>5</v>
      </c>
      <c r="V46">
        <v>6</v>
      </c>
      <c r="W46">
        <v>6</v>
      </c>
      <c r="X46">
        <v>2500</v>
      </c>
      <c r="Y46">
        <v>2500</v>
      </c>
      <c r="Z46">
        <v>3000</v>
      </c>
      <c r="AA46">
        <v>3000</v>
      </c>
      <c r="AB46">
        <v>3000</v>
      </c>
      <c r="AC46" t="str">
        <f t="shared" si="0"/>
        <v>Vårbyg, malt</v>
      </c>
      <c r="AD46" s="196">
        <v>108</v>
      </c>
      <c r="AE46" s="196">
        <v>103</v>
      </c>
      <c r="AF46" s="196">
        <v>123</v>
      </c>
      <c r="AG46" s="196">
        <v>110</v>
      </c>
      <c r="AH46" s="196">
        <v>124</v>
      </c>
      <c r="AI46">
        <v>0</v>
      </c>
      <c r="AJ46">
        <v>1</v>
      </c>
      <c r="AK46">
        <v>1.5</v>
      </c>
      <c r="AL46">
        <v>0</v>
      </c>
      <c r="AM46">
        <f>Halmpris</f>
        <v>0.5</v>
      </c>
      <c r="AN46" s="196">
        <v>0</v>
      </c>
      <c r="AP46" s="196">
        <v>563</v>
      </c>
      <c r="AQ46" s="196">
        <v>283</v>
      </c>
      <c r="AR46" s="196">
        <v>0</v>
      </c>
      <c r="AS46" t="str">
        <f t="shared" si="1"/>
        <v>Vårbyg, malt</v>
      </c>
      <c r="AT46">
        <v>85</v>
      </c>
      <c r="AU46">
        <v>85</v>
      </c>
      <c r="AW46">
        <v>11.1875</v>
      </c>
      <c r="AX46">
        <v>0.02</v>
      </c>
      <c r="AY46">
        <v>6.25</v>
      </c>
      <c r="AZ46">
        <v>4</v>
      </c>
      <c r="BB46">
        <v>2.5</v>
      </c>
      <c r="BC46">
        <v>3.8</v>
      </c>
      <c r="BD46">
        <v>0.9</v>
      </c>
      <c r="BE46">
        <v>20</v>
      </c>
      <c r="BF46">
        <v>4.7</v>
      </c>
      <c r="BG46">
        <v>12</v>
      </c>
      <c r="BH46" s="196">
        <v>0</v>
      </c>
      <c r="BI46" t="str">
        <f t="shared" si="2"/>
        <v>Vårbyg, malt</v>
      </c>
      <c r="BJ46" s="12">
        <v>0</v>
      </c>
      <c r="BK46">
        <v>0</v>
      </c>
      <c r="BL46">
        <v>0</v>
      </c>
      <c r="BM46">
        <v>0</v>
      </c>
      <c r="BN46">
        <v>0</v>
      </c>
      <c r="BO46">
        <v>2</v>
      </c>
      <c r="BP46">
        <v>1</v>
      </c>
      <c r="BQ46">
        <v>1</v>
      </c>
      <c r="BR46">
        <v>1</v>
      </c>
      <c r="BS46">
        <v>0</v>
      </c>
      <c r="BT46">
        <v>1</v>
      </c>
      <c r="BU46">
        <v>0</v>
      </c>
      <c r="BV46">
        <v>0</v>
      </c>
      <c r="BW46">
        <v>0</v>
      </c>
      <c r="BX46">
        <v>0</v>
      </c>
      <c r="BY46" s="196">
        <v>1</v>
      </c>
      <c r="BZ46" s="196">
        <v>0</v>
      </c>
      <c r="CA46" s="196">
        <v>0</v>
      </c>
      <c r="CB46" s="196">
        <v>1</v>
      </c>
      <c r="CC46" s="196">
        <v>1</v>
      </c>
      <c r="CD46" s="196"/>
      <c r="CE46" s="196"/>
      <c r="CF46" s="196"/>
      <c r="CG46" s="196"/>
      <c r="CH46" s="196">
        <v>2</v>
      </c>
      <c r="CI46" s="196">
        <v>2</v>
      </c>
      <c r="CJ46" s="196">
        <v>1</v>
      </c>
      <c r="CK46" s="196">
        <v>85</v>
      </c>
      <c r="CL46" s="4">
        <f>$K$270</f>
        <v>900</v>
      </c>
      <c r="CM46" s="196">
        <v>0</v>
      </c>
      <c r="CN46" s="196">
        <v>1</v>
      </c>
      <c r="CO46" s="4">
        <f>$K$285</f>
        <v>325</v>
      </c>
      <c r="CP46" s="196">
        <v>3000</v>
      </c>
      <c r="CQ46" s="196">
        <f>$K$291</f>
        <v>525</v>
      </c>
      <c r="CR46" s="196">
        <f>$K$292</f>
        <v>200</v>
      </c>
      <c r="CS46" s="196">
        <v>1.05</v>
      </c>
      <c r="CT46" s="12">
        <f>$K$295</f>
        <v>8.8000000000000007</v>
      </c>
      <c r="CU46" s="196">
        <v>5</v>
      </c>
      <c r="CY46">
        <v>75</v>
      </c>
      <c r="DB46" t="str">
        <f t="shared" si="3"/>
        <v>Vårbyg, malt</v>
      </c>
      <c r="DC46">
        <v>109</v>
      </c>
      <c r="DD46" s="12">
        <v>-9.1E-4</v>
      </c>
      <c r="DE46" s="13">
        <v>-3.1900000000000001E-3</v>
      </c>
      <c r="DF46" s="13">
        <v>0.33</v>
      </c>
      <c r="DG46" s="13">
        <v>0.34</v>
      </c>
      <c r="DH46" s="13">
        <v>0.38</v>
      </c>
      <c r="DI46" s="13">
        <v>0.39</v>
      </c>
      <c r="DJ46" s="12">
        <v>0</v>
      </c>
      <c r="DK46">
        <v>160</v>
      </c>
      <c r="DL46">
        <v>38</v>
      </c>
      <c r="DM46">
        <v>1</v>
      </c>
      <c r="DN46">
        <v>1</v>
      </c>
      <c r="DR46">
        <v>1</v>
      </c>
      <c r="DY46">
        <v>0.7</v>
      </c>
      <c r="DZ46">
        <v>0.35</v>
      </c>
      <c r="EA46">
        <v>0.25</v>
      </c>
      <c r="ED46">
        <v>2</v>
      </c>
      <c r="EE46">
        <v>5</v>
      </c>
    </row>
    <row r="47" spans="8:135" x14ac:dyDescent="0.25">
      <c r="H47">
        <v>2</v>
      </c>
      <c r="I47">
        <v>42</v>
      </c>
      <c r="J47" t="s">
        <v>73</v>
      </c>
      <c r="K47" t="s">
        <v>46</v>
      </c>
      <c r="L47">
        <f>IF(Normer!W7&lt;&gt;"",Normer!W7,Data!M47)</f>
        <v>145</v>
      </c>
      <c r="M47" s="196">
        <v>145</v>
      </c>
      <c r="N47" s="196">
        <v>34</v>
      </c>
      <c r="O47" s="196">
        <v>40</v>
      </c>
      <c r="P47" s="196">
        <v>45</v>
      </c>
      <c r="Q47" s="196">
        <v>51</v>
      </c>
      <c r="R47" s="196">
        <v>55</v>
      </c>
      <c r="S47">
        <v>4</v>
      </c>
      <c r="T47">
        <v>4</v>
      </c>
      <c r="U47">
        <v>5</v>
      </c>
      <c r="V47">
        <v>5</v>
      </c>
      <c r="W47">
        <v>6</v>
      </c>
      <c r="X47">
        <v>2500</v>
      </c>
      <c r="Y47">
        <v>2500</v>
      </c>
      <c r="Z47">
        <v>3000</v>
      </c>
      <c r="AA47">
        <v>3000</v>
      </c>
      <c r="AB47">
        <v>3000</v>
      </c>
      <c r="AC47" t="str">
        <f t="shared" si="0"/>
        <v>Vårhvede</v>
      </c>
      <c r="AD47" s="196">
        <v>110</v>
      </c>
      <c r="AE47" s="196">
        <v>104</v>
      </c>
      <c r="AF47" s="196">
        <v>122</v>
      </c>
      <c r="AG47" s="196">
        <v>108</v>
      </c>
      <c r="AH47" s="196">
        <v>121</v>
      </c>
      <c r="AI47">
        <v>0</v>
      </c>
      <c r="AJ47">
        <v>1</v>
      </c>
      <c r="AK47">
        <v>1.3</v>
      </c>
      <c r="AL47">
        <v>0</v>
      </c>
      <c r="AM47">
        <f>Halmpris</f>
        <v>0.5</v>
      </c>
      <c r="AN47" s="196">
        <v>0</v>
      </c>
      <c r="AP47" s="196">
        <v>450</v>
      </c>
      <c r="AQ47" s="196">
        <v>283</v>
      </c>
      <c r="AR47" s="196">
        <v>0</v>
      </c>
      <c r="AS47" t="str">
        <f t="shared" si="1"/>
        <v>Vårhvede</v>
      </c>
      <c r="AT47">
        <v>85</v>
      </c>
      <c r="AU47">
        <v>85</v>
      </c>
      <c r="AW47" s="12">
        <v>10.83</v>
      </c>
      <c r="AX47">
        <v>0.02</v>
      </c>
      <c r="AY47">
        <v>5.7</v>
      </c>
      <c r="AZ47">
        <v>3.3125</v>
      </c>
      <c r="BB47">
        <v>2.5</v>
      </c>
      <c r="BC47">
        <v>3.4</v>
      </c>
      <c r="BD47">
        <v>0.9</v>
      </c>
      <c r="BE47">
        <v>20</v>
      </c>
      <c r="BF47">
        <v>4.8</v>
      </c>
      <c r="BG47">
        <v>12</v>
      </c>
      <c r="BH47" s="196">
        <v>0</v>
      </c>
      <c r="BI47" t="str">
        <f t="shared" si="2"/>
        <v>Vårhvede</v>
      </c>
      <c r="BJ47" s="12">
        <v>115</v>
      </c>
      <c r="BK47">
        <v>0</v>
      </c>
      <c r="BL47">
        <v>0</v>
      </c>
      <c r="BM47">
        <v>0</v>
      </c>
      <c r="BN47">
        <v>0</v>
      </c>
      <c r="BO47">
        <v>1</v>
      </c>
      <c r="BP47">
        <v>1</v>
      </c>
      <c r="BQ47">
        <v>1</v>
      </c>
      <c r="BR47">
        <v>1</v>
      </c>
      <c r="BS47">
        <v>0</v>
      </c>
      <c r="BT47">
        <v>1</v>
      </c>
      <c r="BU47">
        <v>0</v>
      </c>
      <c r="BV47">
        <v>0</v>
      </c>
      <c r="BW47">
        <v>0</v>
      </c>
      <c r="BX47">
        <v>0</v>
      </c>
      <c r="BY47" s="196">
        <v>1</v>
      </c>
      <c r="BZ47" s="196">
        <v>0</v>
      </c>
      <c r="CA47" s="196">
        <v>0</v>
      </c>
      <c r="CB47" s="196">
        <v>1</v>
      </c>
      <c r="CC47" s="196">
        <v>1</v>
      </c>
      <c r="CD47" s="196"/>
      <c r="CE47" s="196"/>
      <c r="CF47" s="196"/>
      <c r="CG47" s="196"/>
      <c r="CH47" s="196">
        <v>2</v>
      </c>
      <c r="CI47" s="196">
        <v>2</v>
      </c>
      <c r="CJ47" s="196">
        <v>1</v>
      </c>
      <c r="CK47" s="196">
        <v>85</v>
      </c>
      <c r="CL47" s="4">
        <f>$K$270</f>
        <v>900</v>
      </c>
      <c r="CM47" s="196">
        <v>0</v>
      </c>
      <c r="CN47" s="196">
        <v>1</v>
      </c>
      <c r="CO47" s="4">
        <f>$K$285</f>
        <v>325</v>
      </c>
      <c r="CP47" s="196">
        <v>3000</v>
      </c>
      <c r="CQ47" s="196">
        <f>$K$291</f>
        <v>525</v>
      </c>
      <c r="CR47" s="196">
        <f>$K$292</f>
        <v>200</v>
      </c>
      <c r="CS47" s="196">
        <v>1.05</v>
      </c>
      <c r="CT47" s="12">
        <f>$K$295</f>
        <v>8.8000000000000007</v>
      </c>
      <c r="CU47" s="196">
        <v>5</v>
      </c>
      <c r="CY47">
        <v>75</v>
      </c>
      <c r="DA47" t="s">
        <v>68</v>
      </c>
      <c r="DB47" t="str">
        <f t="shared" si="3"/>
        <v>Vårhvede</v>
      </c>
      <c r="DC47">
        <v>90</v>
      </c>
      <c r="DD47" s="109">
        <v>-9.1E-4</v>
      </c>
      <c r="DE47" s="110">
        <v>-3.1900000000000001E-3</v>
      </c>
      <c r="DF47" s="110">
        <v>0.33</v>
      </c>
      <c r="DG47" s="110">
        <v>0.34</v>
      </c>
      <c r="DH47" s="110">
        <v>0.38</v>
      </c>
      <c r="DI47" s="110">
        <v>0.39</v>
      </c>
      <c r="DJ47" s="12">
        <v>0</v>
      </c>
      <c r="DK47">
        <v>180</v>
      </c>
      <c r="DL47">
        <v>38</v>
      </c>
      <c r="DM47">
        <v>1</v>
      </c>
      <c r="DN47">
        <v>1</v>
      </c>
      <c r="DR47">
        <v>1</v>
      </c>
      <c r="DY47">
        <v>0.7</v>
      </c>
      <c r="DZ47">
        <v>0.4</v>
      </c>
      <c r="EA47">
        <v>0.2</v>
      </c>
      <c r="EB47">
        <v>0.1</v>
      </c>
      <c r="ED47">
        <v>2</v>
      </c>
      <c r="EE47">
        <v>5</v>
      </c>
    </row>
    <row r="48" spans="8:135" x14ac:dyDescent="0.25">
      <c r="H48">
        <v>21</v>
      </c>
      <c r="I48">
        <v>43</v>
      </c>
      <c r="J48" t="s">
        <v>74</v>
      </c>
      <c r="K48" t="s">
        <v>46</v>
      </c>
      <c r="L48">
        <f>IF(Normer!W19&lt;&gt;"",Normer!W19,Data!M48)</f>
        <v>320</v>
      </c>
      <c r="M48" s="196">
        <v>320</v>
      </c>
      <c r="N48" s="196">
        <v>19</v>
      </c>
      <c r="O48" s="196">
        <v>22</v>
      </c>
      <c r="P48" s="196">
        <v>24</v>
      </c>
      <c r="Q48" s="196">
        <v>25</v>
      </c>
      <c r="R48" s="196">
        <v>26</v>
      </c>
      <c r="S48">
        <v>0</v>
      </c>
      <c r="T48">
        <v>0</v>
      </c>
      <c r="U48">
        <v>0</v>
      </c>
      <c r="V48">
        <v>0</v>
      </c>
      <c r="W48">
        <v>0</v>
      </c>
      <c r="X48">
        <v>2400</v>
      </c>
      <c r="Y48">
        <v>2400</v>
      </c>
      <c r="Z48">
        <v>3000</v>
      </c>
      <c r="AA48">
        <v>3000</v>
      </c>
      <c r="AB48">
        <v>3000</v>
      </c>
      <c r="AC48" t="str">
        <f t="shared" si="0"/>
        <v xml:space="preserve">Vårraps  </v>
      </c>
      <c r="AD48" s="196">
        <v>119</v>
      </c>
      <c r="AE48" s="196">
        <v>109</v>
      </c>
      <c r="AF48" s="196">
        <v>125</v>
      </c>
      <c r="AG48" s="196">
        <v>105</v>
      </c>
      <c r="AH48" s="196">
        <v>115</v>
      </c>
      <c r="AI48">
        <v>22</v>
      </c>
      <c r="AJ48">
        <v>1</v>
      </c>
      <c r="AK48">
        <v>1.5</v>
      </c>
      <c r="AL48">
        <v>1</v>
      </c>
      <c r="AN48" s="196">
        <v>0</v>
      </c>
      <c r="AP48" s="196">
        <v>500</v>
      </c>
      <c r="AQ48" s="196">
        <v>475</v>
      </c>
      <c r="AR48" s="196">
        <v>50</v>
      </c>
      <c r="AS48" t="str">
        <f t="shared" si="1"/>
        <v xml:space="preserve">Vårraps  </v>
      </c>
      <c r="AT48">
        <v>91</v>
      </c>
      <c r="AU48">
        <v>85</v>
      </c>
      <c r="AW48">
        <v>23</v>
      </c>
      <c r="AX48">
        <v>0.02</v>
      </c>
      <c r="AY48">
        <v>6.25</v>
      </c>
      <c r="AZ48">
        <v>5.3125</v>
      </c>
      <c r="BB48">
        <v>2.5</v>
      </c>
      <c r="BC48">
        <v>9</v>
      </c>
      <c r="BD48">
        <v>0.8</v>
      </c>
      <c r="BE48">
        <v>20</v>
      </c>
      <c r="BF48">
        <v>15</v>
      </c>
      <c r="BG48">
        <v>16.399999999999999</v>
      </c>
      <c r="BH48" s="196">
        <v>0</v>
      </c>
      <c r="BI48" t="str">
        <f t="shared" si="2"/>
        <v xml:space="preserve">Vårraps  </v>
      </c>
      <c r="BJ48" s="12">
        <v>0</v>
      </c>
      <c r="BK48">
        <v>0</v>
      </c>
      <c r="BL48">
        <v>0</v>
      </c>
      <c r="BM48">
        <v>0</v>
      </c>
      <c r="BN48">
        <v>0</v>
      </c>
      <c r="BO48">
        <v>2</v>
      </c>
      <c r="BP48">
        <v>1</v>
      </c>
      <c r="BQ48">
        <v>1</v>
      </c>
      <c r="BR48">
        <v>1</v>
      </c>
      <c r="BS48">
        <v>0</v>
      </c>
      <c r="BT48">
        <v>1</v>
      </c>
      <c r="BU48">
        <v>0</v>
      </c>
      <c r="BV48">
        <v>0</v>
      </c>
      <c r="BW48">
        <v>0</v>
      </c>
      <c r="BX48">
        <v>0</v>
      </c>
      <c r="BY48" s="196">
        <v>1</v>
      </c>
      <c r="BZ48" s="196">
        <v>0</v>
      </c>
      <c r="CA48" s="196">
        <v>0</v>
      </c>
      <c r="CB48" s="196">
        <v>1</v>
      </c>
      <c r="CC48" s="196">
        <v>1</v>
      </c>
      <c r="CD48" s="196"/>
      <c r="CE48" s="196"/>
      <c r="CF48" s="196"/>
      <c r="CG48" s="196"/>
      <c r="CH48" s="196">
        <v>2</v>
      </c>
      <c r="CI48" s="196">
        <v>2</v>
      </c>
      <c r="CJ48" s="196">
        <v>1</v>
      </c>
      <c r="CK48" s="196">
        <v>35</v>
      </c>
      <c r="CL48" s="4">
        <f>$K$270</f>
        <v>900</v>
      </c>
      <c r="CM48" s="196">
        <v>0</v>
      </c>
      <c r="CN48" s="196">
        <v>1</v>
      </c>
      <c r="CO48" s="4">
        <f>$K$285</f>
        <v>325</v>
      </c>
      <c r="CP48" s="196">
        <v>3000</v>
      </c>
      <c r="CQ48" s="196">
        <f>$K$291</f>
        <v>525</v>
      </c>
      <c r="CR48" s="196">
        <f>$K$292</f>
        <v>200</v>
      </c>
      <c r="CS48" s="196">
        <v>1.08</v>
      </c>
      <c r="CT48" s="12">
        <f>$K$296</f>
        <v>14.5</v>
      </c>
      <c r="CU48" s="196">
        <v>7</v>
      </c>
      <c r="CY48">
        <v>75</v>
      </c>
      <c r="DB48" t="str">
        <f t="shared" si="3"/>
        <v xml:space="preserve">Vårraps  </v>
      </c>
      <c r="DC48">
        <v>210</v>
      </c>
      <c r="DD48" s="109">
        <v>-3.5E-4</v>
      </c>
      <c r="DE48" s="109">
        <v>-5.6800000000000002E-3</v>
      </c>
      <c r="DF48" s="109">
        <v>0.31</v>
      </c>
      <c r="DG48" s="109">
        <v>0.33</v>
      </c>
      <c r="DH48" s="109">
        <v>0.36</v>
      </c>
      <c r="DI48" s="109">
        <v>0.38</v>
      </c>
      <c r="DJ48" s="12">
        <v>0</v>
      </c>
      <c r="DK48">
        <v>5</v>
      </c>
      <c r="DL48">
        <v>44</v>
      </c>
      <c r="DM48">
        <v>5</v>
      </c>
      <c r="DN48">
        <v>3</v>
      </c>
      <c r="DR48">
        <v>1</v>
      </c>
      <c r="DY48">
        <v>0.4</v>
      </c>
      <c r="DZ48">
        <v>0.05</v>
      </c>
      <c r="EA48">
        <v>1.3</v>
      </c>
      <c r="ED48">
        <v>2</v>
      </c>
      <c r="EE48">
        <v>5</v>
      </c>
    </row>
    <row r="49" spans="9:97" x14ac:dyDescent="0.25">
      <c r="BY49" s="12"/>
      <c r="BZ49" s="12"/>
      <c r="CA49" s="12"/>
      <c r="CB49" s="12"/>
      <c r="CC49" s="12"/>
      <c r="CD49" s="12"/>
      <c r="CE49" s="12"/>
      <c r="CF49" s="12"/>
      <c r="CG49" s="12"/>
      <c r="CH49" s="12"/>
      <c r="CI49" s="12"/>
      <c r="CJ49" s="12"/>
    </row>
    <row r="50" spans="9:97" x14ac:dyDescent="0.25">
      <c r="BY50" s="12"/>
      <c r="BZ50" s="12"/>
      <c r="CA50" s="12"/>
      <c r="CB50" s="12"/>
      <c r="CC50" s="12"/>
      <c r="CD50" s="12"/>
      <c r="CE50" s="12"/>
      <c r="CF50" s="12"/>
      <c r="CG50" s="12"/>
      <c r="CH50" s="12"/>
      <c r="CI50" s="12"/>
      <c r="CJ50" s="12"/>
    </row>
    <row r="51" spans="9:97" x14ac:dyDescent="0.25">
      <c r="BY51" s="12"/>
      <c r="BZ51" s="12"/>
      <c r="CA51" s="12"/>
      <c r="CB51" s="12"/>
      <c r="CC51" s="12"/>
      <c r="CD51" s="12"/>
      <c r="CE51" s="12"/>
      <c r="CF51" s="12"/>
      <c r="CG51" s="12"/>
      <c r="CH51" s="12"/>
      <c r="CI51" s="12"/>
      <c r="CJ51" s="12"/>
    </row>
    <row r="52" spans="9:97" x14ac:dyDescent="0.25">
      <c r="AE52" s="12"/>
      <c r="BY52" s="12"/>
      <c r="BZ52" s="12"/>
      <c r="CA52" s="12"/>
      <c r="CB52" s="12"/>
      <c r="CC52" s="12"/>
      <c r="CD52" s="12"/>
      <c r="CE52" s="12"/>
      <c r="CF52" s="12"/>
      <c r="CG52" s="12"/>
      <c r="CH52" s="12"/>
      <c r="CI52" s="12"/>
      <c r="CJ52" s="12"/>
    </row>
    <row r="53" spans="9:97" x14ac:dyDescent="0.25">
      <c r="I53">
        <v>1</v>
      </c>
      <c r="J53">
        <v>2</v>
      </c>
      <c r="K53">
        <v>3</v>
      </c>
      <c r="L53">
        <v>4</v>
      </c>
      <c r="M53">
        <v>5</v>
      </c>
      <c r="N53">
        <v>6</v>
      </c>
      <c r="O53">
        <v>7</v>
      </c>
      <c r="P53">
        <v>8</v>
      </c>
      <c r="Q53">
        <v>9</v>
      </c>
      <c r="R53">
        <v>10</v>
      </c>
      <c r="S53">
        <v>11</v>
      </c>
      <c r="T53">
        <v>12</v>
      </c>
      <c r="U53">
        <v>13</v>
      </c>
      <c r="V53">
        <v>14</v>
      </c>
      <c r="W53">
        <v>15</v>
      </c>
      <c r="X53">
        <v>16</v>
      </c>
      <c r="Y53">
        <v>17</v>
      </c>
      <c r="Z53">
        <v>18</v>
      </c>
      <c r="AA53">
        <v>19</v>
      </c>
      <c r="AB53">
        <v>20</v>
      </c>
      <c r="AC53">
        <v>21</v>
      </c>
      <c r="AD53">
        <v>22</v>
      </c>
      <c r="AE53">
        <v>23</v>
      </c>
      <c r="AF53">
        <v>24</v>
      </c>
      <c r="AG53">
        <v>25</v>
      </c>
      <c r="AH53">
        <v>26</v>
      </c>
      <c r="AI53">
        <v>27</v>
      </c>
      <c r="AJ53">
        <v>28</v>
      </c>
      <c r="AK53">
        <v>29</v>
      </c>
      <c r="AL53">
        <v>30</v>
      </c>
      <c r="AM53">
        <v>31</v>
      </c>
      <c r="AN53">
        <v>32</v>
      </c>
      <c r="AO53">
        <v>33</v>
      </c>
      <c r="AP53">
        <v>34</v>
      </c>
      <c r="AQ53">
        <v>35</v>
      </c>
      <c r="AR53">
        <v>36</v>
      </c>
      <c r="AS53">
        <v>37</v>
      </c>
      <c r="AT53">
        <v>38</v>
      </c>
      <c r="AU53">
        <v>39</v>
      </c>
      <c r="AV53">
        <v>40</v>
      </c>
      <c r="AW53">
        <v>41</v>
      </c>
      <c r="AX53">
        <v>42</v>
      </c>
      <c r="AY53">
        <v>43</v>
      </c>
      <c r="AZ53">
        <v>44</v>
      </c>
      <c r="BA53">
        <v>45</v>
      </c>
      <c r="BB53">
        <v>46</v>
      </c>
      <c r="BC53">
        <v>47</v>
      </c>
      <c r="BD53">
        <v>48</v>
      </c>
      <c r="BE53">
        <v>49</v>
      </c>
      <c r="BF53">
        <v>50</v>
      </c>
      <c r="BG53">
        <v>51</v>
      </c>
      <c r="BH53">
        <v>52</v>
      </c>
      <c r="BI53">
        <v>53</v>
      </c>
      <c r="BJ53" s="12">
        <v>54</v>
      </c>
      <c r="BK53">
        <v>55</v>
      </c>
      <c r="BL53">
        <v>56</v>
      </c>
      <c r="BM53">
        <v>57</v>
      </c>
      <c r="BY53" s="12"/>
      <c r="BZ53" s="12"/>
      <c r="CA53" s="12"/>
      <c r="CB53" s="12"/>
      <c r="CC53" s="12"/>
      <c r="CD53" s="12"/>
      <c r="CE53" s="12"/>
      <c r="CF53" s="12"/>
      <c r="CG53" s="12"/>
      <c r="CH53" s="12"/>
      <c r="CI53" s="12"/>
      <c r="CJ53" s="12"/>
    </row>
    <row r="54" spans="9:97" x14ac:dyDescent="0.25">
      <c r="M54" t="s">
        <v>0</v>
      </c>
      <c r="R54" t="s">
        <v>77</v>
      </c>
      <c r="W54" t="s">
        <v>179</v>
      </c>
      <c r="Y54" t="s">
        <v>180</v>
      </c>
      <c r="AA54" t="s">
        <v>2106</v>
      </c>
      <c r="AC54" t="s">
        <v>2</v>
      </c>
      <c r="AD54" t="s">
        <v>2</v>
      </c>
      <c r="AE54" t="s">
        <v>3</v>
      </c>
      <c r="AF54" t="s">
        <v>4</v>
      </c>
      <c r="AG54" t="s">
        <v>209</v>
      </c>
      <c r="AH54" t="s">
        <v>207</v>
      </c>
      <c r="AI54" t="s">
        <v>208</v>
      </c>
      <c r="AJ54" t="s">
        <v>1540</v>
      </c>
      <c r="AK54" t="s">
        <v>1541</v>
      </c>
      <c r="AL54" t="s">
        <v>13</v>
      </c>
      <c r="AM54" t="s">
        <v>1144</v>
      </c>
      <c r="AN54" t="s">
        <v>1150</v>
      </c>
      <c r="AO54" t="s">
        <v>1158</v>
      </c>
      <c r="AP54" t="s">
        <v>1244</v>
      </c>
      <c r="AQ54" t="s">
        <v>1328</v>
      </c>
      <c r="AR54" t="s">
        <v>14</v>
      </c>
      <c r="AS54" t="s">
        <v>18</v>
      </c>
      <c r="AT54" t="s">
        <v>19</v>
      </c>
      <c r="AU54" t="s">
        <v>20</v>
      </c>
      <c r="AV54" t="s">
        <v>365</v>
      </c>
      <c r="AW54" t="s">
        <v>26</v>
      </c>
      <c r="AX54" t="s">
        <v>22</v>
      </c>
      <c r="AY54" t="s">
        <v>22</v>
      </c>
      <c r="AZ54" t="s">
        <v>22</v>
      </c>
      <c r="BA54" t="s">
        <v>22</v>
      </c>
      <c r="BB54" t="s">
        <v>420</v>
      </c>
      <c r="BC54" t="s">
        <v>104</v>
      </c>
      <c r="BD54" t="s">
        <v>439</v>
      </c>
      <c r="BE54" t="s">
        <v>441</v>
      </c>
      <c r="BF54" t="s">
        <v>442</v>
      </c>
      <c r="BG54" t="s">
        <v>487</v>
      </c>
      <c r="BH54" t="s">
        <v>541</v>
      </c>
      <c r="BI54" s="14" t="s">
        <v>230</v>
      </c>
      <c r="BJ54" s="199" t="s">
        <v>229</v>
      </c>
      <c r="BY54" s="12"/>
      <c r="BZ54" s="12"/>
      <c r="CA54" s="12"/>
      <c r="CB54" s="12"/>
      <c r="CC54" s="12"/>
      <c r="CD54" s="12"/>
      <c r="CE54" s="12"/>
      <c r="CF54" s="12"/>
      <c r="CG54" s="12"/>
      <c r="CH54" s="12"/>
      <c r="CI54" s="12"/>
      <c r="CJ54" s="12"/>
    </row>
    <row r="55" spans="9:97" s="12" customFormat="1" x14ac:dyDescent="0.25">
      <c r="J55" s="12" t="s">
        <v>28</v>
      </c>
      <c r="K55" s="12" t="s">
        <v>29</v>
      </c>
      <c r="L55" s="12" t="s">
        <v>30</v>
      </c>
      <c r="M55" s="12" t="s">
        <v>31</v>
      </c>
      <c r="N55" s="12" t="s">
        <v>32</v>
      </c>
      <c r="O55" s="12" t="s">
        <v>33</v>
      </c>
      <c r="P55" s="12" t="s">
        <v>34</v>
      </c>
      <c r="Q55" s="12" t="s">
        <v>35</v>
      </c>
      <c r="R55" s="12" t="s">
        <v>31</v>
      </c>
      <c r="S55" s="12" t="s">
        <v>32</v>
      </c>
      <c r="T55" s="12" t="s">
        <v>33</v>
      </c>
      <c r="U55" s="12" t="s">
        <v>34</v>
      </c>
      <c r="V55" s="12" t="s">
        <v>35</v>
      </c>
      <c r="W55" s="12" t="s">
        <v>136</v>
      </c>
      <c r="X55" s="12" t="s">
        <v>137</v>
      </c>
      <c r="Y55" s="12" t="s">
        <v>181</v>
      </c>
      <c r="Z55" s="12" t="s">
        <v>182</v>
      </c>
      <c r="AA55" s="12" t="s">
        <v>531</v>
      </c>
      <c r="AC55" s="12" t="s">
        <v>1794</v>
      </c>
      <c r="AD55" s="12" t="s">
        <v>1795</v>
      </c>
      <c r="AE55" s="12" t="s">
        <v>36</v>
      </c>
      <c r="AF55" s="12" t="s">
        <v>36</v>
      </c>
      <c r="AJ55" s="12" t="s">
        <v>528</v>
      </c>
      <c r="AK55" s="12" t="s">
        <v>528</v>
      </c>
      <c r="AL55" s="12" t="s">
        <v>36</v>
      </c>
      <c r="AM55" s="12" t="s">
        <v>1145</v>
      </c>
      <c r="AN55" s="12" t="s">
        <v>38</v>
      </c>
      <c r="AO55" s="12" t="s">
        <v>38</v>
      </c>
      <c r="AP55" s="12" t="s">
        <v>38</v>
      </c>
      <c r="AQ55" s="12" t="s">
        <v>38</v>
      </c>
      <c r="AS55" s="12" t="s">
        <v>21</v>
      </c>
      <c r="AV55" s="12" t="s">
        <v>418</v>
      </c>
      <c r="AW55" s="12" t="s">
        <v>418</v>
      </c>
      <c r="AX55" s="12" t="s">
        <v>191</v>
      </c>
      <c r="AY55" s="12" t="s">
        <v>186</v>
      </c>
      <c r="AZ55" s="12" t="s">
        <v>421</v>
      </c>
      <c r="BA55" s="12" t="s">
        <v>419</v>
      </c>
      <c r="BB55" s="12" t="s">
        <v>186</v>
      </c>
      <c r="BC55" s="12" t="s">
        <v>531</v>
      </c>
      <c r="BD55" s="12" t="s">
        <v>440</v>
      </c>
      <c r="BE55" s="12" t="s">
        <v>443</v>
      </c>
      <c r="BF55" s="12" t="s">
        <v>444</v>
      </c>
      <c r="BI55" s="199"/>
      <c r="BJ55" s="199"/>
    </row>
    <row r="56" spans="9:97" s="12" customFormat="1" x14ac:dyDescent="0.25">
      <c r="I56" s="12">
        <v>1</v>
      </c>
    </row>
    <row r="57" spans="9:97" s="12" customFormat="1" x14ac:dyDescent="0.25">
      <c r="I57" s="12">
        <v>2</v>
      </c>
      <c r="J57" s="12" t="s">
        <v>1477</v>
      </c>
      <c r="L57" s="12">
        <v>0</v>
      </c>
      <c r="R57" s="12">
        <v>0</v>
      </c>
      <c r="S57" s="12">
        <v>0</v>
      </c>
      <c r="T57" s="12">
        <v>0</v>
      </c>
      <c r="U57" s="12">
        <v>0</v>
      </c>
      <c r="V57" s="12">
        <v>0</v>
      </c>
      <c r="W57" s="12">
        <v>17</v>
      </c>
      <c r="X57" s="12">
        <v>25</v>
      </c>
      <c r="Y57" s="12">
        <v>2</v>
      </c>
      <c r="Z57" s="12">
        <v>0</v>
      </c>
      <c r="AA57" s="12">
        <v>20</v>
      </c>
      <c r="AB57" s="12" t="str">
        <f>J57</f>
        <v>Olieræddike E</v>
      </c>
      <c r="AC57" s="12">
        <f>IF(Normer!$J45&lt;&gt;"",Normer!$J45,Data!AD57)</f>
        <v>280</v>
      </c>
      <c r="AD57" s="196">
        <v>280</v>
      </c>
      <c r="AE57" s="196">
        <v>0</v>
      </c>
      <c r="AF57" s="196">
        <v>0</v>
      </c>
      <c r="AM57" s="12">
        <v>0</v>
      </c>
      <c r="AN57" s="12">
        <v>1</v>
      </c>
      <c r="AO57" s="12">
        <v>0</v>
      </c>
      <c r="AP57" s="12">
        <v>0</v>
      </c>
      <c r="AQ57" s="12">
        <v>0</v>
      </c>
      <c r="AR57" s="12" t="str">
        <f>J57</f>
        <v>Olieræddike E</v>
      </c>
      <c r="AU57" s="12">
        <f>$K$302</f>
        <v>75</v>
      </c>
      <c r="AV57" s="12">
        <v>0</v>
      </c>
      <c r="AW57" s="12">
        <v>0</v>
      </c>
      <c r="AX57" s="12">
        <v>0</v>
      </c>
      <c r="BA57" s="12">
        <v>0</v>
      </c>
      <c r="BC57" s="12">
        <v>0</v>
      </c>
      <c r="BG57" s="12">
        <v>0</v>
      </c>
      <c r="BI57" s="199">
        <v>2</v>
      </c>
      <c r="BJ57" s="199">
        <v>1</v>
      </c>
      <c r="BK57" s="12" t="str">
        <f>J57</f>
        <v>Olieræddike E</v>
      </c>
    </row>
    <row r="58" spans="9:97" s="12" customFormat="1" x14ac:dyDescent="0.25">
      <c r="I58" s="12">
        <v>3</v>
      </c>
      <c r="J58" s="12" t="s">
        <v>1476</v>
      </c>
      <c r="L58" s="12">
        <v>0</v>
      </c>
      <c r="R58" s="12">
        <v>0</v>
      </c>
      <c r="S58" s="12">
        <v>0</v>
      </c>
      <c r="T58" s="12">
        <v>0</v>
      </c>
      <c r="U58" s="12">
        <v>0</v>
      </c>
      <c r="V58" s="12">
        <v>0</v>
      </c>
      <c r="W58" s="12">
        <v>0</v>
      </c>
      <c r="X58" s="12">
        <v>0</v>
      </c>
      <c r="Y58" s="12">
        <v>0</v>
      </c>
      <c r="Z58" s="12">
        <v>0</v>
      </c>
      <c r="AA58" s="12">
        <v>20</v>
      </c>
      <c r="AB58" s="12" t="str">
        <f t="shared" ref="AB58:AB70" si="17">J58</f>
        <v>Olieræddike M</v>
      </c>
      <c r="AC58" s="12">
        <f>IF(Normer!$J45&lt;&gt;"",Normer!$J45,Data!AD58)</f>
        <v>260</v>
      </c>
      <c r="AD58" s="196">
        <v>260</v>
      </c>
      <c r="AE58" s="196">
        <v>0</v>
      </c>
      <c r="AF58" s="196">
        <v>0</v>
      </c>
      <c r="AM58" s="12">
        <v>0</v>
      </c>
      <c r="AN58" s="12">
        <v>0</v>
      </c>
      <c r="AO58" s="12">
        <v>1</v>
      </c>
      <c r="AP58" s="12">
        <v>0</v>
      </c>
      <c r="AQ58" s="12">
        <v>0</v>
      </c>
      <c r="AR58" s="12" t="str">
        <f t="shared" ref="AR58" si="18">J58</f>
        <v>Olieræddike M</v>
      </c>
      <c r="AU58" s="12">
        <f>$K$302</f>
        <v>75</v>
      </c>
      <c r="AV58" s="12">
        <v>0</v>
      </c>
      <c r="AW58" s="12">
        <v>0</v>
      </c>
      <c r="AX58" s="12">
        <v>0</v>
      </c>
      <c r="BA58" s="12">
        <v>0</v>
      </c>
      <c r="BC58" s="12">
        <v>0</v>
      </c>
      <c r="BI58" s="199"/>
      <c r="BJ58" s="199"/>
      <c r="BK58" s="12" t="str">
        <f t="shared" ref="BK58:BK70" si="19">J58</f>
        <v>Olieræddike M</v>
      </c>
    </row>
    <row r="59" spans="9:97" s="12" customFormat="1" x14ac:dyDescent="0.25">
      <c r="I59" s="12">
        <v>4</v>
      </c>
      <c r="J59" s="12" t="s">
        <v>1513</v>
      </c>
      <c r="L59" s="12">
        <v>0</v>
      </c>
      <c r="R59" s="12">
        <v>0</v>
      </c>
      <c r="S59" s="12">
        <v>0</v>
      </c>
      <c r="T59" s="12">
        <v>0</v>
      </c>
      <c r="U59" s="12">
        <v>0</v>
      </c>
      <c r="V59" s="12">
        <v>0</v>
      </c>
      <c r="W59" s="12">
        <v>17</v>
      </c>
      <c r="X59" s="12">
        <v>25</v>
      </c>
      <c r="Y59" s="12">
        <v>2</v>
      </c>
      <c r="Z59" s="12">
        <v>0</v>
      </c>
      <c r="AA59" s="12">
        <v>20</v>
      </c>
      <c r="AB59" s="12" t="str">
        <f t="shared" si="17"/>
        <v>Græs E</v>
      </c>
      <c r="AC59" s="12">
        <f>IF(Normer!$J49&lt;&gt;"",Normer!$J49,Data!AD59)</f>
        <v>300</v>
      </c>
      <c r="AD59" s="196">
        <v>300</v>
      </c>
      <c r="AE59" s="196">
        <v>0</v>
      </c>
      <c r="AF59" s="196">
        <v>0</v>
      </c>
      <c r="AM59" s="12">
        <v>0</v>
      </c>
      <c r="AN59" s="12">
        <v>1</v>
      </c>
      <c r="AO59" s="12">
        <v>0</v>
      </c>
      <c r="AP59" s="12">
        <v>0</v>
      </c>
      <c r="AQ59" s="12">
        <v>0</v>
      </c>
      <c r="AR59" s="12" t="str">
        <f t="shared" ref="AR59:AR70" si="20">J59</f>
        <v>Græs E</v>
      </c>
      <c r="AS59" s="12">
        <v>2</v>
      </c>
      <c r="AU59" s="12">
        <f>$K$303</f>
        <v>55</v>
      </c>
      <c r="AV59" s="12">
        <v>0</v>
      </c>
      <c r="AW59" s="12">
        <v>0</v>
      </c>
      <c r="AX59" s="12">
        <v>0</v>
      </c>
      <c r="BA59" s="12">
        <v>0</v>
      </c>
      <c r="BC59" s="12">
        <v>0</v>
      </c>
      <c r="BG59" s="12">
        <v>0</v>
      </c>
      <c r="BI59" s="199">
        <v>2</v>
      </c>
      <c r="BJ59" s="199">
        <v>1</v>
      </c>
      <c r="BK59" s="12" t="str">
        <f t="shared" si="19"/>
        <v>Græs E</v>
      </c>
    </row>
    <row r="60" spans="9:97" s="12" customFormat="1" x14ac:dyDescent="0.25">
      <c r="I60" s="12">
        <v>5</v>
      </c>
      <c r="J60" s="12" t="s">
        <v>1479</v>
      </c>
      <c r="L60" s="12">
        <v>0</v>
      </c>
      <c r="R60" s="12">
        <v>0</v>
      </c>
      <c r="S60" s="12">
        <v>0</v>
      </c>
      <c r="T60" s="12">
        <v>0</v>
      </c>
      <c r="U60" s="12">
        <v>0</v>
      </c>
      <c r="V60" s="12">
        <v>0</v>
      </c>
      <c r="W60" s="12">
        <v>17</v>
      </c>
      <c r="X60" s="12">
        <v>25</v>
      </c>
      <c r="Y60" s="12">
        <v>2</v>
      </c>
      <c r="Z60" s="12">
        <v>0</v>
      </c>
      <c r="AA60" s="12">
        <v>20</v>
      </c>
      <c r="AB60" s="12" t="str">
        <f t="shared" si="17"/>
        <v>Gul sennep E</v>
      </c>
      <c r="AC60" s="12">
        <f>IF(Normer!$J47&lt;&gt;"",Normer!$J47,Data!AD60)</f>
        <v>160</v>
      </c>
      <c r="AD60" s="196">
        <v>160</v>
      </c>
      <c r="AE60" s="196">
        <v>0</v>
      </c>
      <c r="AF60" s="196">
        <v>0</v>
      </c>
      <c r="AM60" s="12">
        <v>0</v>
      </c>
      <c r="AN60" s="12">
        <v>1</v>
      </c>
      <c r="AO60" s="12">
        <v>0</v>
      </c>
      <c r="AP60" s="12">
        <v>0</v>
      </c>
      <c r="AQ60" s="12">
        <v>0</v>
      </c>
      <c r="AR60" s="12" t="str">
        <f t="shared" si="20"/>
        <v>Gul sennep E</v>
      </c>
      <c r="AS60" s="12">
        <v>2</v>
      </c>
      <c r="AU60" s="12">
        <f>$K$302</f>
        <v>75</v>
      </c>
      <c r="AV60" s="12">
        <v>0</v>
      </c>
      <c r="AW60" s="12">
        <v>0</v>
      </c>
      <c r="AX60" s="12">
        <v>0</v>
      </c>
      <c r="BA60" s="12">
        <v>0</v>
      </c>
      <c r="BC60" s="12">
        <v>0</v>
      </c>
      <c r="BG60" s="12">
        <v>0</v>
      </c>
      <c r="BI60" s="199">
        <v>2</v>
      </c>
      <c r="BJ60" s="199">
        <v>1</v>
      </c>
      <c r="BK60" s="12" t="str">
        <f t="shared" si="19"/>
        <v>Gul sennep E</v>
      </c>
    </row>
    <row r="61" spans="9:97" s="12" customFormat="1" x14ac:dyDescent="0.25">
      <c r="I61" s="12">
        <v>6</v>
      </c>
      <c r="J61" s="12" t="s">
        <v>1478</v>
      </c>
      <c r="L61" s="12">
        <v>0</v>
      </c>
      <c r="R61" s="12">
        <v>0</v>
      </c>
      <c r="S61" s="12">
        <v>0</v>
      </c>
      <c r="T61" s="12">
        <v>0</v>
      </c>
      <c r="U61" s="12">
        <v>0</v>
      </c>
      <c r="V61" s="12">
        <v>0</v>
      </c>
      <c r="W61" s="12">
        <v>0</v>
      </c>
      <c r="X61" s="12">
        <v>0</v>
      </c>
      <c r="Y61" s="12">
        <v>0</v>
      </c>
      <c r="Z61" s="12">
        <v>0</v>
      </c>
      <c r="AA61" s="12">
        <v>20</v>
      </c>
      <c r="AB61" s="12" t="str">
        <f t="shared" si="17"/>
        <v>Gul sennep M</v>
      </c>
      <c r="AC61" s="12">
        <f>IF(Normer!$J47&lt;&gt;"",Normer!$J47,Data!AD61)</f>
        <v>160</v>
      </c>
      <c r="AD61" s="196">
        <v>160</v>
      </c>
      <c r="AE61" s="196">
        <v>0</v>
      </c>
      <c r="AF61" s="196">
        <v>0</v>
      </c>
      <c r="AM61" s="12">
        <v>0</v>
      </c>
      <c r="AN61" s="12">
        <v>0</v>
      </c>
      <c r="AO61" s="12">
        <v>1</v>
      </c>
      <c r="AP61" s="12">
        <v>0</v>
      </c>
      <c r="AQ61" s="12">
        <v>0</v>
      </c>
      <c r="AR61" s="12" t="str">
        <f t="shared" ref="AR61" si="21">J61</f>
        <v>Gul sennep M</v>
      </c>
      <c r="AU61" s="12">
        <f>$K$302</f>
        <v>75</v>
      </c>
      <c r="AV61" s="12">
        <v>0</v>
      </c>
      <c r="AW61" s="12">
        <v>0</v>
      </c>
      <c r="AX61" s="12">
        <v>0</v>
      </c>
      <c r="BA61" s="12">
        <v>0</v>
      </c>
      <c r="BC61" s="12">
        <v>0</v>
      </c>
      <c r="BK61" s="12" t="str">
        <f t="shared" si="19"/>
        <v>Gul sennep M</v>
      </c>
      <c r="CD61" s="12" t="s">
        <v>311</v>
      </c>
      <c r="CE61" s="12" t="s">
        <v>310</v>
      </c>
      <c r="CF61" s="12">
        <v>500</v>
      </c>
      <c r="CG61" s="12">
        <v>500</v>
      </c>
      <c r="CH61" s="12">
        <v>500</v>
      </c>
      <c r="CI61" s="12">
        <v>500</v>
      </c>
      <c r="CJ61" s="12">
        <v>500</v>
      </c>
      <c r="CK61" s="12">
        <v>100</v>
      </c>
      <c r="CP61" s="12">
        <v>0</v>
      </c>
      <c r="CQ61" s="12">
        <v>0</v>
      </c>
      <c r="CS61" s="12">
        <v>0</v>
      </c>
    </row>
    <row r="62" spans="9:97" s="12" customFormat="1" x14ac:dyDescent="0.25">
      <c r="I62" s="12">
        <v>7</v>
      </c>
      <c r="J62" s="12" t="s">
        <v>1514</v>
      </c>
      <c r="L62" s="12">
        <v>0</v>
      </c>
      <c r="R62" s="12">
        <v>0</v>
      </c>
      <c r="S62" s="12">
        <v>0</v>
      </c>
      <c r="T62" s="12">
        <v>0</v>
      </c>
      <c r="U62" s="12">
        <v>0</v>
      </c>
      <c r="V62" s="12">
        <v>0</v>
      </c>
      <c r="W62" s="12">
        <v>17</v>
      </c>
      <c r="X62" s="12">
        <v>25</v>
      </c>
      <c r="Y62" s="12">
        <v>2</v>
      </c>
      <c r="Z62" s="12">
        <v>0</v>
      </c>
      <c r="AA62" s="12">
        <v>20</v>
      </c>
      <c r="AB62" s="12" t="str">
        <f t="shared" si="17"/>
        <v>Frøgræs E</v>
      </c>
      <c r="AC62" s="12">
        <v>0</v>
      </c>
      <c r="AD62" s="196">
        <v>0</v>
      </c>
      <c r="AE62" s="196">
        <v>0</v>
      </c>
      <c r="AF62" s="196">
        <v>0</v>
      </c>
      <c r="AM62" s="12">
        <v>0</v>
      </c>
      <c r="AN62" s="12">
        <v>1</v>
      </c>
      <c r="AO62" s="12">
        <v>0</v>
      </c>
      <c r="AP62" s="12">
        <v>0</v>
      </c>
      <c r="AQ62" s="12">
        <v>0</v>
      </c>
      <c r="AR62" s="12" t="str">
        <f t="shared" si="20"/>
        <v>Frøgræs E</v>
      </c>
      <c r="AU62" s="12">
        <v>0</v>
      </c>
      <c r="AV62" s="12">
        <v>0</v>
      </c>
      <c r="AW62" s="12">
        <v>0</v>
      </c>
      <c r="AX62" s="12">
        <v>0</v>
      </c>
      <c r="BA62" s="12">
        <v>0</v>
      </c>
      <c r="BC62" s="12">
        <v>0</v>
      </c>
      <c r="BI62" s="199"/>
      <c r="BJ62" s="199"/>
      <c r="BK62" s="12" t="str">
        <f t="shared" si="19"/>
        <v>Frøgræs E</v>
      </c>
    </row>
    <row r="63" spans="9:97" s="12" customFormat="1" x14ac:dyDescent="0.25">
      <c r="I63" s="12">
        <v>8</v>
      </c>
      <c r="J63" s="12" t="s">
        <v>2224</v>
      </c>
      <c r="L63" s="12">
        <v>0</v>
      </c>
      <c r="R63" s="12">
        <v>0</v>
      </c>
      <c r="S63" s="12">
        <v>0</v>
      </c>
      <c r="T63" s="12">
        <v>0</v>
      </c>
      <c r="U63" s="12">
        <v>0</v>
      </c>
      <c r="V63" s="12">
        <v>0</v>
      </c>
      <c r="W63" s="12">
        <v>0</v>
      </c>
      <c r="X63" s="12">
        <v>0</v>
      </c>
      <c r="Y63" s="12">
        <v>0</v>
      </c>
      <c r="Z63" s="12">
        <v>0</v>
      </c>
      <c r="AA63" s="12">
        <v>20</v>
      </c>
      <c r="AB63" s="12" t="str">
        <f t="shared" si="17"/>
        <v>Frøgræs M</v>
      </c>
      <c r="AC63" s="12">
        <v>0</v>
      </c>
      <c r="AD63" s="196">
        <v>0</v>
      </c>
      <c r="AE63" s="196">
        <v>0</v>
      </c>
      <c r="AF63" s="196">
        <v>0</v>
      </c>
      <c r="AM63" s="12">
        <v>0</v>
      </c>
      <c r="AN63" s="12">
        <v>0</v>
      </c>
      <c r="AO63" s="12">
        <v>1</v>
      </c>
      <c r="AP63" s="12">
        <v>0</v>
      </c>
      <c r="AQ63" s="12">
        <v>0</v>
      </c>
      <c r="AR63" s="12" t="str">
        <f t="shared" si="20"/>
        <v>Frøgræs M</v>
      </c>
      <c r="AU63" s="12">
        <v>0</v>
      </c>
      <c r="AV63" s="12">
        <v>0</v>
      </c>
      <c r="AW63" s="12">
        <v>0</v>
      </c>
      <c r="AX63" s="12">
        <v>0</v>
      </c>
      <c r="BA63" s="12">
        <v>0</v>
      </c>
      <c r="BC63" s="12">
        <v>0</v>
      </c>
      <c r="BI63" s="199"/>
      <c r="BJ63" s="199"/>
      <c r="BK63" s="12" t="str">
        <f t="shared" si="19"/>
        <v>Frøgræs M</v>
      </c>
    </row>
    <row r="64" spans="9:97" s="12" customFormat="1" x14ac:dyDescent="0.25">
      <c r="I64" s="12">
        <v>9</v>
      </c>
      <c r="J64" s="12" t="s">
        <v>1519</v>
      </c>
      <c r="K64" s="12" t="s">
        <v>37</v>
      </c>
      <c r="L64" s="12">
        <f t="shared" ref="L64:L69" si="22">Grovfoderpris</f>
        <v>1.2</v>
      </c>
      <c r="M64" s="196">
        <v>4400</v>
      </c>
      <c r="N64" s="196">
        <v>4400</v>
      </c>
      <c r="O64" s="196">
        <v>5600</v>
      </c>
      <c r="P64" s="196">
        <v>4000</v>
      </c>
      <c r="Q64" s="196">
        <v>4000</v>
      </c>
      <c r="R64" s="196">
        <v>164</v>
      </c>
      <c r="S64" s="196">
        <v>169</v>
      </c>
      <c r="T64" s="196">
        <v>189</v>
      </c>
      <c r="U64" s="196">
        <v>162</v>
      </c>
      <c r="V64" s="196">
        <v>162</v>
      </c>
      <c r="AA64" s="12">
        <v>20</v>
      </c>
      <c r="AB64" s="12" t="str">
        <f t="shared" si="17"/>
        <v>Græsudl. e. grønk.</v>
      </c>
      <c r="AC64" s="12">
        <v>360</v>
      </c>
      <c r="AD64" s="196">
        <v>380</v>
      </c>
      <c r="AE64" s="196">
        <v>287</v>
      </c>
      <c r="AF64" s="196">
        <v>0</v>
      </c>
      <c r="AG64" s="12">
        <v>1.3</v>
      </c>
      <c r="AH64" s="12">
        <v>32</v>
      </c>
      <c r="AI64" s="12">
        <v>16.8</v>
      </c>
      <c r="AJ64" s="12">
        <v>0.442</v>
      </c>
      <c r="AK64" s="12">
        <v>3</v>
      </c>
      <c r="AM64" s="12">
        <v>0</v>
      </c>
      <c r="AN64" s="12">
        <v>0</v>
      </c>
      <c r="AO64" s="12">
        <v>0</v>
      </c>
      <c r="AP64" s="12">
        <v>1</v>
      </c>
      <c r="AQ64" s="12">
        <v>1</v>
      </c>
      <c r="AR64" s="12" t="str">
        <f t="shared" si="20"/>
        <v>Græsudl. e. grønk.</v>
      </c>
      <c r="AU64" s="12">
        <f t="shared" ref="AU64:AU69" si="23">$K$301</f>
        <v>350</v>
      </c>
      <c r="AV64" s="12">
        <v>1</v>
      </c>
      <c r="AW64" s="12">
        <v>2</v>
      </c>
      <c r="AX64" s="12">
        <v>8000</v>
      </c>
      <c r="AY64" s="12">
        <f>$K$278+$K$279</f>
        <v>390</v>
      </c>
      <c r="AZ64" s="12">
        <f t="shared" ref="AZ64:AZ69" si="24">$K$293</f>
        <v>425</v>
      </c>
      <c r="BA64" s="12">
        <v>2</v>
      </c>
      <c r="BB64" s="12">
        <f>$K$280</f>
        <v>575</v>
      </c>
      <c r="BC64" s="12">
        <v>60</v>
      </c>
      <c r="BG64" s="12">
        <v>0.25</v>
      </c>
      <c r="BI64" s="199">
        <v>2</v>
      </c>
      <c r="BJ64" s="199">
        <v>1</v>
      </c>
      <c r="BK64" s="12" t="str">
        <f t="shared" si="19"/>
        <v>Græsudl. e. grønk.</v>
      </c>
    </row>
    <row r="65" spans="9:63" s="12" customFormat="1" x14ac:dyDescent="0.25">
      <c r="I65" s="12">
        <v>10</v>
      </c>
      <c r="J65" s="12" t="s">
        <v>1523</v>
      </c>
      <c r="K65" s="12" t="s">
        <v>37</v>
      </c>
      <c r="L65" s="12">
        <f t="shared" si="22"/>
        <v>1.2</v>
      </c>
      <c r="M65" s="196">
        <v>2600</v>
      </c>
      <c r="N65" s="196">
        <v>2600</v>
      </c>
      <c r="O65" s="196">
        <v>2700</v>
      </c>
      <c r="P65" s="196">
        <v>2300</v>
      </c>
      <c r="Q65" s="196">
        <v>2300</v>
      </c>
      <c r="R65" s="196">
        <v>11</v>
      </c>
      <c r="S65" s="196">
        <v>115</v>
      </c>
      <c r="T65" s="196">
        <v>117</v>
      </c>
      <c r="U65" s="196">
        <v>110</v>
      </c>
      <c r="V65" s="196">
        <v>110</v>
      </c>
      <c r="AA65" s="12">
        <v>20</v>
      </c>
      <c r="AB65" s="12" t="str">
        <f t="shared" si="17"/>
        <v>Græsudl. e. hels.</v>
      </c>
      <c r="AC65" s="12">
        <v>360</v>
      </c>
      <c r="AD65" s="196">
        <v>380</v>
      </c>
      <c r="AE65" s="196">
        <v>287</v>
      </c>
      <c r="AF65" s="196">
        <v>0</v>
      </c>
      <c r="AG65" s="12">
        <v>1.3</v>
      </c>
      <c r="AH65" s="12">
        <v>32</v>
      </c>
      <c r="AI65" s="12">
        <v>16.8</v>
      </c>
      <c r="AJ65" s="12">
        <v>0.442</v>
      </c>
      <c r="AK65" s="12">
        <v>3</v>
      </c>
      <c r="AM65" s="12">
        <v>0</v>
      </c>
      <c r="AN65" s="12">
        <v>0</v>
      </c>
      <c r="AO65" s="12">
        <v>0</v>
      </c>
      <c r="AP65" s="12">
        <v>1</v>
      </c>
      <c r="AQ65" s="12">
        <v>1</v>
      </c>
      <c r="AR65" s="12" t="str">
        <f t="shared" si="20"/>
        <v>Græsudl. e. hels.</v>
      </c>
      <c r="AU65" s="12">
        <f t="shared" si="23"/>
        <v>350</v>
      </c>
      <c r="AV65" s="12">
        <v>1</v>
      </c>
      <c r="AW65" s="12">
        <v>1</v>
      </c>
      <c r="AX65" s="12">
        <v>8000</v>
      </c>
      <c r="AZ65" s="12">
        <f t="shared" si="24"/>
        <v>425</v>
      </c>
      <c r="BA65" s="12">
        <v>0</v>
      </c>
      <c r="BC65" s="12">
        <v>40</v>
      </c>
      <c r="BG65" s="12">
        <v>0.5</v>
      </c>
      <c r="BI65" s="199">
        <v>2</v>
      </c>
      <c r="BJ65" s="199">
        <v>1</v>
      </c>
      <c r="BK65" s="12" t="str">
        <f t="shared" si="19"/>
        <v>Græsudl. e. hels.</v>
      </c>
    </row>
    <row r="66" spans="9:63" s="12" customFormat="1" x14ac:dyDescent="0.25">
      <c r="I66" s="12">
        <v>11</v>
      </c>
      <c r="J66" s="12" t="s">
        <v>1520</v>
      </c>
      <c r="K66" s="12" t="s">
        <v>37</v>
      </c>
      <c r="L66" s="12">
        <f t="shared" si="22"/>
        <v>1.2</v>
      </c>
      <c r="M66" s="196">
        <v>1000</v>
      </c>
      <c r="N66" s="196">
        <v>1000</v>
      </c>
      <c r="O66" s="196">
        <v>1100</v>
      </c>
      <c r="P66" s="196">
        <v>1000</v>
      </c>
      <c r="Q66" s="196">
        <v>1000</v>
      </c>
      <c r="R66" s="196">
        <v>53</v>
      </c>
      <c r="S66" s="196">
        <v>53</v>
      </c>
      <c r="T66" s="196">
        <v>55</v>
      </c>
      <c r="U66" s="196">
        <v>53</v>
      </c>
      <c r="V66" s="196">
        <v>53</v>
      </c>
      <c r="AA66" s="12">
        <v>20</v>
      </c>
      <c r="AB66" s="12" t="str">
        <f t="shared" si="17"/>
        <v>Græsudl. e. korn</v>
      </c>
      <c r="AC66" s="12">
        <v>360</v>
      </c>
      <c r="AD66" s="196">
        <v>380</v>
      </c>
      <c r="AE66" s="196">
        <v>287</v>
      </c>
      <c r="AF66" s="196">
        <v>0</v>
      </c>
      <c r="AG66" s="12">
        <v>1.3</v>
      </c>
      <c r="AH66" s="12">
        <v>29</v>
      </c>
      <c r="AI66" s="12">
        <v>16.8</v>
      </c>
      <c r="AJ66" s="12">
        <v>0.442</v>
      </c>
      <c r="AK66" s="12">
        <v>3</v>
      </c>
      <c r="AM66" s="12">
        <v>0</v>
      </c>
      <c r="AN66" s="12">
        <v>0</v>
      </c>
      <c r="AO66" s="12">
        <v>0</v>
      </c>
      <c r="AP66" s="12">
        <v>1</v>
      </c>
      <c r="AQ66" s="12">
        <v>1</v>
      </c>
      <c r="AR66" s="12" t="str">
        <f t="shared" si="20"/>
        <v>Græsudl. e. korn</v>
      </c>
      <c r="AU66" s="12">
        <f t="shared" si="23"/>
        <v>350</v>
      </c>
      <c r="AV66" s="12">
        <v>1</v>
      </c>
      <c r="AW66" s="12">
        <v>1</v>
      </c>
      <c r="AX66" s="12">
        <v>8000</v>
      </c>
      <c r="AZ66" s="12">
        <f t="shared" si="24"/>
        <v>425</v>
      </c>
      <c r="BA66" s="12">
        <v>0</v>
      </c>
      <c r="BC66" s="12">
        <v>20</v>
      </c>
      <c r="BG66" s="12">
        <v>1</v>
      </c>
      <c r="BI66" s="199">
        <v>2</v>
      </c>
      <c r="BJ66" s="199">
        <v>1</v>
      </c>
      <c r="BK66" s="12" t="str">
        <f t="shared" si="19"/>
        <v>Græsudl. e. korn</v>
      </c>
    </row>
    <row r="67" spans="9:63" s="12" customFormat="1" x14ac:dyDescent="0.25">
      <c r="I67" s="12">
        <v>12</v>
      </c>
      <c r="J67" s="12" t="s">
        <v>1521</v>
      </c>
      <c r="K67" s="12" t="s">
        <v>37</v>
      </c>
      <c r="L67" s="12">
        <f t="shared" si="22"/>
        <v>1.2</v>
      </c>
      <c r="M67" s="196">
        <v>3900</v>
      </c>
      <c r="N67" s="196">
        <v>3900</v>
      </c>
      <c r="O67" s="196">
        <v>5100</v>
      </c>
      <c r="P67" s="196">
        <v>3500</v>
      </c>
      <c r="Q67" s="196">
        <v>3500</v>
      </c>
      <c r="R67" s="196">
        <v>122</v>
      </c>
      <c r="S67" s="196">
        <v>125</v>
      </c>
      <c r="T67" s="196">
        <v>135</v>
      </c>
      <c r="U67" s="196">
        <v>121</v>
      </c>
      <c r="V67" s="196">
        <v>121</v>
      </c>
      <c r="AA67" s="12">
        <v>20</v>
      </c>
      <c r="AB67" s="12" t="str">
        <f t="shared" si="17"/>
        <v>Kl.græsudl. e. grønk.</v>
      </c>
      <c r="AC67" s="12">
        <v>600</v>
      </c>
      <c r="AD67" s="196">
        <v>630</v>
      </c>
      <c r="AE67" s="196">
        <v>287</v>
      </c>
      <c r="AF67" s="196">
        <v>0</v>
      </c>
      <c r="AG67" s="12">
        <v>1.3</v>
      </c>
      <c r="AH67" s="12">
        <v>32</v>
      </c>
      <c r="AI67" s="12">
        <v>16.8</v>
      </c>
      <c r="AJ67" s="12">
        <v>0.442</v>
      </c>
      <c r="AK67" s="12">
        <v>3</v>
      </c>
      <c r="AM67" s="12">
        <v>0</v>
      </c>
      <c r="AN67" s="12">
        <v>0</v>
      </c>
      <c r="AO67" s="12">
        <v>0</v>
      </c>
      <c r="AP67" s="12">
        <v>1</v>
      </c>
      <c r="AQ67" s="12">
        <v>1</v>
      </c>
      <c r="AR67" s="12" t="str">
        <f t="shared" si="20"/>
        <v>Kl.græsudl. e. grønk.</v>
      </c>
      <c r="AU67" s="12">
        <f t="shared" si="23"/>
        <v>350</v>
      </c>
      <c r="AV67" s="12">
        <v>1</v>
      </c>
      <c r="AW67" s="12">
        <v>2</v>
      </c>
      <c r="AX67" s="12">
        <v>8000</v>
      </c>
      <c r="AY67" s="12">
        <f>$K$278+$K$279</f>
        <v>390</v>
      </c>
      <c r="AZ67" s="12">
        <f t="shared" si="24"/>
        <v>425</v>
      </c>
      <c r="BA67" s="12">
        <v>2</v>
      </c>
      <c r="BB67" s="12">
        <f>$K$280</f>
        <v>575</v>
      </c>
      <c r="BC67" s="12">
        <v>60</v>
      </c>
      <c r="BG67" s="12">
        <v>0.25</v>
      </c>
      <c r="BH67" s="12">
        <v>5</v>
      </c>
      <c r="BI67" s="199">
        <v>2</v>
      </c>
      <c r="BJ67" s="199">
        <v>1</v>
      </c>
      <c r="BK67" s="12" t="str">
        <f t="shared" si="19"/>
        <v>Kl.græsudl. e. grønk.</v>
      </c>
    </row>
    <row r="68" spans="9:63" s="12" customFormat="1" x14ac:dyDescent="0.25">
      <c r="I68" s="12">
        <v>13</v>
      </c>
      <c r="J68" s="12" t="s">
        <v>1524</v>
      </c>
      <c r="K68" s="12" t="s">
        <v>37</v>
      </c>
      <c r="L68" s="12">
        <f t="shared" si="22"/>
        <v>1.2</v>
      </c>
      <c r="M68" s="196">
        <v>2000</v>
      </c>
      <c r="N68" s="196">
        <v>2000</v>
      </c>
      <c r="O68" s="196">
        <v>2100</v>
      </c>
      <c r="P68" s="196">
        <v>1700</v>
      </c>
      <c r="Q68" s="196">
        <v>1700</v>
      </c>
      <c r="R68" s="196">
        <v>77</v>
      </c>
      <c r="S68" s="196">
        <v>78</v>
      </c>
      <c r="T68" s="196">
        <v>79</v>
      </c>
      <c r="U68" s="196">
        <v>76</v>
      </c>
      <c r="V68" s="196">
        <v>76</v>
      </c>
      <c r="AA68" s="12">
        <v>20</v>
      </c>
      <c r="AB68" s="12" t="str">
        <f t="shared" si="17"/>
        <v>Kl.græsudl. e. hels.</v>
      </c>
      <c r="AC68" s="12">
        <v>600</v>
      </c>
      <c r="AD68" s="196">
        <v>630</v>
      </c>
      <c r="AE68" s="196">
        <v>287</v>
      </c>
      <c r="AF68" s="196">
        <v>0</v>
      </c>
      <c r="AG68" s="12">
        <v>1.3</v>
      </c>
      <c r="AH68" s="12">
        <v>32</v>
      </c>
      <c r="AI68" s="12">
        <v>16.8</v>
      </c>
      <c r="AJ68" s="12">
        <v>0.442</v>
      </c>
      <c r="AK68" s="12">
        <v>3</v>
      </c>
      <c r="AM68" s="12">
        <v>0</v>
      </c>
      <c r="AN68" s="12">
        <v>0</v>
      </c>
      <c r="AO68" s="12">
        <v>0</v>
      </c>
      <c r="AP68" s="12">
        <v>1</v>
      </c>
      <c r="AQ68" s="12">
        <v>1</v>
      </c>
      <c r="AR68" s="12" t="str">
        <f t="shared" si="20"/>
        <v>Kl.græsudl. e. hels.</v>
      </c>
      <c r="AU68" s="12">
        <f t="shared" si="23"/>
        <v>350</v>
      </c>
      <c r="AV68" s="12">
        <v>1</v>
      </c>
      <c r="AW68" s="12">
        <v>1</v>
      </c>
      <c r="AX68" s="12">
        <v>8000</v>
      </c>
      <c r="AZ68" s="12">
        <f t="shared" si="24"/>
        <v>425</v>
      </c>
      <c r="BA68" s="12">
        <v>0</v>
      </c>
      <c r="BC68" s="12">
        <v>40</v>
      </c>
      <c r="BG68" s="12">
        <v>0.5</v>
      </c>
      <c r="BH68" s="12">
        <v>5</v>
      </c>
      <c r="BI68" s="199">
        <v>2</v>
      </c>
      <c r="BJ68" s="199">
        <v>1</v>
      </c>
      <c r="BK68" s="12" t="str">
        <f t="shared" si="19"/>
        <v>Kl.græsudl. e. hels.</v>
      </c>
    </row>
    <row r="69" spans="9:63" s="12" customFormat="1" x14ac:dyDescent="0.25">
      <c r="I69" s="12">
        <v>14</v>
      </c>
      <c r="J69" s="12" t="s">
        <v>1522</v>
      </c>
      <c r="K69" s="12" t="s">
        <v>37</v>
      </c>
      <c r="L69" s="12">
        <f t="shared" si="22"/>
        <v>1.2</v>
      </c>
      <c r="M69" s="196">
        <v>1000</v>
      </c>
      <c r="N69" s="196">
        <v>1000</v>
      </c>
      <c r="O69" s="196">
        <v>1100</v>
      </c>
      <c r="P69" s="196">
        <v>1000</v>
      </c>
      <c r="Q69" s="196">
        <v>1000</v>
      </c>
      <c r="R69" s="196">
        <v>32</v>
      </c>
      <c r="S69" s="196">
        <v>32</v>
      </c>
      <c r="T69" s="196">
        <v>33</v>
      </c>
      <c r="U69" s="196">
        <v>32</v>
      </c>
      <c r="V69" s="196">
        <v>32</v>
      </c>
      <c r="AA69" s="12">
        <v>20</v>
      </c>
      <c r="AB69" s="12" t="str">
        <f t="shared" si="17"/>
        <v>Kl.græsudl. e. korn</v>
      </c>
      <c r="AC69" s="12">
        <v>600</v>
      </c>
      <c r="AD69" s="196">
        <v>630</v>
      </c>
      <c r="AE69" s="196">
        <v>287</v>
      </c>
      <c r="AF69" s="196">
        <v>0</v>
      </c>
      <c r="AG69" s="12">
        <v>1.3</v>
      </c>
      <c r="AH69" s="12">
        <v>29</v>
      </c>
      <c r="AI69" s="12">
        <v>16.8</v>
      </c>
      <c r="AJ69" s="12">
        <v>0.442</v>
      </c>
      <c r="AK69" s="12">
        <v>3</v>
      </c>
      <c r="AM69" s="12">
        <v>0</v>
      </c>
      <c r="AN69" s="12">
        <v>0</v>
      </c>
      <c r="AO69" s="12">
        <v>0</v>
      </c>
      <c r="AP69" s="12">
        <v>1</v>
      </c>
      <c r="AQ69" s="12">
        <v>1</v>
      </c>
      <c r="AR69" s="12" t="str">
        <f t="shared" si="20"/>
        <v>Kl.græsudl. e. korn</v>
      </c>
      <c r="AU69" s="12">
        <f t="shared" si="23"/>
        <v>350</v>
      </c>
      <c r="AV69" s="12">
        <v>1</v>
      </c>
      <c r="AW69" s="12">
        <v>1</v>
      </c>
      <c r="AX69" s="12">
        <v>8000</v>
      </c>
      <c r="AZ69" s="12">
        <f t="shared" si="24"/>
        <v>425</v>
      </c>
      <c r="BA69" s="12">
        <v>0</v>
      </c>
      <c r="BC69" s="12">
        <v>20</v>
      </c>
      <c r="BG69" s="12">
        <v>1</v>
      </c>
      <c r="BH69" s="12">
        <v>5</v>
      </c>
      <c r="BI69" s="199">
        <v>2</v>
      </c>
      <c r="BJ69" s="199">
        <v>1</v>
      </c>
      <c r="BK69" s="12" t="str">
        <f t="shared" si="19"/>
        <v>Kl.græsudl. e. korn</v>
      </c>
    </row>
    <row r="70" spans="9:63" s="12" customFormat="1" x14ac:dyDescent="0.25">
      <c r="I70" s="12">
        <v>15</v>
      </c>
      <c r="J70" s="12" t="s">
        <v>1992</v>
      </c>
      <c r="L70" s="12">
        <v>0</v>
      </c>
      <c r="M70" s="12">
        <v>0</v>
      </c>
      <c r="N70" s="12">
        <v>0</v>
      </c>
      <c r="O70" s="12">
        <v>0</v>
      </c>
      <c r="P70" s="12">
        <v>0</v>
      </c>
      <c r="Q70" s="12">
        <v>0</v>
      </c>
      <c r="R70" s="12">
        <v>0</v>
      </c>
      <c r="S70" s="12">
        <v>0</v>
      </c>
      <c r="T70" s="12">
        <v>0</v>
      </c>
      <c r="U70" s="12">
        <v>0</v>
      </c>
      <c r="V70" s="12">
        <v>0</v>
      </c>
      <c r="AA70" s="12">
        <v>20</v>
      </c>
      <c r="AB70" s="12" t="str">
        <f t="shared" si="17"/>
        <v>Udlæg til frø</v>
      </c>
      <c r="AC70" s="12">
        <v>0</v>
      </c>
      <c r="AD70" s="196">
        <v>0</v>
      </c>
      <c r="AE70" s="196">
        <v>0</v>
      </c>
      <c r="AF70" s="196">
        <v>0</v>
      </c>
      <c r="AM70" s="12">
        <v>0</v>
      </c>
      <c r="AN70" s="12">
        <v>0</v>
      </c>
      <c r="AO70" s="12">
        <v>0</v>
      </c>
      <c r="AP70" s="12">
        <v>0</v>
      </c>
      <c r="AQ70" s="12">
        <v>1</v>
      </c>
      <c r="AR70" s="12" t="str">
        <f t="shared" si="20"/>
        <v>Udlæg til frø</v>
      </c>
      <c r="AU70" s="12">
        <v>0</v>
      </c>
      <c r="AV70" s="12">
        <v>0</v>
      </c>
      <c r="AW70" s="12">
        <v>0</v>
      </c>
      <c r="AX70" s="12">
        <v>0</v>
      </c>
      <c r="AY70" s="12">
        <v>0</v>
      </c>
      <c r="AZ70" s="12">
        <v>0</v>
      </c>
      <c r="BA70" s="12">
        <v>0</v>
      </c>
      <c r="BB70" s="12">
        <v>0</v>
      </c>
      <c r="BC70" s="12">
        <v>0</v>
      </c>
      <c r="BG70" s="12">
        <v>0</v>
      </c>
      <c r="BI70" s="199">
        <v>2</v>
      </c>
      <c r="BJ70" s="199"/>
      <c r="BK70" s="12" t="str">
        <f t="shared" si="19"/>
        <v>Udlæg til frø</v>
      </c>
    </row>
    <row r="71" spans="9:63" s="12" customFormat="1" x14ac:dyDescent="0.25"/>
    <row r="72" spans="9:63" s="12" customFormat="1" x14ac:dyDescent="0.25"/>
    <row r="73" spans="9:63" s="12" customFormat="1" x14ac:dyDescent="0.25">
      <c r="J73" s="12" t="s">
        <v>1309</v>
      </c>
      <c r="K73" s="12">
        <v>0.5</v>
      </c>
    </row>
    <row r="74" spans="9:63" s="12" customFormat="1" x14ac:dyDescent="0.25">
      <c r="J74" s="12" t="s">
        <v>1310</v>
      </c>
      <c r="K74" s="12">
        <v>0.8</v>
      </c>
      <c r="N74" s="12" t="s">
        <v>2226</v>
      </c>
    </row>
    <row r="75" spans="9:63" s="12" customFormat="1" x14ac:dyDescent="0.25">
      <c r="J75" s="12" t="s">
        <v>1313</v>
      </c>
      <c r="K75" s="12">
        <v>56</v>
      </c>
      <c r="BI75" s="12" t="s">
        <v>2020</v>
      </c>
    </row>
    <row r="76" spans="9:63" s="12" customFormat="1" x14ac:dyDescent="0.25">
      <c r="J76" s="12" t="s">
        <v>1314</v>
      </c>
      <c r="K76" s="12">
        <v>85</v>
      </c>
    </row>
    <row r="77" spans="9:63" s="12" customFormat="1" x14ac:dyDescent="0.25">
      <c r="J77" s="12" t="s">
        <v>1345</v>
      </c>
      <c r="K77" s="12">
        <v>15</v>
      </c>
    </row>
    <row r="78" spans="9:63" s="12" customFormat="1" x14ac:dyDescent="0.25">
      <c r="J78" s="12" t="s">
        <v>1346</v>
      </c>
      <c r="K78" s="12">
        <v>41</v>
      </c>
    </row>
    <row r="79" spans="9:63" x14ac:dyDescent="0.25">
      <c r="L79" t="s">
        <v>2222</v>
      </c>
    </row>
    <row r="80" spans="9:63" x14ac:dyDescent="0.25">
      <c r="J80" t="s">
        <v>507</v>
      </c>
      <c r="K80">
        <f>IF(Normer!J5&lt;&gt;"",Normer!J5,L80)</f>
        <v>8.4499999999999993</v>
      </c>
      <c r="L80" s="196">
        <v>8.4499999999999993</v>
      </c>
    </row>
    <row r="81" spans="9:18" x14ac:dyDescent="0.25">
      <c r="J81" t="s">
        <v>508</v>
      </c>
      <c r="K81">
        <f>IF(Normer!J7&lt;&gt;"",Normer!J7,L81)</f>
        <v>13.9</v>
      </c>
      <c r="L81" s="196">
        <v>13.9</v>
      </c>
    </row>
    <row r="82" spans="9:18" x14ac:dyDescent="0.25">
      <c r="J82" t="s">
        <v>509</v>
      </c>
      <c r="K82">
        <f>IF(Normer!J9&lt;&gt;"",Normer!J9,L82)</f>
        <v>6.5</v>
      </c>
      <c r="L82" s="196">
        <v>6.5</v>
      </c>
    </row>
    <row r="84" spans="9:18" x14ac:dyDescent="0.25">
      <c r="J84" t="s">
        <v>1339</v>
      </c>
      <c r="K84">
        <f>IF(Normer!J35&lt;&gt;"",Normer!J35,TilskudRandzStand)</f>
        <v>2100</v>
      </c>
      <c r="L84" s="196">
        <v>2100</v>
      </c>
    </row>
    <row r="85" spans="9:18" x14ac:dyDescent="0.25">
      <c r="J85" t="s">
        <v>1340</v>
      </c>
      <c r="K85">
        <f>IF(Normer!J37&lt;&gt;"",Normer!J37,TilskudVadomrStand)</f>
        <v>1500</v>
      </c>
      <c r="L85" s="4">
        <v>1500</v>
      </c>
    </row>
    <row r="86" spans="9:18" x14ac:dyDescent="0.25">
      <c r="J86" t="s">
        <v>1341</v>
      </c>
      <c r="K86">
        <f>IF(Normer!J39&lt;&gt;"",Normer!J39,TilskudEnegipilStand)</f>
        <v>500</v>
      </c>
      <c r="L86" s="4">
        <v>500</v>
      </c>
    </row>
    <row r="88" spans="9:18" x14ac:dyDescent="0.25">
      <c r="J88" t="s">
        <v>445</v>
      </c>
      <c r="K88" s="196">
        <v>6</v>
      </c>
      <c r="N88" s="4" t="s">
        <v>2237</v>
      </c>
      <c r="O88" s="4"/>
      <c r="P88" s="4"/>
      <c r="Q88" s="4"/>
      <c r="R88" s="4"/>
    </row>
    <row r="89" spans="9:18" x14ac:dyDescent="0.25">
      <c r="J89" t="s">
        <v>459</v>
      </c>
      <c r="K89">
        <v>0.84</v>
      </c>
    </row>
    <row r="90" spans="9:18" x14ac:dyDescent="0.25">
      <c r="J90" t="s">
        <v>1889</v>
      </c>
      <c r="K90">
        <f>IF(Normer!AK65&lt;&gt;"",Normer!AK65,Data!L90)</f>
        <v>6</v>
      </c>
      <c r="L90">
        <v>6</v>
      </c>
    </row>
    <row r="91" spans="9:18" x14ac:dyDescent="0.25">
      <c r="J91" t="s">
        <v>1890</v>
      </c>
      <c r="K91">
        <f>IF(Normer!AK67&lt;&gt;"",Normer!AK67,Data!L91)</f>
        <v>1</v>
      </c>
      <c r="L91">
        <v>1</v>
      </c>
    </row>
    <row r="93" spans="9:18" x14ac:dyDescent="0.25">
      <c r="I93" s="3" t="s">
        <v>1896</v>
      </c>
    </row>
    <row r="94" spans="9:18" x14ac:dyDescent="0.25">
      <c r="J94" t="s">
        <v>1894</v>
      </c>
    </row>
    <row r="95" spans="9:18" x14ac:dyDescent="0.25">
      <c r="J95" t="s">
        <v>1895</v>
      </c>
    </row>
    <row r="97" spans="7:42" x14ac:dyDescent="0.25">
      <c r="J97" t="s">
        <v>1362</v>
      </c>
      <c r="K97">
        <f>IF(Normer!W51&lt;&gt;"",Normer!W51,Data!L97)</f>
        <v>0</v>
      </c>
      <c r="L97">
        <v>0</v>
      </c>
      <c r="M97" t="s">
        <v>1363</v>
      </c>
    </row>
    <row r="99" spans="7:42" x14ac:dyDescent="0.25">
      <c r="J99" t="s">
        <v>1442</v>
      </c>
      <c r="K99">
        <f>IF(Normer!J17&lt;&gt;"",Normer!J17,L99)</f>
        <v>15</v>
      </c>
      <c r="L99" s="196">
        <v>15</v>
      </c>
      <c r="M99" t="s">
        <v>1726</v>
      </c>
    </row>
    <row r="100" spans="7:42" x14ac:dyDescent="0.25">
      <c r="J100" t="s">
        <v>1443</v>
      </c>
      <c r="K100">
        <f>IF(Normer!J19&lt;&gt;"",Normer!J19,Data!L100)</f>
        <v>0.1</v>
      </c>
      <c r="L100" s="197">
        <v>0.1</v>
      </c>
      <c r="M100" t="s">
        <v>1531</v>
      </c>
      <c r="O100" t="s">
        <v>2011</v>
      </c>
    </row>
    <row r="101" spans="7:42" x14ac:dyDescent="0.25">
      <c r="J101" t="s">
        <v>1444</v>
      </c>
      <c r="K101">
        <v>15</v>
      </c>
      <c r="L101" t="s">
        <v>440</v>
      </c>
    </row>
    <row r="102" spans="7:42" x14ac:dyDescent="0.25">
      <c r="G102" s="193"/>
      <c r="J102" t="s">
        <v>1454</v>
      </c>
      <c r="K102">
        <f>IF(Normer!J21&lt;&gt;"",Normer!J21/0.85,Data!L102/0.85)</f>
        <v>1.1764705882352942</v>
      </c>
      <c r="L102">
        <v>1</v>
      </c>
      <c r="M102" t="s">
        <v>1455</v>
      </c>
      <c r="N102" t="s">
        <v>2225</v>
      </c>
    </row>
    <row r="103" spans="7:42" x14ac:dyDescent="0.25">
      <c r="K103" t="s">
        <v>1529</v>
      </c>
    </row>
    <row r="104" spans="7:42" x14ac:dyDescent="0.25">
      <c r="J104" t="s">
        <v>1525</v>
      </c>
      <c r="K104">
        <v>1.02</v>
      </c>
    </row>
    <row r="105" spans="7:42" x14ac:dyDescent="0.25">
      <c r="J105" t="s">
        <v>1526</v>
      </c>
      <c r="K105">
        <v>0.85</v>
      </c>
    </row>
    <row r="106" spans="7:42" x14ac:dyDescent="0.25">
      <c r="J106" t="s">
        <v>1528</v>
      </c>
      <c r="K106">
        <v>0.97</v>
      </c>
    </row>
    <row r="107" spans="7:42" x14ac:dyDescent="0.25">
      <c r="J107" t="s">
        <v>1527</v>
      </c>
      <c r="K107">
        <f>ROUND(M107/O107,2)</f>
        <v>1.53</v>
      </c>
      <c r="M107" s="196">
        <v>145</v>
      </c>
      <c r="N107" t="s">
        <v>440</v>
      </c>
      <c r="O107">
        <v>95</v>
      </c>
      <c r="P107" t="s">
        <v>1530</v>
      </c>
    </row>
    <row r="108" spans="7:42" x14ac:dyDescent="0.25">
      <c r="J108" t="s">
        <v>1839</v>
      </c>
      <c r="K108">
        <f>IF(Normer!W53&lt;&gt;"",Normer!W53,Data!L108)</f>
        <v>0.5</v>
      </c>
      <c r="L108" s="196">
        <v>0.5</v>
      </c>
    </row>
    <row r="109" spans="7:42" x14ac:dyDescent="0.25">
      <c r="J109" t="s">
        <v>2003</v>
      </c>
      <c r="K109">
        <f>IF(Normer!W51&lt;&gt;"",Normer!W51,Data!L109)</f>
        <v>1.2</v>
      </c>
      <c r="L109" s="196">
        <v>1.2</v>
      </c>
    </row>
    <row r="110" spans="7:42" x14ac:dyDescent="0.25">
      <c r="Q110" t="s">
        <v>256</v>
      </c>
      <c r="S110" t="s">
        <v>78</v>
      </c>
      <c r="W110" t="s">
        <v>105</v>
      </c>
      <c r="AI110" t="s">
        <v>106</v>
      </c>
      <c r="AM110" t="s">
        <v>107</v>
      </c>
    </row>
    <row r="111" spans="7:42" ht="30" x14ac:dyDescent="0.25">
      <c r="I111" s="3" t="s">
        <v>87</v>
      </c>
      <c r="K111" t="s">
        <v>129</v>
      </c>
      <c r="L111" t="s">
        <v>108</v>
      </c>
      <c r="M111" t="s">
        <v>1324</v>
      </c>
      <c r="N111" t="s">
        <v>1325</v>
      </c>
      <c r="O111" t="s">
        <v>1323</v>
      </c>
      <c r="P111" s="1" t="s">
        <v>109</v>
      </c>
      <c r="Q111" t="s">
        <v>130</v>
      </c>
      <c r="R111" t="s">
        <v>131</v>
      </c>
      <c r="S111" t="s">
        <v>1937</v>
      </c>
      <c r="T111" t="s">
        <v>1938</v>
      </c>
      <c r="U111" t="s">
        <v>130</v>
      </c>
      <c r="V111" t="s">
        <v>131</v>
      </c>
      <c r="W111" t="s">
        <v>110</v>
      </c>
      <c r="X111" t="s">
        <v>111</v>
      </c>
      <c r="Y111" t="s">
        <v>112</v>
      </c>
      <c r="Z111" t="s">
        <v>113</v>
      </c>
      <c r="AA111" t="s">
        <v>114</v>
      </c>
      <c r="AB111" t="s">
        <v>115</v>
      </c>
      <c r="AC111" t="s">
        <v>116</v>
      </c>
      <c r="AD111" t="s">
        <v>117</v>
      </c>
      <c r="AE111" t="s">
        <v>118</v>
      </c>
      <c r="AF111" t="s">
        <v>119</v>
      </c>
      <c r="AG111" t="s">
        <v>120</v>
      </c>
      <c r="AH111" t="s">
        <v>121</v>
      </c>
      <c r="AI111" t="s">
        <v>122</v>
      </c>
      <c r="AJ111" t="s">
        <v>123</v>
      </c>
      <c r="AK111" t="s">
        <v>124</v>
      </c>
      <c r="AL111" t="s">
        <v>125</v>
      </c>
      <c r="AM111" t="s">
        <v>126</v>
      </c>
      <c r="AN111" t="s">
        <v>127</v>
      </c>
      <c r="AO111" t="s">
        <v>128</v>
      </c>
    </row>
    <row r="112" spans="7:42" x14ac:dyDescent="0.25">
      <c r="I112">
        <v>1</v>
      </c>
      <c r="J112">
        <v>2</v>
      </c>
      <c r="K112">
        <v>3</v>
      </c>
      <c r="L112">
        <v>4</v>
      </c>
      <c r="M112">
        <v>5</v>
      </c>
      <c r="N112">
        <v>6</v>
      </c>
      <c r="O112">
        <v>7</v>
      </c>
      <c r="P112">
        <v>8</v>
      </c>
      <c r="Q112">
        <v>9</v>
      </c>
      <c r="R112">
        <v>10</v>
      </c>
      <c r="S112">
        <v>11</v>
      </c>
      <c r="T112">
        <v>12</v>
      </c>
      <c r="U112">
        <v>13</v>
      </c>
      <c r="V112">
        <v>14</v>
      </c>
      <c r="W112">
        <v>15</v>
      </c>
      <c r="X112">
        <v>16</v>
      </c>
      <c r="Y112">
        <v>17</v>
      </c>
      <c r="Z112">
        <v>18</v>
      </c>
      <c r="AA112">
        <v>19</v>
      </c>
      <c r="AB112">
        <v>20</v>
      </c>
      <c r="AC112">
        <v>21</v>
      </c>
      <c r="AD112">
        <v>22</v>
      </c>
      <c r="AE112">
        <v>23</v>
      </c>
      <c r="AF112">
        <v>24</v>
      </c>
      <c r="AG112">
        <v>25</v>
      </c>
      <c r="AH112">
        <v>26</v>
      </c>
      <c r="AI112">
        <v>27</v>
      </c>
      <c r="AJ112">
        <v>28</v>
      </c>
      <c r="AK112">
        <v>29</v>
      </c>
      <c r="AL112">
        <v>30</v>
      </c>
      <c r="AM112">
        <v>31</v>
      </c>
      <c r="AN112">
        <v>32</v>
      </c>
      <c r="AO112">
        <v>33</v>
      </c>
      <c r="AP112">
        <v>34</v>
      </c>
    </row>
    <row r="113" spans="9:41" x14ac:dyDescent="0.25">
      <c r="I113" t="s">
        <v>88</v>
      </c>
      <c r="J113" t="s">
        <v>89</v>
      </c>
      <c r="AK113" t="s">
        <v>124</v>
      </c>
      <c r="AL113" t="s">
        <v>125</v>
      </c>
      <c r="AM113" t="s">
        <v>126</v>
      </c>
      <c r="AN113" t="s">
        <v>127</v>
      </c>
    </row>
    <row r="114" spans="9:41" x14ac:dyDescent="0.25">
      <c r="I114">
        <v>1</v>
      </c>
      <c r="J114" t="s">
        <v>90</v>
      </c>
      <c r="K114">
        <f>N3</f>
        <v>6</v>
      </c>
      <c r="L114">
        <f>P3</f>
        <v>8</v>
      </c>
      <c r="M114">
        <f>S3</f>
        <v>11</v>
      </c>
      <c r="N114">
        <f>U3</f>
        <v>13</v>
      </c>
      <c r="O114">
        <f>X3</f>
        <v>16</v>
      </c>
      <c r="P114">
        <f>Z3</f>
        <v>18</v>
      </c>
      <c r="Q114">
        <f>AD3</f>
        <v>22</v>
      </c>
      <c r="R114">
        <f>AF3</f>
        <v>24</v>
      </c>
      <c r="S114">
        <f>M53</f>
        <v>5</v>
      </c>
      <c r="T114">
        <f>O53</f>
        <v>7</v>
      </c>
      <c r="U114">
        <f>R53</f>
        <v>10</v>
      </c>
      <c r="V114">
        <f>T53</f>
        <v>12</v>
      </c>
      <c r="W114">
        <v>3.4</v>
      </c>
      <c r="X114">
        <v>3.3</v>
      </c>
      <c r="Y114">
        <v>0</v>
      </c>
      <c r="Z114">
        <v>0.313</v>
      </c>
      <c r="AA114">
        <v>0.75</v>
      </c>
      <c r="AB114">
        <v>8.0000000000000002E-3</v>
      </c>
      <c r="AC114">
        <v>0.01</v>
      </c>
      <c r="AD114">
        <v>1.2E-2</v>
      </c>
      <c r="AE114">
        <v>3.7499999999999999E-2</v>
      </c>
      <c r="AF114">
        <v>4.3749999999999997E-2</v>
      </c>
      <c r="AG114">
        <v>0.05</v>
      </c>
      <c r="AH114">
        <v>3.7499999999999999E-2</v>
      </c>
      <c r="AI114">
        <v>4.3749999999999997E-2</v>
      </c>
      <c r="AJ114">
        <v>0.05</v>
      </c>
      <c r="AK114">
        <v>1.4239999999999999</v>
      </c>
      <c r="AL114">
        <v>1.48</v>
      </c>
      <c r="AM114">
        <v>1.5269999999999999</v>
      </c>
      <c r="AN114">
        <v>1.5660000000000001</v>
      </c>
      <c r="AO114">
        <v>1</v>
      </c>
    </row>
    <row r="115" spans="9:41" x14ac:dyDescent="0.25">
      <c r="I115">
        <v>2</v>
      </c>
      <c r="J115" t="s">
        <v>91</v>
      </c>
      <c r="K115">
        <f>O3</f>
        <v>7</v>
      </c>
      <c r="L115">
        <f>P3</f>
        <v>8</v>
      </c>
      <c r="M115">
        <f>T3</f>
        <v>12</v>
      </c>
      <c r="N115">
        <f>U3</f>
        <v>13</v>
      </c>
      <c r="O115">
        <f>Y3</f>
        <v>17</v>
      </c>
      <c r="P115">
        <f>Z3</f>
        <v>18</v>
      </c>
      <c r="Q115">
        <f>AE3</f>
        <v>23</v>
      </c>
      <c r="R115">
        <f>AF3</f>
        <v>24</v>
      </c>
      <c r="S115">
        <f>N53</f>
        <v>6</v>
      </c>
      <c r="T115">
        <f>O53</f>
        <v>7</v>
      </c>
      <c r="U115">
        <f>S53</f>
        <v>11</v>
      </c>
      <c r="V115">
        <f>T53</f>
        <v>12</v>
      </c>
      <c r="W115">
        <v>2.8</v>
      </c>
      <c r="X115">
        <v>3.4</v>
      </c>
      <c r="Y115">
        <v>0.45</v>
      </c>
      <c r="Z115">
        <v>1</v>
      </c>
      <c r="AA115">
        <v>1.75</v>
      </c>
      <c r="AB115">
        <v>1.2E-2</v>
      </c>
      <c r="AC115">
        <v>1.6E-2</v>
      </c>
      <c r="AD115">
        <v>0.02</v>
      </c>
      <c r="AE115">
        <v>0.05</v>
      </c>
      <c r="AF115">
        <v>6.25E-2</v>
      </c>
      <c r="AG115">
        <v>7.4999999999999997E-2</v>
      </c>
      <c r="AH115">
        <v>0.05</v>
      </c>
      <c r="AI115">
        <v>6.25E-2</v>
      </c>
      <c r="AJ115">
        <v>7.4999999999999997E-2</v>
      </c>
      <c r="AK115">
        <v>1.403</v>
      </c>
      <c r="AL115">
        <v>1.4370000000000001</v>
      </c>
      <c r="AM115">
        <v>1.4870000000000001</v>
      </c>
      <c r="AN115">
        <v>1.583</v>
      </c>
      <c r="AO115">
        <v>2</v>
      </c>
    </row>
    <row r="116" spans="9:41" x14ac:dyDescent="0.25">
      <c r="I116">
        <v>3</v>
      </c>
      <c r="J116" t="s">
        <v>92</v>
      </c>
      <c r="K116">
        <f>N3</f>
        <v>6</v>
      </c>
      <c r="L116">
        <f>P3</f>
        <v>8</v>
      </c>
      <c r="M116">
        <f>S3</f>
        <v>11</v>
      </c>
      <c r="N116">
        <f>U3</f>
        <v>13</v>
      </c>
      <c r="O116">
        <f>X3</f>
        <v>16</v>
      </c>
      <c r="P116">
        <f>Z3</f>
        <v>18</v>
      </c>
      <c r="Q116">
        <f>AD3</f>
        <v>22</v>
      </c>
      <c r="R116">
        <f>AF3</f>
        <v>24</v>
      </c>
      <c r="S116">
        <f>M53</f>
        <v>5</v>
      </c>
      <c r="T116">
        <f>O53</f>
        <v>7</v>
      </c>
      <c r="U116">
        <f>R53</f>
        <v>10</v>
      </c>
      <c r="V116">
        <f>T53</f>
        <v>12</v>
      </c>
      <c r="W116">
        <v>3.2</v>
      </c>
      <c r="X116">
        <v>6.4</v>
      </c>
      <c r="Y116">
        <v>1.375</v>
      </c>
      <c r="Z116">
        <v>2.25</v>
      </c>
      <c r="AA116">
        <v>3.3250000000000002</v>
      </c>
      <c r="AB116">
        <v>0.02</v>
      </c>
      <c r="AC116">
        <v>2.4E-2</v>
      </c>
      <c r="AD116">
        <v>0.28000000000000003</v>
      </c>
      <c r="AE116">
        <v>7.4999999999999997E-2</v>
      </c>
      <c r="AF116">
        <v>8.7499999999999994E-2</v>
      </c>
      <c r="AG116">
        <v>0.1</v>
      </c>
      <c r="AH116">
        <v>7.4999999999999997E-2</v>
      </c>
      <c r="AI116">
        <v>8.7499999999999994E-2</v>
      </c>
      <c r="AJ116">
        <v>0.1</v>
      </c>
      <c r="AK116">
        <v>1.4450000000000001</v>
      </c>
      <c r="AL116">
        <v>1.4790000000000001</v>
      </c>
      <c r="AM116">
        <v>1.571</v>
      </c>
      <c r="AN116">
        <v>1.5720000000000001</v>
      </c>
      <c r="AO116">
        <v>3</v>
      </c>
    </row>
    <row r="117" spans="9:41" x14ac:dyDescent="0.25">
      <c r="I117">
        <v>4</v>
      </c>
      <c r="J117" t="s">
        <v>93</v>
      </c>
      <c r="K117">
        <f>O3</f>
        <v>7</v>
      </c>
      <c r="L117">
        <f>P3</f>
        <v>8</v>
      </c>
      <c r="M117">
        <f>T3</f>
        <v>12</v>
      </c>
      <c r="N117">
        <f>U3</f>
        <v>13</v>
      </c>
      <c r="O117">
        <f>Y3</f>
        <v>17</v>
      </c>
      <c r="P117">
        <f>Z3</f>
        <v>18</v>
      </c>
      <c r="Q117">
        <f>AE3</f>
        <v>23</v>
      </c>
      <c r="R117">
        <f>AF3</f>
        <v>24</v>
      </c>
      <c r="S117">
        <f>N53</f>
        <v>6</v>
      </c>
      <c r="T117">
        <f>O53</f>
        <v>7</v>
      </c>
      <c r="U117">
        <f>S53</f>
        <v>11</v>
      </c>
      <c r="V117">
        <f>T53</f>
        <v>12</v>
      </c>
      <c r="W117">
        <v>3.7</v>
      </c>
      <c r="X117">
        <v>7.2</v>
      </c>
      <c r="Y117">
        <v>2.8</v>
      </c>
      <c r="Z117">
        <v>4.5</v>
      </c>
      <c r="AA117">
        <v>6.6</v>
      </c>
      <c r="AB117">
        <v>2.8000000000000001E-2</v>
      </c>
      <c r="AC117">
        <v>3.5999999999999997E-2</v>
      </c>
      <c r="AD117">
        <v>4.3999999999999997E-2</v>
      </c>
      <c r="AE117">
        <v>0.1</v>
      </c>
      <c r="AF117">
        <v>0.125</v>
      </c>
      <c r="AG117">
        <v>0.15</v>
      </c>
      <c r="AH117">
        <v>0.1</v>
      </c>
      <c r="AI117">
        <v>0.125</v>
      </c>
      <c r="AJ117">
        <v>0.15</v>
      </c>
      <c r="AK117">
        <v>1.425</v>
      </c>
      <c r="AL117">
        <v>1.5609999999999999</v>
      </c>
      <c r="AM117">
        <v>1.6140000000000001</v>
      </c>
      <c r="AN117">
        <v>1.663</v>
      </c>
      <c r="AO117">
        <v>4</v>
      </c>
    </row>
    <row r="118" spans="9:41" x14ac:dyDescent="0.25">
      <c r="I118">
        <v>5</v>
      </c>
      <c r="J118" t="s">
        <v>94</v>
      </c>
      <c r="K118">
        <f>Q3</f>
        <v>9</v>
      </c>
      <c r="L118">
        <f>Q3</f>
        <v>9</v>
      </c>
      <c r="M118">
        <f>V3</f>
        <v>14</v>
      </c>
      <c r="N118">
        <f>V3</f>
        <v>14</v>
      </c>
      <c r="O118">
        <f>AA3</f>
        <v>19</v>
      </c>
      <c r="P118">
        <f>AA3</f>
        <v>19</v>
      </c>
      <c r="Q118">
        <f>AG3</f>
        <v>25</v>
      </c>
      <c r="R118">
        <f>AG3</f>
        <v>25</v>
      </c>
      <c r="S118">
        <f>P53</f>
        <v>8</v>
      </c>
      <c r="T118">
        <f>P53</f>
        <v>8</v>
      </c>
      <c r="U118">
        <f>U53</f>
        <v>13</v>
      </c>
      <c r="V118">
        <f>U53</f>
        <v>13</v>
      </c>
      <c r="W118">
        <v>2.7</v>
      </c>
      <c r="X118">
        <v>12.1</v>
      </c>
      <c r="Y118">
        <v>4.8</v>
      </c>
      <c r="Z118">
        <v>7.5</v>
      </c>
      <c r="AA118">
        <v>10.8</v>
      </c>
      <c r="AB118">
        <v>3.2000000000000001E-2</v>
      </c>
      <c r="AC118">
        <v>0.04</v>
      </c>
      <c r="AD118">
        <v>4.8000000000000001E-2</v>
      </c>
      <c r="AE118">
        <v>0.1125</v>
      </c>
      <c r="AF118">
        <v>0.13750000000000001</v>
      </c>
      <c r="AG118">
        <v>0.16250000000000001</v>
      </c>
      <c r="AH118">
        <v>0.1125</v>
      </c>
      <c r="AI118">
        <v>0.13750000000000001</v>
      </c>
      <c r="AJ118">
        <v>0.16250000000000001</v>
      </c>
      <c r="AK118">
        <v>1.5389999999999999</v>
      </c>
      <c r="AL118">
        <v>1.5589999999999999</v>
      </c>
      <c r="AM118">
        <v>1.5940000000000001</v>
      </c>
      <c r="AN118">
        <v>1.601</v>
      </c>
      <c r="AO118">
        <v>5</v>
      </c>
    </row>
    <row r="119" spans="9:41" x14ac:dyDescent="0.25">
      <c r="I119">
        <v>6</v>
      </c>
      <c r="J119" t="s">
        <v>95</v>
      </c>
      <c r="K119">
        <f>Q3</f>
        <v>9</v>
      </c>
      <c r="L119">
        <f>Q3</f>
        <v>9</v>
      </c>
      <c r="M119">
        <f>V3</f>
        <v>14</v>
      </c>
      <c r="N119">
        <f>V3</f>
        <v>14</v>
      </c>
      <c r="O119">
        <f>AA3</f>
        <v>19</v>
      </c>
      <c r="P119">
        <f>AA3</f>
        <v>19</v>
      </c>
      <c r="Q119">
        <f>AG3</f>
        <v>25</v>
      </c>
      <c r="R119">
        <f>AG3</f>
        <v>25</v>
      </c>
      <c r="S119">
        <f>P53</f>
        <v>8</v>
      </c>
      <c r="T119">
        <f>P53</f>
        <v>8</v>
      </c>
      <c r="U119">
        <f>U53</f>
        <v>13</v>
      </c>
      <c r="V119">
        <f>U53</f>
        <v>13</v>
      </c>
      <c r="W119">
        <v>3</v>
      </c>
      <c r="X119">
        <v>12</v>
      </c>
      <c r="Y119">
        <v>7.25</v>
      </c>
      <c r="Z119">
        <v>10.5</v>
      </c>
      <c r="AA119">
        <v>14.35</v>
      </c>
      <c r="AB119">
        <v>0.04</v>
      </c>
      <c r="AC119">
        <v>4.8000000000000001E-2</v>
      </c>
      <c r="AD119">
        <v>5.6000000000000001E-2</v>
      </c>
      <c r="AE119">
        <v>0.13750000000000001</v>
      </c>
      <c r="AF119">
        <v>0.16250000000000001</v>
      </c>
      <c r="AG119">
        <v>0.1875</v>
      </c>
      <c r="AH119">
        <v>0.13750000000000001</v>
      </c>
      <c r="AI119">
        <v>0.16250000000000001</v>
      </c>
      <c r="AJ119">
        <v>0.1875</v>
      </c>
      <c r="AK119">
        <v>1.5069999999999999</v>
      </c>
      <c r="AL119">
        <v>1.57</v>
      </c>
      <c r="AM119">
        <v>1.5780000000000001</v>
      </c>
      <c r="AN119">
        <v>1.6339999999999999</v>
      </c>
      <c r="AO119">
        <v>6</v>
      </c>
    </row>
    <row r="120" spans="9:41" x14ac:dyDescent="0.25">
      <c r="I120">
        <v>7</v>
      </c>
      <c r="J120" t="s">
        <v>96</v>
      </c>
      <c r="K120">
        <f>R3</f>
        <v>10</v>
      </c>
      <c r="L120">
        <f>R3</f>
        <v>10</v>
      </c>
      <c r="M120">
        <f>W3</f>
        <v>15</v>
      </c>
      <c r="N120">
        <f>W3</f>
        <v>15</v>
      </c>
      <c r="O120">
        <f>AB3</f>
        <v>20</v>
      </c>
      <c r="P120">
        <f>AB3</f>
        <v>20</v>
      </c>
      <c r="Q120">
        <f>AH3</f>
        <v>26</v>
      </c>
      <c r="R120">
        <f>AH3</f>
        <v>26</v>
      </c>
      <c r="S120">
        <f>Q53</f>
        <v>9</v>
      </c>
      <c r="T120">
        <f>Q53</f>
        <v>9</v>
      </c>
      <c r="U120">
        <f>V53</f>
        <v>14</v>
      </c>
      <c r="V120">
        <f>V53</f>
        <v>14</v>
      </c>
      <c r="W120">
        <v>2.9</v>
      </c>
      <c r="X120">
        <v>17.3</v>
      </c>
      <c r="Y120">
        <v>10.199999999999999</v>
      </c>
      <c r="Z120">
        <v>14</v>
      </c>
      <c r="AA120">
        <v>18.399999999999999</v>
      </c>
      <c r="AB120">
        <v>4.8000000000000001E-2</v>
      </c>
      <c r="AC120">
        <v>5.6000000000000001E-2</v>
      </c>
      <c r="AD120">
        <v>6.4000000000000001E-2</v>
      </c>
      <c r="AE120">
        <v>0.16250000000000001</v>
      </c>
      <c r="AF120">
        <v>0.1875</v>
      </c>
      <c r="AG120">
        <v>0.21249999999999999</v>
      </c>
      <c r="AH120">
        <v>0.16250000000000001</v>
      </c>
      <c r="AI120">
        <v>0.1875</v>
      </c>
      <c r="AJ120">
        <v>0.21249999999999999</v>
      </c>
      <c r="AK120">
        <v>1.5309999999999999</v>
      </c>
      <c r="AL120">
        <v>1.597</v>
      </c>
      <c r="AM120">
        <v>1.605</v>
      </c>
      <c r="AN120">
        <v>1.633</v>
      </c>
      <c r="AO120">
        <v>7</v>
      </c>
    </row>
    <row r="121" spans="9:41" x14ac:dyDescent="0.25">
      <c r="I121">
        <v>8</v>
      </c>
      <c r="J121" t="s">
        <v>97</v>
      </c>
      <c r="K121">
        <f>R3</f>
        <v>10</v>
      </c>
      <c r="L121">
        <f>R3</f>
        <v>10</v>
      </c>
      <c r="M121">
        <f>W3</f>
        <v>15</v>
      </c>
      <c r="N121">
        <f>W3</f>
        <v>15</v>
      </c>
      <c r="O121">
        <f>AB3</f>
        <v>20</v>
      </c>
      <c r="P121">
        <f>AB3</f>
        <v>20</v>
      </c>
      <c r="Q121">
        <f>AH3</f>
        <v>26</v>
      </c>
      <c r="R121">
        <f>AH3</f>
        <v>26</v>
      </c>
      <c r="S121">
        <f>Q53</f>
        <v>9</v>
      </c>
      <c r="T121">
        <f>Q53</f>
        <v>9</v>
      </c>
      <c r="U121">
        <f>V53</f>
        <v>14</v>
      </c>
      <c r="V121">
        <f>V53</f>
        <v>14</v>
      </c>
      <c r="W121">
        <v>4.7</v>
      </c>
      <c r="X121">
        <v>28.8</v>
      </c>
      <c r="Y121">
        <v>14</v>
      </c>
      <c r="Z121">
        <v>20</v>
      </c>
      <c r="AA121">
        <v>27</v>
      </c>
      <c r="AB121">
        <v>5.6000000000000001E-2</v>
      </c>
      <c r="AC121">
        <v>6.4000000000000001E-2</v>
      </c>
      <c r="AD121">
        <v>7.1999999999999995E-2</v>
      </c>
      <c r="AE121">
        <v>0.1875</v>
      </c>
      <c r="AF121">
        <v>0.21249999999999999</v>
      </c>
      <c r="AG121">
        <v>0.23749999999999999</v>
      </c>
      <c r="AH121">
        <v>0.1875</v>
      </c>
      <c r="AI121">
        <v>0.21249999999999999</v>
      </c>
      <c r="AJ121">
        <v>0.23749999999999999</v>
      </c>
      <c r="AK121">
        <v>1.5309999999999999</v>
      </c>
      <c r="AL121">
        <v>1.597</v>
      </c>
      <c r="AM121">
        <v>1.605</v>
      </c>
      <c r="AN121">
        <v>1.633</v>
      </c>
      <c r="AO121">
        <v>7</v>
      </c>
    </row>
    <row r="122" spans="9:41" x14ac:dyDescent="0.25">
      <c r="I122">
        <v>9</v>
      </c>
      <c r="J122" t="s">
        <v>98</v>
      </c>
      <c r="K122">
        <f>R3</f>
        <v>10</v>
      </c>
      <c r="L122">
        <f>R3</f>
        <v>10</v>
      </c>
      <c r="M122">
        <f>W3</f>
        <v>15</v>
      </c>
      <c r="N122">
        <f>W3</f>
        <v>15</v>
      </c>
      <c r="O122">
        <f>AB3</f>
        <v>20</v>
      </c>
      <c r="P122">
        <f>AB3</f>
        <v>20</v>
      </c>
      <c r="Q122">
        <f>AH3</f>
        <v>26</v>
      </c>
      <c r="R122">
        <f>AH3</f>
        <v>26</v>
      </c>
      <c r="S122">
        <f>Q53</f>
        <v>9</v>
      </c>
      <c r="T122">
        <f>Q53</f>
        <v>9</v>
      </c>
      <c r="U122">
        <f>V53</f>
        <v>14</v>
      </c>
      <c r="V122">
        <f>V53</f>
        <v>14</v>
      </c>
      <c r="W122">
        <v>4.7</v>
      </c>
      <c r="X122">
        <v>51.1</v>
      </c>
      <c r="Y122">
        <v>14</v>
      </c>
      <c r="Z122">
        <v>20</v>
      </c>
      <c r="AA122">
        <v>27</v>
      </c>
      <c r="AB122">
        <v>5.6000000000000001E-2</v>
      </c>
      <c r="AC122">
        <v>6.4000000000000001E-2</v>
      </c>
      <c r="AD122">
        <v>7.1999999999999995E-2</v>
      </c>
      <c r="AE122">
        <v>0.1875</v>
      </c>
      <c r="AF122">
        <v>0.21249999999999999</v>
      </c>
      <c r="AG122">
        <v>0.23749999999999999</v>
      </c>
      <c r="AH122">
        <v>0.1875</v>
      </c>
      <c r="AI122">
        <v>0.21249999999999999</v>
      </c>
      <c r="AJ122">
        <v>0.23749999999999999</v>
      </c>
      <c r="AK122">
        <v>1.5309999999999999</v>
      </c>
      <c r="AL122">
        <v>1.597</v>
      </c>
      <c r="AM122">
        <v>1.605</v>
      </c>
      <c r="AN122">
        <v>1.633</v>
      </c>
      <c r="AO122">
        <v>7</v>
      </c>
    </row>
    <row r="123" spans="9:41" x14ac:dyDescent="0.25">
      <c r="I123">
        <v>10</v>
      </c>
      <c r="J123" t="s">
        <v>99</v>
      </c>
      <c r="K123">
        <f>O3</f>
        <v>7</v>
      </c>
      <c r="L123">
        <f>P3</f>
        <v>8</v>
      </c>
      <c r="M123">
        <f>T3</f>
        <v>12</v>
      </c>
      <c r="N123">
        <f>U3</f>
        <v>13</v>
      </c>
      <c r="O123">
        <f>Y3</f>
        <v>17</v>
      </c>
      <c r="P123">
        <f>Z3</f>
        <v>18</v>
      </c>
      <c r="Q123">
        <f>AE3</f>
        <v>23</v>
      </c>
      <c r="R123">
        <f>AE3</f>
        <v>23</v>
      </c>
      <c r="S123">
        <f>N53</f>
        <v>6</v>
      </c>
      <c r="T123">
        <f>O53</f>
        <v>7</v>
      </c>
      <c r="U123">
        <f>S53</f>
        <v>11</v>
      </c>
      <c r="V123">
        <f>T53</f>
        <v>12</v>
      </c>
      <c r="W123">
        <v>3</v>
      </c>
      <c r="X123">
        <v>12</v>
      </c>
    </row>
    <row r="124" spans="9:41" x14ac:dyDescent="0.25">
      <c r="I124">
        <v>11</v>
      </c>
      <c r="J124" t="s">
        <v>100</v>
      </c>
      <c r="K124">
        <f>O3</f>
        <v>7</v>
      </c>
      <c r="L124">
        <f>P3</f>
        <v>8</v>
      </c>
      <c r="M124">
        <f>T3</f>
        <v>12</v>
      </c>
      <c r="N124">
        <f>U3</f>
        <v>13</v>
      </c>
      <c r="O124">
        <f>Y3</f>
        <v>17</v>
      </c>
      <c r="P124">
        <f>Z3</f>
        <v>18</v>
      </c>
      <c r="Q124">
        <f>AE3</f>
        <v>23</v>
      </c>
      <c r="R124">
        <f>AE3</f>
        <v>23</v>
      </c>
      <c r="S124">
        <f>N53</f>
        <v>6</v>
      </c>
      <c r="T124">
        <f>O53</f>
        <v>7</v>
      </c>
      <c r="U124">
        <f>S53</f>
        <v>11</v>
      </c>
      <c r="V124">
        <f>T53</f>
        <v>12</v>
      </c>
      <c r="W124">
        <v>26</v>
      </c>
      <c r="X124">
        <v>5</v>
      </c>
    </row>
    <row r="125" spans="9:41" x14ac:dyDescent="0.25">
      <c r="I125">
        <v>12</v>
      </c>
      <c r="J125" t="s">
        <v>101</v>
      </c>
      <c r="K125">
        <f>O3</f>
        <v>7</v>
      </c>
      <c r="L125">
        <f>P3</f>
        <v>8</v>
      </c>
      <c r="M125">
        <f>T3</f>
        <v>12</v>
      </c>
      <c r="N125">
        <f>U3</f>
        <v>13</v>
      </c>
      <c r="O125">
        <f>Y3</f>
        <v>17</v>
      </c>
      <c r="P125">
        <f>Z3</f>
        <v>18</v>
      </c>
      <c r="Q125">
        <f>AE3</f>
        <v>23</v>
      </c>
      <c r="R125">
        <f>AE3</f>
        <v>23</v>
      </c>
      <c r="S125">
        <f>N53</f>
        <v>6</v>
      </c>
      <c r="T125">
        <f>O53</f>
        <v>7</v>
      </c>
      <c r="U125">
        <f>S53</f>
        <v>11</v>
      </c>
      <c r="V125">
        <f>T53</f>
        <v>12</v>
      </c>
    </row>
    <row r="128" spans="9:41" x14ac:dyDescent="0.25">
      <c r="I128" s="3" t="s">
        <v>104</v>
      </c>
    </row>
    <row r="129" spans="9:15" x14ac:dyDescent="0.25">
      <c r="I129">
        <v>1</v>
      </c>
      <c r="J129" t="s">
        <v>102</v>
      </c>
    </row>
    <row r="130" spans="9:15" x14ac:dyDescent="0.25">
      <c r="I130">
        <v>2</v>
      </c>
      <c r="J130" t="s">
        <v>103</v>
      </c>
    </row>
    <row r="132" spans="9:15" x14ac:dyDescent="0.25">
      <c r="I132" s="3" t="s">
        <v>1412</v>
      </c>
    </row>
    <row r="133" spans="9:15" x14ac:dyDescent="0.25">
      <c r="I133">
        <v>1</v>
      </c>
      <c r="J133" t="s">
        <v>1536</v>
      </c>
    </row>
    <row r="134" spans="9:15" x14ac:dyDescent="0.25">
      <c r="I134">
        <v>2</v>
      </c>
      <c r="J134" t="s">
        <v>1537</v>
      </c>
    </row>
    <row r="136" spans="9:15" x14ac:dyDescent="0.25">
      <c r="I136" s="3" t="s">
        <v>138</v>
      </c>
    </row>
    <row r="137" spans="9:15" x14ac:dyDescent="0.25">
      <c r="K137" t="s">
        <v>139</v>
      </c>
      <c r="L137" t="s">
        <v>467</v>
      </c>
      <c r="M137" t="s">
        <v>469</v>
      </c>
      <c r="N137" t="s">
        <v>470</v>
      </c>
      <c r="O137" t="s">
        <v>471</v>
      </c>
    </row>
    <row r="138" spans="9:15" x14ac:dyDescent="0.25">
      <c r="I138">
        <v>1</v>
      </c>
      <c r="J138">
        <v>2</v>
      </c>
      <c r="K138">
        <v>3</v>
      </c>
      <c r="L138">
        <v>4</v>
      </c>
      <c r="M138">
        <v>5</v>
      </c>
      <c r="N138">
        <v>6</v>
      </c>
      <c r="O138">
        <v>7</v>
      </c>
    </row>
    <row r="139" spans="9:15" x14ac:dyDescent="0.25">
      <c r="I139">
        <v>1</v>
      </c>
      <c r="J139" t="s">
        <v>140</v>
      </c>
      <c r="K139">
        <v>0</v>
      </c>
    </row>
    <row r="140" spans="9:15" x14ac:dyDescent="0.25">
      <c r="I140">
        <v>2</v>
      </c>
      <c r="J140" t="s">
        <v>141</v>
      </c>
      <c r="K140">
        <v>0.1</v>
      </c>
      <c r="L140">
        <v>75</v>
      </c>
      <c r="M140">
        <f>$K140*NprDEsvin</f>
        <v>9.5</v>
      </c>
      <c r="N140">
        <f>$K140*PprDEsvin</f>
        <v>1.8</v>
      </c>
      <c r="O140">
        <f>$K140*KprDEsvin</f>
        <v>4.8000000000000007</v>
      </c>
    </row>
    <row r="141" spans="9:15" x14ac:dyDescent="0.25">
      <c r="I141">
        <v>3</v>
      </c>
      <c r="J141" t="s">
        <v>142</v>
      </c>
      <c r="K141">
        <v>0.1</v>
      </c>
      <c r="L141">
        <v>70</v>
      </c>
      <c r="M141">
        <f>$K141*NprDEkvaeg</f>
        <v>10</v>
      </c>
      <c r="N141">
        <f>$K141*PprDEkvaeg</f>
        <v>1.6</v>
      </c>
      <c r="O141">
        <f>$K141*KprDEkvaeg</f>
        <v>9.4</v>
      </c>
    </row>
    <row r="142" spans="9:15" x14ac:dyDescent="0.25">
      <c r="I142">
        <v>4</v>
      </c>
      <c r="J142" t="s">
        <v>143</v>
      </c>
      <c r="K142">
        <v>0.2</v>
      </c>
      <c r="L142">
        <v>75</v>
      </c>
      <c r="M142">
        <f>$K142*NprDEsvin</f>
        <v>19</v>
      </c>
      <c r="N142">
        <f>$K142*PprDEsvin</f>
        <v>3.6</v>
      </c>
      <c r="O142">
        <f>$K142*KprDEsvin</f>
        <v>9.6000000000000014</v>
      </c>
    </row>
    <row r="143" spans="9:15" x14ac:dyDescent="0.25">
      <c r="I143">
        <v>5</v>
      </c>
      <c r="J143" t="s">
        <v>144</v>
      </c>
      <c r="K143">
        <v>0.2</v>
      </c>
      <c r="L143">
        <v>70</v>
      </c>
      <c r="M143">
        <f>$K143*NprDEkvaeg</f>
        <v>20</v>
      </c>
      <c r="N143">
        <f>$K143*PprDEkvaeg</f>
        <v>3.2</v>
      </c>
      <c r="O143">
        <f>$K143*KprDEkvaeg</f>
        <v>18.8</v>
      </c>
    </row>
    <row r="144" spans="9:15" x14ac:dyDescent="0.25">
      <c r="I144">
        <v>6</v>
      </c>
      <c r="J144" t="s">
        <v>145</v>
      </c>
      <c r="K144">
        <v>0.3</v>
      </c>
      <c r="L144">
        <v>75</v>
      </c>
      <c r="M144">
        <f>$K144*NprDEsvin</f>
        <v>28.5</v>
      </c>
      <c r="N144">
        <f>$K144*PprDEsvin</f>
        <v>5.3999999999999995</v>
      </c>
      <c r="O144">
        <f>$K144*KprDEsvin</f>
        <v>14.399999999999999</v>
      </c>
    </row>
    <row r="145" spans="9:15" x14ac:dyDescent="0.25">
      <c r="I145">
        <v>7</v>
      </c>
      <c r="J145" t="s">
        <v>146</v>
      </c>
      <c r="K145">
        <v>0.3</v>
      </c>
      <c r="L145">
        <v>70</v>
      </c>
      <c r="M145">
        <f>$K145*NprDEkvaeg</f>
        <v>30</v>
      </c>
      <c r="N145">
        <f>$K145*PprDEkvaeg</f>
        <v>4.8</v>
      </c>
      <c r="O145">
        <f>$K145*KprDEkvaeg</f>
        <v>28.2</v>
      </c>
    </row>
    <row r="146" spans="9:15" x14ac:dyDescent="0.25">
      <c r="I146">
        <v>8</v>
      </c>
      <c r="J146" t="s">
        <v>147</v>
      </c>
      <c r="K146">
        <v>0.4</v>
      </c>
      <c r="L146">
        <v>75</v>
      </c>
      <c r="M146">
        <f>$K146*NprDEsvin</f>
        <v>38</v>
      </c>
      <c r="N146">
        <f>$K146*PprDEsvin</f>
        <v>7.2</v>
      </c>
      <c r="O146">
        <f>$K146*KprDEsvin</f>
        <v>19.200000000000003</v>
      </c>
    </row>
    <row r="147" spans="9:15" x14ac:dyDescent="0.25">
      <c r="I147">
        <v>9</v>
      </c>
      <c r="J147" t="s">
        <v>148</v>
      </c>
      <c r="K147">
        <v>0.4</v>
      </c>
      <c r="L147">
        <v>70</v>
      </c>
      <c r="M147">
        <f>$K147*NprDEkvaeg</f>
        <v>40</v>
      </c>
      <c r="N147">
        <f>$K147*PprDEkvaeg</f>
        <v>6.4</v>
      </c>
      <c r="O147">
        <f>$K147*KprDEkvaeg</f>
        <v>37.6</v>
      </c>
    </row>
    <row r="148" spans="9:15" x14ac:dyDescent="0.25">
      <c r="I148">
        <v>10</v>
      </c>
      <c r="J148" t="s">
        <v>149</v>
      </c>
      <c r="K148">
        <v>0.5</v>
      </c>
      <c r="L148">
        <v>75</v>
      </c>
      <c r="M148">
        <f>$K148*NprDEsvin</f>
        <v>47.5</v>
      </c>
      <c r="N148">
        <f>$K148*PprDEsvin</f>
        <v>9</v>
      </c>
      <c r="O148">
        <f>$K148*KprDEsvin</f>
        <v>24</v>
      </c>
    </row>
    <row r="149" spans="9:15" x14ac:dyDescent="0.25">
      <c r="I149">
        <v>11</v>
      </c>
      <c r="J149" t="s">
        <v>150</v>
      </c>
      <c r="K149">
        <v>0.5</v>
      </c>
      <c r="L149">
        <v>70</v>
      </c>
      <c r="M149">
        <f>$K149*NprDEkvaeg</f>
        <v>50</v>
      </c>
      <c r="N149">
        <f>$K149*PprDEkvaeg</f>
        <v>8</v>
      </c>
      <c r="O149">
        <f>$K149*KprDEkvaeg</f>
        <v>47</v>
      </c>
    </row>
    <row r="150" spans="9:15" x14ac:dyDescent="0.25">
      <c r="I150">
        <v>12</v>
      </c>
      <c r="J150" t="s">
        <v>151</v>
      </c>
      <c r="K150">
        <v>0.6</v>
      </c>
      <c r="L150">
        <v>75</v>
      </c>
      <c r="M150">
        <f>$K150*NprDEsvin</f>
        <v>57</v>
      </c>
      <c r="N150">
        <f>$K150*PprDEsvin</f>
        <v>10.799999999999999</v>
      </c>
      <c r="O150">
        <f>$K150*KprDEsvin</f>
        <v>28.799999999999997</v>
      </c>
    </row>
    <row r="151" spans="9:15" x14ac:dyDescent="0.25">
      <c r="I151">
        <v>13</v>
      </c>
      <c r="J151" t="s">
        <v>152</v>
      </c>
      <c r="K151">
        <v>0.6</v>
      </c>
      <c r="L151">
        <v>70</v>
      </c>
      <c r="M151">
        <f>$K151*NprDEkvaeg</f>
        <v>60</v>
      </c>
      <c r="N151">
        <f>$K151*PprDEkvaeg</f>
        <v>9.6</v>
      </c>
      <c r="O151">
        <f>$K151*KprDEkvaeg</f>
        <v>56.4</v>
      </c>
    </row>
    <row r="152" spans="9:15" x14ac:dyDescent="0.25">
      <c r="I152">
        <v>14</v>
      </c>
      <c r="J152" t="s">
        <v>153</v>
      </c>
      <c r="K152">
        <v>0.7</v>
      </c>
      <c r="L152">
        <v>75</v>
      </c>
      <c r="M152">
        <f>$K152*NprDEsvin</f>
        <v>66.5</v>
      </c>
      <c r="N152">
        <f>$K152*PprDEsvin</f>
        <v>12.6</v>
      </c>
      <c r="O152">
        <f>$K152*KprDEsvin</f>
        <v>33.599999999999994</v>
      </c>
    </row>
    <row r="153" spans="9:15" x14ac:dyDescent="0.25">
      <c r="I153">
        <v>15</v>
      </c>
      <c r="J153" t="s">
        <v>154</v>
      </c>
      <c r="K153">
        <v>0.7</v>
      </c>
      <c r="L153">
        <v>70</v>
      </c>
      <c r="M153">
        <f>$K153*NprDEkvaeg</f>
        <v>70</v>
      </c>
      <c r="N153">
        <f>$K153*PprDEkvaeg</f>
        <v>11.2</v>
      </c>
      <c r="O153">
        <f>$K153*KprDEkvaeg</f>
        <v>65.8</v>
      </c>
    </row>
    <row r="154" spans="9:15" x14ac:dyDescent="0.25">
      <c r="I154">
        <v>16</v>
      </c>
      <c r="J154" t="s">
        <v>155</v>
      </c>
      <c r="K154">
        <v>0.8</v>
      </c>
      <c r="L154">
        <v>75</v>
      </c>
      <c r="M154">
        <f>$K154*NprDEsvin</f>
        <v>76</v>
      </c>
      <c r="N154">
        <f>$K154*PprDEsvin</f>
        <v>14.4</v>
      </c>
      <c r="O154">
        <f>$K154*KprDEsvin</f>
        <v>38.400000000000006</v>
      </c>
    </row>
    <row r="155" spans="9:15" x14ac:dyDescent="0.25">
      <c r="I155">
        <v>17</v>
      </c>
      <c r="J155" t="s">
        <v>156</v>
      </c>
      <c r="K155">
        <v>0.8</v>
      </c>
      <c r="L155">
        <v>70</v>
      </c>
      <c r="M155">
        <f>$K155*NprDEkvaeg</f>
        <v>80</v>
      </c>
      <c r="N155">
        <f>$K155*PprDEkvaeg</f>
        <v>12.8</v>
      </c>
      <c r="O155">
        <f>$K155*KprDEkvaeg</f>
        <v>75.2</v>
      </c>
    </row>
    <row r="156" spans="9:15" x14ac:dyDescent="0.25">
      <c r="I156">
        <v>18</v>
      </c>
      <c r="J156" t="s">
        <v>157</v>
      </c>
      <c r="K156">
        <v>0.9</v>
      </c>
      <c r="L156">
        <v>75</v>
      </c>
      <c r="M156">
        <f>$K156*NprDEsvin</f>
        <v>85.5</v>
      </c>
      <c r="N156">
        <f>$K156*PprDEsvin</f>
        <v>16.2</v>
      </c>
      <c r="O156">
        <f>$K156*KprDEsvin</f>
        <v>43.2</v>
      </c>
    </row>
    <row r="157" spans="9:15" x14ac:dyDescent="0.25">
      <c r="I157">
        <v>19</v>
      </c>
      <c r="J157" t="s">
        <v>158</v>
      </c>
      <c r="K157">
        <v>0.9</v>
      </c>
      <c r="L157">
        <v>70</v>
      </c>
      <c r="M157">
        <f>$K157*NprDEkvaeg</f>
        <v>90</v>
      </c>
      <c r="N157">
        <f>$K157*PprDEkvaeg</f>
        <v>14.4</v>
      </c>
      <c r="O157">
        <f>$K157*KprDEkvaeg</f>
        <v>84.600000000000009</v>
      </c>
    </row>
    <row r="158" spans="9:15" x14ac:dyDescent="0.25">
      <c r="I158">
        <v>20</v>
      </c>
      <c r="J158" t="s">
        <v>159</v>
      </c>
      <c r="K158">
        <v>1</v>
      </c>
      <c r="L158">
        <v>75</v>
      </c>
      <c r="M158">
        <f>$K158*NprDEsvin</f>
        <v>95</v>
      </c>
      <c r="N158">
        <f>$K158*PprDEsvin</f>
        <v>18</v>
      </c>
      <c r="O158">
        <f>$K158*KprDEsvin</f>
        <v>48</v>
      </c>
    </row>
    <row r="159" spans="9:15" x14ac:dyDescent="0.25">
      <c r="I159">
        <v>21</v>
      </c>
      <c r="J159" t="s">
        <v>160</v>
      </c>
      <c r="K159">
        <v>1</v>
      </c>
      <c r="L159">
        <v>70</v>
      </c>
      <c r="M159">
        <f>$K159*NprDEkvaeg</f>
        <v>100</v>
      </c>
      <c r="N159">
        <f>$K159*PprDEkvaeg</f>
        <v>16</v>
      </c>
      <c r="O159">
        <f>$K159*KprDEkvaeg</f>
        <v>94</v>
      </c>
    </row>
    <row r="160" spans="9:15" x14ac:dyDescent="0.25">
      <c r="I160">
        <v>22</v>
      </c>
      <c r="J160" t="s">
        <v>161</v>
      </c>
      <c r="K160">
        <v>1.1000000000000001</v>
      </c>
      <c r="L160">
        <v>75</v>
      </c>
      <c r="M160">
        <f>$K160*NprDEsvin</f>
        <v>104.50000000000001</v>
      </c>
      <c r="N160">
        <f>$K160*PprDEsvin</f>
        <v>19.8</v>
      </c>
      <c r="O160">
        <f>$K160*KprDEsvin</f>
        <v>52.800000000000004</v>
      </c>
    </row>
    <row r="161" spans="9:15" x14ac:dyDescent="0.25">
      <c r="I161">
        <v>23</v>
      </c>
      <c r="J161" t="s">
        <v>162</v>
      </c>
      <c r="K161">
        <v>1.1000000000000001</v>
      </c>
      <c r="L161">
        <v>70</v>
      </c>
      <c r="M161">
        <f>$K161*NprDEkvaeg</f>
        <v>110.00000000000001</v>
      </c>
      <c r="N161">
        <f>$K161*PprDEkvaeg</f>
        <v>17.600000000000001</v>
      </c>
      <c r="O161">
        <f>$K161*KprDEkvaeg</f>
        <v>103.4</v>
      </c>
    </row>
    <row r="162" spans="9:15" x14ac:dyDescent="0.25">
      <c r="I162">
        <v>24</v>
      </c>
      <c r="J162" t="s">
        <v>163</v>
      </c>
      <c r="K162">
        <v>1.2</v>
      </c>
      <c r="L162">
        <v>75</v>
      </c>
      <c r="M162">
        <f>$K162*NprDEsvin</f>
        <v>114</v>
      </c>
      <c r="N162">
        <f>$K162*PprDEsvin</f>
        <v>21.599999999999998</v>
      </c>
      <c r="O162">
        <f>$K162*KprDEsvin</f>
        <v>57.599999999999994</v>
      </c>
    </row>
    <row r="163" spans="9:15" x14ac:dyDescent="0.25">
      <c r="I163">
        <v>25</v>
      </c>
      <c r="J163" t="s">
        <v>164</v>
      </c>
      <c r="K163">
        <v>1.2</v>
      </c>
      <c r="L163">
        <v>70</v>
      </c>
      <c r="M163">
        <f>$K163*NprDEkvaeg</f>
        <v>120</v>
      </c>
      <c r="N163">
        <f>$K163*PprDEkvaeg</f>
        <v>19.2</v>
      </c>
      <c r="O163">
        <f>$K163*KprDEkvaeg</f>
        <v>112.8</v>
      </c>
    </row>
    <row r="164" spans="9:15" x14ac:dyDescent="0.25">
      <c r="I164">
        <v>26</v>
      </c>
      <c r="J164" t="s">
        <v>165</v>
      </c>
      <c r="K164">
        <v>1.3</v>
      </c>
      <c r="L164">
        <v>75</v>
      </c>
      <c r="M164">
        <f>$K164*NprDEsvin</f>
        <v>123.5</v>
      </c>
      <c r="N164">
        <f>$K164*PprDEsvin</f>
        <v>23.400000000000002</v>
      </c>
      <c r="O164">
        <f>$K164*KprDEsvin</f>
        <v>62.400000000000006</v>
      </c>
    </row>
    <row r="165" spans="9:15" x14ac:dyDescent="0.25">
      <c r="I165">
        <v>27</v>
      </c>
      <c r="J165" t="s">
        <v>166</v>
      </c>
      <c r="K165">
        <v>1.3</v>
      </c>
      <c r="L165">
        <v>70</v>
      </c>
      <c r="M165">
        <f>$K165*NprDEkvaeg</f>
        <v>130</v>
      </c>
      <c r="N165">
        <f>$K165*PprDEkvaeg</f>
        <v>20.8</v>
      </c>
      <c r="O165">
        <f>$K165*KprDEkvaeg</f>
        <v>122.2</v>
      </c>
    </row>
    <row r="166" spans="9:15" x14ac:dyDescent="0.25">
      <c r="I166">
        <v>28</v>
      </c>
      <c r="J166" t="s">
        <v>167</v>
      </c>
      <c r="K166">
        <v>1.4</v>
      </c>
      <c r="L166">
        <v>75</v>
      </c>
      <c r="M166">
        <f>$K166*NprDEsvin</f>
        <v>133</v>
      </c>
      <c r="N166">
        <f>$K166*PprDEsvin</f>
        <v>25.2</v>
      </c>
      <c r="O166">
        <f>$K166*KprDEsvin</f>
        <v>67.199999999999989</v>
      </c>
    </row>
    <row r="167" spans="9:15" x14ac:dyDescent="0.25">
      <c r="I167">
        <v>29</v>
      </c>
      <c r="J167" t="s">
        <v>168</v>
      </c>
      <c r="K167">
        <v>1.4</v>
      </c>
      <c r="L167">
        <v>70</v>
      </c>
      <c r="M167">
        <f t="shared" ref="M167:M176" si="25">$K167*NprDEkvaeg</f>
        <v>140</v>
      </c>
      <c r="N167">
        <f t="shared" ref="N167:N176" si="26">$K167*PprDEkvaeg</f>
        <v>22.4</v>
      </c>
      <c r="O167">
        <f t="shared" ref="O167:O176" si="27">$K167*KprDEkvaeg</f>
        <v>131.6</v>
      </c>
    </row>
    <row r="168" spans="9:15" x14ac:dyDescent="0.25">
      <c r="I168">
        <v>30</v>
      </c>
      <c r="J168" t="s">
        <v>169</v>
      </c>
      <c r="K168">
        <v>1.5</v>
      </c>
      <c r="L168">
        <v>70</v>
      </c>
      <c r="M168">
        <f t="shared" si="25"/>
        <v>150</v>
      </c>
      <c r="N168">
        <f t="shared" si="26"/>
        <v>24</v>
      </c>
      <c r="O168">
        <f t="shared" si="27"/>
        <v>141</v>
      </c>
    </row>
    <row r="169" spans="9:15" x14ac:dyDescent="0.25">
      <c r="I169">
        <v>31</v>
      </c>
      <c r="J169" t="s">
        <v>170</v>
      </c>
      <c r="K169">
        <v>1.6</v>
      </c>
      <c r="L169">
        <v>70</v>
      </c>
      <c r="M169">
        <f t="shared" si="25"/>
        <v>160</v>
      </c>
      <c r="N169">
        <f t="shared" si="26"/>
        <v>25.6</v>
      </c>
      <c r="O169">
        <f t="shared" si="27"/>
        <v>150.4</v>
      </c>
    </row>
    <row r="170" spans="9:15" x14ac:dyDescent="0.25">
      <c r="I170">
        <v>32</v>
      </c>
      <c r="J170" t="s">
        <v>171</v>
      </c>
      <c r="K170">
        <v>1.7</v>
      </c>
      <c r="L170">
        <v>70</v>
      </c>
      <c r="M170">
        <f t="shared" si="25"/>
        <v>170</v>
      </c>
      <c r="N170">
        <f t="shared" si="26"/>
        <v>27.2</v>
      </c>
      <c r="O170">
        <f t="shared" si="27"/>
        <v>159.79999999999998</v>
      </c>
    </row>
    <row r="171" spans="9:15" x14ac:dyDescent="0.25">
      <c r="I171">
        <v>33</v>
      </c>
      <c r="J171" t="s">
        <v>172</v>
      </c>
      <c r="K171">
        <v>1.8</v>
      </c>
      <c r="L171">
        <v>70</v>
      </c>
      <c r="M171">
        <f t="shared" si="25"/>
        <v>180</v>
      </c>
      <c r="N171">
        <f t="shared" si="26"/>
        <v>28.8</v>
      </c>
      <c r="O171">
        <f t="shared" si="27"/>
        <v>169.20000000000002</v>
      </c>
    </row>
    <row r="172" spans="9:15" x14ac:dyDescent="0.25">
      <c r="I172">
        <v>34</v>
      </c>
      <c r="J172" t="s">
        <v>173</v>
      </c>
      <c r="K172">
        <v>1.9</v>
      </c>
      <c r="L172">
        <v>70</v>
      </c>
      <c r="M172">
        <f t="shared" si="25"/>
        <v>190</v>
      </c>
      <c r="N172">
        <f t="shared" si="26"/>
        <v>30.4</v>
      </c>
      <c r="O172">
        <f t="shared" si="27"/>
        <v>178.6</v>
      </c>
    </row>
    <row r="173" spans="9:15" x14ac:dyDescent="0.25">
      <c r="I173">
        <v>35</v>
      </c>
      <c r="J173" t="s">
        <v>174</v>
      </c>
      <c r="K173">
        <v>2</v>
      </c>
      <c r="L173">
        <v>70</v>
      </c>
      <c r="M173">
        <f t="shared" si="25"/>
        <v>200</v>
      </c>
      <c r="N173">
        <f t="shared" si="26"/>
        <v>32</v>
      </c>
      <c r="O173">
        <f t="shared" si="27"/>
        <v>188</v>
      </c>
    </row>
    <row r="174" spans="9:15" x14ac:dyDescent="0.25">
      <c r="I174">
        <v>36</v>
      </c>
      <c r="J174" t="s">
        <v>175</v>
      </c>
      <c r="K174">
        <v>2.1</v>
      </c>
      <c r="L174">
        <v>70</v>
      </c>
      <c r="M174">
        <f t="shared" si="25"/>
        <v>210</v>
      </c>
      <c r="N174">
        <f t="shared" si="26"/>
        <v>33.6</v>
      </c>
      <c r="O174">
        <f t="shared" si="27"/>
        <v>197.4</v>
      </c>
    </row>
    <row r="175" spans="9:15" x14ac:dyDescent="0.25">
      <c r="I175">
        <v>37</v>
      </c>
      <c r="J175" t="s">
        <v>176</v>
      </c>
      <c r="K175">
        <v>2.2000000000000002</v>
      </c>
      <c r="L175">
        <v>70</v>
      </c>
      <c r="M175">
        <f t="shared" si="25"/>
        <v>220.00000000000003</v>
      </c>
      <c r="N175">
        <f t="shared" si="26"/>
        <v>35.200000000000003</v>
      </c>
      <c r="O175">
        <f t="shared" si="27"/>
        <v>206.8</v>
      </c>
    </row>
    <row r="176" spans="9:15" x14ac:dyDescent="0.25">
      <c r="I176">
        <v>38</v>
      </c>
      <c r="J176" t="s">
        <v>177</v>
      </c>
      <c r="K176">
        <v>2.2999999999999998</v>
      </c>
      <c r="L176">
        <v>70</v>
      </c>
      <c r="M176">
        <f t="shared" si="25"/>
        <v>229.99999999999997</v>
      </c>
      <c r="N176">
        <f t="shared" si="26"/>
        <v>36.799999999999997</v>
      </c>
      <c r="O176">
        <f t="shared" si="27"/>
        <v>216.2</v>
      </c>
    </row>
    <row r="179" spans="9:11" x14ac:dyDescent="0.25">
      <c r="I179" s="3" t="s">
        <v>460</v>
      </c>
    </row>
    <row r="180" spans="9:11" x14ac:dyDescent="0.25">
      <c r="J180" t="s">
        <v>461</v>
      </c>
    </row>
    <row r="181" spans="9:11" x14ac:dyDescent="0.25">
      <c r="J181" t="s">
        <v>462</v>
      </c>
    </row>
    <row r="182" spans="9:11" x14ac:dyDescent="0.25">
      <c r="J182" t="s">
        <v>463</v>
      </c>
    </row>
    <row r="183" spans="9:11" x14ac:dyDescent="0.25">
      <c r="J183" t="s">
        <v>464</v>
      </c>
    </row>
    <row r="184" spans="9:11" x14ac:dyDescent="0.25">
      <c r="J184" t="s">
        <v>465</v>
      </c>
    </row>
    <row r="185" spans="9:11" x14ac:dyDescent="0.25">
      <c r="J185" t="s">
        <v>466</v>
      </c>
    </row>
    <row r="187" spans="9:11" x14ac:dyDescent="0.25">
      <c r="J187" t="s">
        <v>512</v>
      </c>
      <c r="K187">
        <f>PprDEsvin/NprDEsvin</f>
        <v>0.18947368421052632</v>
      </c>
    </row>
    <row r="188" spans="9:11" x14ac:dyDescent="0.25">
      <c r="J188" t="s">
        <v>513</v>
      </c>
      <c r="K188">
        <f>PprDEkvaeg/NprDEkvaeg</f>
        <v>0.16</v>
      </c>
    </row>
    <row r="189" spans="9:11" x14ac:dyDescent="0.25">
      <c r="J189" t="s">
        <v>514</v>
      </c>
      <c r="K189">
        <f>KprDEsvin/NprDEsvin</f>
        <v>0.50526315789473686</v>
      </c>
    </row>
    <row r="190" spans="9:11" x14ac:dyDescent="0.25">
      <c r="J190" t="s">
        <v>515</v>
      </c>
      <c r="K190">
        <f>KprDEkvaeg/NprDEkvaeg</f>
        <v>0.94</v>
      </c>
    </row>
    <row r="191" spans="9:11" x14ac:dyDescent="0.25">
      <c r="J191" t="s">
        <v>517</v>
      </c>
      <c r="K191">
        <v>20</v>
      </c>
    </row>
    <row r="193" spans="9:22" x14ac:dyDescent="0.25">
      <c r="I193">
        <v>1</v>
      </c>
      <c r="J193">
        <v>2</v>
      </c>
      <c r="K193">
        <v>3</v>
      </c>
      <c r="L193">
        <v>4</v>
      </c>
      <c r="M193">
        <v>5</v>
      </c>
      <c r="N193">
        <v>6</v>
      </c>
      <c r="O193">
        <v>7</v>
      </c>
      <c r="P193">
        <v>8</v>
      </c>
    </row>
    <row r="194" spans="9:22" x14ac:dyDescent="0.25">
      <c r="I194" t="s">
        <v>1468</v>
      </c>
      <c r="K194" t="s">
        <v>484</v>
      </c>
      <c r="L194" t="s">
        <v>1471</v>
      </c>
      <c r="M194" t="s">
        <v>1472</v>
      </c>
      <c r="N194" t="s">
        <v>1473</v>
      </c>
      <c r="O194" t="s">
        <v>1663</v>
      </c>
      <c r="P194" t="s">
        <v>1677</v>
      </c>
      <c r="T194" t="s">
        <v>1471</v>
      </c>
      <c r="U194" t="s">
        <v>1472</v>
      </c>
      <c r="V194" t="s">
        <v>1473</v>
      </c>
    </row>
    <row r="195" spans="9:22" x14ac:dyDescent="0.25">
      <c r="I195">
        <v>1</v>
      </c>
      <c r="J195" t="s">
        <v>1466</v>
      </c>
      <c r="K195">
        <v>70</v>
      </c>
      <c r="L195">
        <f>IF(Normer!J29&lt;&gt;"",Normer!J29,Data!T195)</f>
        <v>100</v>
      </c>
      <c r="M195">
        <f>IF(Normer!J31&lt;&gt;"",Normer!J31,Data!U195)</f>
        <v>16</v>
      </c>
      <c r="N195">
        <f>IF(Normer!J33&lt;&gt;"",Normer!J33,Data!V195)</f>
        <v>94</v>
      </c>
      <c r="O195">
        <v>2.2999999999999998</v>
      </c>
      <c r="P195">
        <v>20</v>
      </c>
      <c r="Q195" t="s">
        <v>1474</v>
      </c>
      <c r="T195">
        <v>100</v>
      </c>
      <c r="U195">
        <v>16</v>
      </c>
      <c r="V195">
        <v>94</v>
      </c>
    </row>
    <row r="196" spans="9:22" x14ac:dyDescent="0.25">
      <c r="I196">
        <v>2</v>
      </c>
      <c r="J196" t="s">
        <v>1467</v>
      </c>
      <c r="K196">
        <v>75</v>
      </c>
      <c r="L196">
        <f>IF(Normer!J23&lt;&gt;"",Normer!J23,Data!T196)</f>
        <v>95</v>
      </c>
      <c r="M196">
        <f>IF(Normer!J25&lt;&gt;"",Normer!J25,Data!U196)</f>
        <v>18</v>
      </c>
      <c r="N196">
        <f>IF(Normer!J27&lt;&gt;"",Normer!J27,Data!V196)</f>
        <v>48</v>
      </c>
      <c r="O196">
        <v>1.4</v>
      </c>
      <c r="P196">
        <v>18</v>
      </c>
      <c r="Q196" t="s">
        <v>1474</v>
      </c>
      <c r="T196">
        <v>95</v>
      </c>
      <c r="U196">
        <v>18</v>
      </c>
      <c r="V196">
        <v>48</v>
      </c>
    </row>
    <row r="198" spans="9:22" x14ac:dyDescent="0.25">
      <c r="I198" t="s">
        <v>495</v>
      </c>
    </row>
    <row r="199" spans="9:22" x14ac:dyDescent="0.25">
      <c r="I199">
        <v>1</v>
      </c>
      <c r="J199" t="s">
        <v>496</v>
      </c>
    </row>
    <row r="200" spans="9:22" x14ac:dyDescent="0.25">
      <c r="I200">
        <v>2</v>
      </c>
      <c r="J200" t="s">
        <v>497</v>
      </c>
    </row>
    <row r="202" spans="9:22" x14ac:dyDescent="0.25">
      <c r="I202" s="3" t="s">
        <v>15</v>
      </c>
    </row>
    <row r="203" spans="9:22" x14ac:dyDescent="0.25">
      <c r="I203">
        <v>1</v>
      </c>
      <c r="J203" t="s">
        <v>433</v>
      </c>
    </row>
    <row r="204" spans="9:22" x14ac:dyDescent="0.25">
      <c r="I204">
        <v>2</v>
      </c>
      <c r="J204" t="s">
        <v>16</v>
      </c>
    </row>
    <row r="205" spans="9:22" x14ac:dyDescent="0.25">
      <c r="I205">
        <v>3</v>
      </c>
      <c r="J205" t="s">
        <v>434</v>
      </c>
    </row>
    <row r="209" spans="9:11" x14ac:dyDescent="0.25">
      <c r="I209" s="3" t="s">
        <v>194</v>
      </c>
    </row>
    <row r="210" spans="9:11" x14ac:dyDescent="0.25">
      <c r="I210">
        <v>1</v>
      </c>
      <c r="J210">
        <v>2</v>
      </c>
      <c r="K210">
        <v>3</v>
      </c>
    </row>
    <row r="211" spans="9:11" x14ac:dyDescent="0.25">
      <c r="I211">
        <v>1</v>
      </c>
      <c r="J211" t="s">
        <v>195</v>
      </c>
    </row>
    <row r="212" spans="9:11" x14ac:dyDescent="0.25">
      <c r="I212">
        <v>2</v>
      </c>
      <c r="J212" t="s">
        <v>196</v>
      </c>
    </row>
    <row r="214" spans="9:11" x14ac:dyDescent="0.25">
      <c r="I214" s="3" t="s">
        <v>422</v>
      </c>
    </row>
    <row r="215" spans="9:11" x14ac:dyDescent="0.25">
      <c r="I215">
        <v>1</v>
      </c>
      <c r="J215" t="s">
        <v>423</v>
      </c>
    </row>
    <row r="216" spans="9:11" x14ac:dyDescent="0.25">
      <c r="I216">
        <v>2</v>
      </c>
      <c r="J216" t="s">
        <v>389</v>
      </c>
    </row>
    <row r="217" spans="9:11" x14ac:dyDescent="0.25">
      <c r="I217">
        <v>3</v>
      </c>
      <c r="J217" t="s">
        <v>425</v>
      </c>
    </row>
    <row r="220" spans="9:11" x14ac:dyDescent="0.25">
      <c r="I220" s="3" t="s">
        <v>312</v>
      </c>
    </row>
    <row r="222" spans="9:11" x14ac:dyDescent="0.25">
      <c r="J222" t="s">
        <v>1969</v>
      </c>
      <c r="K222">
        <v>0.32550000000000001</v>
      </c>
    </row>
    <row r="223" spans="9:11" x14ac:dyDescent="0.25">
      <c r="J223" t="s">
        <v>1970</v>
      </c>
      <c r="K223">
        <v>0.25280000000000002</v>
      </c>
    </row>
    <row r="224" spans="9:11" x14ac:dyDescent="0.25">
      <c r="J224" t="s">
        <v>1971</v>
      </c>
      <c r="K224">
        <v>0.376</v>
      </c>
    </row>
    <row r="225" spans="9:15" x14ac:dyDescent="0.25">
      <c r="J225" t="s">
        <v>1972</v>
      </c>
      <c r="K225">
        <v>1.0749</v>
      </c>
    </row>
    <row r="226" spans="9:15" x14ac:dyDescent="0.25">
      <c r="J226" t="s">
        <v>1973</v>
      </c>
      <c r="K226">
        <v>0.35389999999999999</v>
      </c>
    </row>
    <row r="227" spans="9:15" x14ac:dyDescent="0.25">
      <c r="J227" t="s">
        <v>1974</v>
      </c>
      <c r="K227">
        <v>0.19359999999999999</v>
      </c>
    </row>
    <row r="228" spans="9:15" x14ac:dyDescent="0.25">
      <c r="J228" t="s">
        <v>1975</v>
      </c>
      <c r="K228">
        <v>59.6</v>
      </c>
    </row>
    <row r="229" spans="9:15" x14ac:dyDescent="0.25">
      <c r="J229" t="s">
        <v>1976</v>
      </c>
      <c r="K229">
        <v>2455</v>
      </c>
    </row>
    <row r="230" spans="9:15" x14ac:dyDescent="0.25">
      <c r="J230" t="s">
        <v>1977</v>
      </c>
      <c r="K230">
        <v>1962.2</v>
      </c>
    </row>
    <row r="231" spans="9:15" x14ac:dyDescent="0.25">
      <c r="J231" t="s">
        <v>1978</v>
      </c>
      <c r="K231">
        <v>0.54659999999999997</v>
      </c>
    </row>
    <row r="232" spans="9:15" x14ac:dyDescent="0.25">
      <c r="J232" t="s">
        <v>1979</v>
      </c>
      <c r="K232">
        <v>-15</v>
      </c>
      <c r="L232" t="s">
        <v>1950</v>
      </c>
    </row>
    <row r="234" spans="9:15" x14ac:dyDescent="0.25">
      <c r="I234">
        <v>1</v>
      </c>
      <c r="J234">
        <v>2</v>
      </c>
      <c r="K234">
        <v>3</v>
      </c>
      <c r="L234">
        <v>4</v>
      </c>
      <c r="M234">
        <v>5</v>
      </c>
      <c r="N234">
        <v>6</v>
      </c>
      <c r="O234">
        <v>7</v>
      </c>
    </row>
    <row r="235" spans="9:15" x14ac:dyDescent="0.25">
      <c r="I235" s="3" t="s">
        <v>313</v>
      </c>
    </row>
    <row r="236" spans="9:15" x14ac:dyDescent="0.25">
      <c r="I236">
        <v>1</v>
      </c>
      <c r="J236" t="s">
        <v>314</v>
      </c>
      <c r="K236">
        <v>0</v>
      </c>
    </row>
    <row r="237" spans="9:15" x14ac:dyDescent="0.25">
      <c r="I237">
        <v>2</v>
      </c>
      <c r="J237" t="s">
        <v>315</v>
      </c>
      <c r="K237">
        <v>-7.6</v>
      </c>
    </row>
    <row r="238" spans="9:15" x14ac:dyDescent="0.25">
      <c r="I238">
        <v>3</v>
      </c>
      <c r="J238" t="s">
        <v>316</v>
      </c>
      <c r="K238">
        <v>-98.6</v>
      </c>
    </row>
    <row r="239" spans="9:15" x14ac:dyDescent="0.25">
      <c r="I239">
        <v>4</v>
      </c>
      <c r="J239" t="s">
        <v>317</v>
      </c>
      <c r="K239">
        <v>0</v>
      </c>
    </row>
    <row r="240" spans="9:15" x14ac:dyDescent="0.25">
      <c r="I240">
        <v>5</v>
      </c>
      <c r="J240" t="s">
        <v>318</v>
      </c>
      <c r="K240">
        <v>-42</v>
      </c>
    </row>
    <row r="241" spans="9:17" x14ac:dyDescent="0.25">
      <c r="I241">
        <v>6</v>
      </c>
      <c r="J241" t="s">
        <v>319</v>
      </c>
      <c r="K241">
        <v>28.8</v>
      </c>
    </row>
    <row r="242" spans="9:17" x14ac:dyDescent="0.25">
      <c r="I242">
        <v>7</v>
      </c>
      <c r="J242" t="s">
        <v>320</v>
      </c>
      <c r="K242">
        <v>-165.7</v>
      </c>
    </row>
    <row r="243" spans="9:17" x14ac:dyDescent="0.25">
      <c r="I243">
        <v>8</v>
      </c>
      <c r="J243" t="s">
        <v>2024</v>
      </c>
      <c r="K243">
        <v>-70</v>
      </c>
      <c r="Q243" t="s">
        <v>2025</v>
      </c>
    </row>
    <row r="246" spans="9:17" x14ac:dyDescent="0.25">
      <c r="I246">
        <v>1</v>
      </c>
      <c r="J246">
        <v>2</v>
      </c>
      <c r="K246">
        <v>3</v>
      </c>
      <c r="L246">
        <v>4</v>
      </c>
      <c r="M246">
        <v>5</v>
      </c>
      <c r="N246">
        <v>6</v>
      </c>
      <c r="O246">
        <v>7</v>
      </c>
    </row>
    <row r="247" spans="9:17" x14ac:dyDescent="0.25">
      <c r="I247" s="3" t="s">
        <v>321</v>
      </c>
    </row>
    <row r="248" spans="9:17" x14ac:dyDescent="0.25">
      <c r="I248">
        <v>1</v>
      </c>
      <c r="J248" t="s">
        <v>322</v>
      </c>
      <c r="K248">
        <v>0</v>
      </c>
    </row>
    <row r="249" spans="9:17" x14ac:dyDescent="0.25">
      <c r="I249">
        <v>2</v>
      </c>
      <c r="J249" t="s">
        <v>323</v>
      </c>
      <c r="K249">
        <v>14.2</v>
      </c>
    </row>
    <row r="250" spans="9:17" x14ac:dyDescent="0.25">
      <c r="I250">
        <v>3</v>
      </c>
      <c r="J250" t="s">
        <v>324</v>
      </c>
      <c r="K250">
        <v>14.2</v>
      </c>
    </row>
    <row r="251" spans="9:17" x14ac:dyDescent="0.25">
      <c r="I251">
        <v>4</v>
      </c>
      <c r="J251" t="s">
        <v>325</v>
      </c>
      <c r="K251">
        <v>34.700000000000003</v>
      </c>
    </row>
    <row r="252" spans="9:17" x14ac:dyDescent="0.25">
      <c r="I252">
        <v>5</v>
      </c>
      <c r="J252" t="s">
        <v>326</v>
      </c>
      <c r="K252">
        <v>0</v>
      </c>
    </row>
    <row r="253" spans="9:17" x14ac:dyDescent="0.25">
      <c r="I253">
        <v>6</v>
      </c>
      <c r="J253" t="s">
        <v>245</v>
      </c>
      <c r="K253">
        <v>-38.5</v>
      </c>
    </row>
    <row r="256" spans="9:17" x14ac:dyDescent="0.25">
      <c r="I256" s="3" t="s">
        <v>348</v>
      </c>
    </row>
    <row r="257" spans="9:14" x14ac:dyDescent="0.25">
      <c r="J257" t="s">
        <v>333</v>
      </c>
      <c r="K257" t="s">
        <v>334</v>
      </c>
    </row>
    <row r="258" spans="9:14" x14ac:dyDescent="0.25">
      <c r="J258" t="s">
        <v>335</v>
      </c>
      <c r="K258" t="s">
        <v>336</v>
      </c>
      <c r="L258" t="s">
        <v>178</v>
      </c>
    </row>
    <row r="259" spans="9:14" x14ac:dyDescent="0.25">
      <c r="I259">
        <v>1</v>
      </c>
      <c r="J259" t="s">
        <v>17</v>
      </c>
      <c r="K259" s="196">
        <v>600</v>
      </c>
    </row>
    <row r="260" spans="9:14" x14ac:dyDescent="0.25">
      <c r="I260">
        <v>2</v>
      </c>
      <c r="J260" t="s">
        <v>337</v>
      </c>
      <c r="K260" s="196">
        <v>200</v>
      </c>
    </row>
    <row r="261" spans="9:14" x14ac:dyDescent="0.25">
      <c r="I261">
        <v>3</v>
      </c>
      <c r="J261" t="s">
        <v>338</v>
      </c>
      <c r="K261" s="196">
        <v>150</v>
      </c>
    </row>
    <row r="262" spans="9:14" x14ac:dyDescent="0.25">
      <c r="I262">
        <v>4</v>
      </c>
      <c r="J262" t="s">
        <v>339</v>
      </c>
      <c r="K262" s="196">
        <v>350</v>
      </c>
    </row>
    <row r="263" spans="9:14" x14ac:dyDescent="0.25">
      <c r="I263">
        <v>5</v>
      </c>
      <c r="J263" t="s">
        <v>340</v>
      </c>
      <c r="K263" s="196">
        <v>250</v>
      </c>
    </row>
    <row r="264" spans="9:14" x14ac:dyDescent="0.25">
      <c r="I264">
        <v>6</v>
      </c>
      <c r="J264" t="s">
        <v>341</v>
      </c>
      <c r="K264" s="196">
        <v>425</v>
      </c>
    </row>
    <row r="265" spans="9:14" x14ac:dyDescent="0.25">
      <c r="I265">
        <v>7</v>
      </c>
      <c r="J265" t="s">
        <v>342</v>
      </c>
      <c r="K265" s="196">
        <v>500</v>
      </c>
    </row>
    <row r="266" spans="9:14" x14ac:dyDescent="0.25">
      <c r="J266" t="s">
        <v>1826</v>
      </c>
      <c r="K266" s="196">
        <v>3675</v>
      </c>
      <c r="L266">
        <f>2500+1175</f>
        <v>3675</v>
      </c>
      <c r="N266" t="s">
        <v>1827</v>
      </c>
    </row>
    <row r="267" spans="9:14" x14ac:dyDescent="0.25">
      <c r="I267">
        <v>8</v>
      </c>
      <c r="J267" t="s">
        <v>343</v>
      </c>
      <c r="K267" s="196">
        <v>150</v>
      </c>
    </row>
    <row r="268" spans="9:14" x14ac:dyDescent="0.25">
      <c r="I268">
        <v>9</v>
      </c>
      <c r="J268" t="s">
        <v>364</v>
      </c>
      <c r="K268" s="196">
        <v>140</v>
      </c>
    </row>
    <row r="269" spans="9:14" x14ac:dyDescent="0.25">
      <c r="I269">
        <v>10</v>
      </c>
      <c r="J269" t="s">
        <v>344</v>
      </c>
      <c r="K269" s="196">
        <v>150</v>
      </c>
    </row>
    <row r="270" spans="9:14" x14ac:dyDescent="0.25">
      <c r="I270">
        <v>11</v>
      </c>
      <c r="J270" t="s">
        <v>366</v>
      </c>
      <c r="K270" s="196">
        <v>900</v>
      </c>
    </row>
    <row r="271" spans="9:14" x14ac:dyDescent="0.25">
      <c r="I271">
        <v>12</v>
      </c>
      <c r="J271" t="s">
        <v>367</v>
      </c>
      <c r="K271" s="196">
        <v>50</v>
      </c>
    </row>
    <row r="272" spans="9:14" x14ac:dyDescent="0.25">
      <c r="I272">
        <v>13</v>
      </c>
      <c r="J272" t="s">
        <v>369</v>
      </c>
      <c r="K272" s="196">
        <v>550</v>
      </c>
    </row>
    <row r="273" spans="9:11" x14ac:dyDescent="0.25">
      <c r="J273" t="s">
        <v>372</v>
      </c>
      <c r="K273" s="196">
        <v>2900</v>
      </c>
    </row>
    <row r="274" spans="9:11" x14ac:dyDescent="0.25">
      <c r="J274" t="s">
        <v>373</v>
      </c>
      <c r="K274" s="196">
        <v>3750</v>
      </c>
    </row>
    <row r="275" spans="9:11" x14ac:dyDescent="0.25">
      <c r="I275">
        <v>14</v>
      </c>
      <c r="J275" t="s">
        <v>370</v>
      </c>
      <c r="K275" s="196">
        <v>675</v>
      </c>
    </row>
    <row r="276" spans="9:11" x14ac:dyDescent="0.25">
      <c r="J276" t="s">
        <v>375</v>
      </c>
      <c r="K276" s="196">
        <v>1750</v>
      </c>
    </row>
    <row r="277" spans="9:11" x14ac:dyDescent="0.25">
      <c r="J277" t="s">
        <v>376</v>
      </c>
      <c r="K277" s="196">
        <v>1200</v>
      </c>
    </row>
    <row r="278" spans="9:11" x14ac:dyDescent="0.25">
      <c r="J278" t="s">
        <v>379</v>
      </c>
      <c r="K278" s="196">
        <v>250</v>
      </c>
    </row>
    <row r="279" spans="9:11" x14ac:dyDescent="0.25">
      <c r="J279" t="s">
        <v>380</v>
      </c>
      <c r="K279" s="196">
        <v>140</v>
      </c>
    </row>
    <row r="280" spans="9:11" x14ac:dyDescent="0.25">
      <c r="J280" t="s">
        <v>381</v>
      </c>
      <c r="K280" s="196">
        <v>575</v>
      </c>
    </row>
    <row r="281" spans="9:11" x14ac:dyDescent="0.25">
      <c r="J281" t="s">
        <v>384</v>
      </c>
      <c r="K281" s="196">
        <v>1100</v>
      </c>
    </row>
    <row r="282" spans="9:11" x14ac:dyDescent="0.25">
      <c r="J282" t="s">
        <v>383</v>
      </c>
      <c r="K282" s="196">
        <v>1600</v>
      </c>
    </row>
    <row r="283" spans="9:11" x14ac:dyDescent="0.25">
      <c r="J283" t="s">
        <v>385</v>
      </c>
      <c r="K283" s="196">
        <v>1100</v>
      </c>
    </row>
    <row r="284" spans="9:11" x14ac:dyDescent="0.25">
      <c r="J284" t="s">
        <v>386</v>
      </c>
      <c r="K284" s="196">
        <v>2700</v>
      </c>
    </row>
    <row r="285" spans="9:11" x14ac:dyDescent="0.25">
      <c r="J285" t="s">
        <v>392</v>
      </c>
      <c r="K285" s="196">
        <v>325</v>
      </c>
    </row>
    <row r="286" spans="9:11" x14ac:dyDescent="0.25">
      <c r="J286" t="s">
        <v>393</v>
      </c>
      <c r="K286" s="196">
        <v>900</v>
      </c>
    </row>
    <row r="287" spans="9:11" x14ac:dyDescent="0.25">
      <c r="J287" t="s">
        <v>394</v>
      </c>
      <c r="K287" s="196">
        <v>1050</v>
      </c>
    </row>
    <row r="288" spans="9:11" x14ac:dyDescent="0.25">
      <c r="J288" t="s">
        <v>395</v>
      </c>
      <c r="K288" s="196">
        <v>900</v>
      </c>
    </row>
    <row r="289" spans="10:14" x14ac:dyDescent="0.25">
      <c r="J289" t="s">
        <v>345</v>
      </c>
      <c r="K289" s="196">
        <v>8.8000000000000007</v>
      </c>
    </row>
    <row r="290" spans="10:14" x14ac:dyDescent="0.25">
      <c r="J290" t="s">
        <v>346</v>
      </c>
      <c r="K290" s="196">
        <v>8.8000000000000007</v>
      </c>
    </row>
    <row r="291" spans="10:14" x14ac:dyDescent="0.25">
      <c r="J291" t="s">
        <v>398</v>
      </c>
      <c r="K291" s="196">
        <v>525</v>
      </c>
    </row>
    <row r="292" spans="10:14" x14ac:dyDescent="0.25">
      <c r="J292" t="s">
        <v>401</v>
      </c>
      <c r="K292" s="196">
        <v>200</v>
      </c>
    </row>
    <row r="293" spans="10:14" x14ac:dyDescent="0.25">
      <c r="J293" t="s">
        <v>347</v>
      </c>
      <c r="K293" s="196">
        <v>425</v>
      </c>
    </row>
    <row r="294" spans="10:14" x14ac:dyDescent="0.25">
      <c r="J294" t="s">
        <v>407</v>
      </c>
      <c r="K294" s="196">
        <v>175</v>
      </c>
    </row>
    <row r="295" spans="10:14" x14ac:dyDescent="0.25">
      <c r="J295" t="s">
        <v>408</v>
      </c>
      <c r="K295" s="196">
        <v>8.8000000000000007</v>
      </c>
    </row>
    <row r="296" spans="10:14" x14ac:dyDescent="0.25">
      <c r="J296" t="s">
        <v>409</v>
      </c>
      <c r="K296" s="196">
        <v>14.5</v>
      </c>
    </row>
    <row r="297" spans="10:14" x14ac:dyDescent="0.25">
      <c r="J297" t="s">
        <v>410</v>
      </c>
      <c r="K297" s="196">
        <v>15.75</v>
      </c>
    </row>
    <row r="298" spans="10:14" x14ac:dyDescent="0.25">
      <c r="J298" t="s">
        <v>411</v>
      </c>
      <c r="K298" s="196">
        <v>15.75</v>
      </c>
    </row>
    <row r="299" spans="10:14" x14ac:dyDescent="0.25">
      <c r="J299" t="s">
        <v>412</v>
      </c>
      <c r="K299" s="196">
        <v>35</v>
      </c>
    </row>
    <row r="300" spans="10:14" x14ac:dyDescent="0.25">
      <c r="J300" s="3" t="s">
        <v>416</v>
      </c>
    </row>
    <row r="301" spans="10:14" x14ac:dyDescent="0.25">
      <c r="J301" t="s">
        <v>2227</v>
      </c>
      <c r="K301" s="196">
        <v>350</v>
      </c>
    </row>
    <row r="302" spans="10:14" x14ac:dyDescent="0.25">
      <c r="J302" t="s">
        <v>2229</v>
      </c>
      <c r="K302">
        <f>IF(Normer!J51&lt;&gt;"",Normer!J51,Data!L302)</f>
        <v>75</v>
      </c>
      <c r="L302" s="196">
        <v>75</v>
      </c>
      <c r="N302" t="s">
        <v>2230</v>
      </c>
    </row>
    <row r="303" spans="10:14" x14ac:dyDescent="0.25">
      <c r="J303" t="s">
        <v>2228</v>
      </c>
      <c r="K303">
        <f>IF(Normer!J53&lt;&gt;"",Normer!J53,Data!L303)</f>
        <v>55</v>
      </c>
      <c r="L303" s="196">
        <v>55</v>
      </c>
      <c r="N303" t="s">
        <v>2231</v>
      </c>
    </row>
    <row r="304" spans="10:14" x14ac:dyDescent="0.25">
      <c r="J304" t="s">
        <v>427</v>
      </c>
      <c r="K304">
        <f>IF(Normer!J55&lt;&gt;"",Normer!J55,Data!L304)</f>
        <v>180</v>
      </c>
      <c r="L304" s="196">
        <v>180</v>
      </c>
    </row>
    <row r="305" spans="9:32" x14ac:dyDescent="0.25">
      <c r="J305" t="s">
        <v>424</v>
      </c>
      <c r="K305">
        <f>IF(Normer!J57&lt;&gt;"",Normer!J57,Data!L305)</f>
        <v>200</v>
      </c>
      <c r="L305" s="196">
        <v>200</v>
      </c>
      <c r="N305" t="s">
        <v>428</v>
      </c>
    </row>
    <row r="306" spans="9:32" x14ac:dyDescent="0.25">
      <c r="J306" t="s">
        <v>532</v>
      </c>
      <c r="K306">
        <v>410</v>
      </c>
      <c r="L306" t="s">
        <v>188</v>
      </c>
    </row>
    <row r="307" spans="9:32" x14ac:dyDescent="0.25">
      <c r="J307" t="s">
        <v>533</v>
      </c>
      <c r="K307" s="196">
        <v>30</v>
      </c>
      <c r="L307" t="s">
        <v>538</v>
      </c>
    </row>
    <row r="308" spans="9:32" x14ac:dyDescent="0.25">
      <c r="J308" t="s">
        <v>534</v>
      </c>
      <c r="K308" s="196">
        <v>100</v>
      </c>
      <c r="L308" t="s">
        <v>537</v>
      </c>
    </row>
    <row r="309" spans="9:32" x14ac:dyDescent="0.25">
      <c r="J309" t="s">
        <v>535</v>
      </c>
      <c r="K309" s="196">
        <v>5</v>
      </c>
      <c r="L309" t="s">
        <v>536</v>
      </c>
    </row>
    <row r="310" spans="9:32" x14ac:dyDescent="0.25">
      <c r="J310" t="s">
        <v>1678</v>
      </c>
      <c r="K310">
        <f>(TranspGylleTimepris/TonPrLaes/KmPrTime)*2</f>
        <v>4.166666666666667</v>
      </c>
      <c r="L310" t="s">
        <v>1679</v>
      </c>
      <c r="N310" s="196">
        <v>750</v>
      </c>
      <c r="O310" t="s">
        <v>1690</v>
      </c>
      <c r="P310">
        <v>20</v>
      </c>
      <c r="Q310" t="s">
        <v>1691</v>
      </c>
      <c r="R310">
        <v>18</v>
      </c>
      <c r="S310" t="s">
        <v>1688</v>
      </c>
      <c r="U310" t="s">
        <v>1680</v>
      </c>
      <c r="Z310" t="s">
        <v>1681</v>
      </c>
      <c r="AF310" t="s">
        <v>1684</v>
      </c>
    </row>
    <row r="311" spans="9:32" x14ac:dyDescent="0.25">
      <c r="J311" t="s">
        <v>1686</v>
      </c>
      <c r="K311">
        <f>N311/R311</f>
        <v>26.25</v>
      </c>
      <c r="L311" t="s">
        <v>1689</v>
      </c>
      <c r="N311" s="196">
        <v>525</v>
      </c>
      <c r="O311" t="s">
        <v>1687</v>
      </c>
      <c r="R311">
        <v>20</v>
      </c>
      <c r="S311" t="s">
        <v>1688</v>
      </c>
    </row>
    <row r="313" spans="9:32" x14ac:dyDescent="0.25">
      <c r="I313" s="3" t="s">
        <v>349</v>
      </c>
    </row>
    <row r="314" spans="9:32" x14ac:dyDescent="0.25">
      <c r="K314" t="s">
        <v>351</v>
      </c>
    </row>
    <row r="315" spans="9:32" x14ac:dyDescent="0.25">
      <c r="J315" t="s">
        <v>350</v>
      </c>
      <c r="K315" s="196">
        <v>0.9</v>
      </c>
    </row>
    <row r="316" spans="9:32" x14ac:dyDescent="0.25">
      <c r="J316" t="s">
        <v>352</v>
      </c>
      <c r="K316" s="196">
        <v>0.95</v>
      </c>
    </row>
    <row r="318" spans="9:32" x14ac:dyDescent="0.25">
      <c r="I318" s="3" t="s">
        <v>1394</v>
      </c>
    </row>
    <row r="319" spans="9:32" x14ac:dyDescent="0.25">
      <c r="I319">
        <v>1</v>
      </c>
      <c r="J319">
        <v>2</v>
      </c>
      <c r="K319">
        <v>3</v>
      </c>
      <c r="L319">
        <v>4</v>
      </c>
    </row>
    <row r="320" spans="9:32" x14ac:dyDescent="0.25">
      <c r="K320" t="s">
        <v>1397</v>
      </c>
      <c r="L320" t="s">
        <v>1398</v>
      </c>
    </row>
    <row r="321" spans="9:22" x14ac:dyDescent="0.25">
      <c r="I321">
        <v>1</v>
      </c>
      <c r="J321" t="s">
        <v>1395</v>
      </c>
      <c r="K321">
        <v>65</v>
      </c>
      <c r="L321">
        <v>35</v>
      </c>
    </row>
    <row r="322" spans="9:22" x14ac:dyDescent="0.25">
      <c r="I322">
        <v>2</v>
      </c>
      <c r="J322" t="s">
        <v>1396</v>
      </c>
      <c r="K322">
        <v>25</v>
      </c>
      <c r="L322">
        <v>75</v>
      </c>
    </row>
    <row r="324" spans="9:22" x14ac:dyDescent="0.25">
      <c r="I324" s="3" t="s">
        <v>1202</v>
      </c>
    </row>
    <row r="326" spans="9:22" x14ac:dyDescent="0.25">
      <c r="I326">
        <v>1</v>
      </c>
      <c r="J326" t="s">
        <v>1203</v>
      </c>
    </row>
    <row r="327" spans="9:22" x14ac:dyDescent="0.25">
      <c r="I327">
        <v>2</v>
      </c>
      <c r="J327" t="s">
        <v>1195</v>
      </c>
    </row>
    <row r="329" spans="9:22" x14ac:dyDescent="0.25">
      <c r="I329" s="3" t="s">
        <v>1205</v>
      </c>
    </row>
    <row r="330" spans="9:22" x14ac:dyDescent="0.25">
      <c r="I330">
        <v>1</v>
      </c>
      <c r="J330" t="s">
        <v>1206</v>
      </c>
    </row>
    <row r="331" spans="9:22" x14ac:dyDescent="0.25">
      <c r="I331">
        <v>2</v>
      </c>
      <c r="J331" t="s">
        <v>1207</v>
      </c>
    </row>
    <row r="333" spans="9:22" x14ac:dyDescent="0.25">
      <c r="I333" s="3" t="s">
        <v>1200</v>
      </c>
    </row>
    <row r="334" spans="9:22" x14ac:dyDescent="0.25">
      <c r="I334">
        <v>1</v>
      </c>
      <c r="J334">
        <v>2</v>
      </c>
      <c r="K334">
        <v>3</v>
      </c>
      <c r="L334">
        <v>4</v>
      </c>
      <c r="M334">
        <v>5</v>
      </c>
      <c r="N334">
        <v>6</v>
      </c>
      <c r="O334">
        <v>7</v>
      </c>
      <c r="P334">
        <v>8</v>
      </c>
      <c r="Q334">
        <v>9</v>
      </c>
      <c r="R334">
        <v>10</v>
      </c>
      <c r="S334">
        <v>11</v>
      </c>
      <c r="T334">
        <v>12</v>
      </c>
      <c r="U334">
        <v>13</v>
      </c>
      <c r="V334">
        <v>14</v>
      </c>
    </row>
    <row r="335" spans="9:22" x14ac:dyDescent="0.25">
      <c r="K335" t="s">
        <v>1196</v>
      </c>
      <c r="N335" t="s">
        <v>1197</v>
      </c>
      <c r="Q335" t="s">
        <v>1198</v>
      </c>
      <c r="T335" t="s">
        <v>1199</v>
      </c>
    </row>
    <row r="336" spans="9:22" x14ac:dyDescent="0.25">
      <c r="J336" t="s">
        <v>1191</v>
      </c>
      <c r="K336" t="s">
        <v>1192</v>
      </c>
      <c r="L336" t="s">
        <v>1193</v>
      </c>
      <c r="M336" t="s">
        <v>1194</v>
      </c>
      <c r="N336" t="s">
        <v>1192</v>
      </c>
      <c r="O336" t="s">
        <v>1193</v>
      </c>
      <c r="P336" t="s">
        <v>1194</v>
      </c>
      <c r="Q336" t="s">
        <v>1192</v>
      </c>
      <c r="R336" t="s">
        <v>1193</v>
      </c>
      <c r="S336" t="s">
        <v>1194</v>
      </c>
      <c r="T336" t="s">
        <v>1192</v>
      </c>
      <c r="U336" t="s">
        <v>1193</v>
      </c>
      <c r="V336" t="s">
        <v>1194</v>
      </c>
    </row>
    <row r="337" spans="9:25" x14ac:dyDescent="0.25">
      <c r="I337">
        <v>1</v>
      </c>
      <c r="J337" s="2">
        <v>7000</v>
      </c>
      <c r="K337">
        <v>465.28</v>
      </c>
      <c r="L337">
        <v>2120.89</v>
      </c>
      <c r="M337">
        <v>2975.41</v>
      </c>
      <c r="N337">
        <v>431.99</v>
      </c>
      <c r="O337">
        <v>3657.39</v>
      </c>
      <c r="P337">
        <v>1881.46</v>
      </c>
      <c r="Q337">
        <v>402.3</v>
      </c>
      <c r="R337">
        <v>1742.08</v>
      </c>
      <c r="S337">
        <v>2631.29</v>
      </c>
      <c r="T337">
        <v>439.82</v>
      </c>
      <c r="U337" s="12">
        <v>3149.08</v>
      </c>
      <c r="V337" s="12">
        <v>1599.49</v>
      </c>
      <c r="X337" s="12"/>
      <c r="Y337" s="12"/>
    </row>
    <row r="338" spans="9:25" x14ac:dyDescent="0.25">
      <c r="I338">
        <v>2</v>
      </c>
      <c r="J338" s="2">
        <v>7500</v>
      </c>
      <c r="K338">
        <v>509.95</v>
      </c>
      <c r="L338">
        <v>2149.5700000000002</v>
      </c>
      <c r="M338">
        <v>3035.49</v>
      </c>
      <c r="N338">
        <v>496.58</v>
      </c>
      <c r="O338">
        <v>3709.71</v>
      </c>
      <c r="P338">
        <v>1908.86</v>
      </c>
      <c r="Q338">
        <v>439.82</v>
      </c>
      <c r="R338">
        <v>1770.22</v>
      </c>
      <c r="S338">
        <v>2690.25</v>
      </c>
      <c r="T338">
        <v>552.38</v>
      </c>
      <c r="U338" s="12">
        <v>3149.08</v>
      </c>
      <c r="V338" s="12">
        <v>1599.49</v>
      </c>
    </row>
    <row r="339" spans="9:25" x14ac:dyDescent="0.25">
      <c r="I339">
        <v>3</v>
      </c>
      <c r="J339" s="2">
        <v>8000</v>
      </c>
      <c r="K339">
        <v>562.44000000000005</v>
      </c>
      <c r="L339">
        <v>2181.11</v>
      </c>
      <c r="M339">
        <v>3101.58</v>
      </c>
      <c r="N339">
        <v>621.54999999999995</v>
      </c>
      <c r="O339">
        <v>3694.78</v>
      </c>
      <c r="P339">
        <v>1901.04</v>
      </c>
      <c r="Q339">
        <v>477.34</v>
      </c>
      <c r="R339">
        <v>1826.5</v>
      </c>
      <c r="S339">
        <v>2749.21</v>
      </c>
      <c r="T339">
        <v>702.46</v>
      </c>
      <c r="U339" s="12">
        <v>3149.08</v>
      </c>
      <c r="V339" s="12">
        <v>1599.49</v>
      </c>
    </row>
    <row r="340" spans="9:25" x14ac:dyDescent="0.25">
      <c r="I340">
        <v>4</v>
      </c>
      <c r="J340" s="2">
        <v>8500</v>
      </c>
      <c r="K340">
        <v>605.69000000000005</v>
      </c>
      <c r="L340">
        <v>2205.33</v>
      </c>
      <c r="M340">
        <v>3152.32</v>
      </c>
      <c r="N340">
        <v>741.5</v>
      </c>
      <c r="O340">
        <v>3671.27</v>
      </c>
      <c r="P340">
        <v>1888.73</v>
      </c>
      <c r="Q340">
        <v>514.86</v>
      </c>
      <c r="R340">
        <v>1854.64</v>
      </c>
      <c r="S340">
        <v>2808.17</v>
      </c>
      <c r="T340">
        <v>777.5</v>
      </c>
      <c r="U340" s="12">
        <v>3149.08</v>
      </c>
      <c r="V340" s="12">
        <v>1599.49</v>
      </c>
    </row>
    <row r="341" spans="9:25" x14ac:dyDescent="0.25">
      <c r="I341">
        <v>5</v>
      </c>
      <c r="J341" s="2">
        <v>9000</v>
      </c>
      <c r="K341">
        <v>652.73</v>
      </c>
      <c r="L341">
        <v>2230.13</v>
      </c>
      <c r="M341">
        <v>3204.29</v>
      </c>
      <c r="N341">
        <v>875.31</v>
      </c>
      <c r="O341">
        <v>3645.73</v>
      </c>
      <c r="P341">
        <v>1875.35</v>
      </c>
      <c r="Q341">
        <v>552.38</v>
      </c>
      <c r="R341">
        <v>1882.78</v>
      </c>
      <c r="S341">
        <v>2896.61</v>
      </c>
      <c r="T341">
        <v>927.58</v>
      </c>
      <c r="U341" s="12">
        <v>3149.08</v>
      </c>
      <c r="V341" s="12">
        <v>1599.49</v>
      </c>
    </row>
    <row r="342" spans="9:25" x14ac:dyDescent="0.25">
      <c r="I342">
        <v>6</v>
      </c>
      <c r="J342" s="2">
        <v>9500</v>
      </c>
      <c r="K342">
        <v>705.71</v>
      </c>
      <c r="L342">
        <v>2256.62</v>
      </c>
      <c r="M342">
        <v>3259.78</v>
      </c>
      <c r="N342">
        <v>1003.43</v>
      </c>
      <c r="O342">
        <v>3618.58</v>
      </c>
      <c r="P342">
        <v>1861.13</v>
      </c>
    </row>
    <row r="343" spans="9:25" x14ac:dyDescent="0.25">
      <c r="I343">
        <v>7</v>
      </c>
      <c r="J343" s="2">
        <v>10000</v>
      </c>
      <c r="K343">
        <v>765.18</v>
      </c>
      <c r="L343">
        <v>2291.44</v>
      </c>
      <c r="M343">
        <v>3303.26</v>
      </c>
      <c r="N343">
        <v>1140.5899999999999</v>
      </c>
      <c r="O343">
        <v>3593.48</v>
      </c>
      <c r="P343">
        <v>1847.98</v>
      </c>
    </row>
    <row r="344" spans="9:25" x14ac:dyDescent="0.25">
      <c r="I344">
        <v>8</v>
      </c>
      <c r="J344" s="2">
        <v>10500</v>
      </c>
      <c r="K344">
        <v>854.3</v>
      </c>
      <c r="L344">
        <v>2274.9499999999998</v>
      </c>
      <c r="M344">
        <v>3298.2</v>
      </c>
      <c r="N344">
        <v>1267.1600000000001</v>
      </c>
      <c r="O344">
        <v>3566.27</v>
      </c>
      <c r="P344">
        <v>1833.73</v>
      </c>
    </row>
    <row r="345" spans="9:25" x14ac:dyDescent="0.25">
      <c r="I345">
        <v>9</v>
      </c>
      <c r="J345" s="2">
        <v>11000</v>
      </c>
      <c r="K345">
        <v>949.04</v>
      </c>
      <c r="L345">
        <v>2267.2600000000002</v>
      </c>
      <c r="M345">
        <v>3282.09</v>
      </c>
      <c r="N345">
        <v>1401.28</v>
      </c>
      <c r="O345">
        <v>3542.36</v>
      </c>
      <c r="P345">
        <v>1821.2</v>
      </c>
    </row>
    <row r="346" spans="9:25" x14ac:dyDescent="0.25">
      <c r="I346">
        <v>10</v>
      </c>
      <c r="J346" s="2">
        <v>11500</v>
      </c>
      <c r="K346">
        <v>1035.6500000000001</v>
      </c>
      <c r="L346">
        <v>2260.04</v>
      </c>
      <c r="M346">
        <v>3266.96</v>
      </c>
      <c r="N346">
        <v>1523.37</v>
      </c>
      <c r="O346">
        <v>3520.76</v>
      </c>
      <c r="P346">
        <v>1809.89</v>
      </c>
    </row>
    <row r="347" spans="9:25" x14ac:dyDescent="0.25">
      <c r="I347">
        <v>11</v>
      </c>
      <c r="J347" s="2">
        <v>12000</v>
      </c>
      <c r="K347">
        <v>1134.47</v>
      </c>
      <c r="L347">
        <v>2251.58</v>
      </c>
      <c r="M347">
        <v>3249.24</v>
      </c>
      <c r="N347">
        <v>1662.13</v>
      </c>
      <c r="O347">
        <v>3496.35</v>
      </c>
      <c r="P347">
        <v>1797.1</v>
      </c>
    </row>
    <row r="349" spans="9:25" x14ac:dyDescent="0.25">
      <c r="I349" s="3" t="s">
        <v>1555</v>
      </c>
    </row>
    <row r="350" spans="9:25" x14ac:dyDescent="0.25">
      <c r="J350" t="s">
        <v>1556</v>
      </c>
    </row>
    <row r="351" spans="9:25" x14ac:dyDescent="0.25">
      <c r="J351" t="s">
        <v>1557</v>
      </c>
    </row>
    <row r="353" spans="9:77" x14ac:dyDescent="0.25">
      <c r="I353" s="3" t="s">
        <v>2256</v>
      </c>
    </row>
    <row r="354" spans="9:77" x14ac:dyDescent="0.25">
      <c r="I354" t="s">
        <v>2257</v>
      </c>
    </row>
    <row r="355" spans="9:77" x14ac:dyDescent="0.25">
      <c r="I355" t="s">
        <v>2258</v>
      </c>
    </row>
    <row r="356" spans="9:77" x14ac:dyDescent="0.25">
      <c r="I356" t="s">
        <v>2259</v>
      </c>
    </row>
    <row r="357" spans="9:77" x14ac:dyDescent="0.25">
      <c r="I357" t="s">
        <v>2260</v>
      </c>
    </row>
    <row r="358" spans="9:77" x14ac:dyDescent="0.25">
      <c r="I358" t="s">
        <v>2261</v>
      </c>
    </row>
    <row r="359" spans="9:77" x14ac:dyDescent="0.25">
      <c r="AC359" s="4" t="s">
        <v>2105</v>
      </c>
    </row>
    <row r="361" spans="9:77" x14ac:dyDescent="0.25">
      <c r="I361" s="3" t="s">
        <v>1554</v>
      </c>
    </row>
    <row r="362" spans="9:77" x14ac:dyDescent="0.25">
      <c r="I362" s="14">
        <v>1</v>
      </c>
      <c r="J362" s="14">
        <v>2</v>
      </c>
      <c r="K362" s="14">
        <v>3</v>
      </c>
      <c r="L362" s="14">
        <v>4</v>
      </c>
      <c r="M362" s="14">
        <v>5</v>
      </c>
      <c r="N362" s="14">
        <v>6</v>
      </c>
      <c r="O362" s="14">
        <v>7</v>
      </c>
      <c r="P362" s="14">
        <v>8</v>
      </c>
      <c r="Q362" s="14">
        <v>9</v>
      </c>
      <c r="R362" s="14">
        <v>10</v>
      </c>
      <c r="S362" s="14">
        <v>11</v>
      </c>
      <c r="T362" s="14">
        <v>12</v>
      </c>
      <c r="U362" s="14">
        <v>13</v>
      </c>
      <c r="V362" s="14">
        <v>14</v>
      </c>
      <c r="W362" s="14">
        <v>15</v>
      </c>
      <c r="X362" s="14">
        <v>16</v>
      </c>
      <c r="Y362" s="14">
        <v>17</v>
      </c>
      <c r="Z362" s="14">
        <v>18</v>
      </c>
      <c r="AA362" s="14">
        <v>19</v>
      </c>
      <c r="AB362" s="14">
        <v>20</v>
      </c>
      <c r="AC362" s="14">
        <v>21</v>
      </c>
      <c r="AD362" s="14">
        <v>22</v>
      </c>
      <c r="AE362" s="14">
        <v>23</v>
      </c>
      <c r="AF362" s="14">
        <v>24</v>
      </c>
      <c r="AG362" s="14">
        <v>25</v>
      </c>
      <c r="AH362" s="14">
        <v>26</v>
      </c>
      <c r="AI362" s="14">
        <v>27</v>
      </c>
      <c r="AJ362" s="14">
        <v>28</v>
      </c>
      <c r="AK362" s="14">
        <v>29</v>
      </c>
      <c r="AL362" s="14">
        <v>30</v>
      </c>
      <c r="AM362" s="14">
        <v>31</v>
      </c>
      <c r="AN362" s="14">
        <v>32</v>
      </c>
      <c r="AO362" s="14">
        <v>33</v>
      </c>
      <c r="AP362" s="14">
        <v>34</v>
      </c>
      <c r="AQ362" s="14">
        <v>35</v>
      </c>
      <c r="AR362" s="14">
        <v>36</v>
      </c>
      <c r="AS362" s="14">
        <v>37</v>
      </c>
      <c r="AT362" s="14">
        <v>38</v>
      </c>
      <c r="AU362" s="14">
        <v>39</v>
      </c>
      <c r="AV362" s="14">
        <v>40</v>
      </c>
      <c r="AW362" s="14">
        <v>41</v>
      </c>
      <c r="AX362" s="14">
        <v>42</v>
      </c>
      <c r="AY362" s="14">
        <v>43</v>
      </c>
      <c r="AZ362" s="14">
        <v>44</v>
      </c>
      <c r="BA362" s="14">
        <v>45</v>
      </c>
      <c r="BB362" s="14">
        <v>46</v>
      </c>
      <c r="BC362" s="14">
        <v>47</v>
      </c>
      <c r="BD362" s="14">
        <v>48</v>
      </c>
      <c r="BE362" s="14">
        <v>49</v>
      </c>
      <c r="BF362" s="14">
        <v>50</v>
      </c>
      <c r="BG362" s="14">
        <v>51</v>
      </c>
      <c r="BH362" s="14"/>
      <c r="BI362" s="14"/>
      <c r="BJ362" s="199"/>
      <c r="BK362" s="14"/>
      <c r="BL362" s="14"/>
      <c r="BM362" s="14"/>
      <c r="BN362" s="14"/>
      <c r="BO362" s="14"/>
      <c r="BP362" s="14"/>
      <c r="BQ362" s="14"/>
      <c r="BR362" s="14"/>
      <c r="BS362" s="14"/>
      <c r="BT362" s="14"/>
      <c r="BU362" s="14"/>
      <c r="BV362" s="14"/>
      <c r="BW362" s="14"/>
      <c r="BX362" s="14"/>
      <c r="BY362" s="170"/>
    </row>
    <row r="363" spans="9:77" x14ac:dyDescent="0.25">
      <c r="K363" t="s">
        <v>550</v>
      </c>
      <c r="Q363" t="s">
        <v>551</v>
      </c>
      <c r="W363" t="s">
        <v>248</v>
      </c>
      <c r="AC363" t="s">
        <v>245</v>
      </c>
      <c r="AI363" t="s">
        <v>60</v>
      </c>
      <c r="AO363" t="s">
        <v>552</v>
      </c>
      <c r="AU363" t="s">
        <v>251</v>
      </c>
      <c r="BA363" t="s">
        <v>75</v>
      </c>
      <c r="BG363" s="14"/>
      <c r="BH363" s="14"/>
      <c r="BI363" s="14"/>
      <c r="BJ363" s="199"/>
      <c r="BK363" s="14"/>
      <c r="BL363" s="14"/>
      <c r="BM363" s="14"/>
      <c r="BN363" s="14"/>
      <c r="BO363" s="14"/>
      <c r="BP363" s="14"/>
      <c r="BQ363" s="14"/>
      <c r="BR363" s="14"/>
      <c r="BS363" s="14"/>
      <c r="BT363" s="14"/>
      <c r="BU363" s="14"/>
      <c r="BV363" s="14"/>
      <c r="BW363" s="14"/>
      <c r="BX363" s="14"/>
      <c r="BY363" s="170"/>
    </row>
    <row r="364" spans="9:77" x14ac:dyDescent="0.25">
      <c r="I364" t="s">
        <v>553</v>
      </c>
      <c r="K364" t="s">
        <v>554</v>
      </c>
      <c r="L364" t="s">
        <v>91</v>
      </c>
      <c r="M364" t="s">
        <v>92</v>
      </c>
      <c r="N364" t="s">
        <v>93</v>
      </c>
      <c r="O364" t="s">
        <v>94</v>
      </c>
      <c r="P364" t="s">
        <v>95</v>
      </c>
      <c r="Q364" t="s">
        <v>554</v>
      </c>
      <c r="R364" t="s">
        <v>91</v>
      </c>
      <c r="S364" t="s">
        <v>92</v>
      </c>
      <c r="T364" t="s">
        <v>93</v>
      </c>
      <c r="U364" t="s">
        <v>94</v>
      </c>
      <c r="V364" t="s">
        <v>95</v>
      </c>
      <c r="W364" t="s">
        <v>554</v>
      </c>
      <c r="X364" t="s">
        <v>91</v>
      </c>
      <c r="Y364" t="s">
        <v>92</v>
      </c>
      <c r="Z364" t="s">
        <v>93</v>
      </c>
      <c r="AA364" t="s">
        <v>94</v>
      </c>
      <c r="AB364" t="s">
        <v>95</v>
      </c>
      <c r="AC364" t="s">
        <v>554</v>
      </c>
      <c r="AD364" t="s">
        <v>91</v>
      </c>
      <c r="AE364" t="s">
        <v>92</v>
      </c>
      <c r="AF364" t="s">
        <v>93</v>
      </c>
      <c r="AG364" t="s">
        <v>94</v>
      </c>
      <c r="AH364" t="s">
        <v>95</v>
      </c>
      <c r="AI364" t="s">
        <v>554</v>
      </c>
      <c r="AJ364" t="s">
        <v>91</v>
      </c>
      <c r="AK364" t="s">
        <v>92</v>
      </c>
      <c r="AL364" t="s">
        <v>93</v>
      </c>
      <c r="AM364" t="s">
        <v>94</v>
      </c>
      <c r="AN364" t="s">
        <v>95</v>
      </c>
      <c r="AO364" t="s">
        <v>554</v>
      </c>
      <c r="AP364" t="s">
        <v>91</v>
      </c>
      <c r="AQ364" t="s">
        <v>92</v>
      </c>
      <c r="AR364" t="s">
        <v>93</v>
      </c>
      <c r="AS364" t="s">
        <v>94</v>
      </c>
      <c r="AT364" t="s">
        <v>95</v>
      </c>
      <c r="AU364" t="s">
        <v>554</v>
      </c>
      <c r="AV364" t="s">
        <v>91</v>
      </c>
      <c r="AW364" t="s">
        <v>92</v>
      </c>
      <c r="AX364" t="s">
        <v>93</v>
      </c>
      <c r="AY364" t="s">
        <v>94</v>
      </c>
      <c r="AZ364" t="s">
        <v>95</v>
      </c>
      <c r="BA364" t="s">
        <v>554</v>
      </c>
      <c r="BB364" t="s">
        <v>91</v>
      </c>
      <c r="BC364" t="s">
        <v>92</v>
      </c>
      <c r="BD364" t="s">
        <v>93</v>
      </c>
      <c r="BE364" t="s">
        <v>94</v>
      </c>
      <c r="BF364" t="s">
        <v>95</v>
      </c>
      <c r="BG364" s="14"/>
      <c r="BH364" s="14"/>
      <c r="BI364" s="14"/>
      <c r="BJ364" s="199"/>
      <c r="BK364" s="14"/>
      <c r="BL364" s="14"/>
      <c r="BM364" s="14"/>
      <c r="BN364" s="14"/>
      <c r="BO364" s="14"/>
      <c r="BP364" s="14"/>
      <c r="BQ364" s="14"/>
      <c r="BR364" s="14"/>
      <c r="BS364" s="14"/>
      <c r="BT364" s="14"/>
      <c r="BU364" s="14"/>
      <c r="BV364" s="14"/>
      <c r="BW364" s="14"/>
      <c r="BX364" s="14"/>
      <c r="BY364" s="170"/>
    </row>
    <row r="365" spans="9:77" x14ac:dyDescent="0.25">
      <c r="BG365" s="14"/>
      <c r="BH365" s="14"/>
      <c r="BI365" s="14"/>
      <c r="BJ365" s="199"/>
      <c r="BK365" s="14"/>
      <c r="BL365" s="14"/>
      <c r="BM365" s="14"/>
      <c r="BN365" s="14"/>
      <c r="BO365" s="14"/>
      <c r="BP365" s="14"/>
      <c r="BQ365" s="14"/>
      <c r="BR365" s="14"/>
      <c r="BS365" s="14"/>
      <c r="BT365" s="14"/>
      <c r="BU365" s="14"/>
      <c r="BV365" s="14"/>
      <c r="BW365" s="14"/>
      <c r="BX365" s="14"/>
      <c r="BY365" s="170"/>
    </row>
    <row r="366" spans="9:77" x14ac:dyDescent="0.25">
      <c r="I366">
        <v>1000</v>
      </c>
      <c r="J366" s="1" t="s">
        <v>555</v>
      </c>
      <c r="K366">
        <v>316.58666666666602</v>
      </c>
      <c r="L366">
        <v>275.789999999999</v>
      </c>
      <c r="M366">
        <v>302.51666666666603</v>
      </c>
      <c r="N366">
        <v>283.47333333333302</v>
      </c>
      <c r="O366">
        <v>274.77333333333303</v>
      </c>
      <c r="P366">
        <v>268.31333333333299</v>
      </c>
      <c r="Q366">
        <v>300.42333333333301</v>
      </c>
      <c r="R366">
        <v>242.136666666666</v>
      </c>
      <c r="S366">
        <v>282.18999999999897</v>
      </c>
      <c r="T366">
        <v>256.243333333333</v>
      </c>
      <c r="U366">
        <v>241.89666666666599</v>
      </c>
      <c r="V366">
        <v>230.72666666666601</v>
      </c>
      <c r="W366">
        <v>303.42</v>
      </c>
      <c r="X366">
        <v>274.61666666666599</v>
      </c>
      <c r="Y366">
        <v>285.93666666666599</v>
      </c>
      <c r="Z366">
        <v>283.98999999999899</v>
      </c>
      <c r="AA366">
        <v>278.32</v>
      </c>
      <c r="AB366">
        <v>278.32</v>
      </c>
      <c r="AC366">
        <v>322.06333333333299</v>
      </c>
      <c r="AD366">
        <v>278.68</v>
      </c>
      <c r="AE366">
        <v>307.22333333333302</v>
      </c>
      <c r="AF366">
        <v>294.44333333333299</v>
      </c>
      <c r="AG366">
        <v>286.27999999999997</v>
      </c>
      <c r="AH366">
        <v>282.46666666666601</v>
      </c>
      <c r="AI366">
        <v>316.58666666666602</v>
      </c>
      <c r="AJ366">
        <v>275.789999999999</v>
      </c>
      <c r="AK366">
        <v>302.51666666666603</v>
      </c>
      <c r="AL366">
        <v>283.47333333333302</v>
      </c>
      <c r="AM366">
        <v>274.77333333333303</v>
      </c>
      <c r="AN366">
        <v>268.31333333333299</v>
      </c>
      <c r="AO366">
        <v>321.229999999999</v>
      </c>
      <c r="AP366">
        <v>253.379999999999</v>
      </c>
      <c r="AQ366">
        <v>302.03333333333302</v>
      </c>
      <c r="AR366">
        <v>268.993333333333</v>
      </c>
      <c r="AS366">
        <v>250.773333333333</v>
      </c>
      <c r="AT366">
        <v>235.40333333333299</v>
      </c>
      <c r="AU366">
        <v>333.606666666666</v>
      </c>
      <c r="AV366">
        <v>280.19666666666598</v>
      </c>
      <c r="AW366">
        <v>317.15666666666601</v>
      </c>
      <c r="AX366">
        <v>292.99666666666599</v>
      </c>
      <c r="AY366">
        <v>280.86</v>
      </c>
      <c r="AZ366">
        <v>271.72000000000003</v>
      </c>
      <c r="BA366">
        <v>322.20333333333298</v>
      </c>
      <c r="BB366">
        <v>266.95999999999901</v>
      </c>
      <c r="BC366">
        <v>305.32999999999902</v>
      </c>
      <c r="BD366">
        <v>280.046666666666</v>
      </c>
      <c r="BE366">
        <v>266.48333333333301</v>
      </c>
      <c r="BF366">
        <v>256.19333333333299</v>
      </c>
      <c r="BG366" s="14"/>
      <c r="BH366" s="14"/>
      <c r="BI366" s="14"/>
      <c r="BJ366" s="199"/>
      <c r="BK366" s="14"/>
      <c r="BL366" s="14"/>
      <c r="BM366" s="14"/>
      <c r="BN366" s="14"/>
      <c r="BO366" s="14"/>
      <c r="BP366" s="14"/>
      <c r="BQ366" s="14"/>
      <c r="BR366" s="14"/>
      <c r="BS366" s="14"/>
      <c r="BT366" s="14"/>
      <c r="BU366" s="14"/>
      <c r="BV366" s="14"/>
      <c r="BW366" s="14"/>
      <c r="BX366" s="14"/>
      <c r="BY366" s="170"/>
    </row>
    <row r="367" spans="9:77" x14ac:dyDescent="0.25">
      <c r="I367">
        <v>1100</v>
      </c>
      <c r="J367" s="1" t="s">
        <v>555</v>
      </c>
      <c r="K367">
        <v>316.58666666666602</v>
      </c>
      <c r="L367">
        <v>275.789999999999</v>
      </c>
      <c r="M367">
        <v>302.51666666666603</v>
      </c>
      <c r="N367">
        <v>283.47333333333302</v>
      </c>
      <c r="O367">
        <v>274.77333333333303</v>
      </c>
      <c r="P367">
        <v>268.31333333333299</v>
      </c>
      <c r="Q367">
        <v>300.42333333333301</v>
      </c>
      <c r="R367">
        <v>242.136666666666</v>
      </c>
      <c r="S367">
        <v>282.18999999999897</v>
      </c>
      <c r="T367">
        <v>256.243333333333</v>
      </c>
      <c r="U367">
        <v>241.89666666666599</v>
      </c>
      <c r="V367">
        <v>230.72666666666601</v>
      </c>
      <c r="W367">
        <v>303.42</v>
      </c>
      <c r="X367">
        <v>274.61666666666599</v>
      </c>
      <c r="Y367">
        <v>285.93666666666599</v>
      </c>
      <c r="Z367">
        <v>283.98999999999899</v>
      </c>
      <c r="AA367">
        <v>278.32</v>
      </c>
      <c r="AB367">
        <v>278.32</v>
      </c>
      <c r="AC367">
        <v>322.06333333333299</v>
      </c>
      <c r="AD367">
        <v>278.68</v>
      </c>
      <c r="AE367">
        <v>307.22333333333302</v>
      </c>
      <c r="AF367">
        <v>294.44333333333299</v>
      </c>
      <c r="AG367">
        <v>286.27999999999997</v>
      </c>
      <c r="AH367">
        <v>282.46666666666601</v>
      </c>
      <c r="AI367">
        <v>316.58666666666602</v>
      </c>
      <c r="AJ367">
        <v>275.789999999999</v>
      </c>
      <c r="AK367">
        <v>302.51666666666603</v>
      </c>
      <c r="AL367">
        <v>283.47333333333302</v>
      </c>
      <c r="AM367">
        <v>274.77333333333303</v>
      </c>
      <c r="AN367">
        <v>268.31333333333299</v>
      </c>
      <c r="AO367">
        <v>321.229999999999</v>
      </c>
      <c r="AP367">
        <v>253.379999999999</v>
      </c>
      <c r="AQ367">
        <v>302.03333333333302</v>
      </c>
      <c r="AR367">
        <v>268.993333333333</v>
      </c>
      <c r="AS367">
        <v>250.773333333333</v>
      </c>
      <c r="AT367">
        <v>235.40333333333299</v>
      </c>
      <c r="AU367">
        <v>333.606666666666</v>
      </c>
      <c r="AV367">
        <v>280.19666666666598</v>
      </c>
      <c r="AW367">
        <v>317.15666666666601</v>
      </c>
      <c r="AX367">
        <v>292.99666666666599</v>
      </c>
      <c r="AY367">
        <v>280.86</v>
      </c>
      <c r="AZ367">
        <v>271.72000000000003</v>
      </c>
      <c r="BA367">
        <v>322.20333333333298</v>
      </c>
      <c r="BB367">
        <v>266.95999999999901</v>
      </c>
      <c r="BC367">
        <v>305.32999999999902</v>
      </c>
      <c r="BD367">
        <v>280.046666666666</v>
      </c>
      <c r="BE367">
        <v>266.48333333333301</v>
      </c>
      <c r="BF367">
        <v>256.19333333333299</v>
      </c>
      <c r="BG367" s="14"/>
      <c r="BH367" s="14"/>
      <c r="BI367" s="14"/>
      <c r="BJ367" s="199"/>
      <c r="BK367" s="14"/>
      <c r="BL367" s="14"/>
      <c r="BM367" s="14"/>
      <c r="BN367" s="14"/>
      <c r="BO367" s="14"/>
      <c r="BP367" s="14"/>
      <c r="BQ367" s="14"/>
      <c r="BR367" s="14"/>
      <c r="BS367" s="14"/>
      <c r="BT367" s="14"/>
      <c r="BU367" s="14"/>
      <c r="BV367" s="14"/>
      <c r="BW367" s="14"/>
      <c r="BX367" s="14"/>
      <c r="BY367" s="170"/>
    </row>
    <row r="368" spans="9:77" x14ac:dyDescent="0.25">
      <c r="I368">
        <v>1200</v>
      </c>
      <c r="J368" s="1" t="s">
        <v>555</v>
      </c>
      <c r="K368">
        <v>316.58666666666602</v>
      </c>
      <c r="L368">
        <v>275.789999999999</v>
      </c>
      <c r="M368">
        <v>302.51666666666603</v>
      </c>
      <c r="N368">
        <v>283.47333333333302</v>
      </c>
      <c r="O368">
        <v>274.77333333333303</v>
      </c>
      <c r="P368">
        <v>268.31333333333299</v>
      </c>
      <c r="Q368">
        <v>300.42333333333301</v>
      </c>
      <c r="R368">
        <v>242.136666666666</v>
      </c>
      <c r="S368">
        <v>282.18999999999897</v>
      </c>
      <c r="T368">
        <v>256.243333333333</v>
      </c>
      <c r="U368">
        <v>241.89666666666599</v>
      </c>
      <c r="V368">
        <v>230.72666666666601</v>
      </c>
      <c r="W368">
        <v>303.42</v>
      </c>
      <c r="X368">
        <v>274.61666666666599</v>
      </c>
      <c r="Y368">
        <v>285.93666666666599</v>
      </c>
      <c r="Z368">
        <v>283.98999999999899</v>
      </c>
      <c r="AA368">
        <v>278.32</v>
      </c>
      <c r="AB368">
        <v>278.32</v>
      </c>
      <c r="AC368">
        <v>322.06333333333299</v>
      </c>
      <c r="AD368">
        <v>278.68</v>
      </c>
      <c r="AE368">
        <v>307.22333333333302</v>
      </c>
      <c r="AF368">
        <v>294.44333333333299</v>
      </c>
      <c r="AG368">
        <v>286.27999999999997</v>
      </c>
      <c r="AH368">
        <v>282.46666666666601</v>
      </c>
      <c r="AI368">
        <v>316.58666666666602</v>
      </c>
      <c r="AJ368">
        <v>275.789999999999</v>
      </c>
      <c r="AK368">
        <v>302.51666666666603</v>
      </c>
      <c r="AL368">
        <v>283.47333333333302</v>
      </c>
      <c r="AM368">
        <v>274.77333333333303</v>
      </c>
      <c r="AN368">
        <v>268.31333333333299</v>
      </c>
      <c r="AO368">
        <v>321.229999999999</v>
      </c>
      <c r="AP368">
        <v>253.379999999999</v>
      </c>
      <c r="AQ368">
        <v>302.03333333333302</v>
      </c>
      <c r="AR368">
        <v>268.993333333333</v>
      </c>
      <c r="AS368">
        <v>250.773333333333</v>
      </c>
      <c r="AT368">
        <v>235.40333333333299</v>
      </c>
      <c r="AU368">
        <v>333.606666666666</v>
      </c>
      <c r="AV368">
        <v>280.19666666666598</v>
      </c>
      <c r="AW368">
        <v>317.15666666666601</v>
      </c>
      <c r="AX368">
        <v>292.99666666666599</v>
      </c>
      <c r="AY368">
        <v>280.86</v>
      </c>
      <c r="AZ368">
        <v>271.72000000000003</v>
      </c>
      <c r="BA368">
        <v>322.20333333333298</v>
      </c>
      <c r="BB368">
        <v>266.95999999999901</v>
      </c>
      <c r="BC368">
        <v>305.32999999999902</v>
      </c>
      <c r="BD368">
        <v>280.046666666666</v>
      </c>
      <c r="BE368">
        <v>266.48333333333301</v>
      </c>
      <c r="BF368">
        <v>256.19333333333299</v>
      </c>
      <c r="BG368" s="14"/>
      <c r="BH368" s="14"/>
      <c r="BI368" s="14"/>
      <c r="BJ368" s="199"/>
      <c r="BK368" s="14"/>
      <c r="BL368" s="14"/>
      <c r="BM368" s="14"/>
      <c r="BN368" s="14"/>
      <c r="BO368" s="14"/>
      <c r="BP368" s="14"/>
      <c r="BQ368" s="14"/>
      <c r="BR368" s="14"/>
      <c r="BS368" s="14"/>
      <c r="BT368" s="14"/>
      <c r="BU368" s="14"/>
      <c r="BV368" s="14"/>
      <c r="BW368" s="14"/>
      <c r="BX368" s="14"/>
      <c r="BY368" s="170"/>
    </row>
    <row r="369" spans="9:77" x14ac:dyDescent="0.25">
      <c r="I369">
        <v>1300</v>
      </c>
      <c r="J369" s="1" t="s">
        <v>555</v>
      </c>
      <c r="K369">
        <v>316.58666666666602</v>
      </c>
      <c r="L369">
        <v>275.789999999999</v>
      </c>
      <c r="M369">
        <v>302.51666666666603</v>
      </c>
      <c r="N369">
        <v>283.47333333333302</v>
      </c>
      <c r="O369">
        <v>274.77333333333303</v>
      </c>
      <c r="P369">
        <v>268.31333333333299</v>
      </c>
      <c r="Q369">
        <v>300.42333333333301</v>
      </c>
      <c r="R369">
        <v>242.136666666666</v>
      </c>
      <c r="S369">
        <v>282.18999999999897</v>
      </c>
      <c r="T369">
        <v>256.243333333333</v>
      </c>
      <c r="U369">
        <v>241.89666666666599</v>
      </c>
      <c r="V369">
        <v>230.72666666666601</v>
      </c>
      <c r="W369">
        <v>303.42</v>
      </c>
      <c r="X369">
        <v>274.61666666666599</v>
      </c>
      <c r="Y369">
        <v>285.93666666666599</v>
      </c>
      <c r="Z369">
        <v>283.98999999999899</v>
      </c>
      <c r="AA369">
        <v>278.32</v>
      </c>
      <c r="AB369">
        <v>278.32</v>
      </c>
      <c r="AC369">
        <v>322.06333333333299</v>
      </c>
      <c r="AD369">
        <v>278.68</v>
      </c>
      <c r="AE369">
        <v>307.22333333333302</v>
      </c>
      <c r="AF369">
        <v>294.44333333333299</v>
      </c>
      <c r="AG369">
        <v>286.27999999999997</v>
      </c>
      <c r="AH369">
        <v>282.46666666666601</v>
      </c>
      <c r="AI369">
        <v>316.58666666666602</v>
      </c>
      <c r="AJ369">
        <v>275.789999999999</v>
      </c>
      <c r="AK369">
        <v>302.51666666666603</v>
      </c>
      <c r="AL369">
        <v>283.47333333333302</v>
      </c>
      <c r="AM369">
        <v>274.77333333333303</v>
      </c>
      <c r="AN369">
        <v>268.31333333333299</v>
      </c>
      <c r="AO369">
        <v>321.229999999999</v>
      </c>
      <c r="AP369">
        <v>253.379999999999</v>
      </c>
      <c r="AQ369">
        <v>302.03333333333302</v>
      </c>
      <c r="AR369">
        <v>268.993333333333</v>
      </c>
      <c r="AS369">
        <v>250.773333333333</v>
      </c>
      <c r="AT369">
        <v>235.40333333333299</v>
      </c>
      <c r="AU369">
        <v>333.606666666666</v>
      </c>
      <c r="AV369">
        <v>280.19666666666598</v>
      </c>
      <c r="AW369">
        <v>317.15666666666601</v>
      </c>
      <c r="AX369">
        <v>292.99666666666599</v>
      </c>
      <c r="AY369">
        <v>280.86</v>
      </c>
      <c r="AZ369">
        <v>271.72000000000003</v>
      </c>
      <c r="BA369">
        <v>322.20333333333298</v>
      </c>
      <c r="BB369">
        <v>266.95999999999901</v>
      </c>
      <c r="BC369">
        <v>305.32999999999902</v>
      </c>
      <c r="BD369">
        <v>280.046666666666</v>
      </c>
      <c r="BE369">
        <v>266.48333333333301</v>
      </c>
      <c r="BF369">
        <v>256.19333333333299</v>
      </c>
      <c r="BG369" s="14"/>
      <c r="BH369" s="14"/>
      <c r="BI369" s="14"/>
      <c r="BJ369" s="199"/>
      <c r="BK369" s="14"/>
      <c r="BL369" s="14"/>
      <c r="BM369" s="14"/>
      <c r="BN369" s="14"/>
      <c r="BO369" s="14"/>
      <c r="BP369" s="14"/>
      <c r="BQ369" s="14"/>
      <c r="BR369" s="14"/>
      <c r="BS369" s="14"/>
      <c r="BT369" s="14"/>
      <c r="BU369" s="14"/>
      <c r="BV369" s="14"/>
      <c r="BW369" s="14"/>
      <c r="BX369" s="14"/>
      <c r="BY369" s="170"/>
    </row>
    <row r="370" spans="9:77" x14ac:dyDescent="0.25">
      <c r="I370">
        <v>1400</v>
      </c>
      <c r="J370" s="1" t="s">
        <v>555</v>
      </c>
      <c r="K370">
        <v>316.58666666666602</v>
      </c>
      <c r="L370">
        <v>275.789999999999</v>
      </c>
      <c r="M370">
        <v>302.51666666666603</v>
      </c>
      <c r="N370">
        <v>283.47333333333302</v>
      </c>
      <c r="O370">
        <v>274.77333333333303</v>
      </c>
      <c r="P370">
        <v>268.31333333333299</v>
      </c>
      <c r="Q370">
        <v>300.42333333333301</v>
      </c>
      <c r="R370">
        <v>242.136666666666</v>
      </c>
      <c r="S370">
        <v>282.18999999999897</v>
      </c>
      <c r="T370">
        <v>256.243333333333</v>
      </c>
      <c r="U370">
        <v>241.89666666666599</v>
      </c>
      <c r="V370">
        <v>230.72666666666601</v>
      </c>
      <c r="W370">
        <v>303.42</v>
      </c>
      <c r="X370">
        <v>274.61666666666599</v>
      </c>
      <c r="Y370">
        <v>285.93666666666599</v>
      </c>
      <c r="Z370">
        <v>283.98999999999899</v>
      </c>
      <c r="AA370">
        <v>278.32</v>
      </c>
      <c r="AB370">
        <v>278.32</v>
      </c>
      <c r="AC370">
        <v>322.06333333333299</v>
      </c>
      <c r="AD370">
        <v>278.68</v>
      </c>
      <c r="AE370">
        <v>307.22333333333302</v>
      </c>
      <c r="AF370">
        <v>294.44333333333299</v>
      </c>
      <c r="AG370">
        <v>286.27999999999997</v>
      </c>
      <c r="AH370">
        <v>282.46666666666601</v>
      </c>
      <c r="AI370">
        <v>316.58666666666602</v>
      </c>
      <c r="AJ370">
        <v>275.789999999999</v>
      </c>
      <c r="AK370">
        <v>302.51666666666603</v>
      </c>
      <c r="AL370">
        <v>283.47333333333302</v>
      </c>
      <c r="AM370">
        <v>274.77333333333303</v>
      </c>
      <c r="AN370">
        <v>268.31333333333299</v>
      </c>
      <c r="AO370">
        <v>321.229999999999</v>
      </c>
      <c r="AP370">
        <v>253.379999999999</v>
      </c>
      <c r="AQ370">
        <v>302.03333333333302</v>
      </c>
      <c r="AR370">
        <v>268.993333333333</v>
      </c>
      <c r="AS370">
        <v>250.773333333333</v>
      </c>
      <c r="AT370">
        <v>235.40333333333299</v>
      </c>
      <c r="AU370">
        <v>333.606666666666</v>
      </c>
      <c r="AV370">
        <v>280.19666666666598</v>
      </c>
      <c r="AW370">
        <v>317.15666666666601</v>
      </c>
      <c r="AX370">
        <v>292.99666666666599</v>
      </c>
      <c r="AY370">
        <v>280.86</v>
      </c>
      <c r="AZ370">
        <v>271.72000000000003</v>
      </c>
      <c r="BA370">
        <v>322.20333333333298</v>
      </c>
      <c r="BB370">
        <v>266.95999999999901</v>
      </c>
      <c r="BC370">
        <v>305.32999999999902</v>
      </c>
      <c r="BD370">
        <v>280.046666666666</v>
      </c>
      <c r="BE370">
        <v>266.48333333333301</v>
      </c>
      <c r="BF370">
        <v>256.19333333333299</v>
      </c>
      <c r="BG370" s="14"/>
      <c r="BH370" s="14"/>
      <c r="BI370" s="14"/>
      <c r="BJ370" s="199"/>
      <c r="BK370" s="14"/>
      <c r="BL370" s="14"/>
      <c r="BM370" s="14"/>
      <c r="BN370" s="14"/>
      <c r="BO370" s="14"/>
      <c r="BP370" s="14"/>
      <c r="BQ370" s="14"/>
      <c r="BR370" s="14"/>
      <c r="BS370" s="14"/>
      <c r="BT370" s="14"/>
      <c r="BU370" s="14"/>
      <c r="BV370" s="14"/>
      <c r="BW370" s="14"/>
      <c r="BX370" s="14"/>
      <c r="BY370" s="170"/>
    </row>
    <row r="371" spans="9:77" x14ac:dyDescent="0.25">
      <c r="I371">
        <v>1500</v>
      </c>
      <c r="J371" s="1" t="s">
        <v>556</v>
      </c>
      <c r="K371">
        <v>316.58666666666602</v>
      </c>
      <c r="L371">
        <v>275.789999999999</v>
      </c>
      <c r="M371">
        <v>302.51666666666603</v>
      </c>
      <c r="N371">
        <v>283.47333333333302</v>
      </c>
      <c r="O371">
        <v>274.77333333333303</v>
      </c>
      <c r="P371">
        <v>268.31333333333299</v>
      </c>
      <c r="Q371">
        <v>300.42333333333301</v>
      </c>
      <c r="R371">
        <v>242.136666666666</v>
      </c>
      <c r="S371">
        <v>282.18999999999897</v>
      </c>
      <c r="T371">
        <v>256.243333333333</v>
      </c>
      <c r="U371">
        <v>241.89666666666599</v>
      </c>
      <c r="V371">
        <v>230.72666666666601</v>
      </c>
      <c r="W371">
        <v>303.42</v>
      </c>
      <c r="X371">
        <v>274.61666666666599</v>
      </c>
      <c r="Y371">
        <v>285.93666666666599</v>
      </c>
      <c r="Z371">
        <v>283.98999999999899</v>
      </c>
      <c r="AA371">
        <v>278.32</v>
      </c>
      <c r="AB371">
        <v>278.32</v>
      </c>
      <c r="AC371">
        <v>322.06333333333299</v>
      </c>
      <c r="AD371">
        <v>278.68</v>
      </c>
      <c r="AE371">
        <v>307.22333333333302</v>
      </c>
      <c r="AF371">
        <v>294.44333333333299</v>
      </c>
      <c r="AG371">
        <v>286.27999999999997</v>
      </c>
      <c r="AH371">
        <v>282.46666666666601</v>
      </c>
      <c r="AI371">
        <v>316.58666666666602</v>
      </c>
      <c r="AJ371">
        <v>275.789999999999</v>
      </c>
      <c r="AK371">
        <v>302.51666666666603</v>
      </c>
      <c r="AL371">
        <v>283.47333333333302</v>
      </c>
      <c r="AM371">
        <v>274.77333333333303</v>
      </c>
      <c r="AN371">
        <v>268.31333333333299</v>
      </c>
      <c r="AO371">
        <v>321.229999999999</v>
      </c>
      <c r="AP371">
        <v>253.379999999999</v>
      </c>
      <c r="AQ371">
        <v>302.03333333333302</v>
      </c>
      <c r="AR371">
        <v>268.993333333333</v>
      </c>
      <c r="AS371">
        <v>250.773333333333</v>
      </c>
      <c r="AT371">
        <v>235.40333333333299</v>
      </c>
      <c r="AU371">
        <v>333.606666666666</v>
      </c>
      <c r="AV371">
        <v>280.19666666666598</v>
      </c>
      <c r="AW371">
        <v>317.15666666666601</v>
      </c>
      <c r="AX371">
        <v>292.99666666666599</v>
      </c>
      <c r="AY371">
        <v>280.86</v>
      </c>
      <c r="AZ371">
        <v>271.72000000000003</v>
      </c>
      <c r="BA371">
        <v>322.20333333333298</v>
      </c>
      <c r="BB371">
        <v>266.95999999999901</v>
      </c>
      <c r="BC371">
        <v>305.32999999999902</v>
      </c>
      <c r="BD371">
        <v>280.046666666666</v>
      </c>
      <c r="BE371">
        <v>266.48333333333301</v>
      </c>
      <c r="BF371">
        <v>256.19333333333299</v>
      </c>
      <c r="BG371" s="14"/>
      <c r="BH371" s="14"/>
      <c r="BI371" s="14"/>
      <c r="BJ371" s="199"/>
      <c r="BK371" s="14"/>
      <c r="BL371" s="14"/>
      <c r="BM371" s="14"/>
      <c r="BN371" s="14"/>
      <c r="BO371" s="14"/>
      <c r="BP371" s="14"/>
      <c r="BQ371" s="14"/>
      <c r="BR371" s="14"/>
      <c r="BS371" s="14"/>
      <c r="BT371" s="14"/>
      <c r="BU371" s="14"/>
      <c r="BV371" s="14"/>
      <c r="BW371" s="14"/>
      <c r="BX371" s="14"/>
      <c r="BY371" s="170"/>
    </row>
    <row r="372" spans="9:77" x14ac:dyDescent="0.25">
      <c r="I372">
        <v>1600</v>
      </c>
      <c r="J372" s="1" t="s">
        <v>556</v>
      </c>
      <c r="K372">
        <v>316.58666666666602</v>
      </c>
      <c r="L372">
        <v>275.789999999999</v>
      </c>
      <c r="M372">
        <v>302.51666666666603</v>
      </c>
      <c r="N372">
        <v>283.47333333333302</v>
      </c>
      <c r="O372">
        <v>274.77333333333303</v>
      </c>
      <c r="P372">
        <v>268.31333333333299</v>
      </c>
      <c r="Q372">
        <v>300.42333333333301</v>
      </c>
      <c r="R372">
        <v>242.136666666666</v>
      </c>
      <c r="S372">
        <v>282.18999999999897</v>
      </c>
      <c r="T372">
        <v>256.243333333333</v>
      </c>
      <c r="U372">
        <v>241.89666666666599</v>
      </c>
      <c r="V372">
        <v>230.72666666666601</v>
      </c>
      <c r="W372">
        <v>303.42</v>
      </c>
      <c r="X372">
        <v>274.61666666666599</v>
      </c>
      <c r="Y372">
        <v>285.93666666666599</v>
      </c>
      <c r="Z372">
        <v>283.98999999999899</v>
      </c>
      <c r="AA372">
        <v>278.32</v>
      </c>
      <c r="AB372">
        <v>278.32</v>
      </c>
      <c r="AC372">
        <v>322.06333333333299</v>
      </c>
      <c r="AD372">
        <v>278.68</v>
      </c>
      <c r="AE372">
        <v>307.22333333333302</v>
      </c>
      <c r="AF372">
        <v>294.44333333333299</v>
      </c>
      <c r="AG372">
        <v>286.27999999999997</v>
      </c>
      <c r="AH372">
        <v>282.46666666666601</v>
      </c>
      <c r="AI372">
        <v>316.58666666666602</v>
      </c>
      <c r="AJ372">
        <v>275.789999999999</v>
      </c>
      <c r="AK372">
        <v>302.51666666666603</v>
      </c>
      <c r="AL372">
        <v>283.47333333333302</v>
      </c>
      <c r="AM372">
        <v>274.77333333333303</v>
      </c>
      <c r="AN372">
        <v>268.31333333333299</v>
      </c>
      <c r="AO372">
        <v>321.229999999999</v>
      </c>
      <c r="AP372">
        <v>253.379999999999</v>
      </c>
      <c r="AQ372">
        <v>302.03333333333302</v>
      </c>
      <c r="AR372">
        <v>268.993333333333</v>
      </c>
      <c r="AS372">
        <v>250.773333333333</v>
      </c>
      <c r="AT372">
        <v>235.40333333333299</v>
      </c>
      <c r="AU372">
        <v>333.606666666666</v>
      </c>
      <c r="AV372">
        <v>280.19666666666598</v>
      </c>
      <c r="AW372">
        <v>317.15666666666601</v>
      </c>
      <c r="AX372">
        <v>292.99666666666599</v>
      </c>
      <c r="AY372">
        <v>280.86</v>
      </c>
      <c r="AZ372">
        <v>271.72000000000003</v>
      </c>
      <c r="BA372">
        <v>322.20333333333298</v>
      </c>
      <c r="BB372">
        <v>266.95999999999901</v>
      </c>
      <c r="BC372">
        <v>305.32999999999902</v>
      </c>
      <c r="BD372">
        <v>280.046666666666</v>
      </c>
      <c r="BE372">
        <v>266.48333333333301</v>
      </c>
      <c r="BF372">
        <v>256.19333333333299</v>
      </c>
      <c r="BG372" s="14"/>
      <c r="BH372" s="14"/>
      <c r="BI372" s="14"/>
      <c r="BJ372" s="199"/>
      <c r="BK372" s="14"/>
      <c r="BL372" s="14"/>
      <c r="BM372" s="14"/>
      <c r="BN372" s="14"/>
      <c r="BO372" s="14"/>
      <c r="BP372" s="14"/>
      <c r="BQ372" s="14"/>
      <c r="BR372" s="14"/>
      <c r="BS372" s="14"/>
      <c r="BT372" s="14"/>
      <c r="BU372" s="14"/>
      <c r="BV372" s="14"/>
      <c r="BW372" s="14"/>
      <c r="BX372" s="14"/>
      <c r="BY372" s="170"/>
    </row>
    <row r="373" spans="9:77" x14ac:dyDescent="0.25">
      <c r="I373">
        <v>1700</v>
      </c>
      <c r="J373" s="1" t="s">
        <v>556</v>
      </c>
      <c r="K373">
        <v>316.58666666666602</v>
      </c>
      <c r="L373">
        <v>275.789999999999</v>
      </c>
      <c r="M373">
        <v>302.51666666666603</v>
      </c>
      <c r="N373">
        <v>283.47333333333302</v>
      </c>
      <c r="O373">
        <v>274.77333333333303</v>
      </c>
      <c r="P373">
        <v>268.31333333333299</v>
      </c>
      <c r="Q373">
        <v>300.42333333333301</v>
      </c>
      <c r="R373">
        <v>242.136666666666</v>
      </c>
      <c r="S373">
        <v>282.18999999999897</v>
      </c>
      <c r="T373">
        <v>256.243333333333</v>
      </c>
      <c r="U373">
        <v>241.89666666666599</v>
      </c>
      <c r="V373">
        <v>230.72666666666601</v>
      </c>
      <c r="W373">
        <v>303.42</v>
      </c>
      <c r="X373">
        <v>274.61666666666599</v>
      </c>
      <c r="Y373">
        <v>285.93666666666599</v>
      </c>
      <c r="Z373">
        <v>283.98999999999899</v>
      </c>
      <c r="AA373">
        <v>278.32</v>
      </c>
      <c r="AB373">
        <v>278.32</v>
      </c>
      <c r="AC373">
        <v>322.06333333333299</v>
      </c>
      <c r="AD373">
        <v>278.68</v>
      </c>
      <c r="AE373">
        <v>307.22333333333302</v>
      </c>
      <c r="AF373">
        <v>294.44333333333299</v>
      </c>
      <c r="AG373">
        <v>286.27999999999997</v>
      </c>
      <c r="AH373">
        <v>282.46666666666601</v>
      </c>
      <c r="AI373">
        <v>316.58666666666602</v>
      </c>
      <c r="AJ373">
        <v>275.789999999999</v>
      </c>
      <c r="AK373">
        <v>302.51666666666603</v>
      </c>
      <c r="AL373">
        <v>283.47333333333302</v>
      </c>
      <c r="AM373">
        <v>274.77333333333303</v>
      </c>
      <c r="AN373">
        <v>268.31333333333299</v>
      </c>
      <c r="AO373">
        <v>321.229999999999</v>
      </c>
      <c r="AP373">
        <v>253.379999999999</v>
      </c>
      <c r="AQ373">
        <v>302.03333333333302</v>
      </c>
      <c r="AR373">
        <v>268.993333333333</v>
      </c>
      <c r="AS373">
        <v>250.773333333333</v>
      </c>
      <c r="AT373">
        <v>235.40333333333299</v>
      </c>
      <c r="AU373">
        <v>333.606666666666</v>
      </c>
      <c r="AV373">
        <v>280.19666666666598</v>
      </c>
      <c r="AW373">
        <v>317.15666666666601</v>
      </c>
      <c r="AX373">
        <v>292.99666666666599</v>
      </c>
      <c r="AY373">
        <v>280.86</v>
      </c>
      <c r="AZ373">
        <v>271.72000000000003</v>
      </c>
      <c r="BA373">
        <v>322.20333333333298</v>
      </c>
      <c r="BB373">
        <v>266.95999999999901</v>
      </c>
      <c r="BC373">
        <v>305.32999999999902</v>
      </c>
      <c r="BD373">
        <v>280.046666666666</v>
      </c>
      <c r="BE373">
        <v>266.48333333333301</v>
      </c>
      <c r="BF373">
        <v>256.19333333333299</v>
      </c>
      <c r="BG373" s="14"/>
      <c r="BH373" s="14"/>
      <c r="BI373" s="14"/>
      <c r="BJ373" s="199"/>
      <c r="BK373" s="14"/>
      <c r="BL373" s="14"/>
      <c r="BM373" s="14"/>
      <c r="BN373" s="14"/>
      <c r="BO373" s="14"/>
      <c r="BP373" s="14"/>
      <c r="BQ373" s="14"/>
      <c r="BR373" s="14"/>
      <c r="BS373" s="14"/>
      <c r="BT373" s="14"/>
      <c r="BU373" s="14"/>
      <c r="BV373" s="14"/>
      <c r="BW373" s="14"/>
      <c r="BX373" s="14"/>
      <c r="BY373" s="170"/>
    </row>
    <row r="374" spans="9:77" x14ac:dyDescent="0.25">
      <c r="I374">
        <v>1800</v>
      </c>
      <c r="J374" s="1" t="s">
        <v>557</v>
      </c>
      <c r="K374">
        <v>316.58666666666602</v>
      </c>
      <c r="L374">
        <v>275.789999999999</v>
      </c>
      <c r="M374">
        <v>302.51666666666603</v>
      </c>
      <c r="N374">
        <v>283.47333333333302</v>
      </c>
      <c r="O374">
        <v>274.77333333333303</v>
      </c>
      <c r="P374">
        <v>268.31333333333299</v>
      </c>
      <c r="Q374">
        <v>300.42333333333301</v>
      </c>
      <c r="R374">
        <v>242.136666666666</v>
      </c>
      <c r="S374">
        <v>282.18999999999897</v>
      </c>
      <c r="T374">
        <v>256.243333333333</v>
      </c>
      <c r="U374">
        <v>241.89666666666599</v>
      </c>
      <c r="V374">
        <v>230.72666666666601</v>
      </c>
      <c r="W374">
        <v>303.42</v>
      </c>
      <c r="X374">
        <v>274.61666666666599</v>
      </c>
      <c r="Y374">
        <v>285.93666666666599</v>
      </c>
      <c r="Z374">
        <v>283.98999999999899</v>
      </c>
      <c r="AA374">
        <v>278.32</v>
      </c>
      <c r="AB374">
        <v>278.32</v>
      </c>
      <c r="AC374">
        <v>322.06333333333299</v>
      </c>
      <c r="AD374">
        <v>278.68</v>
      </c>
      <c r="AE374">
        <v>307.22333333333302</v>
      </c>
      <c r="AF374">
        <v>294.44333333333299</v>
      </c>
      <c r="AG374">
        <v>286.27999999999997</v>
      </c>
      <c r="AH374">
        <v>282.46666666666601</v>
      </c>
      <c r="AI374">
        <v>316.58666666666602</v>
      </c>
      <c r="AJ374">
        <v>275.789999999999</v>
      </c>
      <c r="AK374">
        <v>302.51666666666603</v>
      </c>
      <c r="AL374">
        <v>283.47333333333302</v>
      </c>
      <c r="AM374">
        <v>274.77333333333303</v>
      </c>
      <c r="AN374">
        <v>268.31333333333299</v>
      </c>
      <c r="AO374">
        <v>321.229999999999</v>
      </c>
      <c r="AP374">
        <v>253.379999999999</v>
      </c>
      <c r="AQ374">
        <v>302.03333333333302</v>
      </c>
      <c r="AR374">
        <v>268.993333333333</v>
      </c>
      <c r="AS374">
        <v>250.773333333333</v>
      </c>
      <c r="AT374">
        <v>235.40333333333299</v>
      </c>
      <c r="AU374">
        <v>333.606666666666</v>
      </c>
      <c r="AV374">
        <v>280.19666666666598</v>
      </c>
      <c r="AW374">
        <v>317.15666666666601</v>
      </c>
      <c r="AX374">
        <v>292.99666666666599</v>
      </c>
      <c r="AY374">
        <v>280.86</v>
      </c>
      <c r="AZ374">
        <v>271.72000000000003</v>
      </c>
      <c r="BA374">
        <v>322.20333333333298</v>
      </c>
      <c r="BB374">
        <v>266.95999999999901</v>
      </c>
      <c r="BC374">
        <v>305.32999999999902</v>
      </c>
      <c r="BD374">
        <v>280.046666666666</v>
      </c>
      <c r="BE374">
        <v>266.48333333333301</v>
      </c>
      <c r="BF374">
        <v>256.19333333333299</v>
      </c>
      <c r="BG374" s="14"/>
      <c r="BH374" s="14"/>
      <c r="BI374" s="14"/>
      <c r="BJ374" s="199"/>
      <c r="BK374" s="14"/>
      <c r="BL374" s="14"/>
      <c r="BM374" s="14"/>
      <c r="BN374" s="14"/>
      <c r="BO374" s="14"/>
      <c r="BP374" s="14"/>
      <c r="BQ374" s="14"/>
      <c r="BR374" s="14"/>
      <c r="BS374" s="14"/>
      <c r="BT374" s="14"/>
      <c r="BU374" s="14"/>
      <c r="BV374" s="14"/>
      <c r="BW374" s="14"/>
      <c r="BX374" s="14"/>
      <c r="BY374" s="170"/>
    </row>
    <row r="375" spans="9:77" x14ac:dyDescent="0.25">
      <c r="I375">
        <v>1900</v>
      </c>
      <c r="J375" s="1" t="s">
        <v>557</v>
      </c>
      <c r="K375">
        <v>316.58666666666602</v>
      </c>
      <c r="L375">
        <v>275.789999999999</v>
      </c>
      <c r="M375">
        <v>302.51666666666603</v>
      </c>
      <c r="N375">
        <v>283.47333333333302</v>
      </c>
      <c r="O375">
        <v>274.77333333333303</v>
      </c>
      <c r="P375">
        <v>268.31333333333299</v>
      </c>
      <c r="Q375">
        <v>300.42333333333301</v>
      </c>
      <c r="R375">
        <v>242.136666666666</v>
      </c>
      <c r="S375">
        <v>282.18999999999897</v>
      </c>
      <c r="T375">
        <v>256.243333333333</v>
      </c>
      <c r="U375">
        <v>241.89666666666599</v>
      </c>
      <c r="V375">
        <v>230.72666666666601</v>
      </c>
      <c r="W375">
        <v>303.42</v>
      </c>
      <c r="X375">
        <v>274.61666666666599</v>
      </c>
      <c r="Y375">
        <v>285.93666666666599</v>
      </c>
      <c r="Z375">
        <v>283.98999999999899</v>
      </c>
      <c r="AA375">
        <v>278.32</v>
      </c>
      <c r="AB375">
        <v>278.32</v>
      </c>
      <c r="AC375">
        <v>322.06333333333299</v>
      </c>
      <c r="AD375">
        <v>278.68</v>
      </c>
      <c r="AE375">
        <v>307.22333333333302</v>
      </c>
      <c r="AF375">
        <v>294.44333333333299</v>
      </c>
      <c r="AG375">
        <v>286.27999999999997</v>
      </c>
      <c r="AH375">
        <v>282.46666666666601</v>
      </c>
      <c r="AI375">
        <v>316.58666666666602</v>
      </c>
      <c r="AJ375">
        <v>275.789999999999</v>
      </c>
      <c r="AK375">
        <v>302.51666666666603</v>
      </c>
      <c r="AL375">
        <v>283.47333333333302</v>
      </c>
      <c r="AM375">
        <v>274.77333333333303</v>
      </c>
      <c r="AN375">
        <v>268.31333333333299</v>
      </c>
      <c r="AO375">
        <v>321.229999999999</v>
      </c>
      <c r="AP375">
        <v>253.379999999999</v>
      </c>
      <c r="AQ375">
        <v>302.03333333333302</v>
      </c>
      <c r="AR375">
        <v>268.993333333333</v>
      </c>
      <c r="AS375">
        <v>250.773333333333</v>
      </c>
      <c r="AT375">
        <v>235.40333333333299</v>
      </c>
      <c r="AU375">
        <v>333.606666666666</v>
      </c>
      <c r="AV375">
        <v>280.19666666666598</v>
      </c>
      <c r="AW375">
        <v>317.15666666666601</v>
      </c>
      <c r="AX375">
        <v>292.99666666666599</v>
      </c>
      <c r="AY375">
        <v>280.86</v>
      </c>
      <c r="AZ375">
        <v>271.72000000000003</v>
      </c>
      <c r="BA375">
        <v>322.20333333333298</v>
      </c>
      <c r="BB375">
        <v>266.95999999999901</v>
      </c>
      <c r="BC375">
        <v>305.32999999999902</v>
      </c>
      <c r="BD375">
        <v>280.046666666666</v>
      </c>
      <c r="BE375">
        <v>266.48333333333301</v>
      </c>
      <c r="BF375">
        <v>256.19333333333299</v>
      </c>
      <c r="BG375" s="14"/>
      <c r="BH375" s="14"/>
      <c r="BI375" s="14"/>
      <c r="BJ375" s="199"/>
      <c r="BK375" s="14"/>
      <c r="BL375" s="14"/>
      <c r="BM375" s="14"/>
      <c r="BN375" s="14"/>
      <c r="BO375" s="14"/>
      <c r="BP375" s="14"/>
      <c r="BQ375" s="14"/>
      <c r="BR375" s="14"/>
      <c r="BS375" s="14"/>
      <c r="BT375" s="14"/>
      <c r="BU375" s="14"/>
      <c r="BV375" s="14"/>
      <c r="BW375" s="14"/>
      <c r="BX375" s="14"/>
      <c r="BY375" s="170"/>
    </row>
    <row r="376" spans="9:77" x14ac:dyDescent="0.25">
      <c r="I376">
        <v>2000</v>
      </c>
      <c r="J376" s="1" t="s">
        <v>558</v>
      </c>
      <c r="K376">
        <v>316.58666666666602</v>
      </c>
      <c r="L376">
        <v>275.789999999999</v>
      </c>
      <c r="M376">
        <v>302.51666666666603</v>
      </c>
      <c r="N376">
        <v>283.47333333333302</v>
      </c>
      <c r="O376">
        <v>274.77333333333303</v>
      </c>
      <c r="P376">
        <v>268.31333333333299</v>
      </c>
      <c r="Q376">
        <v>300.42333333333301</v>
      </c>
      <c r="R376">
        <v>242.136666666666</v>
      </c>
      <c r="S376">
        <v>282.18999999999897</v>
      </c>
      <c r="T376">
        <v>256.243333333333</v>
      </c>
      <c r="U376">
        <v>241.89666666666599</v>
      </c>
      <c r="V376">
        <v>230.72666666666601</v>
      </c>
      <c r="W376">
        <v>303.42</v>
      </c>
      <c r="X376">
        <v>274.61666666666599</v>
      </c>
      <c r="Y376">
        <v>285.93666666666599</v>
      </c>
      <c r="Z376">
        <v>283.98999999999899</v>
      </c>
      <c r="AA376">
        <v>278.32</v>
      </c>
      <c r="AB376">
        <v>278.32</v>
      </c>
      <c r="AC376">
        <v>322.06333333333299</v>
      </c>
      <c r="AD376">
        <v>278.68</v>
      </c>
      <c r="AE376">
        <v>307.22333333333302</v>
      </c>
      <c r="AF376">
        <v>294.44333333333299</v>
      </c>
      <c r="AG376">
        <v>286.27999999999997</v>
      </c>
      <c r="AH376">
        <v>282.46666666666601</v>
      </c>
      <c r="AI376">
        <v>316.58666666666602</v>
      </c>
      <c r="AJ376">
        <v>275.789999999999</v>
      </c>
      <c r="AK376">
        <v>302.51666666666603</v>
      </c>
      <c r="AL376">
        <v>283.47333333333302</v>
      </c>
      <c r="AM376">
        <v>274.77333333333303</v>
      </c>
      <c r="AN376">
        <v>268.31333333333299</v>
      </c>
      <c r="AO376">
        <v>321.229999999999</v>
      </c>
      <c r="AP376">
        <v>253.379999999999</v>
      </c>
      <c r="AQ376">
        <v>302.03333333333302</v>
      </c>
      <c r="AR376">
        <v>268.993333333333</v>
      </c>
      <c r="AS376">
        <v>250.773333333333</v>
      </c>
      <c r="AT376">
        <v>235.40333333333299</v>
      </c>
      <c r="AU376">
        <v>333.606666666666</v>
      </c>
      <c r="AV376">
        <v>280.19666666666598</v>
      </c>
      <c r="AW376">
        <v>317.15666666666601</v>
      </c>
      <c r="AX376">
        <v>292.99666666666599</v>
      </c>
      <c r="AY376">
        <v>280.86</v>
      </c>
      <c r="AZ376">
        <v>271.72000000000003</v>
      </c>
      <c r="BA376">
        <v>322.20333333333298</v>
      </c>
      <c r="BB376">
        <v>266.95999999999901</v>
      </c>
      <c r="BC376">
        <v>305.32999999999902</v>
      </c>
      <c r="BD376">
        <v>280.046666666666</v>
      </c>
      <c r="BE376">
        <v>266.48333333333301</v>
      </c>
      <c r="BF376">
        <v>256.19333333333299</v>
      </c>
      <c r="BG376" s="14"/>
      <c r="BH376" s="14"/>
      <c r="BI376" s="14"/>
      <c r="BJ376" s="199"/>
      <c r="BK376" s="14"/>
      <c r="BL376" s="14"/>
      <c r="BM376" s="14"/>
      <c r="BN376" s="14"/>
      <c r="BO376" s="14"/>
      <c r="BP376" s="14"/>
      <c r="BQ376" s="14"/>
      <c r="BR376" s="14"/>
      <c r="BS376" s="14"/>
      <c r="BT376" s="14"/>
      <c r="BU376" s="14"/>
      <c r="BV376" s="14"/>
      <c r="BW376" s="14"/>
      <c r="BX376" s="14"/>
      <c r="BY376" s="170"/>
    </row>
    <row r="377" spans="9:77" x14ac:dyDescent="0.25">
      <c r="I377">
        <v>2100</v>
      </c>
      <c r="J377" s="1" t="s">
        <v>559</v>
      </c>
      <c r="K377">
        <v>316.58666666666602</v>
      </c>
      <c r="L377">
        <v>275.789999999999</v>
      </c>
      <c r="M377">
        <v>302.51666666666603</v>
      </c>
      <c r="N377">
        <v>283.47333333333302</v>
      </c>
      <c r="O377">
        <v>274.77333333333303</v>
      </c>
      <c r="P377">
        <v>268.31333333333299</v>
      </c>
      <c r="Q377">
        <v>300.42333333333301</v>
      </c>
      <c r="R377">
        <v>242.136666666666</v>
      </c>
      <c r="S377">
        <v>282.18999999999897</v>
      </c>
      <c r="T377">
        <v>256.243333333333</v>
      </c>
      <c r="U377">
        <v>241.89666666666599</v>
      </c>
      <c r="V377">
        <v>230.72666666666601</v>
      </c>
      <c r="W377">
        <v>303.42</v>
      </c>
      <c r="X377">
        <v>274.61666666666599</v>
      </c>
      <c r="Y377">
        <v>285.93666666666599</v>
      </c>
      <c r="Z377">
        <v>283.98999999999899</v>
      </c>
      <c r="AA377">
        <v>278.32</v>
      </c>
      <c r="AB377">
        <v>278.32</v>
      </c>
      <c r="AC377">
        <v>322.06333333333299</v>
      </c>
      <c r="AD377">
        <v>278.68</v>
      </c>
      <c r="AE377">
        <v>307.22333333333302</v>
      </c>
      <c r="AF377">
        <v>294.44333333333299</v>
      </c>
      <c r="AG377">
        <v>286.27999999999997</v>
      </c>
      <c r="AH377">
        <v>282.46666666666601</v>
      </c>
      <c r="AI377">
        <v>316.58666666666602</v>
      </c>
      <c r="AJ377">
        <v>275.789999999999</v>
      </c>
      <c r="AK377">
        <v>302.51666666666603</v>
      </c>
      <c r="AL377">
        <v>283.47333333333302</v>
      </c>
      <c r="AM377">
        <v>274.77333333333303</v>
      </c>
      <c r="AN377">
        <v>268.31333333333299</v>
      </c>
      <c r="AO377">
        <v>321.229999999999</v>
      </c>
      <c r="AP377">
        <v>253.379999999999</v>
      </c>
      <c r="AQ377">
        <v>302.03333333333302</v>
      </c>
      <c r="AR377">
        <v>268.993333333333</v>
      </c>
      <c r="AS377">
        <v>250.773333333333</v>
      </c>
      <c r="AT377">
        <v>235.40333333333299</v>
      </c>
      <c r="AU377">
        <v>333.606666666666</v>
      </c>
      <c r="AV377">
        <v>280.19666666666598</v>
      </c>
      <c r="AW377">
        <v>317.15666666666601</v>
      </c>
      <c r="AX377">
        <v>292.99666666666599</v>
      </c>
      <c r="AY377">
        <v>280.86</v>
      </c>
      <c r="AZ377">
        <v>271.72000000000003</v>
      </c>
      <c r="BA377">
        <v>322.20333333333298</v>
      </c>
      <c r="BB377">
        <v>266.95999999999901</v>
      </c>
      <c r="BC377">
        <v>305.32999999999902</v>
      </c>
      <c r="BD377">
        <v>280.046666666666</v>
      </c>
      <c r="BE377">
        <v>266.48333333333301</v>
      </c>
      <c r="BF377">
        <v>256.19333333333299</v>
      </c>
      <c r="BG377" s="14"/>
      <c r="BH377" s="14"/>
      <c r="BI377" s="14"/>
      <c r="BJ377" s="199"/>
      <c r="BK377" s="14"/>
      <c r="BL377" s="14"/>
      <c r="BM377" s="14"/>
      <c r="BN377" s="14"/>
      <c r="BO377" s="14"/>
      <c r="BP377" s="14"/>
      <c r="BQ377" s="14"/>
      <c r="BR377" s="14"/>
      <c r="BS377" s="14"/>
      <c r="BT377" s="14"/>
      <c r="BU377" s="14"/>
      <c r="BV377" s="14"/>
      <c r="BW377" s="14"/>
      <c r="BX377" s="14"/>
      <c r="BY377" s="170"/>
    </row>
    <row r="378" spans="9:77" x14ac:dyDescent="0.25">
      <c r="I378">
        <v>2200</v>
      </c>
      <c r="J378" s="1" t="s">
        <v>560</v>
      </c>
      <c r="K378">
        <v>316.58666666666602</v>
      </c>
      <c r="L378">
        <v>275.789999999999</v>
      </c>
      <c r="M378">
        <v>302.51666666666603</v>
      </c>
      <c r="N378">
        <v>283.47333333333302</v>
      </c>
      <c r="O378">
        <v>274.77333333333303</v>
      </c>
      <c r="P378">
        <v>268.31333333333299</v>
      </c>
      <c r="Q378">
        <v>300.42333333333301</v>
      </c>
      <c r="R378">
        <v>242.136666666666</v>
      </c>
      <c r="S378">
        <v>282.18999999999897</v>
      </c>
      <c r="T378">
        <v>256.243333333333</v>
      </c>
      <c r="U378">
        <v>241.89666666666599</v>
      </c>
      <c r="V378">
        <v>230.72666666666601</v>
      </c>
      <c r="W378">
        <v>303.42</v>
      </c>
      <c r="X378">
        <v>274.61666666666599</v>
      </c>
      <c r="Y378">
        <v>285.93666666666599</v>
      </c>
      <c r="Z378">
        <v>283.98999999999899</v>
      </c>
      <c r="AA378">
        <v>278.32</v>
      </c>
      <c r="AB378">
        <v>278.32</v>
      </c>
      <c r="AC378">
        <v>322.06333333333299</v>
      </c>
      <c r="AD378">
        <v>278.68</v>
      </c>
      <c r="AE378">
        <v>307.22333333333302</v>
      </c>
      <c r="AF378">
        <v>294.44333333333299</v>
      </c>
      <c r="AG378">
        <v>286.27999999999997</v>
      </c>
      <c r="AH378">
        <v>282.46666666666601</v>
      </c>
      <c r="AI378">
        <v>316.58666666666602</v>
      </c>
      <c r="AJ378">
        <v>275.789999999999</v>
      </c>
      <c r="AK378">
        <v>302.51666666666603</v>
      </c>
      <c r="AL378">
        <v>283.47333333333302</v>
      </c>
      <c r="AM378">
        <v>274.77333333333303</v>
      </c>
      <c r="AN378">
        <v>268.31333333333299</v>
      </c>
      <c r="AO378">
        <v>321.229999999999</v>
      </c>
      <c r="AP378">
        <v>253.379999999999</v>
      </c>
      <c r="AQ378">
        <v>302.03333333333302</v>
      </c>
      <c r="AR378">
        <v>268.993333333333</v>
      </c>
      <c r="AS378">
        <v>250.773333333333</v>
      </c>
      <c r="AT378">
        <v>235.40333333333299</v>
      </c>
      <c r="AU378">
        <v>333.606666666666</v>
      </c>
      <c r="AV378">
        <v>280.19666666666598</v>
      </c>
      <c r="AW378">
        <v>317.15666666666601</v>
      </c>
      <c r="AX378">
        <v>292.99666666666599</v>
      </c>
      <c r="AY378">
        <v>280.86</v>
      </c>
      <c r="AZ378">
        <v>271.72000000000003</v>
      </c>
      <c r="BA378">
        <v>322.20333333333298</v>
      </c>
      <c r="BB378">
        <v>266.95999999999901</v>
      </c>
      <c r="BC378">
        <v>305.32999999999902</v>
      </c>
      <c r="BD378">
        <v>280.046666666666</v>
      </c>
      <c r="BE378">
        <v>266.48333333333301</v>
      </c>
      <c r="BF378">
        <v>256.19333333333299</v>
      </c>
      <c r="BG378" s="14"/>
      <c r="BH378" s="14"/>
      <c r="BI378" s="14"/>
      <c r="BJ378" s="199"/>
      <c r="BK378" s="14"/>
      <c r="BL378" s="14"/>
      <c r="BM378" s="14"/>
      <c r="BN378" s="14"/>
      <c r="BO378" s="14"/>
      <c r="BP378" s="14"/>
      <c r="BQ378" s="14"/>
      <c r="BR378" s="14"/>
      <c r="BS378" s="14"/>
      <c r="BT378" s="14"/>
      <c r="BU378" s="14"/>
      <c r="BV378" s="14"/>
      <c r="BW378" s="14"/>
      <c r="BX378" s="14"/>
      <c r="BY378" s="170"/>
    </row>
    <row r="379" spans="9:77" x14ac:dyDescent="0.25">
      <c r="I379">
        <v>2300</v>
      </c>
      <c r="J379" s="1" t="s">
        <v>561</v>
      </c>
      <c r="K379">
        <v>316.58666666666602</v>
      </c>
      <c r="L379">
        <v>275.789999999999</v>
      </c>
      <c r="M379">
        <v>302.51666666666603</v>
      </c>
      <c r="N379">
        <v>283.47333333333302</v>
      </c>
      <c r="O379">
        <v>274.77333333333303</v>
      </c>
      <c r="P379">
        <v>268.31333333333299</v>
      </c>
      <c r="Q379">
        <v>300.42333333333301</v>
      </c>
      <c r="R379">
        <v>242.136666666666</v>
      </c>
      <c r="S379">
        <v>282.18999999999897</v>
      </c>
      <c r="T379">
        <v>256.243333333333</v>
      </c>
      <c r="U379">
        <v>241.89666666666599</v>
      </c>
      <c r="V379">
        <v>230.72666666666601</v>
      </c>
      <c r="W379">
        <v>303.42</v>
      </c>
      <c r="X379">
        <v>274.61666666666599</v>
      </c>
      <c r="Y379">
        <v>285.93666666666599</v>
      </c>
      <c r="Z379">
        <v>283.98999999999899</v>
      </c>
      <c r="AA379">
        <v>278.32</v>
      </c>
      <c r="AB379">
        <v>278.32</v>
      </c>
      <c r="AC379">
        <v>322.06333333333299</v>
      </c>
      <c r="AD379">
        <v>278.68</v>
      </c>
      <c r="AE379">
        <v>307.22333333333302</v>
      </c>
      <c r="AF379">
        <v>294.44333333333299</v>
      </c>
      <c r="AG379">
        <v>286.27999999999997</v>
      </c>
      <c r="AH379">
        <v>282.46666666666601</v>
      </c>
      <c r="AI379">
        <v>316.58666666666602</v>
      </c>
      <c r="AJ379">
        <v>275.789999999999</v>
      </c>
      <c r="AK379">
        <v>302.51666666666603</v>
      </c>
      <c r="AL379">
        <v>283.47333333333302</v>
      </c>
      <c r="AM379">
        <v>274.77333333333303</v>
      </c>
      <c r="AN379">
        <v>268.31333333333299</v>
      </c>
      <c r="AO379">
        <v>321.229999999999</v>
      </c>
      <c r="AP379">
        <v>253.379999999999</v>
      </c>
      <c r="AQ379">
        <v>302.03333333333302</v>
      </c>
      <c r="AR379">
        <v>268.993333333333</v>
      </c>
      <c r="AS379">
        <v>250.773333333333</v>
      </c>
      <c r="AT379">
        <v>235.40333333333299</v>
      </c>
      <c r="AU379">
        <v>333.606666666666</v>
      </c>
      <c r="AV379">
        <v>280.19666666666598</v>
      </c>
      <c r="AW379">
        <v>317.15666666666601</v>
      </c>
      <c r="AX379">
        <v>292.99666666666599</v>
      </c>
      <c r="AY379">
        <v>280.86</v>
      </c>
      <c r="AZ379">
        <v>271.72000000000003</v>
      </c>
      <c r="BA379">
        <v>322.20333333333298</v>
      </c>
      <c r="BB379">
        <v>266.95999999999901</v>
      </c>
      <c r="BC379">
        <v>305.32999999999902</v>
      </c>
      <c r="BD379">
        <v>280.046666666666</v>
      </c>
      <c r="BE379">
        <v>266.48333333333301</v>
      </c>
      <c r="BF379">
        <v>256.19333333333299</v>
      </c>
      <c r="BG379" s="14"/>
      <c r="BH379" s="14"/>
      <c r="BI379" s="14"/>
      <c r="BJ379" s="199"/>
      <c r="BK379" s="14"/>
      <c r="BL379" s="14"/>
      <c r="BM379" s="14"/>
      <c r="BN379" s="14"/>
      <c r="BO379" s="14"/>
      <c r="BP379" s="14"/>
      <c r="BQ379" s="14"/>
      <c r="BR379" s="14"/>
      <c r="BS379" s="14"/>
      <c r="BT379" s="14"/>
      <c r="BU379" s="14"/>
      <c r="BV379" s="14"/>
      <c r="BW379" s="14"/>
      <c r="BX379" s="14"/>
      <c r="BY379" s="170"/>
    </row>
    <row r="380" spans="9:77" x14ac:dyDescent="0.25">
      <c r="I380">
        <v>2400</v>
      </c>
      <c r="J380" s="1" t="s">
        <v>562</v>
      </c>
      <c r="K380">
        <v>316.58666666666602</v>
      </c>
      <c r="L380">
        <v>275.789999999999</v>
      </c>
      <c r="M380">
        <v>302.51666666666603</v>
      </c>
      <c r="N380">
        <v>283.47333333333302</v>
      </c>
      <c r="O380">
        <v>274.77333333333303</v>
      </c>
      <c r="P380">
        <v>268.31333333333299</v>
      </c>
      <c r="Q380">
        <v>300.42333333333301</v>
      </c>
      <c r="R380">
        <v>242.136666666666</v>
      </c>
      <c r="S380">
        <v>282.18999999999897</v>
      </c>
      <c r="T380">
        <v>256.243333333333</v>
      </c>
      <c r="U380">
        <v>241.89666666666599</v>
      </c>
      <c r="V380">
        <v>230.72666666666601</v>
      </c>
      <c r="W380">
        <v>303.42</v>
      </c>
      <c r="X380">
        <v>274.61666666666599</v>
      </c>
      <c r="Y380">
        <v>285.93666666666599</v>
      </c>
      <c r="Z380">
        <v>283.98999999999899</v>
      </c>
      <c r="AA380">
        <v>278.32</v>
      </c>
      <c r="AB380">
        <v>278.32</v>
      </c>
      <c r="AC380">
        <v>322.06333333333299</v>
      </c>
      <c r="AD380">
        <v>278.68</v>
      </c>
      <c r="AE380">
        <v>307.22333333333302</v>
      </c>
      <c r="AF380">
        <v>294.44333333333299</v>
      </c>
      <c r="AG380">
        <v>286.27999999999997</v>
      </c>
      <c r="AH380">
        <v>282.46666666666601</v>
      </c>
      <c r="AI380">
        <v>316.58666666666602</v>
      </c>
      <c r="AJ380">
        <v>275.789999999999</v>
      </c>
      <c r="AK380">
        <v>302.51666666666603</v>
      </c>
      <c r="AL380">
        <v>283.47333333333302</v>
      </c>
      <c r="AM380">
        <v>274.77333333333303</v>
      </c>
      <c r="AN380">
        <v>268.31333333333299</v>
      </c>
      <c r="AO380">
        <v>321.229999999999</v>
      </c>
      <c r="AP380">
        <v>253.379999999999</v>
      </c>
      <c r="AQ380">
        <v>302.03333333333302</v>
      </c>
      <c r="AR380">
        <v>268.993333333333</v>
      </c>
      <c r="AS380">
        <v>250.773333333333</v>
      </c>
      <c r="AT380">
        <v>235.40333333333299</v>
      </c>
      <c r="AU380">
        <v>333.606666666666</v>
      </c>
      <c r="AV380">
        <v>280.19666666666598</v>
      </c>
      <c r="AW380">
        <v>317.15666666666601</v>
      </c>
      <c r="AX380">
        <v>292.99666666666599</v>
      </c>
      <c r="AY380">
        <v>280.86</v>
      </c>
      <c r="AZ380">
        <v>271.72000000000003</v>
      </c>
      <c r="BA380">
        <v>322.20333333333298</v>
      </c>
      <c r="BB380">
        <v>266.95999999999901</v>
      </c>
      <c r="BC380">
        <v>305.32999999999902</v>
      </c>
      <c r="BD380">
        <v>280.046666666666</v>
      </c>
      <c r="BE380">
        <v>266.48333333333301</v>
      </c>
      <c r="BF380">
        <v>256.19333333333299</v>
      </c>
      <c r="BG380" s="14"/>
      <c r="BH380" s="14"/>
      <c r="BI380" s="14"/>
      <c r="BJ380" s="199"/>
      <c r="BK380" s="14"/>
      <c r="BL380" s="14"/>
      <c r="BM380" s="14"/>
      <c r="BN380" s="14"/>
      <c r="BO380" s="14"/>
      <c r="BP380" s="14"/>
      <c r="BQ380" s="14"/>
      <c r="BR380" s="14"/>
      <c r="BS380" s="14"/>
      <c r="BT380" s="14"/>
      <c r="BU380" s="14"/>
      <c r="BV380" s="14"/>
      <c r="BW380" s="14"/>
      <c r="BX380" s="14"/>
      <c r="BY380" s="170"/>
    </row>
    <row r="381" spans="9:77" x14ac:dyDescent="0.25">
      <c r="I381">
        <v>2450</v>
      </c>
      <c r="J381" s="1" t="s">
        <v>563</v>
      </c>
      <c r="K381">
        <v>261.01666666666603</v>
      </c>
      <c r="L381">
        <v>220.219999999999</v>
      </c>
      <c r="M381">
        <v>246.946666666666</v>
      </c>
      <c r="N381">
        <v>227.90333333333299</v>
      </c>
      <c r="O381">
        <v>219.20333333333301</v>
      </c>
      <c r="P381">
        <v>212.743333333333</v>
      </c>
      <c r="Q381">
        <v>244.85333333333301</v>
      </c>
      <c r="R381">
        <v>186.56666666666601</v>
      </c>
      <c r="S381">
        <v>226.61999999999901</v>
      </c>
      <c r="T381">
        <v>200.67333333333301</v>
      </c>
      <c r="U381">
        <v>186.326666666666</v>
      </c>
      <c r="V381">
        <v>175.15666666666601</v>
      </c>
      <c r="W381">
        <v>247.849999999999</v>
      </c>
      <c r="X381">
        <v>219.046666666666</v>
      </c>
      <c r="Y381">
        <v>230.36666666666599</v>
      </c>
      <c r="Z381">
        <v>228.41999999999899</v>
      </c>
      <c r="AA381">
        <v>222.75</v>
      </c>
      <c r="AB381">
        <v>222.75</v>
      </c>
      <c r="AC381">
        <v>266.493333333333</v>
      </c>
      <c r="AD381">
        <v>223.11</v>
      </c>
      <c r="AE381">
        <v>251.65333333333299</v>
      </c>
      <c r="AF381">
        <v>238.87333333333299</v>
      </c>
      <c r="AG381">
        <v>230.71</v>
      </c>
      <c r="AH381">
        <v>226.89666666666599</v>
      </c>
      <c r="AI381">
        <v>261.01666666666603</v>
      </c>
      <c r="AJ381">
        <v>220.219999999999</v>
      </c>
      <c r="AK381">
        <v>246.946666666666</v>
      </c>
      <c r="AL381">
        <v>227.90333333333299</v>
      </c>
      <c r="AM381">
        <v>219.20333333333301</v>
      </c>
      <c r="AN381">
        <v>212.743333333333</v>
      </c>
      <c r="AO381">
        <v>265.659999999999</v>
      </c>
      <c r="AP381">
        <v>197.80999999999901</v>
      </c>
      <c r="AQ381">
        <v>246.463333333333</v>
      </c>
      <c r="AR381">
        <v>213.42333333333301</v>
      </c>
      <c r="AS381">
        <v>195.20333333333301</v>
      </c>
      <c r="AT381">
        <v>179.833333333333</v>
      </c>
      <c r="AU381">
        <v>278.03666666666601</v>
      </c>
      <c r="AV381">
        <v>224.62666666666601</v>
      </c>
      <c r="AW381">
        <v>261.58666666666602</v>
      </c>
      <c r="AX381">
        <v>237.42666666666599</v>
      </c>
      <c r="AY381">
        <v>225.29</v>
      </c>
      <c r="AZ381">
        <v>216.14999999999901</v>
      </c>
      <c r="BA381">
        <v>266.63333333333298</v>
      </c>
      <c r="BB381">
        <v>211.38999999999899</v>
      </c>
      <c r="BC381">
        <v>249.759999999999</v>
      </c>
      <c r="BD381">
        <v>224.47666666666601</v>
      </c>
      <c r="BE381">
        <v>210.91333333333299</v>
      </c>
      <c r="BF381">
        <v>200.62333333333299</v>
      </c>
      <c r="BG381" s="14"/>
      <c r="BH381" s="14"/>
      <c r="BI381" s="14"/>
      <c r="BJ381" s="199"/>
      <c r="BK381" s="14"/>
      <c r="BL381" s="14"/>
      <c r="BM381" s="14"/>
      <c r="BN381" s="14"/>
      <c r="BO381" s="14"/>
      <c r="BP381" s="14"/>
      <c r="BQ381" s="14"/>
      <c r="BR381" s="14"/>
      <c r="BS381" s="14"/>
      <c r="BT381" s="14"/>
      <c r="BU381" s="14"/>
      <c r="BV381" s="14"/>
      <c r="BW381" s="14"/>
      <c r="BX381" s="14"/>
      <c r="BY381" s="170"/>
    </row>
    <row r="382" spans="9:77" x14ac:dyDescent="0.25">
      <c r="I382">
        <v>2500</v>
      </c>
      <c r="J382" s="1" t="s">
        <v>564</v>
      </c>
      <c r="K382">
        <v>316.58666666666602</v>
      </c>
      <c r="L382">
        <v>275.789999999999</v>
      </c>
      <c r="M382">
        <v>302.51666666666603</v>
      </c>
      <c r="N382">
        <v>283.47333333333302</v>
      </c>
      <c r="O382">
        <v>274.77333333333303</v>
      </c>
      <c r="P382">
        <v>268.31333333333299</v>
      </c>
      <c r="Q382">
        <v>300.42333333333301</v>
      </c>
      <c r="R382">
        <v>242.136666666666</v>
      </c>
      <c r="S382">
        <v>282.18999999999897</v>
      </c>
      <c r="T382">
        <v>256.243333333333</v>
      </c>
      <c r="U382">
        <v>241.89666666666599</v>
      </c>
      <c r="V382">
        <v>230.72666666666601</v>
      </c>
      <c r="W382">
        <v>303.42</v>
      </c>
      <c r="X382">
        <v>274.61666666666599</v>
      </c>
      <c r="Y382">
        <v>285.93666666666599</v>
      </c>
      <c r="Z382">
        <v>283.98999999999899</v>
      </c>
      <c r="AA382">
        <v>278.32</v>
      </c>
      <c r="AB382">
        <v>278.32</v>
      </c>
      <c r="AC382">
        <v>322.06333333333299</v>
      </c>
      <c r="AD382">
        <v>278.68</v>
      </c>
      <c r="AE382">
        <v>307.22333333333302</v>
      </c>
      <c r="AF382">
        <v>294.44333333333299</v>
      </c>
      <c r="AG382">
        <v>286.27999999999997</v>
      </c>
      <c r="AH382">
        <v>282.46666666666601</v>
      </c>
      <c r="AI382">
        <v>316.58666666666602</v>
      </c>
      <c r="AJ382">
        <v>275.789999999999</v>
      </c>
      <c r="AK382">
        <v>302.51666666666603</v>
      </c>
      <c r="AL382">
        <v>283.47333333333302</v>
      </c>
      <c r="AM382">
        <v>274.77333333333303</v>
      </c>
      <c r="AN382">
        <v>268.31333333333299</v>
      </c>
      <c r="AO382">
        <v>321.229999999999</v>
      </c>
      <c r="AP382">
        <v>253.379999999999</v>
      </c>
      <c r="AQ382">
        <v>302.03333333333302</v>
      </c>
      <c r="AR382">
        <v>268.993333333333</v>
      </c>
      <c r="AS382">
        <v>250.773333333333</v>
      </c>
      <c r="AT382">
        <v>235.40333333333299</v>
      </c>
      <c r="AU382">
        <v>333.606666666666</v>
      </c>
      <c r="AV382">
        <v>280.19666666666598</v>
      </c>
      <c r="AW382">
        <v>317.15666666666601</v>
      </c>
      <c r="AX382">
        <v>292.99666666666599</v>
      </c>
      <c r="AY382">
        <v>280.86</v>
      </c>
      <c r="AZ382">
        <v>271.72000000000003</v>
      </c>
      <c r="BA382">
        <v>322.20333333333298</v>
      </c>
      <c r="BB382">
        <v>266.95999999999901</v>
      </c>
      <c r="BC382">
        <v>305.32999999999902</v>
      </c>
      <c r="BD382">
        <v>280.046666666666</v>
      </c>
      <c r="BE382">
        <v>266.48333333333301</v>
      </c>
      <c r="BF382">
        <v>256.19333333333299</v>
      </c>
      <c r="BG382" s="14"/>
      <c r="BH382" s="14"/>
      <c r="BI382" s="14"/>
      <c r="BJ382" s="199"/>
      <c r="BK382" s="14"/>
      <c r="BL382" s="14"/>
      <c r="BM382" s="14"/>
      <c r="BN382" s="14"/>
      <c r="BO382" s="14"/>
      <c r="BP382" s="14"/>
      <c r="BQ382" s="14"/>
      <c r="BR382" s="14"/>
      <c r="BS382" s="14"/>
      <c r="BT382" s="14"/>
      <c r="BU382" s="14"/>
      <c r="BV382" s="14"/>
      <c r="BW382" s="14"/>
      <c r="BX382" s="14"/>
      <c r="BY382" s="170"/>
    </row>
    <row r="383" spans="9:77" x14ac:dyDescent="0.25">
      <c r="I383">
        <v>2600</v>
      </c>
      <c r="J383" s="1" t="s">
        <v>565</v>
      </c>
      <c r="K383">
        <v>342.36666666666599</v>
      </c>
      <c r="L383">
        <v>301.56999999999903</v>
      </c>
      <c r="M383">
        <v>328.296666666666</v>
      </c>
      <c r="N383">
        <v>309.25333333333299</v>
      </c>
      <c r="O383">
        <v>300.553333333333</v>
      </c>
      <c r="P383">
        <v>294.09333333333302</v>
      </c>
      <c r="Q383">
        <v>326.20333333333298</v>
      </c>
      <c r="R383">
        <v>267.916666666666</v>
      </c>
      <c r="S383">
        <v>307.969999999999</v>
      </c>
      <c r="T383">
        <v>282.02333333333303</v>
      </c>
      <c r="U383">
        <v>267.67666666666599</v>
      </c>
      <c r="V383">
        <v>256.50666666666598</v>
      </c>
      <c r="W383">
        <v>329.19999999999902</v>
      </c>
      <c r="X383">
        <v>300.39666666666602</v>
      </c>
      <c r="Y383">
        <v>311.71666666666601</v>
      </c>
      <c r="Z383">
        <v>309.76999999999902</v>
      </c>
      <c r="AA383">
        <v>304.10000000000002</v>
      </c>
      <c r="AB383">
        <v>304.10000000000002</v>
      </c>
      <c r="AC383">
        <v>347.84333333333302</v>
      </c>
      <c r="AD383">
        <v>304.45999999999998</v>
      </c>
      <c r="AE383">
        <v>333.00333333333299</v>
      </c>
      <c r="AF383">
        <v>320.22333333333302</v>
      </c>
      <c r="AG383">
        <v>312.06</v>
      </c>
      <c r="AH383">
        <v>308.24666666666599</v>
      </c>
      <c r="AI383">
        <v>342.36666666666599</v>
      </c>
      <c r="AJ383">
        <v>301.56999999999903</v>
      </c>
      <c r="AK383">
        <v>328.296666666666</v>
      </c>
      <c r="AL383">
        <v>309.25333333333299</v>
      </c>
      <c r="AM383">
        <v>300.553333333333</v>
      </c>
      <c r="AN383">
        <v>294.09333333333302</v>
      </c>
      <c r="AO383">
        <v>347.00999999999902</v>
      </c>
      <c r="AP383">
        <v>279.159999999999</v>
      </c>
      <c r="AQ383">
        <v>327.81333333333299</v>
      </c>
      <c r="AR383">
        <v>294.77333333333303</v>
      </c>
      <c r="AS383">
        <v>276.553333333333</v>
      </c>
      <c r="AT383">
        <v>261.183333333333</v>
      </c>
      <c r="AU383">
        <v>359.38666666666597</v>
      </c>
      <c r="AV383">
        <v>305.97666666666601</v>
      </c>
      <c r="AW383">
        <v>342.93666666666599</v>
      </c>
      <c r="AX383">
        <v>318.77666666666602</v>
      </c>
      <c r="AY383">
        <v>306.64</v>
      </c>
      <c r="AZ383">
        <v>297.5</v>
      </c>
      <c r="BA383">
        <v>347.98333333333301</v>
      </c>
      <c r="BB383">
        <v>292.73999999999899</v>
      </c>
      <c r="BC383">
        <v>331.10999999999899</v>
      </c>
      <c r="BD383">
        <v>305.82666666666597</v>
      </c>
      <c r="BE383">
        <v>292.26333333333298</v>
      </c>
      <c r="BF383">
        <v>281.97333333333302</v>
      </c>
      <c r="BG383" s="14"/>
      <c r="BH383" s="14"/>
      <c r="BI383" s="14"/>
      <c r="BJ383" s="199"/>
      <c r="BK383" s="14"/>
      <c r="BL383" s="14"/>
      <c r="BM383" s="14"/>
      <c r="BN383" s="14"/>
      <c r="BO383" s="14"/>
      <c r="BP383" s="14"/>
      <c r="BQ383" s="14"/>
      <c r="BR383" s="14"/>
      <c r="BS383" s="14"/>
      <c r="BT383" s="14"/>
      <c r="BU383" s="14"/>
      <c r="BV383" s="14"/>
      <c r="BW383" s="14"/>
      <c r="BX383" s="14"/>
      <c r="BY383" s="170"/>
    </row>
    <row r="384" spans="9:77" x14ac:dyDescent="0.25">
      <c r="I384">
        <v>2605</v>
      </c>
      <c r="J384" s="1" t="s">
        <v>566</v>
      </c>
      <c r="K384">
        <v>281.916666666666</v>
      </c>
      <c r="L384">
        <v>241.11999999999901</v>
      </c>
      <c r="M384">
        <v>267.84666666666601</v>
      </c>
      <c r="N384">
        <v>248.803333333333</v>
      </c>
      <c r="O384">
        <v>240.10333333333301</v>
      </c>
      <c r="P384">
        <v>233.643333333333</v>
      </c>
      <c r="Q384">
        <v>265.75333333333299</v>
      </c>
      <c r="R384">
        <v>207.46666666666599</v>
      </c>
      <c r="S384">
        <v>247.51999999999899</v>
      </c>
      <c r="T384">
        <v>221.57333333333301</v>
      </c>
      <c r="U384">
        <v>207.22666666666601</v>
      </c>
      <c r="V384">
        <v>196.05666666666599</v>
      </c>
      <c r="W384">
        <v>268.74999999999898</v>
      </c>
      <c r="X384">
        <v>239.946666666666</v>
      </c>
      <c r="Y384">
        <v>251.266666666666</v>
      </c>
      <c r="Z384">
        <v>249.319999999999</v>
      </c>
      <c r="AA384">
        <v>243.64999999999901</v>
      </c>
      <c r="AB384">
        <v>243.64999999999901</v>
      </c>
      <c r="AC384">
        <v>287.39333333333298</v>
      </c>
      <c r="AD384">
        <v>244.009999999999</v>
      </c>
      <c r="AE384">
        <v>272.553333333333</v>
      </c>
      <c r="AF384">
        <v>259.77333333333303</v>
      </c>
      <c r="AG384">
        <v>251.61</v>
      </c>
      <c r="AH384">
        <v>247.796666666666</v>
      </c>
      <c r="AI384">
        <v>281.916666666666</v>
      </c>
      <c r="AJ384">
        <v>241.11999999999901</v>
      </c>
      <c r="AK384">
        <v>267.84666666666601</v>
      </c>
      <c r="AL384">
        <v>248.803333333333</v>
      </c>
      <c r="AM384">
        <v>240.10333333333301</v>
      </c>
      <c r="AN384">
        <v>233.643333333333</v>
      </c>
      <c r="AO384">
        <v>286.55999999999898</v>
      </c>
      <c r="AP384">
        <v>218.70999999999901</v>
      </c>
      <c r="AQ384">
        <v>267.363333333333</v>
      </c>
      <c r="AR384">
        <v>234.32333333333301</v>
      </c>
      <c r="AS384">
        <v>216.10333333333301</v>
      </c>
      <c r="AT384">
        <v>200.73333333333301</v>
      </c>
      <c r="AU384">
        <v>298.93666666666599</v>
      </c>
      <c r="AV384">
        <v>245.52666666666599</v>
      </c>
      <c r="AW384">
        <v>282.486666666666</v>
      </c>
      <c r="AX384">
        <v>258.32666666666597</v>
      </c>
      <c r="AY384">
        <v>246.19</v>
      </c>
      <c r="AZ384">
        <v>237.04999999999899</v>
      </c>
      <c r="BA384">
        <v>287.53333333333302</v>
      </c>
      <c r="BB384">
        <v>232.289999999999</v>
      </c>
      <c r="BC384">
        <v>270.659999999999</v>
      </c>
      <c r="BD384">
        <v>245.37666666666601</v>
      </c>
      <c r="BE384">
        <v>231.81333333333299</v>
      </c>
      <c r="BF384">
        <v>221.523333333333</v>
      </c>
      <c r="BG384" s="14"/>
      <c r="BH384" s="14"/>
      <c r="BI384" s="14"/>
      <c r="BJ384" s="199"/>
      <c r="BK384" s="14"/>
      <c r="BL384" s="14"/>
      <c r="BM384" s="14"/>
      <c r="BN384" s="14"/>
      <c r="BO384" s="14"/>
      <c r="BP384" s="14"/>
      <c r="BQ384" s="14"/>
      <c r="BR384" s="14"/>
      <c r="BS384" s="14"/>
      <c r="BT384" s="14"/>
      <c r="BU384" s="14"/>
      <c r="BV384" s="14"/>
      <c r="BW384" s="14"/>
      <c r="BX384" s="14"/>
      <c r="BY384" s="170"/>
    </row>
    <row r="385" spans="9:77" x14ac:dyDescent="0.25">
      <c r="I385">
        <v>2610</v>
      </c>
      <c r="J385" s="1" t="s">
        <v>567</v>
      </c>
      <c r="K385">
        <v>342.36666666666599</v>
      </c>
      <c r="L385">
        <v>301.56999999999903</v>
      </c>
      <c r="M385">
        <v>328.296666666666</v>
      </c>
      <c r="N385">
        <v>309.25333333333299</v>
      </c>
      <c r="O385">
        <v>300.553333333333</v>
      </c>
      <c r="P385">
        <v>294.09333333333302</v>
      </c>
      <c r="Q385">
        <v>326.20333333333298</v>
      </c>
      <c r="R385">
        <v>267.916666666666</v>
      </c>
      <c r="S385">
        <v>307.969999999999</v>
      </c>
      <c r="T385">
        <v>282.02333333333303</v>
      </c>
      <c r="U385">
        <v>267.67666666666599</v>
      </c>
      <c r="V385">
        <v>256.50666666666598</v>
      </c>
      <c r="W385">
        <v>329.19999999999902</v>
      </c>
      <c r="X385">
        <v>300.39666666666602</v>
      </c>
      <c r="Y385">
        <v>311.71666666666601</v>
      </c>
      <c r="Z385">
        <v>309.76999999999902</v>
      </c>
      <c r="AA385">
        <v>304.10000000000002</v>
      </c>
      <c r="AB385">
        <v>304.10000000000002</v>
      </c>
      <c r="AC385">
        <v>347.84333333333302</v>
      </c>
      <c r="AD385">
        <v>304.45999999999998</v>
      </c>
      <c r="AE385">
        <v>333.00333333333299</v>
      </c>
      <c r="AF385">
        <v>320.22333333333302</v>
      </c>
      <c r="AG385">
        <v>312.06</v>
      </c>
      <c r="AH385">
        <v>308.24666666666599</v>
      </c>
      <c r="AI385">
        <v>342.36666666666599</v>
      </c>
      <c r="AJ385">
        <v>301.56999999999903</v>
      </c>
      <c r="AK385">
        <v>328.296666666666</v>
      </c>
      <c r="AL385">
        <v>309.25333333333299</v>
      </c>
      <c r="AM385">
        <v>300.553333333333</v>
      </c>
      <c r="AN385">
        <v>294.09333333333302</v>
      </c>
      <c r="AO385">
        <v>347.00999999999902</v>
      </c>
      <c r="AP385">
        <v>279.159999999999</v>
      </c>
      <c r="AQ385">
        <v>327.81333333333299</v>
      </c>
      <c r="AR385">
        <v>294.77333333333303</v>
      </c>
      <c r="AS385">
        <v>276.553333333333</v>
      </c>
      <c r="AT385">
        <v>261.183333333333</v>
      </c>
      <c r="AU385">
        <v>359.38666666666597</v>
      </c>
      <c r="AV385">
        <v>305.97666666666601</v>
      </c>
      <c r="AW385">
        <v>342.93666666666599</v>
      </c>
      <c r="AX385">
        <v>318.77666666666602</v>
      </c>
      <c r="AY385">
        <v>306.64</v>
      </c>
      <c r="AZ385">
        <v>297.5</v>
      </c>
      <c r="BA385">
        <v>347.98333333333301</v>
      </c>
      <c r="BB385">
        <v>292.73999999999899</v>
      </c>
      <c r="BC385">
        <v>331.10999999999899</v>
      </c>
      <c r="BD385">
        <v>305.82666666666597</v>
      </c>
      <c r="BE385">
        <v>292.26333333333298</v>
      </c>
      <c r="BF385">
        <v>281.97333333333302</v>
      </c>
      <c r="BG385" s="14"/>
      <c r="BH385" s="14"/>
      <c r="BI385" s="14"/>
      <c r="BJ385" s="199"/>
      <c r="BK385" s="14"/>
      <c r="BL385" s="14"/>
      <c r="BM385" s="14"/>
      <c r="BN385" s="14"/>
      <c r="BO385" s="14"/>
      <c r="BP385" s="14"/>
      <c r="BQ385" s="14"/>
      <c r="BR385" s="14"/>
      <c r="BS385" s="14"/>
      <c r="BT385" s="14"/>
      <c r="BU385" s="14"/>
      <c r="BV385" s="14"/>
      <c r="BW385" s="14"/>
      <c r="BX385" s="14"/>
      <c r="BY385" s="170"/>
    </row>
    <row r="386" spans="9:77" x14ac:dyDescent="0.25">
      <c r="I386">
        <v>2620</v>
      </c>
      <c r="J386" s="1" t="s">
        <v>568</v>
      </c>
      <c r="K386">
        <v>342.36666666666599</v>
      </c>
      <c r="L386">
        <v>301.56999999999903</v>
      </c>
      <c r="M386">
        <v>328.296666666666</v>
      </c>
      <c r="N386">
        <v>309.25333333333299</v>
      </c>
      <c r="O386">
        <v>300.553333333333</v>
      </c>
      <c r="P386">
        <v>294.09333333333302</v>
      </c>
      <c r="Q386">
        <v>326.20333333333298</v>
      </c>
      <c r="R386">
        <v>267.916666666666</v>
      </c>
      <c r="S386">
        <v>307.969999999999</v>
      </c>
      <c r="T386">
        <v>282.02333333333303</v>
      </c>
      <c r="U386">
        <v>267.67666666666599</v>
      </c>
      <c r="V386">
        <v>256.50666666666598</v>
      </c>
      <c r="W386">
        <v>329.19999999999902</v>
      </c>
      <c r="X386">
        <v>300.39666666666602</v>
      </c>
      <c r="Y386">
        <v>311.71666666666601</v>
      </c>
      <c r="Z386">
        <v>309.76999999999902</v>
      </c>
      <c r="AA386">
        <v>304.10000000000002</v>
      </c>
      <c r="AB386">
        <v>304.10000000000002</v>
      </c>
      <c r="AC386">
        <v>347.84333333333302</v>
      </c>
      <c r="AD386">
        <v>304.45999999999998</v>
      </c>
      <c r="AE386">
        <v>333.00333333333299</v>
      </c>
      <c r="AF386">
        <v>320.22333333333302</v>
      </c>
      <c r="AG386">
        <v>312.06</v>
      </c>
      <c r="AH386">
        <v>308.24666666666599</v>
      </c>
      <c r="AI386">
        <v>342.36666666666599</v>
      </c>
      <c r="AJ386">
        <v>301.56999999999903</v>
      </c>
      <c r="AK386">
        <v>328.296666666666</v>
      </c>
      <c r="AL386">
        <v>309.25333333333299</v>
      </c>
      <c r="AM386">
        <v>300.553333333333</v>
      </c>
      <c r="AN386">
        <v>294.09333333333302</v>
      </c>
      <c r="AO386">
        <v>347.00999999999902</v>
      </c>
      <c r="AP386">
        <v>279.159999999999</v>
      </c>
      <c r="AQ386">
        <v>327.81333333333299</v>
      </c>
      <c r="AR386">
        <v>294.77333333333303</v>
      </c>
      <c r="AS386">
        <v>276.553333333333</v>
      </c>
      <c r="AT386">
        <v>261.183333333333</v>
      </c>
      <c r="AU386">
        <v>359.38666666666597</v>
      </c>
      <c r="AV386">
        <v>305.97666666666601</v>
      </c>
      <c r="AW386">
        <v>342.93666666666599</v>
      </c>
      <c r="AX386">
        <v>318.77666666666602</v>
      </c>
      <c r="AY386">
        <v>306.64</v>
      </c>
      <c r="AZ386">
        <v>297.5</v>
      </c>
      <c r="BA386">
        <v>347.98333333333301</v>
      </c>
      <c r="BB386">
        <v>292.73999999999899</v>
      </c>
      <c r="BC386">
        <v>331.10999999999899</v>
      </c>
      <c r="BD386">
        <v>305.82666666666597</v>
      </c>
      <c r="BE386">
        <v>292.26333333333298</v>
      </c>
      <c r="BF386">
        <v>281.97333333333302</v>
      </c>
      <c r="BG386" s="14"/>
      <c r="BH386" s="14"/>
      <c r="BI386" s="14"/>
      <c r="BJ386" s="199"/>
      <c r="BK386" s="14"/>
      <c r="BL386" s="14"/>
      <c r="BM386" s="14"/>
      <c r="BN386" s="14"/>
      <c r="BO386" s="14"/>
      <c r="BP386" s="14"/>
      <c r="BQ386" s="14"/>
      <c r="BR386" s="14"/>
      <c r="BS386" s="14"/>
      <c r="BT386" s="14"/>
      <c r="BU386" s="14"/>
      <c r="BV386" s="14"/>
      <c r="BW386" s="14"/>
      <c r="BX386" s="14"/>
      <c r="BY386" s="170"/>
    </row>
    <row r="387" spans="9:77" x14ac:dyDescent="0.25">
      <c r="I387">
        <v>2625</v>
      </c>
      <c r="J387" s="1" t="s">
        <v>569</v>
      </c>
      <c r="K387">
        <v>281.916666666666</v>
      </c>
      <c r="L387">
        <v>241.11999999999901</v>
      </c>
      <c r="M387">
        <v>267.84666666666601</v>
      </c>
      <c r="N387">
        <v>248.803333333333</v>
      </c>
      <c r="O387">
        <v>240.10333333333301</v>
      </c>
      <c r="P387">
        <v>233.643333333333</v>
      </c>
      <c r="Q387">
        <v>265.75333333333299</v>
      </c>
      <c r="R387">
        <v>207.46666666666599</v>
      </c>
      <c r="S387">
        <v>247.51999999999899</v>
      </c>
      <c r="T387">
        <v>221.57333333333301</v>
      </c>
      <c r="U387">
        <v>207.22666666666601</v>
      </c>
      <c r="V387">
        <v>196.05666666666599</v>
      </c>
      <c r="W387">
        <v>268.74999999999898</v>
      </c>
      <c r="X387">
        <v>239.946666666666</v>
      </c>
      <c r="Y387">
        <v>251.266666666666</v>
      </c>
      <c r="Z387">
        <v>249.319999999999</v>
      </c>
      <c r="AA387">
        <v>243.64999999999901</v>
      </c>
      <c r="AB387">
        <v>243.64999999999901</v>
      </c>
      <c r="AC387">
        <v>287.39333333333298</v>
      </c>
      <c r="AD387">
        <v>244.009999999999</v>
      </c>
      <c r="AE387">
        <v>272.553333333333</v>
      </c>
      <c r="AF387">
        <v>259.77333333333303</v>
      </c>
      <c r="AG387">
        <v>251.61</v>
      </c>
      <c r="AH387">
        <v>247.796666666666</v>
      </c>
      <c r="AI387">
        <v>281.916666666666</v>
      </c>
      <c r="AJ387">
        <v>241.11999999999901</v>
      </c>
      <c r="AK387">
        <v>267.84666666666601</v>
      </c>
      <c r="AL387">
        <v>248.803333333333</v>
      </c>
      <c r="AM387">
        <v>240.10333333333301</v>
      </c>
      <c r="AN387">
        <v>233.643333333333</v>
      </c>
      <c r="AO387">
        <v>286.55999999999898</v>
      </c>
      <c r="AP387">
        <v>218.70999999999901</v>
      </c>
      <c r="AQ387">
        <v>267.363333333333</v>
      </c>
      <c r="AR387">
        <v>234.32333333333301</v>
      </c>
      <c r="AS387">
        <v>216.10333333333301</v>
      </c>
      <c r="AT387">
        <v>200.73333333333301</v>
      </c>
      <c r="AU387">
        <v>298.93666666666599</v>
      </c>
      <c r="AV387">
        <v>245.52666666666599</v>
      </c>
      <c r="AW387">
        <v>282.486666666666</v>
      </c>
      <c r="AX387">
        <v>258.32666666666597</v>
      </c>
      <c r="AY387">
        <v>246.19</v>
      </c>
      <c r="AZ387">
        <v>237.04999999999899</v>
      </c>
      <c r="BA387">
        <v>287.53333333333302</v>
      </c>
      <c r="BB387">
        <v>232.289999999999</v>
      </c>
      <c r="BC387">
        <v>270.659999999999</v>
      </c>
      <c r="BD387">
        <v>245.37666666666601</v>
      </c>
      <c r="BE387">
        <v>231.81333333333299</v>
      </c>
      <c r="BF387">
        <v>221.523333333333</v>
      </c>
      <c r="BG387" s="14"/>
      <c r="BH387" s="14"/>
      <c r="BI387" s="14"/>
      <c r="BJ387" s="199"/>
      <c r="BK387" s="14"/>
      <c r="BL387" s="14"/>
      <c r="BM387" s="14"/>
      <c r="BN387" s="14"/>
      <c r="BO387" s="14"/>
      <c r="BP387" s="14"/>
      <c r="BQ387" s="14"/>
      <c r="BR387" s="14"/>
      <c r="BS387" s="14"/>
      <c r="BT387" s="14"/>
      <c r="BU387" s="14"/>
      <c r="BV387" s="14"/>
      <c r="BW387" s="14"/>
      <c r="BX387" s="14"/>
      <c r="BY387" s="170"/>
    </row>
    <row r="388" spans="9:77" x14ac:dyDescent="0.25">
      <c r="I388">
        <v>2630</v>
      </c>
      <c r="J388" s="1" t="s">
        <v>570</v>
      </c>
      <c r="K388">
        <v>320.236666666666</v>
      </c>
      <c r="L388">
        <v>279.43999999999897</v>
      </c>
      <c r="M388">
        <v>306.166666666666</v>
      </c>
      <c r="N388">
        <v>287.12333333333299</v>
      </c>
      <c r="O388">
        <v>278.42333333333301</v>
      </c>
      <c r="P388">
        <v>271.96333333333303</v>
      </c>
      <c r="Q388">
        <v>304.07333333333298</v>
      </c>
      <c r="R388">
        <v>245.78666666666601</v>
      </c>
      <c r="S388">
        <v>285.83999999999901</v>
      </c>
      <c r="T388">
        <v>259.89333333333298</v>
      </c>
      <c r="U388">
        <v>245.546666666666</v>
      </c>
      <c r="V388">
        <v>234.37666666666601</v>
      </c>
      <c r="W388">
        <v>307.06999999999903</v>
      </c>
      <c r="X388">
        <v>278.26666666666603</v>
      </c>
      <c r="Y388">
        <v>289.58666666666602</v>
      </c>
      <c r="Z388">
        <v>287.63999999999902</v>
      </c>
      <c r="AA388">
        <v>281.97000000000003</v>
      </c>
      <c r="AB388">
        <v>281.97000000000003</v>
      </c>
      <c r="AC388">
        <v>325.71333333333303</v>
      </c>
      <c r="AD388">
        <v>282.33</v>
      </c>
      <c r="AE388">
        <v>310.87333333333299</v>
      </c>
      <c r="AF388">
        <v>298.09333333333302</v>
      </c>
      <c r="AG388">
        <v>289.93</v>
      </c>
      <c r="AH388">
        <v>286.11666666666599</v>
      </c>
      <c r="AI388">
        <v>320.236666666666</v>
      </c>
      <c r="AJ388">
        <v>279.43999999999897</v>
      </c>
      <c r="AK388">
        <v>306.166666666666</v>
      </c>
      <c r="AL388">
        <v>287.12333333333299</v>
      </c>
      <c r="AM388">
        <v>278.42333333333301</v>
      </c>
      <c r="AN388">
        <v>271.96333333333303</v>
      </c>
      <c r="AO388">
        <v>324.87999999999897</v>
      </c>
      <c r="AP388">
        <v>257.02999999999901</v>
      </c>
      <c r="AQ388">
        <v>305.683333333333</v>
      </c>
      <c r="AR388">
        <v>272.64333333333298</v>
      </c>
      <c r="AS388">
        <v>254.42333333333301</v>
      </c>
      <c r="AT388">
        <v>239.053333333333</v>
      </c>
      <c r="AU388">
        <v>337.25666666666598</v>
      </c>
      <c r="AV388">
        <v>283.84666666666601</v>
      </c>
      <c r="AW388">
        <v>320.80666666666599</v>
      </c>
      <c r="AX388">
        <v>296.64666666666602</v>
      </c>
      <c r="AY388">
        <v>284.51</v>
      </c>
      <c r="AZ388">
        <v>275.37</v>
      </c>
      <c r="BA388">
        <v>325.85333333333301</v>
      </c>
      <c r="BB388">
        <v>270.60999999999899</v>
      </c>
      <c r="BC388">
        <v>308.979999999999</v>
      </c>
      <c r="BD388">
        <v>283.69666666666598</v>
      </c>
      <c r="BE388">
        <v>270.13333333333298</v>
      </c>
      <c r="BF388">
        <v>259.84333333333302</v>
      </c>
      <c r="BG388" s="14"/>
      <c r="BH388" s="14"/>
      <c r="BI388" s="14"/>
      <c r="BJ388" s="199"/>
      <c r="BK388" s="14"/>
      <c r="BL388" s="14"/>
      <c r="BM388" s="14"/>
      <c r="BN388" s="14"/>
      <c r="BO388" s="14"/>
      <c r="BP388" s="14"/>
      <c r="BQ388" s="14"/>
      <c r="BR388" s="14"/>
      <c r="BS388" s="14"/>
      <c r="BT388" s="14"/>
      <c r="BU388" s="14"/>
      <c r="BV388" s="14"/>
      <c r="BW388" s="14"/>
      <c r="BX388" s="14"/>
      <c r="BY388" s="170"/>
    </row>
    <row r="389" spans="9:77" x14ac:dyDescent="0.25">
      <c r="I389">
        <v>2635</v>
      </c>
      <c r="J389" s="1" t="s">
        <v>571</v>
      </c>
      <c r="K389">
        <v>307.236666666666</v>
      </c>
      <c r="L389">
        <v>266.43999999999897</v>
      </c>
      <c r="M389">
        <v>293.166666666666</v>
      </c>
      <c r="N389">
        <v>274.12333333333299</v>
      </c>
      <c r="O389">
        <v>265.42333333333301</v>
      </c>
      <c r="P389">
        <v>258.96333333333303</v>
      </c>
      <c r="Q389">
        <v>291.07333333333298</v>
      </c>
      <c r="R389">
        <v>232.78666666666601</v>
      </c>
      <c r="S389">
        <v>272.83999999999901</v>
      </c>
      <c r="T389">
        <v>246.893333333333</v>
      </c>
      <c r="U389">
        <v>232.546666666666</v>
      </c>
      <c r="V389">
        <v>221.37666666666601</v>
      </c>
      <c r="W389">
        <v>294.06999999999903</v>
      </c>
      <c r="X389">
        <v>265.26666666666603</v>
      </c>
      <c r="Y389">
        <v>276.58666666666602</v>
      </c>
      <c r="Z389">
        <v>274.63999999999902</v>
      </c>
      <c r="AA389">
        <v>268.97000000000003</v>
      </c>
      <c r="AB389">
        <v>268.97000000000003</v>
      </c>
      <c r="AC389">
        <v>312.71333333333303</v>
      </c>
      <c r="AD389">
        <v>269.33</v>
      </c>
      <c r="AE389">
        <v>297.87333333333299</v>
      </c>
      <c r="AF389">
        <v>285.09333333333302</v>
      </c>
      <c r="AG389">
        <v>276.93</v>
      </c>
      <c r="AH389">
        <v>273.11666666666599</v>
      </c>
      <c r="AI389">
        <v>307.236666666666</v>
      </c>
      <c r="AJ389">
        <v>266.43999999999897</v>
      </c>
      <c r="AK389">
        <v>293.166666666666</v>
      </c>
      <c r="AL389">
        <v>274.12333333333299</v>
      </c>
      <c r="AM389">
        <v>265.42333333333301</v>
      </c>
      <c r="AN389">
        <v>258.96333333333303</v>
      </c>
      <c r="AO389">
        <v>311.87999999999897</v>
      </c>
      <c r="AP389">
        <v>244.02999999999901</v>
      </c>
      <c r="AQ389">
        <v>292.683333333333</v>
      </c>
      <c r="AR389">
        <v>259.64333333333298</v>
      </c>
      <c r="AS389">
        <v>241.42333333333301</v>
      </c>
      <c r="AT389">
        <v>226.053333333333</v>
      </c>
      <c r="AU389">
        <v>324.25666666666598</v>
      </c>
      <c r="AV389">
        <v>270.84666666666601</v>
      </c>
      <c r="AW389">
        <v>307.80666666666599</v>
      </c>
      <c r="AX389">
        <v>283.64666666666602</v>
      </c>
      <c r="AY389">
        <v>271.51</v>
      </c>
      <c r="AZ389">
        <v>262.37</v>
      </c>
      <c r="BA389">
        <v>312.85333333333301</v>
      </c>
      <c r="BB389">
        <v>257.60999999999899</v>
      </c>
      <c r="BC389">
        <v>295.979999999999</v>
      </c>
      <c r="BD389">
        <v>270.69666666666598</v>
      </c>
      <c r="BE389">
        <v>257.13333333333298</v>
      </c>
      <c r="BF389">
        <v>246.84333333333299</v>
      </c>
      <c r="BG389" s="14"/>
      <c r="BH389" s="14"/>
      <c r="BI389" s="14"/>
      <c r="BJ389" s="199"/>
      <c r="BK389" s="14"/>
      <c r="BL389" s="14"/>
      <c r="BM389" s="14"/>
      <c r="BN389" s="14"/>
      <c r="BO389" s="14"/>
      <c r="BP389" s="14"/>
      <c r="BQ389" s="14"/>
      <c r="BR389" s="14"/>
      <c r="BS389" s="14"/>
      <c r="BT389" s="14"/>
      <c r="BU389" s="14"/>
      <c r="BV389" s="14"/>
      <c r="BW389" s="14"/>
      <c r="BX389" s="14"/>
      <c r="BY389" s="170"/>
    </row>
    <row r="390" spans="9:77" x14ac:dyDescent="0.25">
      <c r="I390">
        <v>2640</v>
      </c>
      <c r="J390" s="1" t="s">
        <v>572</v>
      </c>
      <c r="K390">
        <v>307.236666666666</v>
      </c>
      <c r="L390">
        <v>266.43999999999897</v>
      </c>
      <c r="M390">
        <v>293.166666666666</v>
      </c>
      <c r="N390">
        <v>274.12333333333299</v>
      </c>
      <c r="O390">
        <v>265.42333333333301</v>
      </c>
      <c r="P390">
        <v>258.96333333333303</v>
      </c>
      <c r="Q390">
        <v>291.07333333333298</v>
      </c>
      <c r="R390">
        <v>232.78666666666601</v>
      </c>
      <c r="S390">
        <v>272.83999999999901</v>
      </c>
      <c r="T390">
        <v>246.893333333333</v>
      </c>
      <c r="U390">
        <v>232.546666666666</v>
      </c>
      <c r="V390">
        <v>221.37666666666601</v>
      </c>
      <c r="W390">
        <v>294.06999999999903</v>
      </c>
      <c r="X390">
        <v>265.26666666666603</v>
      </c>
      <c r="Y390">
        <v>276.58666666666602</v>
      </c>
      <c r="Z390">
        <v>274.63999999999902</v>
      </c>
      <c r="AA390">
        <v>268.97000000000003</v>
      </c>
      <c r="AB390">
        <v>268.97000000000003</v>
      </c>
      <c r="AC390">
        <v>312.71333333333303</v>
      </c>
      <c r="AD390">
        <v>269.33</v>
      </c>
      <c r="AE390">
        <v>297.87333333333299</v>
      </c>
      <c r="AF390">
        <v>285.09333333333302</v>
      </c>
      <c r="AG390">
        <v>276.93</v>
      </c>
      <c r="AH390">
        <v>273.11666666666599</v>
      </c>
      <c r="AI390">
        <v>307.236666666666</v>
      </c>
      <c r="AJ390">
        <v>266.43999999999897</v>
      </c>
      <c r="AK390">
        <v>293.166666666666</v>
      </c>
      <c r="AL390">
        <v>274.12333333333299</v>
      </c>
      <c r="AM390">
        <v>265.42333333333301</v>
      </c>
      <c r="AN390">
        <v>258.96333333333303</v>
      </c>
      <c r="AO390">
        <v>311.87999999999897</v>
      </c>
      <c r="AP390">
        <v>244.02999999999901</v>
      </c>
      <c r="AQ390">
        <v>292.683333333333</v>
      </c>
      <c r="AR390">
        <v>259.64333333333298</v>
      </c>
      <c r="AS390">
        <v>241.42333333333301</v>
      </c>
      <c r="AT390">
        <v>226.053333333333</v>
      </c>
      <c r="AU390">
        <v>324.25666666666598</v>
      </c>
      <c r="AV390">
        <v>270.84666666666601</v>
      </c>
      <c r="AW390">
        <v>307.80666666666599</v>
      </c>
      <c r="AX390">
        <v>283.64666666666602</v>
      </c>
      <c r="AY390">
        <v>271.51</v>
      </c>
      <c r="AZ390">
        <v>262.37</v>
      </c>
      <c r="BA390">
        <v>312.85333333333301</v>
      </c>
      <c r="BB390">
        <v>257.60999999999899</v>
      </c>
      <c r="BC390">
        <v>295.979999999999</v>
      </c>
      <c r="BD390">
        <v>270.69666666666598</v>
      </c>
      <c r="BE390">
        <v>257.13333333333298</v>
      </c>
      <c r="BF390">
        <v>246.84333333333299</v>
      </c>
      <c r="BG390" s="14"/>
      <c r="BH390" s="14"/>
      <c r="BI390" s="14"/>
      <c r="BJ390" s="199"/>
      <c r="BK390" s="14"/>
      <c r="BL390" s="14"/>
      <c r="BM390" s="14"/>
      <c r="BN390" s="14"/>
      <c r="BO390" s="14"/>
      <c r="BP390" s="14"/>
      <c r="BQ390" s="14"/>
      <c r="BR390" s="14"/>
      <c r="BS390" s="14"/>
      <c r="BT390" s="14"/>
      <c r="BU390" s="14"/>
      <c r="BV390" s="14"/>
      <c r="BW390" s="14"/>
      <c r="BX390" s="14"/>
      <c r="BY390" s="170"/>
    </row>
    <row r="391" spans="9:77" x14ac:dyDescent="0.25">
      <c r="I391">
        <v>2650</v>
      </c>
      <c r="J391" s="1" t="s">
        <v>573</v>
      </c>
      <c r="K391">
        <v>281.916666666666</v>
      </c>
      <c r="L391">
        <v>241.11999999999901</v>
      </c>
      <c r="M391">
        <v>267.84666666666601</v>
      </c>
      <c r="N391">
        <v>248.803333333333</v>
      </c>
      <c r="O391">
        <v>240.10333333333301</v>
      </c>
      <c r="P391">
        <v>233.643333333333</v>
      </c>
      <c r="Q391">
        <v>265.75333333333299</v>
      </c>
      <c r="R391">
        <v>207.46666666666599</v>
      </c>
      <c r="S391">
        <v>247.51999999999899</v>
      </c>
      <c r="T391">
        <v>221.57333333333301</v>
      </c>
      <c r="U391">
        <v>207.22666666666601</v>
      </c>
      <c r="V391">
        <v>196.05666666666599</v>
      </c>
      <c r="W391">
        <v>268.74999999999898</v>
      </c>
      <c r="X391">
        <v>239.946666666666</v>
      </c>
      <c r="Y391">
        <v>251.266666666666</v>
      </c>
      <c r="Z391">
        <v>249.319999999999</v>
      </c>
      <c r="AA391">
        <v>243.64999999999901</v>
      </c>
      <c r="AB391">
        <v>243.64999999999901</v>
      </c>
      <c r="AC391">
        <v>287.39333333333298</v>
      </c>
      <c r="AD391">
        <v>244.009999999999</v>
      </c>
      <c r="AE391">
        <v>272.553333333333</v>
      </c>
      <c r="AF391">
        <v>259.77333333333303</v>
      </c>
      <c r="AG391">
        <v>251.61</v>
      </c>
      <c r="AH391">
        <v>247.796666666666</v>
      </c>
      <c r="AI391">
        <v>281.916666666666</v>
      </c>
      <c r="AJ391">
        <v>241.11999999999901</v>
      </c>
      <c r="AK391">
        <v>267.84666666666601</v>
      </c>
      <c r="AL391">
        <v>248.803333333333</v>
      </c>
      <c r="AM391">
        <v>240.10333333333301</v>
      </c>
      <c r="AN391">
        <v>233.643333333333</v>
      </c>
      <c r="AO391">
        <v>286.55999999999898</v>
      </c>
      <c r="AP391">
        <v>218.70999999999901</v>
      </c>
      <c r="AQ391">
        <v>267.363333333333</v>
      </c>
      <c r="AR391">
        <v>234.32333333333301</v>
      </c>
      <c r="AS391">
        <v>216.10333333333301</v>
      </c>
      <c r="AT391">
        <v>200.73333333333301</v>
      </c>
      <c r="AU391">
        <v>298.93666666666599</v>
      </c>
      <c r="AV391">
        <v>245.52666666666599</v>
      </c>
      <c r="AW391">
        <v>282.486666666666</v>
      </c>
      <c r="AX391">
        <v>258.32666666666597</v>
      </c>
      <c r="AY391">
        <v>246.19</v>
      </c>
      <c r="AZ391">
        <v>237.04999999999899</v>
      </c>
      <c r="BA391">
        <v>287.53333333333302</v>
      </c>
      <c r="BB391">
        <v>232.289999999999</v>
      </c>
      <c r="BC391">
        <v>270.659999999999</v>
      </c>
      <c r="BD391">
        <v>245.37666666666601</v>
      </c>
      <c r="BE391">
        <v>231.81333333333299</v>
      </c>
      <c r="BF391">
        <v>221.523333333333</v>
      </c>
      <c r="BG391" s="14"/>
      <c r="BH391" s="14"/>
      <c r="BI391" s="14"/>
      <c r="BJ391" s="199"/>
      <c r="BK391" s="14"/>
      <c r="BL391" s="14"/>
      <c r="BM391" s="14"/>
      <c r="BN391" s="14"/>
      <c r="BO391" s="14"/>
      <c r="BP391" s="14"/>
      <c r="BQ391" s="14"/>
      <c r="BR391" s="14"/>
      <c r="BS391" s="14"/>
      <c r="BT391" s="14"/>
      <c r="BU391" s="14"/>
      <c r="BV391" s="14"/>
      <c r="BW391" s="14"/>
      <c r="BX391" s="14"/>
      <c r="BY391" s="170"/>
    </row>
    <row r="392" spans="9:77" x14ac:dyDescent="0.25">
      <c r="I392">
        <v>2660</v>
      </c>
      <c r="J392" s="1" t="s">
        <v>574</v>
      </c>
      <c r="K392">
        <v>281.916666666666</v>
      </c>
      <c r="L392">
        <v>241.11999999999901</v>
      </c>
      <c r="M392">
        <v>267.84666666666601</v>
      </c>
      <c r="N392">
        <v>248.803333333333</v>
      </c>
      <c r="O392">
        <v>240.10333333333301</v>
      </c>
      <c r="P392">
        <v>233.643333333333</v>
      </c>
      <c r="Q392">
        <v>265.75333333333299</v>
      </c>
      <c r="R392">
        <v>207.46666666666599</v>
      </c>
      <c r="S392">
        <v>247.51999999999899</v>
      </c>
      <c r="T392">
        <v>221.57333333333301</v>
      </c>
      <c r="U392">
        <v>207.22666666666601</v>
      </c>
      <c r="V392">
        <v>196.05666666666599</v>
      </c>
      <c r="W392">
        <v>268.74999999999898</v>
      </c>
      <c r="X392">
        <v>239.946666666666</v>
      </c>
      <c r="Y392">
        <v>251.266666666666</v>
      </c>
      <c r="Z392">
        <v>249.319999999999</v>
      </c>
      <c r="AA392">
        <v>243.64999999999901</v>
      </c>
      <c r="AB392">
        <v>243.64999999999901</v>
      </c>
      <c r="AC392">
        <v>287.39333333333298</v>
      </c>
      <c r="AD392">
        <v>244.009999999999</v>
      </c>
      <c r="AE392">
        <v>272.553333333333</v>
      </c>
      <c r="AF392">
        <v>259.77333333333303</v>
      </c>
      <c r="AG392">
        <v>251.61</v>
      </c>
      <c r="AH392">
        <v>247.796666666666</v>
      </c>
      <c r="AI392">
        <v>281.916666666666</v>
      </c>
      <c r="AJ392">
        <v>241.11999999999901</v>
      </c>
      <c r="AK392">
        <v>267.84666666666601</v>
      </c>
      <c r="AL392">
        <v>248.803333333333</v>
      </c>
      <c r="AM392">
        <v>240.10333333333301</v>
      </c>
      <c r="AN392">
        <v>233.643333333333</v>
      </c>
      <c r="AO392">
        <v>286.55999999999898</v>
      </c>
      <c r="AP392">
        <v>218.70999999999901</v>
      </c>
      <c r="AQ392">
        <v>267.363333333333</v>
      </c>
      <c r="AR392">
        <v>234.32333333333301</v>
      </c>
      <c r="AS392">
        <v>216.10333333333301</v>
      </c>
      <c r="AT392">
        <v>200.73333333333301</v>
      </c>
      <c r="AU392">
        <v>298.93666666666599</v>
      </c>
      <c r="AV392">
        <v>245.52666666666599</v>
      </c>
      <c r="AW392">
        <v>282.486666666666</v>
      </c>
      <c r="AX392">
        <v>258.32666666666597</v>
      </c>
      <c r="AY392">
        <v>246.19</v>
      </c>
      <c r="AZ392">
        <v>237.04999999999899</v>
      </c>
      <c r="BA392">
        <v>287.53333333333302</v>
      </c>
      <c r="BB392">
        <v>232.289999999999</v>
      </c>
      <c r="BC392">
        <v>270.659999999999</v>
      </c>
      <c r="BD392">
        <v>245.37666666666601</v>
      </c>
      <c r="BE392">
        <v>231.81333333333299</v>
      </c>
      <c r="BF392">
        <v>221.523333333333</v>
      </c>
      <c r="BG392" s="14"/>
      <c r="BH392" s="14"/>
      <c r="BI392" s="14"/>
      <c r="BJ392" s="199"/>
      <c r="BK392" s="14"/>
      <c r="BL392" s="14"/>
      <c r="BM392" s="14"/>
      <c r="BN392" s="14"/>
      <c r="BO392" s="14"/>
      <c r="BP392" s="14"/>
      <c r="BQ392" s="14"/>
      <c r="BR392" s="14"/>
      <c r="BS392" s="14"/>
      <c r="BT392" s="14"/>
      <c r="BU392" s="14"/>
      <c r="BV392" s="14"/>
      <c r="BW392" s="14"/>
      <c r="BX392" s="14"/>
      <c r="BY392" s="170"/>
    </row>
    <row r="393" spans="9:77" x14ac:dyDescent="0.25">
      <c r="I393">
        <v>2665</v>
      </c>
      <c r="J393" s="1" t="s">
        <v>575</v>
      </c>
      <c r="K393">
        <v>281.916666666666</v>
      </c>
      <c r="L393">
        <v>241.11999999999901</v>
      </c>
      <c r="M393">
        <v>267.84666666666601</v>
      </c>
      <c r="N393">
        <v>248.803333333333</v>
      </c>
      <c r="O393">
        <v>240.10333333333301</v>
      </c>
      <c r="P393">
        <v>233.643333333333</v>
      </c>
      <c r="Q393">
        <v>265.75333333333299</v>
      </c>
      <c r="R393">
        <v>207.46666666666599</v>
      </c>
      <c r="S393">
        <v>247.51999999999899</v>
      </c>
      <c r="T393">
        <v>221.57333333333301</v>
      </c>
      <c r="U393">
        <v>207.22666666666601</v>
      </c>
      <c r="V393">
        <v>196.05666666666599</v>
      </c>
      <c r="W393">
        <v>268.74999999999898</v>
      </c>
      <c r="X393">
        <v>239.946666666666</v>
      </c>
      <c r="Y393">
        <v>251.266666666666</v>
      </c>
      <c r="Z393">
        <v>249.319999999999</v>
      </c>
      <c r="AA393">
        <v>243.64999999999901</v>
      </c>
      <c r="AB393">
        <v>243.64999999999901</v>
      </c>
      <c r="AC393">
        <v>287.39333333333298</v>
      </c>
      <c r="AD393">
        <v>244.009999999999</v>
      </c>
      <c r="AE393">
        <v>272.553333333333</v>
      </c>
      <c r="AF393">
        <v>259.77333333333303</v>
      </c>
      <c r="AG393">
        <v>251.61</v>
      </c>
      <c r="AH393">
        <v>247.796666666666</v>
      </c>
      <c r="AI393">
        <v>281.916666666666</v>
      </c>
      <c r="AJ393">
        <v>241.11999999999901</v>
      </c>
      <c r="AK393">
        <v>267.84666666666601</v>
      </c>
      <c r="AL393">
        <v>248.803333333333</v>
      </c>
      <c r="AM393">
        <v>240.10333333333301</v>
      </c>
      <c r="AN393">
        <v>233.643333333333</v>
      </c>
      <c r="AO393">
        <v>286.55999999999898</v>
      </c>
      <c r="AP393">
        <v>218.70999999999901</v>
      </c>
      <c r="AQ393">
        <v>267.363333333333</v>
      </c>
      <c r="AR393">
        <v>234.32333333333301</v>
      </c>
      <c r="AS393">
        <v>216.10333333333301</v>
      </c>
      <c r="AT393">
        <v>200.73333333333301</v>
      </c>
      <c r="AU393">
        <v>298.93666666666599</v>
      </c>
      <c r="AV393">
        <v>245.52666666666599</v>
      </c>
      <c r="AW393">
        <v>282.486666666666</v>
      </c>
      <c r="AX393">
        <v>258.32666666666597</v>
      </c>
      <c r="AY393">
        <v>246.19</v>
      </c>
      <c r="AZ393">
        <v>237.04999999999899</v>
      </c>
      <c r="BA393">
        <v>287.53333333333302</v>
      </c>
      <c r="BB393">
        <v>232.289999999999</v>
      </c>
      <c r="BC393">
        <v>270.659999999999</v>
      </c>
      <c r="BD393">
        <v>245.37666666666601</v>
      </c>
      <c r="BE393">
        <v>231.81333333333299</v>
      </c>
      <c r="BF393">
        <v>221.523333333333</v>
      </c>
      <c r="BG393" s="14"/>
      <c r="BH393" s="14"/>
      <c r="BI393" s="14"/>
      <c r="BJ393" s="199"/>
      <c r="BK393" s="14"/>
      <c r="BL393" s="14"/>
      <c r="BM393" s="14"/>
      <c r="BN393" s="14"/>
      <c r="BO393" s="14"/>
      <c r="BP393" s="14"/>
      <c r="BQ393" s="14"/>
      <c r="BR393" s="14"/>
      <c r="BS393" s="14"/>
      <c r="BT393" s="14"/>
      <c r="BU393" s="14"/>
      <c r="BV393" s="14"/>
      <c r="BW393" s="14"/>
      <c r="BX393" s="14"/>
      <c r="BY393" s="170"/>
    </row>
    <row r="394" spans="9:77" x14ac:dyDescent="0.25">
      <c r="I394">
        <v>2670</v>
      </c>
      <c r="J394" s="1" t="s">
        <v>576</v>
      </c>
      <c r="K394">
        <v>307.236666666666</v>
      </c>
      <c r="L394">
        <v>266.43999999999897</v>
      </c>
      <c r="M394">
        <v>293.166666666666</v>
      </c>
      <c r="N394">
        <v>274.12333333333299</v>
      </c>
      <c r="O394">
        <v>265.42333333333301</v>
      </c>
      <c r="P394">
        <v>258.96333333333303</v>
      </c>
      <c r="Q394">
        <v>291.07333333333298</v>
      </c>
      <c r="R394">
        <v>232.78666666666601</v>
      </c>
      <c r="S394">
        <v>272.83999999999901</v>
      </c>
      <c r="T394">
        <v>246.893333333333</v>
      </c>
      <c r="U394">
        <v>232.546666666666</v>
      </c>
      <c r="V394">
        <v>221.37666666666601</v>
      </c>
      <c r="W394">
        <v>294.06999999999903</v>
      </c>
      <c r="X394">
        <v>265.26666666666603</v>
      </c>
      <c r="Y394">
        <v>276.58666666666602</v>
      </c>
      <c r="Z394">
        <v>274.63999999999902</v>
      </c>
      <c r="AA394">
        <v>268.97000000000003</v>
      </c>
      <c r="AB394">
        <v>268.97000000000003</v>
      </c>
      <c r="AC394">
        <v>312.71333333333303</v>
      </c>
      <c r="AD394">
        <v>269.33</v>
      </c>
      <c r="AE394">
        <v>297.87333333333299</v>
      </c>
      <c r="AF394">
        <v>285.09333333333302</v>
      </c>
      <c r="AG394">
        <v>276.93</v>
      </c>
      <c r="AH394">
        <v>273.11666666666599</v>
      </c>
      <c r="AI394">
        <v>307.236666666666</v>
      </c>
      <c r="AJ394">
        <v>266.43999999999897</v>
      </c>
      <c r="AK394">
        <v>293.166666666666</v>
      </c>
      <c r="AL394">
        <v>274.12333333333299</v>
      </c>
      <c r="AM394">
        <v>265.42333333333301</v>
      </c>
      <c r="AN394">
        <v>258.96333333333303</v>
      </c>
      <c r="AO394">
        <v>311.87999999999897</v>
      </c>
      <c r="AP394">
        <v>244.02999999999901</v>
      </c>
      <c r="AQ394">
        <v>292.683333333333</v>
      </c>
      <c r="AR394">
        <v>259.64333333333298</v>
      </c>
      <c r="AS394">
        <v>241.42333333333301</v>
      </c>
      <c r="AT394">
        <v>226.053333333333</v>
      </c>
      <c r="AU394">
        <v>324.25666666666598</v>
      </c>
      <c r="AV394">
        <v>270.84666666666601</v>
      </c>
      <c r="AW394">
        <v>307.80666666666599</v>
      </c>
      <c r="AX394">
        <v>283.64666666666602</v>
      </c>
      <c r="AY394">
        <v>271.51</v>
      </c>
      <c r="AZ394">
        <v>262.37</v>
      </c>
      <c r="BA394">
        <v>312.85333333333301</v>
      </c>
      <c r="BB394">
        <v>257.60999999999899</v>
      </c>
      <c r="BC394">
        <v>295.979999999999</v>
      </c>
      <c r="BD394">
        <v>270.69666666666598</v>
      </c>
      <c r="BE394">
        <v>257.13333333333298</v>
      </c>
      <c r="BF394">
        <v>246.84333333333299</v>
      </c>
      <c r="BG394" s="14"/>
      <c r="BH394" s="14"/>
      <c r="BI394" s="14"/>
      <c r="BJ394" s="199"/>
      <c r="BK394" s="14"/>
      <c r="BL394" s="14"/>
      <c r="BM394" s="14"/>
      <c r="BN394" s="14"/>
      <c r="BO394" s="14"/>
      <c r="BP394" s="14"/>
      <c r="BQ394" s="14"/>
      <c r="BR394" s="14"/>
      <c r="BS394" s="14"/>
      <c r="BT394" s="14"/>
      <c r="BU394" s="14"/>
      <c r="BV394" s="14"/>
      <c r="BW394" s="14"/>
      <c r="BX394" s="14"/>
      <c r="BY394" s="170"/>
    </row>
    <row r="395" spans="9:77" x14ac:dyDescent="0.25">
      <c r="I395">
        <v>2680</v>
      </c>
      <c r="J395" s="1" t="s">
        <v>577</v>
      </c>
      <c r="K395">
        <v>296.83666666666602</v>
      </c>
      <c r="L395">
        <v>256.039999999999</v>
      </c>
      <c r="M395">
        <v>282.76666666666603</v>
      </c>
      <c r="N395">
        <v>263.72333333333302</v>
      </c>
      <c r="O395">
        <v>255.023333333333</v>
      </c>
      <c r="P395">
        <v>248.56333333333299</v>
      </c>
      <c r="Q395">
        <v>280.67333333333301</v>
      </c>
      <c r="R395">
        <v>222.386666666666</v>
      </c>
      <c r="S395">
        <v>262.43999999999897</v>
      </c>
      <c r="T395">
        <v>236.493333333333</v>
      </c>
      <c r="U395">
        <v>222.14666666666599</v>
      </c>
      <c r="V395">
        <v>210.97666666666601</v>
      </c>
      <c r="W395">
        <v>283.67</v>
      </c>
      <c r="X395">
        <v>254.86666666666599</v>
      </c>
      <c r="Y395">
        <v>266.18666666666599</v>
      </c>
      <c r="Z395">
        <v>264.23999999999899</v>
      </c>
      <c r="AA395">
        <v>258.57</v>
      </c>
      <c r="AB395">
        <v>258.57</v>
      </c>
      <c r="AC395">
        <v>302.31333333333299</v>
      </c>
      <c r="AD395">
        <v>258.93</v>
      </c>
      <c r="AE395">
        <v>287.47333333333302</v>
      </c>
      <c r="AF395">
        <v>274.69333333333299</v>
      </c>
      <c r="AG395">
        <v>266.52999999999997</v>
      </c>
      <c r="AH395">
        <v>262.71666666666601</v>
      </c>
      <c r="AI395">
        <v>296.83666666666602</v>
      </c>
      <c r="AJ395">
        <v>256.039999999999</v>
      </c>
      <c r="AK395">
        <v>282.76666666666603</v>
      </c>
      <c r="AL395">
        <v>263.72333333333302</v>
      </c>
      <c r="AM395">
        <v>255.023333333333</v>
      </c>
      <c r="AN395">
        <v>248.56333333333299</v>
      </c>
      <c r="AO395">
        <v>301.479999999999</v>
      </c>
      <c r="AP395">
        <v>233.629999999999</v>
      </c>
      <c r="AQ395">
        <v>282.28333333333302</v>
      </c>
      <c r="AR395">
        <v>249.243333333333</v>
      </c>
      <c r="AS395">
        <v>231.023333333333</v>
      </c>
      <c r="AT395">
        <v>215.65333333333299</v>
      </c>
      <c r="AU395">
        <v>313.856666666666</v>
      </c>
      <c r="AV395">
        <v>260.44666666666598</v>
      </c>
      <c r="AW395">
        <v>297.40666666666601</v>
      </c>
      <c r="AX395">
        <v>273.24666666666599</v>
      </c>
      <c r="AY395">
        <v>261.11</v>
      </c>
      <c r="AZ395">
        <v>251.97</v>
      </c>
      <c r="BA395">
        <v>302.45333333333298</v>
      </c>
      <c r="BB395">
        <v>247.20999999999901</v>
      </c>
      <c r="BC395">
        <v>285.57999999999902</v>
      </c>
      <c r="BD395">
        <v>260.296666666666</v>
      </c>
      <c r="BE395">
        <v>246.73333333333301</v>
      </c>
      <c r="BF395">
        <v>236.44333333333299</v>
      </c>
      <c r="BG395" s="14"/>
      <c r="BH395" s="14"/>
      <c r="BI395" s="14"/>
      <c r="BJ395" s="199"/>
      <c r="BK395" s="14"/>
      <c r="BL395" s="14"/>
      <c r="BM395" s="14"/>
      <c r="BN395" s="14"/>
      <c r="BO395" s="14"/>
      <c r="BP395" s="14"/>
      <c r="BQ395" s="14"/>
      <c r="BR395" s="14"/>
      <c r="BS395" s="14"/>
      <c r="BT395" s="14"/>
      <c r="BU395" s="14"/>
      <c r="BV395" s="14"/>
      <c r="BW395" s="14"/>
      <c r="BX395" s="14"/>
      <c r="BY395" s="170"/>
    </row>
    <row r="396" spans="9:77" x14ac:dyDescent="0.25">
      <c r="I396">
        <v>2690</v>
      </c>
      <c r="J396" s="1" t="s">
        <v>578</v>
      </c>
      <c r="K396">
        <v>296.83666666666602</v>
      </c>
      <c r="L396">
        <v>256.039999999999</v>
      </c>
      <c r="M396">
        <v>282.76666666666603</v>
      </c>
      <c r="N396">
        <v>263.72333333333302</v>
      </c>
      <c r="O396">
        <v>255.023333333333</v>
      </c>
      <c r="P396">
        <v>248.56333333333299</v>
      </c>
      <c r="Q396">
        <v>280.67333333333301</v>
      </c>
      <c r="R396">
        <v>222.386666666666</v>
      </c>
      <c r="S396">
        <v>262.43999999999897</v>
      </c>
      <c r="T396">
        <v>236.493333333333</v>
      </c>
      <c r="U396">
        <v>222.14666666666599</v>
      </c>
      <c r="V396">
        <v>210.97666666666601</v>
      </c>
      <c r="W396">
        <v>283.67</v>
      </c>
      <c r="X396">
        <v>254.86666666666599</v>
      </c>
      <c r="Y396">
        <v>266.18666666666599</v>
      </c>
      <c r="Z396">
        <v>264.23999999999899</v>
      </c>
      <c r="AA396">
        <v>258.57</v>
      </c>
      <c r="AB396">
        <v>258.57</v>
      </c>
      <c r="AC396">
        <v>302.31333333333299</v>
      </c>
      <c r="AD396">
        <v>258.93</v>
      </c>
      <c r="AE396">
        <v>287.47333333333302</v>
      </c>
      <c r="AF396">
        <v>274.69333333333299</v>
      </c>
      <c r="AG396">
        <v>266.52999999999997</v>
      </c>
      <c r="AH396">
        <v>262.71666666666601</v>
      </c>
      <c r="AI396">
        <v>296.83666666666602</v>
      </c>
      <c r="AJ396">
        <v>256.039999999999</v>
      </c>
      <c r="AK396">
        <v>282.76666666666603</v>
      </c>
      <c r="AL396">
        <v>263.72333333333302</v>
      </c>
      <c r="AM396">
        <v>255.023333333333</v>
      </c>
      <c r="AN396">
        <v>248.56333333333299</v>
      </c>
      <c r="AO396">
        <v>301.479999999999</v>
      </c>
      <c r="AP396">
        <v>233.629999999999</v>
      </c>
      <c r="AQ396">
        <v>282.28333333333302</v>
      </c>
      <c r="AR396">
        <v>249.243333333333</v>
      </c>
      <c r="AS396">
        <v>231.023333333333</v>
      </c>
      <c r="AT396">
        <v>215.65333333333299</v>
      </c>
      <c r="AU396">
        <v>313.856666666666</v>
      </c>
      <c r="AV396">
        <v>260.44666666666598</v>
      </c>
      <c r="AW396">
        <v>297.40666666666601</v>
      </c>
      <c r="AX396">
        <v>273.24666666666599</v>
      </c>
      <c r="AY396">
        <v>261.11</v>
      </c>
      <c r="AZ396">
        <v>251.97</v>
      </c>
      <c r="BA396">
        <v>302.45333333333298</v>
      </c>
      <c r="BB396">
        <v>247.20999999999901</v>
      </c>
      <c r="BC396">
        <v>285.57999999999902</v>
      </c>
      <c r="BD396">
        <v>260.296666666666</v>
      </c>
      <c r="BE396">
        <v>246.73333333333301</v>
      </c>
      <c r="BF396">
        <v>236.44333333333299</v>
      </c>
      <c r="BG396" s="14"/>
      <c r="BH396" s="14"/>
      <c r="BI396" s="14"/>
      <c r="BJ396" s="199"/>
      <c r="BK396" s="14"/>
      <c r="BL396" s="14"/>
      <c r="BM396" s="14"/>
      <c r="BN396" s="14"/>
      <c r="BO396" s="14"/>
      <c r="BP396" s="14"/>
      <c r="BQ396" s="14"/>
      <c r="BR396" s="14"/>
      <c r="BS396" s="14"/>
      <c r="BT396" s="14"/>
      <c r="BU396" s="14"/>
      <c r="BV396" s="14"/>
      <c r="BW396" s="14"/>
      <c r="BX396" s="14"/>
      <c r="BY396" s="170"/>
    </row>
    <row r="397" spans="9:77" x14ac:dyDescent="0.25">
      <c r="I397">
        <v>2700</v>
      </c>
      <c r="J397" s="1" t="s">
        <v>579</v>
      </c>
      <c r="K397">
        <v>316.58666666666602</v>
      </c>
      <c r="L397">
        <v>275.789999999999</v>
      </c>
      <c r="M397">
        <v>302.51666666666603</v>
      </c>
      <c r="N397">
        <v>283.47333333333302</v>
      </c>
      <c r="O397">
        <v>274.77333333333303</v>
      </c>
      <c r="P397">
        <v>268.31333333333299</v>
      </c>
      <c r="Q397">
        <v>300.42333333333301</v>
      </c>
      <c r="R397">
        <v>242.136666666666</v>
      </c>
      <c r="S397">
        <v>282.18999999999897</v>
      </c>
      <c r="T397">
        <v>256.243333333333</v>
      </c>
      <c r="U397">
        <v>241.89666666666599</v>
      </c>
      <c r="V397">
        <v>230.72666666666601</v>
      </c>
      <c r="W397">
        <v>303.42</v>
      </c>
      <c r="X397">
        <v>274.61666666666599</v>
      </c>
      <c r="Y397">
        <v>285.93666666666599</v>
      </c>
      <c r="Z397">
        <v>283.98999999999899</v>
      </c>
      <c r="AA397">
        <v>278.32</v>
      </c>
      <c r="AB397">
        <v>278.32</v>
      </c>
      <c r="AC397">
        <v>322.06333333333299</v>
      </c>
      <c r="AD397">
        <v>278.68</v>
      </c>
      <c r="AE397">
        <v>307.22333333333302</v>
      </c>
      <c r="AF397">
        <v>294.44333333333299</v>
      </c>
      <c r="AG397">
        <v>286.27999999999997</v>
      </c>
      <c r="AH397">
        <v>282.46666666666601</v>
      </c>
      <c r="AI397">
        <v>316.58666666666602</v>
      </c>
      <c r="AJ397">
        <v>275.789999999999</v>
      </c>
      <c r="AK397">
        <v>302.51666666666603</v>
      </c>
      <c r="AL397">
        <v>283.47333333333302</v>
      </c>
      <c r="AM397">
        <v>274.77333333333303</v>
      </c>
      <c r="AN397">
        <v>268.31333333333299</v>
      </c>
      <c r="AO397">
        <v>321.229999999999</v>
      </c>
      <c r="AP397">
        <v>253.379999999999</v>
      </c>
      <c r="AQ397">
        <v>302.03333333333302</v>
      </c>
      <c r="AR397">
        <v>268.993333333333</v>
      </c>
      <c r="AS397">
        <v>250.773333333333</v>
      </c>
      <c r="AT397">
        <v>235.40333333333299</v>
      </c>
      <c r="AU397">
        <v>333.606666666666</v>
      </c>
      <c r="AV397">
        <v>280.19666666666598</v>
      </c>
      <c r="AW397">
        <v>317.15666666666601</v>
      </c>
      <c r="AX397">
        <v>292.99666666666599</v>
      </c>
      <c r="AY397">
        <v>280.86</v>
      </c>
      <c r="AZ397">
        <v>271.72000000000003</v>
      </c>
      <c r="BA397">
        <v>322.20333333333298</v>
      </c>
      <c r="BB397">
        <v>266.95999999999901</v>
      </c>
      <c r="BC397">
        <v>305.32999999999902</v>
      </c>
      <c r="BD397">
        <v>280.046666666666</v>
      </c>
      <c r="BE397">
        <v>266.48333333333301</v>
      </c>
      <c r="BF397">
        <v>256.19333333333299</v>
      </c>
      <c r="BG397" s="14"/>
      <c r="BH397" s="14"/>
      <c r="BI397" s="14"/>
      <c r="BJ397" s="199"/>
      <c r="BK397" s="14"/>
      <c r="BL397" s="14"/>
      <c r="BM397" s="14"/>
      <c r="BN397" s="14"/>
      <c r="BO397" s="14"/>
      <c r="BP397" s="14"/>
      <c r="BQ397" s="14"/>
      <c r="BR397" s="14"/>
      <c r="BS397" s="14"/>
      <c r="BT397" s="14"/>
      <c r="BU397" s="14"/>
      <c r="BV397" s="14"/>
      <c r="BW397" s="14"/>
      <c r="BX397" s="14"/>
      <c r="BY397" s="170"/>
    </row>
    <row r="398" spans="9:77" x14ac:dyDescent="0.25">
      <c r="I398">
        <v>2720</v>
      </c>
      <c r="J398" s="1" t="s">
        <v>580</v>
      </c>
      <c r="K398">
        <v>316.58666666666602</v>
      </c>
      <c r="L398">
        <v>275.789999999999</v>
      </c>
      <c r="M398">
        <v>302.51666666666603</v>
      </c>
      <c r="N398">
        <v>283.47333333333302</v>
      </c>
      <c r="O398">
        <v>274.77333333333303</v>
      </c>
      <c r="P398">
        <v>268.31333333333299</v>
      </c>
      <c r="Q398">
        <v>300.42333333333301</v>
      </c>
      <c r="R398">
        <v>242.136666666666</v>
      </c>
      <c r="S398">
        <v>282.18999999999897</v>
      </c>
      <c r="T398">
        <v>256.243333333333</v>
      </c>
      <c r="U398">
        <v>241.89666666666599</v>
      </c>
      <c r="V398">
        <v>230.72666666666601</v>
      </c>
      <c r="W398">
        <v>303.42</v>
      </c>
      <c r="X398">
        <v>274.61666666666599</v>
      </c>
      <c r="Y398">
        <v>285.93666666666599</v>
      </c>
      <c r="Z398">
        <v>283.98999999999899</v>
      </c>
      <c r="AA398">
        <v>278.32</v>
      </c>
      <c r="AB398">
        <v>278.32</v>
      </c>
      <c r="AC398">
        <v>322.06333333333299</v>
      </c>
      <c r="AD398">
        <v>278.68</v>
      </c>
      <c r="AE398">
        <v>307.22333333333302</v>
      </c>
      <c r="AF398">
        <v>294.44333333333299</v>
      </c>
      <c r="AG398">
        <v>286.27999999999997</v>
      </c>
      <c r="AH398">
        <v>282.46666666666601</v>
      </c>
      <c r="AI398">
        <v>316.58666666666602</v>
      </c>
      <c r="AJ398">
        <v>275.789999999999</v>
      </c>
      <c r="AK398">
        <v>302.51666666666603</v>
      </c>
      <c r="AL398">
        <v>283.47333333333302</v>
      </c>
      <c r="AM398">
        <v>274.77333333333303</v>
      </c>
      <c r="AN398">
        <v>268.31333333333299</v>
      </c>
      <c r="AO398">
        <v>321.229999999999</v>
      </c>
      <c r="AP398">
        <v>253.379999999999</v>
      </c>
      <c r="AQ398">
        <v>302.03333333333302</v>
      </c>
      <c r="AR398">
        <v>268.993333333333</v>
      </c>
      <c r="AS398">
        <v>250.773333333333</v>
      </c>
      <c r="AT398">
        <v>235.40333333333299</v>
      </c>
      <c r="AU398">
        <v>333.606666666666</v>
      </c>
      <c r="AV398">
        <v>280.19666666666598</v>
      </c>
      <c r="AW398">
        <v>317.15666666666601</v>
      </c>
      <c r="AX398">
        <v>292.99666666666599</v>
      </c>
      <c r="AY398">
        <v>280.86</v>
      </c>
      <c r="AZ398">
        <v>271.72000000000003</v>
      </c>
      <c r="BA398">
        <v>322.20333333333298</v>
      </c>
      <c r="BB398">
        <v>266.95999999999901</v>
      </c>
      <c r="BC398">
        <v>305.32999999999902</v>
      </c>
      <c r="BD398">
        <v>280.046666666666</v>
      </c>
      <c r="BE398">
        <v>266.48333333333301</v>
      </c>
      <c r="BF398">
        <v>256.19333333333299</v>
      </c>
      <c r="BG398" s="14"/>
      <c r="BH398" s="14"/>
      <c r="BI398" s="14"/>
      <c r="BJ398" s="199"/>
      <c r="BK398" s="14"/>
      <c r="BL398" s="14"/>
      <c r="BM398" s="14"/>
      <c r="BN398" s="14"/>
      <c r="BO398" s="14"/>
      <c r="BP398" s="14"/>
      <c r="BQ398" s="14"/>
      <c r="BR398" s="14"/>
      <c r="BS398" s="14"/>
      <c r="BT398" s="14"/>
      <c r="BU398" s="14"/>
      <c r="BV398" s="14"/>
      <c r="BW398" s="14"/>
      <c r="BX398" s="14"/>
      <c r="BY398" s="170"/>
    </row>
    <row r="399" spans="9:77" x14ac:dyDescent="0.25">
      <c r="I399">
        <v>2730</v>
      </c>
      <c r="J399" s="1" t="s">
        <v>581</v>
      </c>
      <c r="K399">
        <v>342.36666666666599</v>
      </c>
      <c r="L399">
        <v>301.56999999999903</v>
      </c>
      <c r="M399">
        <v>328.296666666666</v>
      </c>
      <c r="N399">
        <v>309.25333333333299</v>
      </c>
      <c r="O399">
        <v>300.553333333333</v>
      </c>
      <c r="P399">
        <v>294.09333333333302</v>
      </c>
      <c r="Q399">
        <v>326.20333333333298</v>
      </c>
      <c r="R399">
        <v>267.916666666666</v>
      </c>
      <c r="S399">
        <v>307.969999999999</v>
      </c>
      <c r="T399">
        <v>282.02333333333303</v>
      </c>
      <c r="U399">
        <v>267.67666666666599</v>
      </c>
      <c r="V399">
        <v>256.50666666666598</v>
      </c>
      <c r="W399">
        <v>329.19999999999902</v>
      </c>
      <c r="X399">
        <v>300.39666666666602</v>
      </c>
      <c r="Y399">
        <v>311.71666666666601</v>
      </c>
      <c r="Z399">
        <v>309.76999999999902</v>
      </c>
      <c r="AA399">
        <v>304.10000000000002</v>
      </c>
      <c r="AB399">
        <v>304.10000000000002</v>
      </c>
      <c r="AC399">
        <v>347.84333333333302</v>
      </c>
      <c r="AD399">
        <v>304.45999999999998</v>
      </c>
      <c r="AE399">
        <v>333.00333333333299</v>
      </c>
      <c r="AF399">
        <v>320.22333333333302</v>
      </c>
      <c r="AG399">
        <v>312.06</v>
      </c>
      <c r="AH399">
        <v>308.24666666666599</v>
      </c>
      <c r="AI399">
        <v>342.36666666666599</v>
      </c>
      <c r="AJ399">
        <v>301.56999999999903</v>
      </c>
      <c r="AK399">
        <v>328.296666666666</v>
      </c>
      <c r="AL399">
        <v>309.25333333333299</v>
      </c>
      <c r="AM399">
        <v>300.553333333333</v>
      </c>
      <c r="AN399">
        <v>294.09333333333302</v>
      </c>
      <c r="AO399">
        <v>347.00999999999902</v>
      </c>
      <c r="AP399">
        <v>279.159999999999</v>
      </c>
      <c r="AQ399">
        <v>327.81333333333299</v>
      </c>
      <c r="AR399">
        <v>294.77333333333303</v>
      </c>
      <c r="AS399">
        <v>276.553333333333</v>
      </c>
      <c r="AT399">
        <v>261.183333333333</v>
      </c>
      <c r="AU399">
        <v>359.38666666666597</v>
      </c>
      <c r="AV399">
        <v>305.97666666666601</v>
      </c>
      <c r="AW399">
        <v>342.93666666666599</v>
      </c>
      <c r="AX399">
        <v>318.77666666666602</v>
      </c>
      <c r="AY399">
        <v>306.64</v>
      </c>
      <c r="AZ399">
        <v>297.5</v>
      </c>
      <c r="BA399">
        <v>347.98333333333301</v>
      </c>
      <c r="BB399">
        <v>292.73999999999899</v>
      </c>
      <c r="BC399">
        <v>331.10999999999899</v>
      </c>
      <c r="BD399">
        <v>305.82666666666597</v>
      </c>
      <c r="BE399">
        <v>292.26333333333298</v>
      </c>
      <c r="BF399">
        <v>281.97333333333302</v>
      </c>
      <c r="BG399" s="14"/>
      <c r="BH399" s="14"/>
      <c r="BI399" s="14"/>
      <c r="BJ399" s="199"/>
      <c r="BK399" s="14"/>
      <c r="BL399" s="14"/>
      <c r="BM399" s="14"/>
      <c r="BN399" s="14"/>
      <c r="BO399" s="14"/>
      <c r="BP399" s="14"/>
      <c r="BQ399" s="14"/>
      <c r="BR399" s="14"/>
      <c r="BS399" s="14"/>
      <c r="BT399" s="14"/>
      <c r="BU399" s="14"/>
      <c r="BV399" s="14"/>
      <c r="BW399" s="14"/>
      <c r="BX399" s="14"/>
      <c r="BY399" s="170"/>
    </row>
    <row r="400" spans="9:77" x14ac:dyDescent="0.25">
      <c r="I400">
        <v>2740</v>
      </c>
      <c r="J400" s="1" t="s">
        <v>582</v>
      </c>
      <c r="K400">
        <v>342.36666666666599</v>
      </c>
      <c r="L400">
        <v>301.56999999999903</v>
      </c>
      <c r="M400">
        <v>328.296666666666</v>
      </c>
      <c r="N400">
        <v>309.25333333333299</v>
      </c>
      <c r="O400">
        <v>300.553333333333</v>
      </c>
      <c r="P400">
        <v>294.09333333333302</v>
      </c>
      <c r="Q400">
        <v>326.20333333333298</v>
      </c>
      <c r="R400">
        <v>267.916666666666</v>
      </c>
      <c r="S400">
        <v>307.969999999999</v>
      </c>
      <c r="T400">
        <v>282.02333333333303</v>
      </c>
      <c r="U400">
        <v>267.67666666666599</v>
      </c>
      <c r="V400">
        <v>256.50666666666598</v>
      </c>
      <c r="W400">
        <v>329.19999999999902</v>
      </c>
      <c r="X400">
        <v>300.39666666666602</v>
      </c>
      <c r="Y400">
        <v>311.71666666666601</v>
      </c>
      <c r="Z400">
        <v>309.76999999999902</v>
      </c>
      <c r="AA400">
        <v>304.10000000000002</v>
      </c>
      <c r="AB400">
        <v>304.10000000000002</v>
      </c>
      <c r="AC400">
        <v>347.84333333333302</v>
      </c>
      <c r="AD400">
        <v>304.45999999999998</v>
      </c>
      <c r="AE400">
        <v>333.00333333333299</v>
      </c>
      <c r="AF400">
        <v>320.22333333333302</v>
      </c>
      <c r="AG400">
        <v>312.06</v>
      </c>
      <c r="AH400">
        <v>308.24666666666599</v>
      </c>
      <c r="AI400">
        <v>342.36666666666599</v>
      </c>
      <c r="AJ400">
        <v>301.56999999999903</v>
      </c>
      <c r="AK400">
        <v>328.296666666666</v>
      </c>
      <c r="AL400">
        <v>309.25333333333299</v>
      </c>
      <c r="AM400">
        <v>300.553333333333</v>
      </c>
      <c r="AN400">
        <v>294.09333333333302</v>
      </c>
      <c r="AO400">
        <v>347.00999999999902</v>
      </c>
      <c r="AP400">
        <v>279.159999999999</v>
      </c>
      <c r="AQ400">
        <v>327.81333333333299</v>
      </c>
      <c r="AR400">
        <v>294.77333333333303</v>
      </c>
      <c r="AS400">
        <v>276.553333333333</v>
      </c>
      <c r="AT400">
        <v>261.183333333333</v>
      </c>
      <c r="AU400">
        <v>359.38666666666597</v>
      </c>
      <c r="AV400">
        <v>305.97666666666601</v>
      </c>
      <c r="AW400">
        <v>342.93666666666599</v>
      </c>
      <c r="AX400">
        <v>318.77666666666602</v>
      </c>
      <c r="AY400">
        <v>306.64</v>
      </c>
      <c r="AZ400">
        <v>297.5</v>
      </c>
      <c r="BA400">
        <v>347.98333333333301</v>
      </c>
      <c r="BB400">
        <v>292.73999999999899</v>
      </c>
      <c r="BC400">
        <v>331.10999999999899</v>
      </c>
      <c r="BD400">
        <v>305.82666666666597</v>
      </c>
      <c r="BE400">
        <v>292.26333333333298</v>
      </c>
      <c r="BF400">
        <v>281.97333333333302</v>
      </c>
      <c r="BG400" s="14"/>
      <c r="BH400" s="14"/>
      <c r="BI400" s="14"/>
      <c r="BJ400" s="199"/>
      <c r="BK400" s="14"/>
      <c r="BL400" s="14"/>
      <c r="BM400" s="14"/>
      <c r="BN400" s="14"/>
      <c r="BO400" s="14"/>
      <c r="BP400" s="14"/>
      <c r="BQ400" s="14"/>
      <c r="BR400" s="14"/>
      <c r="BS400" s="14"/>
      <c r="BT400" s="14"/>
      <c r="BU400" s="14"/>
      <c r="BV400" s="14"/>
      <c r="BW400" s="14"/>
      <c r="BX400" s="14"/>
      <c r="BY400" s="170"/>
    </row>
    <row r="401" spans="9:77" x14ac:dyDescent="0.25">
      <c r="I401">
        <v>2750</v>
      </c>
      <c r="J401" s="1" t="s">
        <v>583</v>
      </c>
      <c r="K401">
        <v>320.236666666666</v>
      </c>
      <c r="L401">
        <v>279.43999999999897</v>
      </c>
      <c r="M401">
        <v>306.166666666666</v>
      </c>
      <c r="N401">
        <v>287.12333333333299</v>
      </c>
      <c r="O401">
        <v>278.42333333333301</v>
      </c>
      <c r="P401">
        <v>271.96333333333303</v>
      </c>
      <c r="Q401">
        <v>304.07333333333298</v>
      </c>
      <c r="R401">
        <v>245.78666666666601</v>
      </c>
      <c r="S401">
        <v>285.83999999999901</v>
      </c>
      <c r="T401">
        <v>259.89333333333298</v>
      </c>
      <c r="U401">
        <v>245.546666666666</v>
      </c>
      <c r="V401">
        <v>234.37666666666601</v>
      </c>
      <c r="W401">
        <v>307.06999999999903</v>
      </c>
      <c r="X401">
        <v>278.26666666666603</v>
      </c>
      <c r="Y401">
        <v>289.58666666666602</v>
      </c>
      <c r="Z401">
        <v>287.63999999999902</v>
      </c>
      <c r="AA401">
        <v>281.97000000000003</v>
      </c>
      <c r="AB401">
        <v>281.97000000000003</v>
      </c>
      <c r="AC401">
        <v>325.71333333333303</v>
      </c>
      <c r="AD401">
        <v>282.33</v>
      </c>
      <c r="AE401">
        <v>310.87333333333299</v>
      </c>
      <c r="AF401">
        <v>298.09333333333302</v>
      </c>
      <c r="AG401">
        <v>289.93</v>
      </c>
      <c r="AH401">
        <v>286.11666666666599</v>
      </c>
      <c r="AI401">
        <v>320.236666666666</v>
      </c>
      <c r="AJ401">
        <v>279.43999999999897</v>
      </c>
      <c r="AK401">
        <v>306.166666666666</v>
      </c>
      <c r="AL401">
        <v>287.12333333333299</v>
      </c>
      <c r="AM401">
        <v>278.42333333333301</v>
      </c>
      <c r="AN401">
        <v>271.96333333333303</v>
      </c>
      <c r="AO401">
        <v>324.87999999999897</v>
      </c>
      <c r="AP401">
        <v>257.02999999999901</v>
      </c>
      <c r="AQ401">
        <v>305.683333333333</v>
      </c>
      <c r="AR401">
        <v>272.64333333333298</v>
      </c>
      <c r="AS401">
        <v>254.42333333333301</v>
      </c>
      <c r="AT401">
        <v>239.053333333333</v>
      </c>
      <c r="AU401">
        <v>337.25666666666598</v>
      </c>
      <c r="AV401">
        <v>283.84666666666601</v>
      </c>
      <c r="AW401">
        <v>320.80666666666599</v>
      </c>
      <c r="AX401">
        <v>296.64666666666602</v>
      </c>
      <c r="AY401">
        <v>284.51</v>
      </c>
      <c r="AZ401">
        <v>275.37</v>
      </c>
      <c r="BA401">
        <v>325.85333333333301</v>
      </c>
      <c r="BB401">
        <v>270.60999999999899</v>
      </c>
      <c r="BC401">
        <v>308.979999999999</v>
      </c>
      <c r="BD401">
        <v>283.69666666666598</v>
      </c>
      <c r="BE401">
        <v>270.13333333333298</v>
      </c>
      <c r="BF401">
        <v>259.84333333333302</v>
      </c>
      <c r="BG401" s="14"/>
      <c r="BH401" s="14"/>
      <c r="BI401" s="14"/>
      <c r="BJ401" s="199"/>
      <c r="BK401" s="14"/>
      <c r="BL401" s="14"/>
      <c r="BM401" s="14"/>
      <c r="BN401" s="14"/>
      <c r="BO401" s="14"/>
      <c r="BP401" s="14"/>
      <c r="BQ401" s="14"/>
      <c r="BR401" s="14"/>
      <c r="BS401" s="14"/>
      <c r="BT401" s="14"/>
      <c r="BU401" s="14"/>
      <c r="BV401" s="14"/>
      <c r="BW401" s="14"/>
      <c r="BX401" s="14"/>
      <c r="BY401" s="170"/>
    </row>
    <row r="402" spans="9:77" x14ac:dyDescent="0.25">
      <c r="I402">
        <v>2760</v>
      </c>
      <c r="J402" s="1" t="s">
        <v>584</v>
      </c>
      <c r="K402">
        <v>333.50666666666598</v>
      </c>
      <c r="L402">
        <v>292.70999999999998</v>
      </c>
      <c r="M402">
        <v>319.43666666666599</v>
      </c>
      <c r="N402">
        <v>300.39333333333298</v>
      </c>
      <c r="O402">
        <v>291.69333333333299</v>
      </c>
      <c r="P402">
        <v>285.23333333333301</v>
      </c>
      <c r="Q402">
        <v>317.34333333333302</v>
      </c>
      <c r="R402">
        <v>259.05666666666599</v>
      </c>
      <c r="S402">
        <v>299.11</v>
      </c>
      <c r="T402">
        <v>273.16333333333301</v>
      </c>
      <c r="U402">
        <v>258.81666666666598</v>
      </c>
      <c r="V402">
        <v>247.64666666666599</v>
      </c>
      <c r="W402">
        <v>320.33999999999997</v>
      </c>
      <c r="X402">
        <v>291.53666666666601</v>
      </c>
      <c r="Y402">
        <v>302.856666666666</v>
      </c>
      <c r="Z402">
        <v>300.91000000000003</v>
      </c>
      <c r="AA402">
        <v>295.24</v>
      </c>
      <c r="AB402">
        <v>295.24</v>
      </c>
      <c r="AC402">
        <v>338.98333333333301</v>
      </c>
      <c r="AD402">
        <v>295.60000000000002</v>
      </c>
      <c r="AE402">
        <v>324.14333333333298</v>
      </c>
      <c r="AF402">
        <v>311.363333333333</v>
      </c>
      <c r="AG402">
        <v>303.2</v>
      </c>
      <c r="AH402">
        <v>299.38666666666597</v>
      </c>
      <c r="AI402">
        <v>333.50666666666598</v>
      </c>
      <c r="AJ402">
        <v>292.70999999999998</v>
      </c>
      <c r="AK402">
        <v>319.43666666666599</v>
      </c>
      <c r="AL402">
        <v>300.39333333333298</v>
      </c>
      <c r="AM402">
        <v>291.69333333333299</v>
      </c>
      <c r="AN402">
        <v>285.23333333333301</v>
      </c>
      <c r="AO402">
        <v>338.15</v>
      </c>
      <c r="AP402">
        <v>270.3</v>
      </c>
      <c r="AQ402">
        <v>318.95333333333298</v>
      </c>
      <c r="AR402">
        <v>285.91333333333301</v>
      </c>
      <c r="AS402">
        <v>267.69333333333299</v>
      </c>
      <c r="AT402">
        <v>252.32333333333301</v>
      </c>
      <c r="AU402">
        <v>350.52666666666602</v>
      </c>
      <c r="AV402">
        <v>297.11666666666599</v>
      </c>
      <c r="AW402">
        <v>334.07666666666597</v>
      </c>
      <c r="AX402">
        <v>309.916666666666</v>
      </c>
      <c r="AY402">
        <v>297.77999999999997</v>
      </c>
      <c r="AZ402">
        <v>288.64</v>
      </c>
      <c r="BA402">
        <v>339.12333333333299</v>
      </c>
      <c r="BB402">
        <v>283.88</v>
      </c>
      <c r="BC402">
        <v>322.25</v>
      </c>
      <c r="BD402">
        <v>296.96666666666601</v>
      </c>
      <c r="BE402">
        <v>283.40333333333302</v>
      </c>
      <c r="BF402">
        <v>273.113333333333</v>
      </c>
      <c r="BG402" s="14"/>
      <c r="BH402" s="14"/>
      <c r="BI402" s="14"/>
      <c r="BJ402" s="199"/>
      <c r="BK402" s="14"/>
      <c r="BL402" s="14"/>
      <c r="BM402" s="14"/>
      <c r="BN402" s="14"/>
      <c r="BO402" s="14"/>
      <c r="BP402" s="14"/>
      <c r="BQ402" s="14"/>
      <c r="BR402" s="14"/>
      <c r="BS402" s="14"/>
      <c r="BT402" s="14"/>
      <c r="BU402" s="14"/>
      <c r="BV402" s="14"/>
      <c r="BW402" s="14"/>
      <c r="BX402" s="14"/>
      <c r="BY402" s="170"/>
    </row>
    <row r="403" spans="9:77" x14ac:dyDescent="0.25">
      <c r="I403">
        <v>2765</v>
      </c>
      <c r="J403" s="1" t="s">
        <v>585</v>
      </c>
      <c r="K403">
        <v>320.236666666666</v>
      </c>
      <c r="L403">
        <v>279.43999999999897</v>
      </c>
      <c r="M403">
        <v>306.166666666666</v>
      </c>
      <c r="N403">
        <v>287.12333333333299</v>
      </c>
      <c r="O403">
        <v>278.42333333333301</v>
      </c>
      <c r="P403">
        <v>271.96333333333303</v>
      </c>
      <c r="Q403">
        <v>304.07333333333298</v>
      </c>
      <c r="R403">
        <v>245.78666666666601</v>
      </c>
      <c r="S403">
        <v>285.83999999999901</v>
      </c>
      <c r="T403">
        <v>259.89333333333298</v>
      </c>
      <c r="U403">
        <v>245.546666666666</v>
      </c>
      <c r="V403">
        <v>234.37666666666601</v>
      </c>
      <c r="W403">
        <v>307.06999999999903</v>
      </c>
      <c r="X403">
        <v>278.26666666666603</v>
      </c>
      <c r="Y403">
        <v>289.58666666666602</v>
      </c>
      <c r="Z403">
        <v>287.63999999999902</v>
      </c>
      <c r="AA403">
        <v>281.97000000000003</v>
      </c>
      <c r="AB403">
        <v>281.97000000000003</v>
      </c>
      <c r="AC403">
        <v>325.71333333333303</v>
      </c>
      <c r="AD403">
        <v>282.33</v>
      </c>
      <c r="AE403">
        <v>310.87333333333299</v>
      </c>
      <c r="AF403">
        <v>298.09333333333302</v>
      </c>
      <c r="AG403">
        <v>289.93</v>
      </c>
      <c r="AH403">
        <v>286.11666666666599</v>
      </c>
      <c r="AI403">
        <v>320.236666666666</v>
      </c>
      <c r="AJ403">
        <v>279.43999999999897</v>
      </c>
      <c r="AK403">
        <v>306.166666666666</v>
      </c>
      <c r="AL403">
        <v>287.12333333333299</v>
      </c>
      <c r="AM403">
        <v>278.42333333333301</v>
      </c>
      <c r="AN403">
        <v>271.96333333333303</v>
      </c>
      <c r="AO403">
        <v>324.87999999999897</v>
      </c>
      <c r="AP403">
        <v>257.02999999999901</v>
      </c>
      <c r="AQ403">
        <v>305.683333333333</v>
      </c>
      <c r="AR403">
        <v>272.64333333333298</v>
      </c>
      <c r="AS403">
        <v>254.42333333333301</v>
      </c>
      <c r="AT403">
        <v>239.053333333333</v>
      </c>
      <c r="AU403">
        <v>337.25666666666598</v>
      </c>
      <c r="AV403">
        <v>283.84666666666601</v>
      </c>
      <c r="AW403">
        <v>320.80666666666599</v>
      </c>
      <c r="AX403">
        <v>296.64666666666602</v>
      </c>
      <c r="AY403">
        <v>284.51</v>
      </c>
      <c r="AZ403">
        <v>275.37</v>
      </c>
      <c r="BA403">
        <v>325.85333333333301</v>
      </c>
      <c r="BB403">
        <v>270.60999999999899</v>
      </c>
      <c r="BC403">
        <v>308.979999999999</v>
      </c>
      <c r="BD403">
        <v>283.69666666666598</v>
      </c>
      <c r="BE403">
        <v>270.13333333333298</v>
      </c>
      <c r="BF403">
        <v>259.84333333333302</v>
      </c>
      <c r="BG403" s="14"/>
      <c r="BH403" s="14"/>
      <c r="BI403" s="14"/>
      <c r="BJ403" s="199"/>
      <c r="BK403" s="14"/>
      <c r="BL403" s="14"/>
      <c r="BM403" s="14"/>
      <c r="BN403" s="14"/>
      <c r="BO403" s="14"/>
      <c r="BP403" s="14"/>
      <c r="BQ403" s="14"/>
      <c r="BR403" s="14"/>
      <c r="BS403" s="14"/>
      <c r="BT403" s="14"/>
      <c r="BU403" s="14"/>
      <c r="BV403" s="14"/>
      <c r="BW403" s="14"/>
      <c r="BX403" s="14"/>
      <c r="BY403" s="170"/>
    </row>
    <row r="404" spans="9:77" x14ac:dyDescent="0.25">
      <c r="I404">
        <v>2770</v>
      </c>
      <c r="J404" s="1" t="s">
        <v>586</v>
      </c>
      <c r="K404">
        <v>236.52666666666599</v>
      </c>
      <c r="L404">
        <v>195.729999999999</v>
      </c>
      <c r="M404">
        <v>222.456666666666</v>
      </c>
      <c r="N404">
        <v>203.41333333333299</v>
      </c>
      <c r="O404">
        <v>194.713333333333</v>
      </c>
      <c r="P404">
        <v>188.25333333333299</v>
      </c>
      <c r="Q404">
        <v>220.363333333333</v>
      </c>
      <c r="R404">
        <v>162.076666666666</v>
      </c>
      <c r="S404">
        <v>202.13</v>
      </c>
      <c r="T404">
        <v>176.183333333333</v>
      </c>
      <c r="U404">
        <v>161.83666666666599</v>
      </c>
      <c r="V404">
        <v>150.666666666666</v>
      </c>
      <c r="W404">
        <v>223.36</v>
      </c>
      <c r="X404">
        <v>194.55666666666599</v>
      </c>
      <c r="Y404">
        <v>205.87666666666601</v>
      </c>
      <c r="Z404">
        <v>203.93</v>
      </c>
      <c r="AA404">
        <v>198.26</v>
      </c>
      <c r="AB404">
        <v>198.26</v>
      </c>
      <c r="AC404">
        <v>242.00333333333299</v>
      </c>
      <c r="AD404">
        <v>198.62</v>
      </c>
      <c r="AE404">
        <v>227.16333333333299</v>
      </c>
      <c r="AF404">
        <v>214.38333333333301</v>
      </c>
      <c r="AG404">
        <v>206.22</v>
      </c>
      <c r="AH404">
        <v>202.40666666666601</v>
      </c>
      <c r="AI404">
        <v>236.52666666666599</v>
      </c>
      <c r="AJ404">
        <v>195.729999999999</v>
      </c>
      <c r="AK404">
        <v>222.456666666666</v>
      </c>
      <c r="AL404">
        <v>203.41333333333299</v>
      </c>
      <c r="AM404">
        <v>194.713333333333</v>
      </c>
      <c r="AN404">
        <v>188.25333333333299</v>
      </c>
      <c r="AO404">
        <v>241.16999999999899</v>
      </c>
      <c r="AP404">
        <v>173.319999999999</v>
      </c>
      <c r="AQ404">
        <v>221.97333333333299</v>
      </c>
      <c r="AR404">
        <v>188.933333333333</v>
      </c>
      <c r="AS404">
        <v>170.713333333333</v>
      </c>
      <c r="AT404">
        <v>155.34333333333299</v>
      </c>
      <c r="AU404">
        <v>253.546666666666</v>
      </c>
      <c r="AV404">
        <v>200.136666666666</v>
      </c>
      <c r="AW404">
        <v>237.09666666666601</v>
      </c>
      <c r="AX404">
        <v>212.93666666666601</v>
      </c>
      <c r="AY404">
        <v>200.8</v>
      </c>
      <c r="AZ404">
        <v>191.66</v>
      </c>
      <c r="BA404">
        <v>242.143333333333</v>
      </c>
      <c r="BB404">
        <v>186.89999999999901</v>
      </c>
      <c r="BC404">
        <v>225.26999999999899</v>
      </c>
      <c r="BD404">
        <v>199.986666666666</v>
      </c>
      <c r="BE404">
        <v>186.42333333333301</v>
      </c>
      <c r="BF404">
        <v>176.13333333333301</v>
      </c>
      <c r="BG404" s="14"/>
      <c r="BH404" s="14"/>
      <c r="BI404" s="14"/>
      <c r="BJ404" s="199"/>
      <c r="BK404" s="14"/>
      <c r="BL404" s="14"/>
      <c r="BM404" s="14"/>
      <c r="BN404" s="14"/>
      <c r="BO404" s="14"/>
      <c r="BP404" s="14"/>
      <c r="BQ404" s="14"/>
      <c r="BR404" s="14"/>
      <c r="BS404" s="14"/>
      <c r="BT404" s="14"/>
      <c r="BU404" s="14"/>
      <c r="BV404" s="14"/>
      <c r="BW404" s="14"/>
      <c r="BX404" s="14"/>
      <c r="BY404" s="170"/>
    </row>
    <row r="405" spans="9:77" x14ac:dyDescent="0.25">
      <c r="I405">
        <v>2791</v>
      </c>
      <c r="J405" s="1" t="s">
        <v>587</v>
      </c>
      <c r="K405">
        <v>261.01666666666603</v>
      </c>
      <c r="L405">
        <v>220.219999999999</v>
      </c>
      <c r="M405">
        <v>246.946666666666</v>
      </c>
      <c r="N405">
        <v>227.90333333333299</v>
      </c>
      <c r="O405">
        <v>219.20333333333301</v>
      </c>
      <c r="P405">
        <v>212.743333333333</v>
      </c>
      <c r="Q405">
        <v>244.85333333333301</v>
      </c>
      <c r="R405">
        <v>186.56666666666601</v>
      </c>
      <c r="S405">
        <v>226.61999999999901</v>
      </c>
      <c r="T405">
        <v>200.67333333333301</v>
      </c>
      <c r="U405">
        <v>186.326666666666</v>
      </c>
      <c r="V405">
        <v>175.15666666666601</v>
      </c>
      <c r="W405">
        <v>247.849999999999</v>
      </c>
      <c r="X405">
        <v>219.046666666666</v>
      </c>
      <c r="Y405">
        <v>230.36666666666599</v>
      </c>
      <c r="Z405">
        <v>228.41999999999899</v>
      </c>
      <c r="AA405">
        <v>222.75</v>
      </c>
      <c r="AB405">
        <v>222.75</v>
      </c>
      <c r="AC405">
        <v>266.493333333333</v>
      </c>
      <c r="AD405">
        <v>223.11</v>
      </c>
      <c r="AE405">
        <v>251.65333333333299</v>
      </c>
      <c r="AF405">
        <v>238.87333333333299</v>
      </c>
      <c r="AG405">
        <v>230.71</v>
      </c>
      <c r="AH405">
        <v>226.89666666666599</v>
      </c>
      <c r="AI405">
        <v>261.01666666666603</v>
      </c>
      <c r="AJ405">
        <v>220.219999999999</v>
      </c>
      <c r="AK405">
        <v>246.946666666666</v>
      </c>
      <c r="AL405">
        <v>227.90333333333299</v>
      </c>
      <c r="AM405">
        <v>219.20333333333301</v>
      </c>
      <c r="AN405">
        <v>212.743333333333</v>
      </c>
      <c r="AO405">
        <v>265.659999999999</v>
      </c>
      <c r="AP405">
        <v>197.80999999999901</v>
      </c>
      <c r="AQ405">
        <v>246.463333333333</v>
      </c>
      <c r="AR405">
        <v>213.42333333333301</v>
      </c>
      <c r="AS405">
        <v>195.20333333333301</v>
      </c>
      <c r="AT405">
        <v>179.833333333333</v>
      </c>
      <c r="AU405">
        <v>278.03666666666601</v>
      </c>
      <c r="AV405">
        <v>224.62666666666601</v>
      </c>
      <c r="AW405">
        <v>261.58666666666602</v>
      </c>
      <c r="AX405">
        <v>237.42666666666599</v>
      </c>
      <c r="AY405">
        <v>225.29</v>
      </c>
      <c r="AZ405">
        <v>216.14999999999901</v>
      </c>
      <c r="BA405">
        <v>266.63333333333298</v>
      </c>
      <c r="BB405">
        <v>211.38999999999899</v>
      </c>
      <c r="BC405">
        <v>249.759999999999</v>
      </c>
      <c r="BD405">
        <v>224.47666666666601</v>
      </c>
      <c r="BE405">
        <v>210.91333333333299</v>
      </c>
      <c r="BF405">
        <v>200.62333333333299</v>
      </c>
      <c r="BG405" s="14"/>
      <c r="BH405" s="14"/>
      <c r="BI405" s="14"/>
      <c r="BJ405" s="199"/>
      <c r="BK405" s="14"/>
      <c r="BL405" s="14"/>
      <c r="BM405" s="14"/>
      <c r="BN405" s="14"/>
      <c r="BO405" s="14"/>
      <c r="BP405" s="14"/>
      <c r="BQ405" s="14"/>
      <c r="BR405" s="14"/>
      <c r="BS405" s="14"/>
      <c r="BT405" s="14"/>
      <c r="BU405" s="14"/>
      <c r="BV405" s="14"/>
      <c r="BW405" s="14"/>
      <c r="BX405" s="14"/>
      <c r="BY405" s="170"/>
    </row>
    <row r="406" spans="9:77" x14ac:dyDescent="0.25">
      <c r="I406">
        <v>2800</v>
      </c>
      <c r="J406" s="1" t="s">
        <v>588</v>
      </c>
      <c r="K406">
        <v>330.03666666666601</v>
      </c>
      <c r="L406">
        <v>289.23999999999899</v>
      </c>
      <c r="M406">
        <v>315.96666666666601</v>
      </c>
      <c r="N406">
        <v>296.92333333333301</v>
      </c>
      <c r="O406">
        <v>288.22333333333302</v>
      </c>
      <c r="P406">
        <v>281.76333333333298</v>
      </c>
      <c r="Q406">
        <v>313.87333333333299</v>
      </c>
      <c r="R406">
        <v>255.58666666666599</v>
      </c>
      <c r="S406">
        <v>295.63999999999902</v>
      </c>
      <c r="T406">
        <v>269.69333333333299</v>
      </c>
      <c r="U406">
        <v>255.34666666666601</v>
      </c>
      <c r="V406">
        <v>244.17666666666599</v>
      </c>
      <c r="W406">
        <v>316.86999999999898</v>
      </c>
      <c r="X406">
        <v>288.06666666666598</v>
      </c>
      <c r="Y406">
        <v>299.38666666666597</v>
      </c>
      <c r="Z406">
        <v>297.43999999999897</v>
      </c>
      <c r="AA406">
        <v>291.76999999999902</v>
      </c>
      <c r="AB406">
        <v>291.76999999999902</v>
      </c>
      <c r="AC406">
        <v>335.51333333333298</v>
      </c>
      <c r="AD406">
        <v>292.13</v>
      </c>
      <c r="AE406">
        <v>320.67333333333301</v>
      </c>
      <c r="AF406">
        <v>307.89333333333298</v>
      </c>
      <c r="AG406">
        <v>299.73</v>
      </c>
      <c r="AH406">
        <v>295.916666666666</v>
      </c>
      <c r="AI406">
        <v>330.03666666666601</v>
      </c>
      <c r="AJ406">
        <v>289.23999999999899</v>
      </c>
      <c r="AK406">
        <v>315.96666666666601</v>
      </c>
      <c r="AL406">
        <v>296.92333333333301</v>
      </c>
      <c r="AM406">
        <v>288.22333333333302</v>
      </c>
      <c r="AN406">
        <v>281.76333333333298</v>
      </c>
      <c r="AO406">
        <v>334.67999999999898</v>
      </c>
      <c r="AP406">
        <v>266.82999999999902</v>
      </c>
      <c r="AQ406">
        <v>315.48333333333301</v>
      </c>
      <c r="AR406">
        <v>282.44333333333299</v>
      </c>
      <c r="AS406">
        <v>264.22333333333302</v>
      </c>
      <c r="AT406">
        <v>248.85333333333301</v>
      </c>
      <c r="AU406">
        <v>347.05666666666599</v>
      </c>
      <c r="AV406">
        <v>293.64666666666602</v>
      </c>
      <c r="AW406">
        <v>330.606666666666</v>
      </c>
      <c r="AX406">
        <v>306.44666666666598</v>
      </c>
      <c r="AY406">
        <v>294.31</v>
      </c>
      <c r="AZ406">
        <v>285.16999999999899</v>
      </c>
      <c r="BA406">
        <v>335.65333333333302</v>
      </c>
      <c r="BB406">
        <v>280.409999999999</v>
      </c>
      <c r="BC406">
        <v>318.77999999999901</v>
      </c>
      <c r="BD406">
        <v>293.49666666666599</v>
      </c>
      <c r="BE406">
        <v>279.933333333333</v>
      </c>
      <c r="BF406">
        <v>269.64333333333298</v>
      </c>
      <c r="BG406" s="14"/>
      <c r="BH406" s="14"/>
      <c r="BI406" s="14"/>
      <c r="BJ406" s="199"/>
      <c r="BK406" s="14"/>
      <c r="BL406" s="14"/>
      <c r="BM406" s="14"/>
      <c r="BN406" s="14"/>
      <c r="BO406" s="14"/>
      <c r="BP406" s="14"/>
      <c r="BQ406" s="14"/>
      <c r="BR406" s="14"/>
      <c r="BS406" s="14"/>
      <c r="BT406" s="14"/>
      <c r="BU406" s="14"/>
      <c r="BV406" s="14"/>
      <c r="BW406" s="14"/>
      <c r="BX406" s="14"/>
      <c r="BY406" s="170"/>
    </row>
    <row r="407" spans="9:77" x14ac:dyDescent="0.25">
      <c r="I407">
        <v>2820</v>
      </c>
      <c r="J407" s="1" t="s">
        <v>589</v>
      </c>
      <c r="K407">
        <v>330.03666666666601</v>
      </c>
      <c r="L407">
        <v>289.23999999999899</v>
      </c>
      <c r="M407">
        <v>315.96666666666601</v>
      </c>
      <c r="N407">
        <v>296.92333333333301</v>
      </c>
      <c r="O407">
        <v>288.22333333333302</v>
      </c>
      <c r="P407">
        <v>281.76333333333298</v>
      </c>
      <c r="Q407">
        <v>313.87333333333299</v>
      </c>
      <c r="R407">
        <v>255.58666666666599</v>
      </c>
      <c r="S407">
        <v>295.63999999999902</v>
      </c>
      <c r="T407">
        <v>269.69333333333299</v>
      </c>
      <c r="U407">
        <v>255.34666666666601</v>
      </c>
      <c r="V407">
        <v>244.17666666666599</v>
      </c>
      <c r="W407">
        <v>316.86999999999898</v>
      </c>
      <c r="X407">
        <v>288.06666666666598</v>
      </c>
      <c r="Y407">
        <v>299.38666666666597</v>
      </c>
      <c r="Z407">
        <v>297.43999999999897</v>
      </c>
      <c r="AA407">
        <v>291.76999999999902</v>
      </c>
      <c r="AB407">
        <v>291.76999999999902</v>
      </c>
      <c r="AC407">
        <v>335.51333333333298</v>
      </c>
      <c r="AD407">
        <v>292.13</v>
      </c>
      <c r="AE407">
        <v>320.67333333333301</v>
      </c>
      <c r="AF407">
        <v>307.89333333333298</v>
      </c>
      <c r="AG407">
        <v>299.73</v>
      </c>
      <c r="AH407">
        <v>295.916666666666</v>
      </c>
      <c r="AI407">
        <v>330.03666666666601</v>
      </c>
      <c r="AJ407">
        <v>289.23999999999899</v>
      </c>
      <c r="AK407">
        <v>315.96666666666601</v>
      </c>
      <c r="AL407">
        <v>296.92333333333301</v>
      </c>
      <c r="AM407">
        <v>288.22333333333302</v>
      </c>
      <c r="AN407">
        <v>281.76333333333298</v>
      </c>
      <c r="AO407">
        <v>334.67999999999898</v>
      </c>
      <c r="AP407">
        <v>266.82999999999902</v>
      </c>
      <c r="AQ407">
        <v>315.48333333333301</v>
      </c>
      <c r="AR407">
        <v>282.44333333333299</v>
      </c>
      <c r="AS407">
        <v>264.22333333333302</v>
      </c>
      <c r="AT407">
        <v>248.85333333333301</v>
      </c>
      <c r="AU407">
        <v>347.05666666666599</v>
      </c>
      <c r="AV407">
        <v>293.64666666666602</v>
      </c>
      <c r="AW407">
        <v>330.606666666666</v>
      </c>
      <c r="AX407">
        <v>306.44666666666598</v>
      </c>
      <c r="AY407">
        <v>294.31</v>
      </c>
      <c r="AZ407">
        <v>285.16999999999899</v>
      </c>
      <c r="BA407">
        <v>335.65333333333302</v>
      </c>
      <c r="BB407">
        <v>280.409999999999</v>
      </c>
      <c r="BC407">
        <v>318.77999999999901</v>
      </c>
      <c r="BD407">
        <v>293.49666666666599</v>
      </c>
      <c r="BE407">
        <v>279.933333333333</v>
      </c>
      <c r="BF407">
        <v>269.64333333333298</v>
      </c>
      <c r="BG407" s="14"/>
      <c r="BH407" s="14"/>
      <c r="BI407" s="14"/>
      <c r="BJ407" s="199"/>
      <c r="BK407" s="14"/>
      <c r="BL407" s="14"/>
      <c r="BM407" s="14"/>
      <c r="BN407" s="14"/>
      <c r="BO407" s="14"/>
      <c r="BP407" s="14"/>
      <c r="BQ407" s="14"/>
      <c r="BR407" s="14"/>
      <c r="BS407" s="14"/>
      <c r="BT407" s="14"/>
      <c r="BU407" s="14"/>
      <c r="BV407" s="14"/>
      <c r="BW407" s="14"/>
      <c r="BX407" s="14"/>
      <c r="BY407" s="170"/>
    </row>
    <row r="408" spans="9:77" x14ac:dyDescent="0.25">
      <c r="I408">
        <v>2830</v>
      </c>
      <c r="J408" s="1" t="s">
        <v>590</v>
      </c>
      <c r="K408">
        <v>391.43666666666599</v>
      </c>
      <c r="L408">
        <v>350.63999999999902</v>
      </c>
      <c r="M408">
        <v>377.36666666666599</v>
      </c>
      <c r="N408">
        <v>358.32333333333298</v>
      </c>
      <c r="O408">
        <v>349.62333333333299</v>
      </c>
      <c r="P408">
        <v>343.16333333333301</v>
      </c>
      <c r="Q408">
        <v>375.27333333333303</v>
      </c>
      <c r="R408">
        <v>316.986666666666</v>
      </c>
      <c r="S408">
        <v>357.039999999999</v>
      </c>
      <c r="T408">
        <v>331.09333333333302</v>
      </c>
      <c r="U408">
        <v>316.74666666666599</v>
      </c>
      <c r="V408">
        <v>305.57666666666597</v>
      </c>
      <c r="W408">
        <v>378.27</v>
      </c>
      <c r="X408">
        <v>349.46666666666601</v>
      </c>
      <c r="Y408">
        <v>360.78666666666601</v>
      </c>
      <c r="Z408">
        <v>358.83999999999901</v>
      </c>
      <c r="AA408">
        <v>353.17</v>
      </c>
      <c r="AB408">
        <v>353.17</v>
      </c>
      <c r="AC408">
        <v>396.91333333333301</v>
      </c>
      <c r="AD408">
        <v>353.53</v>
      </c>
      <c r="AE408">
        <v>382.07333333333298</v>
      </c>
      <c r="AF408">
        <v>369.29333333333301</v>
      </c>
      <c r="AG408">
        <v>361.13</v>
      </c>
      <c r="AH408">
        <v>357.31666666666598</v>
      </c>
      <c r="AI408">
        <v>391.43666666666599</v>
      </c>
      <c r="AJ408">
        <v>350.63999999999902</v>
      </c>
      <c r="AK408">
        <v>377.36666666666599</v>
      </c>
      <c r="AL408">
        <v>358.32333333333298</v>
      </c>
      <c r="AM408">
        <v>349.62333333333299</v>
      </c>
      <c r="AN408">
        <v>343.16333333333301</v>
      </c>
      <c r="AO408">
        <v>396.07999999999902</v>
      </c>
      <c r="AP408">
        <v>328.229999999999</v>
      </c>
      <c r="AQ408">
        <v>376.88333333333298</v>
      </c>
      <c r="AR408">
        <v>343.84333333333302</v>
      </c>
      <c r="AS408">
        <v>325.62333333333299</v>
      </c>
      <c r="AT408">
        <v>310.25333333333299</v>
      </c>
      <c r="AU408">
        <v>408.45666666666602</v>
      </c>
      <c r="AV408">
        <v>355.046666666666</v>
      </c>
      <c r="AW408">
        <v>392.00666666666598</v>
      </c>
      <c r="AX408">
        <v>367.84666666666601</v>
      </c>
      <c r="AY408">
        <v>355.71</v>
      </c>
      <c r="AZ408">
        <v>346.57</v>
      </c>
      <c r="BA408">
        <v>397.053333333333</v>
      </c>
      <c r="BB408">
        <v>341.80999999999898</v>
      </c>
      <c r="BC408">
        <v>380.17999999999898</v>
      </c>
      <c r="BD408">
        <v>354.89666666666602</v>
      </c>
      <c r="BE408">
        <v>341.33333333333297</v>
      </c>
      <c r="BF408">
        <v>331.04333333333301</v>
      </c>
      <c r="BG408" s="14"/>
      <c r="BH408" s="14"/>
      <c r="BI408" s="14"/>
      <c r="BJ408" s="199"/>
      <c r="BK408" s="14"/>
      <c r="BL408" s="14"/>
      <c r="BM408" s="14"/>
      <c r="BN408" s="14"/>
      <c r="BO408" s="14"/>
      <c r="BP408" s="14"/>
      <c r="BQ408" s="14"/>
      <c r="BR408" s="14"/>
      <c r="BS408" s="14"/>
      <c r="BT408" s="14"/>
      <c r="BU408" s="14"/>
      <c r="BV408" s="14"/>
      <c r="BW408" s="14"/>
      <c r="BX408" s="14"/>
      <c r="BY408" s="170"/>
    </row>
    <row r="409" spans="9:77" x14ac:dyDescent="0.25">
      <c r="I409">
        <v>2840</v>
      </c>
      <c r="J409" s="1" t="s">
        <v>591</v>
      </c>
      <c r="K409">
        <v>391.43666666666599</v>
      </c>
      <c r="L409">
        <v>350.63999999999902</v>
      </c>
      <c r="M409">
        <v>377.36666666666599</v>
      </c>
      <c r="N409">
        <v>358.32333333333298</v>
      </c>
      <c r="O409">
        <v>349.62333333333299</v>
      </c>
      <c r="P409">
        <v>343.16333333333301</v>
      </c>
      <c r="Q409">
        <v>375.27333333333303</v>
      </c>
      <c r="R409">
        <v>316.986666666666</v>
      </c>
      <c r="S409">
        <v>357.039999999999</v>
      </c>
      <c r="T409">
        <v>331.09333333333302</v>
      </c>
      <c r="U409">
        <v>316.74666666666599</v>
      </c>
      <c r="V409">
        <v>305.57666666666597</v>
      </c>
      <c r="W409">
        <v>378.27</v>
      </c>
      <c r="X409">
        <v>349.46666666666601</v>
      </c>
      <c r="Y409">
        <v>360.78666666666601</v>
      </c>
      <c r="Z409">
        <v>358.83999999999901</v>
      </c>
      <c r="AA409">
        <v>353.17</v>
      </c>
      <c r="AB409">
        <v>353.17</v>
      </c>
      <c r="AC409">
        <v>396.91333333333301</v>
      </c>
      <c r="AD409">
        <v>353.53</v>
      </c>
      <c r="AE409">
        <v>382.07333333333298</v>
      </c>
      <c r="AF409">
        <v>369.29333333333301</v>
      </c>
      <c r="AG409">
        <v>361.13</v>
      </c>
      <c r="AH409">
        <v>357.31666666666598</v>
      </c>
      <c r="AI409">
        <v>391.43666666666599</v>
      </c>
      <c r="AJ409">
        <v>350.63999999999902</v>
      </c>
      <c r="AK409">
        <v>377.36666666666599</v>
      </c>
      <c r="AL409">
        <v>358.32333333333298</v>
      </c>
      <c r="AM409">
        <v>349.62333333333299</v>
      </c>
      <c r="AN409">
        <v>343.16333333333301</v>
      </c>
      <c r="AO409">
        <v>396.07999999999902</v>
      </c>
      <c r="AP409">
        <v>328.229999999999</v>
      </c>
      <c r="AQ409">
        <v>376.88333333333298</v>
      </c>
      <c r="AR409">
        <v>343.84333333333302</v>
      </c>
      <c r="AS409">
        <v>325.62333333333299</v>
      </c>
      <c r="AT409">
        <v>310.25333333333299</v>
      </c>
      <c r="AU409">
        <v>408.45666666666602</v>
      </c>
      <c r="AV409">
        <v>355.046666666666</v>
      </c>
      <c r="AW409">
        <v>392.00666666666598</v>
      </c>
      <c r="AX409">
        <v>367.84666666666601</v>
      </c>
      <c r="AY409">
        <v>355.71</v>
      </c>
      <c r="AZ409">
        <v>346.57</v>
      </c>
      <c r="BA409">
        <v>397.053333333333</v>
      </c>
      <c r="BB409">
        <v>341.80999999999898</v>
      </c>
      <c r="BC409">
        <v>380.17999999999898</v>
      </c>
      <c r="BD409">
        <v>354.89666666666602</v>
      </c>
      <c r="BE409">
        <v>341.33333333333297</v>
      </c>
      <c r="BF409">
        <v>331.04333333333301</v>
      </c>
      <c r="BG409" s="14"/>
      <c r="BH409" s="14"/>
      <c r="BI409" s="14"/>
      <c r="BJ409" s="199"/>
      <c r="BK409" s="14"/>
      <c r="BL409" s="14"/>
      <c r="BM409" s="14"/>
      <c r="BN409" s="14"/>
      <c r="BO409" s="14"/>
      <c r="BP409" s="14"/>
      <c r="BQ409" s="14"/>
      <c r="BR409" s="14"/>
      <c r="BS409" s="14"/>
      <c r="BT409" s="14"/>
      <c r="BU409" s="14"/>
      <c r="BV409" s="14"/>
      <c r="BW409" s="14"/>
      <c r="BX409" s="14"/>
      <c r="BY409" s="170"/>
    </row>
    <row r="410" spans="9:77" x14ac:dyDescent="0.25">
      <c r="I410">
        <v>2850</v>
      </c>
      <c r="J410" s="1" t="s">
        <v>592</v>
      </c>
      <c r="K410">
        <v>330.03666666666601</v>
      </c>
      <c r="L410">
        <v>289.23999999999899</v>
      </c>
      <c r="M410">
        <v>315.96666666666601</v>
      </c>
      <c r="N410">
        <v>296.92333333333301</v>
      </c>
      <c r="O410">
        <v>288.22333333333302</v>
      </c>
      <c r="P410">
        <v>281.76333333333298</v>
      </c>
      <c r="Q410">
        <v>313.87333333333299</v>
      </c>
      <c r="R410">
        <v>255.58666666666599</v>
      </c>
      <c r="S410">
        <v>295.63999999999902</v>
      </c>
      <c r="T410">
        <v>269.69333333333299</v>
      </c>
      <c r="U410">
        <v>255.34666666666601</v>
      </c>
      <c r="V410">
        <v>244.17666666666599</v>
      </c>
      <c r="W410">
        <v>316.86999999999898</v>
      </c>
      <c r="X410">
        <v>288.06666666666598</v>
      </c>
      <c r="Y410">
        <v>299.38666666666597</v>
      </c>
      <c r="Z410">
        <v>297.43999999999897</v>
      </c>
      <c r="AA410">
        <v>291.76999999999902</v>
      </c>
      <c r="AB410">
        <v>291.76999999999902</v>
      </c>
      <c r="AC410">
        <v>335.51333333333298</v>
      </c>
      <c r="AD410">
        <v>292.13</v>
      </c>
      <c r="AE410">
        <v>320.67333333333301</v>
      </c>
      <c r="AF410">
        <v>307.89333333333298</v>
      </c>
      <c r="AG410">
        <v>299.73</v>
      </c>
      <c r="AH410">
        <v>295.916666666666</v>
      </c>
      <c r="AI410">
        <v>330.03666666666601</v>
      </c>
      <c r="AJ410">
        <v>289.23999999999899</v>
      </c>
      <c r="AK410">
        <v>315.96666666666601</v>
      </c>
      <c r="AL410">
        <v>296.92333333333301</v>
      </c>
      <c r="AM410">
        <v>288.22333333333302</v>
      </c>
      <c r="AN410">
        <v>281.76333333333298</v>
      </c>
      <c r="AO410">
        <v>334.67999999999898</v>
      </c>
      <c r="AP410">
        <v>266.82999999999902</v>
      </c>
      <c r="AQ410">
        <v>315.48333333333301</v>
      </c>
      <c r="AR410">
        <v>282.44333333333299</v>
      </c>
      <c r="AS410">
        <v>264.22333333333302</v>
      </c>
      <c r="AT410">
        <v>248.85333333333301</v>
      </c>
      <c r="AU410">
        <v>347.05666666666599</v>
      </c>
      <c r="AV410">
        <v>293.64666666666602</v>
      </c>
      <c r="AW410">
        <v>330.606666666666</v>
      </c>
      <c r="AX410">
        <v>306.44666666666598</v>
      </c>
      <c r="AY410">
        <v>294.31</v>
      </c>
      <c r="AZ410">
        <v>285.16999999999899</v>
      </c>
      <c r="BA410">
        <v>335.65333333333302</v>
      </c>
      <c r="BB410">
        <v>280.409999999999</v>
      </c>
      <c r="BC410">
        <v>318.77999999999901</v>
      </c>
      <c r="BD410">
        <v>293.49666666666599</v>
      </c>
      <c r="BE410">
        <v>279.933333333333</v>
      </c>
      <c r="BF410">
        <v>269.64333333333298</v>
      </c>
      <c r="BG410" s="14"/>
      <c r="BH410" s="14"/>
      <c r="BI410" s="14"/>
      <c r="BJ410" s="199"/>
      <c r="BK410" s="14"/>
      <c r="BL410" s="14"/>
      <c r="BM410" s="14"/>
      <c r="BN410" s="14"/>
      <c r="BO410" s="14"/>
      <c r="BP410" s="14"/>
      <c r="BQ410" s="14"/>
      <c r="BR410" s="14"/>
      <c r="BS410" s="14"/>
      <c r="BT410" s="14"/>
      <c r="BU410" s="14"/>
      <c r="BV410" s="14"/>
      <c r="BW410" s="14"/>
      <c r="BX410" s="14"/>
      <c r="BY410" s="170"/>
    </row>
    <row r="411" spans="9:77" x14ac:dyDescent="0.25">
      <c r="I411">
        <v>2860</v>
      </c>
      <c r="J411" s="1" t="s">
        <v>593</v>
      </c>
      <c r="K411">
        <v>316.58666666666602</v>
      </c>
      <c r="L411">
        <v>275.789999999999</v>
      </c>
      <c r="M411">
        <v>302.51666666666603</v>
      </c>
      <c r="N411">
        <v>283.47333333333302</v>
      </c>
      <c r="O411">
        <v>274.77333333333303</v>
      </c>
      <c r="P411">
        <v>268.31333333333299</v>
      </c>
      <c r="Q411">
        <v>300.42333333333301</v>
      </c>
      <c r="R411">
        <v>242.136666666666</v>
      </c>
      <c r="S411">
        <v>282.18999999999897</v>
      </c>
      <c r="T411">
        <v>256.243333333333</v>
      </c>
      <c r="U411">
        <v>241.89666666666599</v>
      </c>
      <c r="V411">
        <v>230.72666666666601</v>
      </c>
      <c r="W411">
        <v>303.42</v>
      </c>
      <c r="X411">
        <v>274.61666666666599</v>
      </c>
      <c r="Y411">
        <v>285.93666666666599</v>
      </c>
      <c r="Z411">
        <v>283.98999999999899</v>
      </c>
      <c r="AA411">
        <v>278.32</v>
      </c>
      <c r="AB411">
        <v>278.32</v>
      </c>
      <c r="AC411">
        <v>322.06333333333299</v>
      </c>
      <c r="AD411">
        <v>278.68</v>
      </c>
      <c r="AE411">
        <v>307.22333333333302</v>
      </c>
      <c r="AF411">
        <v>294.44333333333299</v>
      </c>
      <c r="AG411">
        <v>286.27999999999997</v>
      </c>
      <c r="AH411">
        <v>282.46666666666601</v>
      </c>
      <c r="AI411">
        <v>316.58666666666602</v>
      </c>
      <c r="AJ411">
        <v>275.789999999999</v>
      </c>
      <c r="AK411">
        <v>302.51666666666603</v>
      </c>
      <c r="AL411">
        <v>283.47333333333302</v>
      </c>
      <c r="AM411">
        <v>274.77333333333303</v>
      </c>
      <c r="AN411">
        <v>268.31333333333299</v>
      </c>
      <c r="AO411">
        <v>321.229999999999</v>
      </c>
      <c r="AP411">
        <v>253.379999999999</v>
      </c>
      <c r="AQ411">
        <v>302.03333333333302</v>
      </c>
      <c r="AR411">
        <v>268.993333333333</v>
      </c>
      <c r="AS411">
        <v>250.773333333333</v>
      </c>
      <c r="AT411">
        <v>235.40333333333299</v>
      </c>
      <c r="AU411">
        <v>333.606666666666</v>
      </c>
      <c r="AV411">
        <v>280.19666666666598</v>
      </c>
      <c r="AW411">
        <v>317.15666666666601</v>
      </c>
      <c r="AX411">
        <v>292.99666666666599</v>
      </c>
      <c r="AY411">
        <v>280.86</v>
      </c>
      <c r="AZ411">
        <v>271.72000000000003</v>
      </c>
      <c r="BA411">
        <v>322.20333333333298</v>
      </c>
      <c r="BB411">
        <v>266.95999999999901</v>
      </c>
      <c r="BC411">
        <v>305.32999999999902</v>
      </c>
      <c r="BD411">
        <v>280.046666666666</v>
      </c>
      <c r="BE411">
        <v>266.48333333333301</v>
      </c>
      <c r="BF411">
        <v>256.19333333333299</v>
      </c>
      <c r="BG411" s="14"/>
      <c r="BH411" s="14"/>
      <c r="BI411" s="14"/>
      <c r="BJ411" s="199"/>
      <c r="BK411" s="14"/>
      <c r="BL411" s="14"/>
      <c r="BM411" s="14"/>
      <c r="BN411" s="14"/>
      <c r="BO411" s="14"/>
      <c r="BP411" s="14"/>
      <c r="BQ411" s="14"/>
      <c r="BR411" s="14"/>
      <c r="BS411" s="14"/>
      <c r="BT411" s="14"/>
      <c r="BU411" s="14"/>
      <c r="BV411" s="14"/>
      <c r="BW411" s="14"/>
      <c r="BX411" s="14"/>
      <c r="BY411" s="170"/>
    </row>
    <row r="412" spans="9:77" x14ac:dyDescent="0.25">
      <c r="I412">
        <v>2870</v>
      </c>
      <c r="J412" s="1"/>
      <c r="K412">
        <v>330.03666666666601</v>
      </c>
      <c r="L412">
        <v>289.23999999999899</v>
      </c>
      <c r="M412">
        <v>315.96666666666601</v>
      </c>
      <c r="N412">
        <v>296.92333333333301</v>
      </c>
      <c r="O412">
        <v>288.22333333333302</v>
      </c>
      <c r="P412">
        <v>281.76333333333298</v>
      </c>
      <c r="Q412">
        <v>313.87333333333299</v>
      </c>
      <c r="R412">
        <v>255.58666666666599</v>
      </c>
      <c r="S412">
        <v>295.63999999999902</v>
      </c>
      <c r="T412">
        <v>269.69333333333299</v>
      </c>
      <c r="U412">
        <v>255.34666666666601</v>
      </c>
      <c r="V412">
        <v>244.17666666666599</v>
      </c>
      <c r="W412">
        <v>316.86999999999898</v>
      </c>
      <c r="X412">
        <v>288.06666666666598</v>
      </c>
      <c r="Y412">
        <v>299.38666666666597</v>
      </c>
      <c r="Z412">
        <v>297.43999999999897</v>
      </c>
      <c r="AA412">
        <v>291.76999999999902</v>
      </c>
      <c r="AB412">
        <v>291.76999999999902</v>
      </c>
      <c r="AC412">
        <v>335.51333333333298</v>
      </c>
      <c r="AD412">
        <v>292.13</v>
      </c>
      <c r="AE412">
        <v>320.67333333333301</v>
      </c>
      <c r="AF412">
        <v>307.89333333333298</v>
      </c>
      <c r="AG412">
        <v>299.73</v>
      </c>
      <c r="AH412">
        <v>295.916666666666</v>
      </c>
      <c r="AI412">
        <v>330.03666666666601</v>
      </c>
      <c r="AJ412">
        <v>289.23999999999899</v>
      </c>
      <c r="AK412">
        <v>315.96666666666601</v>
      </c>
      <c r="AL412">
        <v>296.92333333333301</v>
      </c>
      <c r="AM412">
        <v>288.22333333333302</v>
      </c>
      <c r="AN412">
        <v>281.76333333333298</v>
      </c>
      <c r="AO412">
        <v>334.67999999999898</v>
      </c>
      <c r="AP412">
        <v>266.82999999999902</v>
      </c>
      <c r="AQ412">
        <v>315.48333333333301</v>
      </c>
      <c r="AR412">
        <v>282.44333333333299</v>
      </c>
      <c r="AS412">
        <v>264.22333333333302</v>
      </c>
      <c r="AT412">
        <v>248.85333333333301</v>
      </c>
      <c r="AU412">
        <v>347.05666666666599</v>
      </c>
      <c r="AV412">
        <v>293.64666666666602</v>
      </c>
      <c r="AW412">
        <v>330.606666666666</v>
      </c>
      <c r="AX412">
        <v>306.44666666666598</v>
      </c>
      <c r="AY412">
        <v>294.31</v>
      </c>
      <c r="AZ412">
        <v>285.16999999999899</v>
      </c>
      <c r="BA412">
        <v>335.65333333333302</v>
      </c>
      <c r="BB412">
        <v>280.409999999999</v>
      </c>
      <c r="BC412">
        <v>318.77999999999901</v>
      </c>
      <c r="BD412">
        <v>293.49666666666599</v>
      </c>
      <c r="BE412">
        <v>279.933333333333</v>
      </c>
      <c r="BF412">
        <v>269.64333333333298</v>
      </c>
      <c r="BG412" s="14"/>
      <c r="BH412" s="14"/>
      <c r="BI412" s="14"/>
      <c r="BJ412" s="199"/>
      <c r="BK412" s="14"/>
      <c r="BL412" s="14"/>
      <c r="BM412" s="14"/>
      <c r="BN412" s="14"/>
      <c r="BO412" s="14"/>
      <c r="BP412" s="14"/>
      <c r="BQ412" s="14"/>
      <c r="BR412" s="14"/>
      <c r="BS412" s="14"/>
      <c r="BT412" s="14"/>
      <c r="BU412" s="14"/>
      <c r="BV412" s="14"/>
      <c r="BW412" s="14"/>
      <c r="BX412" s="14"/>
      <c r="BY412" s="170"/>
    </row>
    <row r="413" spans="9:77" x14ac:dyDescent="0.25">
      <c r="I413">
        <v>2880</v>
      </c>
      <c r="J413" s="1" t="s">
        <v>594</v>
      </c>
      <c r="K413">
        <v>391.43666666666599</v>
      </c>
      <c r="L413">
        <v>350.63999999999902</v>
      </c>
      <c r="M413">
        <v>377.36666666666599</v>
      </c>
      <c r="N413">
        <v>358.32333333333298</v>
      </c>
      <c r="O413">
        <v>349.62333333333299</v>
      </c>
      <c r="P413">
        <v>343.16333333333301</v>
      </c>
      <c r="Q413">
        <v>375.27333333333303</v>
      </c>
      <c r="R413">
        <v>316.986666666666</v>
      </c>
      <c r="S413">
        <v>357.039999999999</v>
      </c>
      <c r="T413">
        <v>331.09333333333302</v>
      </c>
      <c r="U413">
        <v>316.74666666666599</v>
      </c>
      <c r="V413">
        <v>305.57666666666597</v>
      </c>
      <c r="W413">
        <v>378.27</v>
      </c>
      <c r="X413">
        <v>349.46666666666601</v>
      </c>
      <c r="Y413">
        <v>360.78666666666601</v>
      </c>
      <c r="Z413">
        <v>358.83999999999901</v>
      </c>
      <c r="AA413">
        <v>353.17</v>
      </c>
      <c r="AB413">
        <v>353.17</v>
      </c>
      <c r="AC413">
        <v>396.91333333333301</v>
      </c>
      <c r="AD413">
        <v>353.53</v>
      </c>
      <c r="AE413">
        <v>382.07333333333298</v>
      </c>
      <c r="AF413">
        <v>369.29333333333301</v>
      </c>
      <c r="AG413">
        <v>361.13</v>
      </c>
      <c r="AH413">
        <v>357.31666666666598</v>
      </c>
      <c r="AI413">
        <v>391.43666666666599</v>
      </c>
      <c r="AJ413">
        <v>350.63999999999902</v>
      </c>
      <c r="AK413">
        <v>377.36666666666599</v>
      </c>
      <c r="AL413">
        <v>358.32333333333298</v>
      </c>
      <c r="AM413">
        <v>349.62333333333299</v>
      </c>
      <c r="AN413">
        <v>343.16333333333301</v>
      </c>
      <c r="AO413">
        <v>396.07999999999902</v>
      </c>
      <c r="AP413">
        <v>328.229999999999</v>
      </c>
      <c r="AQ413">
        <v>376.88333333333298</v>
      </c>
      <c r="AR413">
        <v>343.84333333333302</v>
      </c>
      <c r="AS413">
        <v>325.62333333333299</v>
      </c>
      <c r="AT413">
        <v>310.25333333333299</v>
      </c>
      <c r="AU413">
        <v>408.45666666666602</v>
      </c>
      <c r="AV413">
        <v>355.046666666666</v>
      </c>
      <c r="AW413">
        <v>392.00666666666598</v>
      </c>
      <c r="AX413">
        <v>367.84666666666601</v>
      </c>
      <c r="AY413">
        <v>355.71</v>
      </c>
      <c r="AZ413">
        <v>346.57</v>
      </c>
      <c r="BA413">
        <v>397.053333333333</v>
      </c>
      <c r="BB413">
        <v>341.80999999999898</v>
      </c>
      <c r="BC413">
        <v>380.17999999999898</v>
      </c>
      <c r="BD413">
        <v>354.89666666666602</v>
      </c>
      <c r="BE413">
        <v>341.33333333333297</v>
      </c>
      <c r="BF413">
        <v>331.04333333333301</v>
      </c>
      <c r="BG413" s="14"/>
      <c r="BH413" s="14"/>
      <c r="BI413" s="14"/>
      <c r="BJ413" s="199"/>
      <c r="BK413" s="14"/>
      <c r="BL413" s="14"/>
      <c r="BM413" s="14"/>
      <c r="BN413" s="14"/>
      <c r="BO413" s="14"/>
      <c r="BP413" s="14"/>
      <c r="BQ413" s="14"/>
      <c r="BR413" s="14"/>
      <c r="BS413" s="14"/>
      <c r="BT413" s="14"/>
      <c r="BU413" s="14"/>
      <c r="BV413" s="14"/>
      <c r="BW413" s="14"/>
      <c r="BX413" s="14"/>
      <c r="BY413" s="170"/>
    </row>
    <row r="414" spans="9:77" x14ac:dyDescent="0.25">
      <c r="I414">
        <v>2900</v>
      </c>
      <c r="J414" s="1" t="s">
        <v>595</v>
      </c>
      <c r="K414">
        <v>316.58666666666602</v>
      </c>
      <c r="L414">
        <v>275.789999999999</v>
      </c>
      <c r="M414">
        <v>302.51666666666603</v>
      </c>
      <c r="N414">
        <v>283.47333333333302</v>
      </c>
      <c r="O414">
        <v>274.77333333333303</v>
      </c>
      <c r="P414">
        <v>268.31333333333299</v>
      </c>
      <c r="Q414">
        <v>300.42333333333301</v>
      </c>
      <c r="R414">
        <v>242.136666666666</v>
      </c>
      <c r="S414">
        <v>282.18999999999897</v>
      </c>
      <c r="T414">
        <v>256.243333333333</v>
      </c>
      <c r="U414">
        <v>241.89666666666599</v>
      </c>
      <c r="V414">
        <v>230.72666666666601</v>
      </c>
      <c r="W414">
        <v>303.42</v>
      </c>
      <c r="X414">
        <v>274.61666666666599</v>
      </c>
      <c r="Y414">
        <v>285.93666666666599</v>
      </c>
      <c r="Z414">
        <v>283.98999999999899</v>
      </c>
      <c r="AA414">
        <v>278.32</v>
      </c>
      <c r="AB414">
        <v>278.32</v>
      </c>
      <c r="AC414">
        <v>322.06333333333299</v>
      </c>
      <c r="AD414">
        <v>278.68</v>
      </c>
      <c r="AE414">
        <v>307.22333333333302</v>
      </c>
      <c r="AF414">
        <v>294.44333333333299</v>
      </c>
      <c r="AG414">
        <v>286.27999999999997</v>
      </c>
      <c r="AH414">
        <v>282.46666666666601</v>
      </c>
      <c r="AI414">
        <v>316.58666666666602</v>
      </c>
      <c r="AJ414">
        <v>275.789999999999</v>
      </c>
      <c r="AK414">
        <v>302.51666666666603</v>
      </c>
      <c r="AL414">
        <v>283.47333333333302</v>
      </c>
      <c r="AM414">
        <v>274.77333333333303</v>
      </c>
      <c r="AN414">
        <v>268.31333333333299</v>
      </c>
      <c r="AO414">
        <v>321.229999999999</v>
      </c>
      <c r="AP414">
        <v>253.379999999999</v>
      </c>
      <c r="AQ414">
        <v>302.03333333333302</v>
      </c>
      <c r="AR414">
        <v>268.993333333333</v>
      </c>
      <c r="AS414">
        <v>250.773333333333</v>
      </c>
      <c r="AT414">
        <v>235.40333333333299</v>
      </c>
      <c r="AU414">
        <v>333.606666666666</v>
      </c>
      <c r="AV414">
        <v>280.19666666666598</v>
      </c>
      <c r="AW414">
        <v>317.15666666666601</v>
      </c>
      <c r="AX414">
        <v>292.99666666666599</v>
      </c>
      <c r="AY414">
        <v>280.86</v>
      </c>
      <c r="AZ414">
        <v>271.72000000000003</v>
      </c>
      <c r="BA414">
        <v>322.20333333333298</v>
      </c>
      <c r="BB414">
        <v>266.95999999999901</v>
      </c>
      <c r="BC414">
        <v>305.32999999999902</v>
      </c>
      <c r="BD414">
        <v>280.046666666666</v>
      </c>
      <c r="BE414">
        <v>266.48333333333301</v>
      </c>
      <c r="BF414">
        <v>256.19333333333299</v>
      </c>
      <c r="BG414" s="14"/>
      <c r="BH414" s="14"/>
      <c r="BI414" s="14"/>
      <c r="BJ414" s="199"/>
      <c r="BK414" s="14"/>
      <c r="BL414" s="14"/>
      <c r="BM414" s="14"/>
      <c r="BN414" s="14"/>
      <c r="BO414" s="14"/>
      <c r="BP414" s="14"/>
      <c r="BQ414" s="14"/>
      <c r="BR414" s="14"/>
      <c r="BS414" s="14"/>
      <c r="BT414" s="14"/>
      <c r="BU414" s="14"/>
      <c r="BV414" s="14"/>
      <c r="BW414" s="14"/>
      <c r="BX414" s="14"/>
      <c r="BY414" s="170"/>
    </row>
    <row r="415" spans="9:77" x14ac:dyDescent="0.25">
      <c r="I415">
        <v>2920</v>
      </c>
      <c r="J415" s="1" t="s">
        <v>596</v>
      </c>
      <c r="K415">
        <v>330.03666666666601</v>
      </c>
      <c r="L415">
        <v>289.23999999999899</v>
      </c>
      <c r="M415">
        <v>315.96666666666601</v>
      </c>
      <c r="N415">
        <v>296.92333333333301</v>
      </c>
      <c r="O415">
        <v>288.22333333333302</v>
      </c>
      <c r="P415">
        <v>281.76333333333298</v>
      </c>
      <c r="Q415">
        <v>313.87333333333299</v>
      </c>
      <c r="R415">
        <v>255.58666666666599</v>
      </c>
      <c r="S415">
        <v>295.63999999999902</v>
      </c>
      <c r="T415">
        <v>269.69333333333299</v>
      </c>
      <c r="U415">
        <v>255.34666666666601</v>
      </c>
      <c r="V415">
        <v>244.17666666666599</v>
      </c>
      <c r="W415">
        <v>316.86999999999898</v>
      </c>
      <c r="X415">
        <v>288.06666666666598</v>
      </c>
      <c r="Y415">
        <v>299.38666666666597</v>
      </c>
      <c r="Z415">
        <v>297.43999999999897</v>
      </c>
      <c r="AA415">
        <v>291.76999999999902</v>
      </c>
      <c r="AB415">
        <v>291.76999999999902</v>
      </c>
      <c r="AC415">
        <v>335.51333333333298</v>
      </c>
      <c r="AD415">
        <v>292.13</v>
      </c>
      <c r="AE415">
        <v>320.67333333333301</v>
      </c>
      <c r="AF415">
        <v>307.89333333333298</v>
      </c>
      <c r="AG415">
        <v>299.73</v>
      </c>
      <c r="AH415">
        <v>295.916666666666</v>
      </c>
      <c r="AI415">
        <v>330.03666666666601</v>
      </c>
      <c r="AJ415">
        <v>289.23999999999899</v>
      </c>
      <c r="AK415">
        <v>315.96666666666601</v>
      </c>
      <c r="AL415">
        <v>296.92333333333301</v>
      </c>
      <c r="AM415">
        <v>288.22333333333302</v>
      </c>
      <c r="AN415">
        <v>281.76333333333298</v>
      </c>
      <c r="AO415">
        <v>334.67999999999898</v>
      </c>
      <c r="AP415">
        <v>266.82999999999902</v>
      </c>
      <c r="AQ415">
        <v>315.48333333333301</v>
      </c>
      <c r="AR415">
        <v>282.44333333333299</v>
      </c>
      <c r="AS415">
        <v>264.22333333333302</v>
      </c>
      <c r="AT415">
        <v>248.85333333333301</v>
      </c>
      <c r="AU415">
        <v>347.05666666666599</v>
      </c>
      <c r="AV415">
        <v>293.64666666666602</v>
      </c>
      <c r="AW415">
        <v>330.606666666666</v>
      </c>
      <c r="AX415">
        <v>306.44666666666598</v>
      </c>
      <c r="AY415">
        <v>294.31</v>
      </c>
      <c r="AZ415">
        <v>285.16999999999899</v>
      </c>
      <c r="BA415">
        <v>335.65333333333302</v>
      </c>
      <c r="BB415">
        <v>280.409999999999</v>
      </c>
      <c r="BC415">
        <v>318.77999999999901</v>
      </c>
      <c r="BD415">
        <v>293.49666666666599</v>
      </c>
      <c r="BE415">
        <v>279.933333333333</v>
      </c>
      <c r="BF415">
        <v>269.64333333333298</v>
      </c>
      <c r="BG415" s="14"/>
      <c r="BH415" s="14"/>
      <c r="BI415" s="14"/>
      <c r="BJ415" s="199"/>
      <c r="BK415" s="14"/>
      <c r="BL415" s="14"/>
      <c r="BM415" s="14"/>
      <c r="BN415" s="14"/>
      <c r="BO415" s="14"/>
      <c r="BP415" s="14"/>
      <c r="BQ415" s="14"/>
      <c r="BR415" s="14"/>
      <c r="BS415" s="14"/>
      <c r="BT415" s="14"/>
      <c r="BU415" s="14"/>
      <c r="BV415" s="14"/>
      <c r="BW415" s="14"/>
      <c r="BX415" s="14"/>
      <c r="BY415" s="170"/>
    </row>
    <row r="416" spans="9:77" x14ac:dyDescent="0.25">
      <c r="I416">
        <v>2930</v>
      </c>
      <c r="J416" s="1" t="s">
        <v>597</v>
      </c>
      <c r="K416">
        <v>330.03666666666601</v>
      </c>
      <c r="L416">
        <v>289.23999999999899</v>
      </c>
      <c r="M416">
        <v>315.96666666666601</v>
      </c>
      <c r="N416">
        <v>296.92333333333301</v>
      </c>
      <c r="O416">
        <v>288.22333333333302</v>
      </c>
      <c r="P416">
        <v>281.76333333333298</v>
      </c>
      <c r="Q416">
        <v>313.87333333333299</v>
      </c>
      <c r="R416">
        <v>255.58666666666599</v>
      </c>
      <c r="S416">
        <v>295.63999999999902</v>
      </c>
      <c r="T416">
        <v>269.69333333333299</v>
      </c>
      <c r="U416">
        <v>255.34666666666601</v>
      </c>
      <c r="V416">
        <v>244.17666666666599</v>
      </c>
      <c r="W416">
        <v>316.86999999999898</v>
      </c>
      <c r="X416">
        <v>288.06666666666598</v>
      </c>
      <c r="Y416">
        <v>299.38666666666597</v>
      </c>
      <c r="Z416">
        <v>297.43999999999897</v>
      </c>
      <c r="AA416">
        <v>291.76999999999902</v>
      </c>
      <c r="AB416">
        <v>291.76999999999902</v>
      </c>
      <c r="AC416">
        <v>335.51333333333298</v>
      </c>
      <c r="AD416">
        <v>292.13</v>
      </c>
      <c r="AE416">
        <v>320.67333333333301</v>
      </c>
      <c r="AF416">
        <v>307.89333333333298</v>
      </c>
      <c r="AG416">
        <v>299.73</v>
      </c>
      <c r="AH416">
        <v>295.916666666666</v>
      </c>
      <c r="AI416">
        <v>330.03666666666601</v>
      </c>
      <c r="AJ416">
        <v>289.23999999999899</v>
      </c>
      <c r="AK416">
        <v>315.96666666666601</v>
      </c>
      <c r="AL416">
        <v>296.92333333333301</v>
      </c>
      <c r="AM416">
        <v>288.22333333333302</v>
      </c>
      <c r="AN416">
        <v>281.76333333333298</v>
      </c>
      <c r="AO416">
        <v>334.67999999999898</v>
      </c>
      <c r="AP416">
        <v>266.82999999999902</v>
      </c>
      <c r="AQ416">
        <v>315.48333333333301</v>
      </c>
      <c r="AR416">
        <v>282.44333333333299</v>
      </c>
      <c r="AS416">
        <v>264.22333333333302</v>
      </c>
      <c r="AT416">
        <v>248.85333333333301</v>
      </c>
      <c r="AU416">
        <v>347.05666666666599</v>
      </c>
      <c r="AV416">
        <v>293.64666666666602</v>
      </c>
      <c r="AW416">
        <v>330.606666666666</v>
      </c>
      <c r="AX416">
        <v>306.44666666666598</v>
      </c>
      <c r="AY416">
        <v>294.31</v>
      </c>
      <c r="AZ416">
        <v>285.16999999999899</v>
      </c>
      <c r="BA416">
        <v>335.65333333333302</v>
      </c>
      <c r="BB416">
        <v>280.409999999999</v>
      </c>
      <c r="BC416">
        <v>318.77999999999901</v>
      </c>
      <c r="BD416">
        <v>293.49666666666599</v>
      </c>
      <c r="BE416">
        <v>279.933333333333</v>
      </c>
      <c r="BF416">
        <v>269.64333333333298</v>
      </c>
      <c r="BG416" s="14"/>
      <c r="BH416" s="14"/>
      <c r="BI416" s="14"/>
      <c r="BJ416" s="199"/>
      <c r="BK416" s="14"/>
      <c r="BL416" s="14"/>
      <c r="BM416" s="14"/>
      <c r="BN416" s="14"/>
      <c r="BO416" s="14"/>
      <c r="BP416" s="14"/>
      <c r="BQ416" s="14"/>
      <c r="BR416" s="14"/>
      <c r="BS416" s="14"/>
      <c r="BT416" s="14"/>
      <c r="BU416" s="14"/>
      <c r="BV416" s="14"/>
      <c r="BW416" s="14"/>
      <c r="BX416" s="14"/>
      <c r="BY416" s="170"/>
    </row>
    <row r="417" spans="9:77" x14ac:dyDescent="0.25">
      <c r="I417">
        <v>2942</v>
      </c>
      <c r="J417" s="1" t="s">
        <v>598</v>
      </c>
      <c r="K417">
        <v>340.64666666666602</v>
      </c>
      <c r="L417">
        <v>299.849999999999</v>
      </c>
      <c r="M417">
        <v>326.57666666666597</v>
      </c>
      <c r="N417">
        <v>307.53333333333302</v>
      </c>
      <c r="O417">
        <v>298.83333333333297</v>
      </c>
      <c r="P417">
        <v>292.37333333333299</v>
      </c>
      <c r="Q417">
        <v>324.48333333333301</v>
      </c>
      <c r="R417">
        <v>266.19666666666598</v>
      </c>
      <c r="S417">
        <v>306.24999999999898</v>
      </c>
      <c r="T417">
        <v>280.303333333333</v>
      </c>
      <c r="U417">
        <v>265.95666666666602</v>
      </c>
      <c r="V417">
        <v>254.78666666666601</v>
      </c>
      <c r="W417">
        <v>327.479999999999</v>
      </c>
      <c r="X417">
        <v>298.67666666666599</v>
      </c>
      <c r="Y417">
        <v>309.99666666666599</v>
      </c>
      <c r="Z417">
        <v>308.04999999999899</v>
      </c>
      <c r="AA417">
        <v>302.38</v>
      </c>
      <c r="AB417">
        <v>302.38</v>
      </c>
      <c r="AC417">
        <v>346.12333333333299</v>
      </c>
      <c r="AD417">
        <v>302.74</v>
      </c>
      <c r="AE417">
        <v>331.28333333333302</v>
      </c>
      <c r="AF417">
        <v>318.50333333333299</v>
      </c>
      <c r="AG417">
        <v>310.33999999999997</v>
      </c>
      <c r="AH417">
        <v>306.52666666666602</v>
      </c>
      <c r="AI417">
        <v>340.64666666666602</v>
      </c>
      <c r="AJ417">
        <v>299.849999999999</v>
      </c>
      <c r="AK417">
        <v>326.57666666666597</v>
      </c>
      <c r="AL417">
        <v>307.53333333333302</v>
      </c>
      <c r="AM417">
        <v>298.83333333333297</v>
      </c>
      <c r="AN417">
        <v>292.37333333333299</v>
      </c>
      <c r="AO417">
        <v>345.289999999999</v>
      </c>
      <c r="AP417">
        <v>277.43999999999897</v>
      </c>
      <c r="AQ417">
        <v>326.09333333333302</v>
      </c>
      <c r="AR417">
        <v>293.053333333333</v>
      </c>
      <c r="AS417">
        <v>274.83333333333297</v>
      </c>
      <c r="AT417">
        <v>259.46333333333303</v>
      </c>
      <c r="AU417">
        <v>357.666666666666</v>
      </c>
      <c r="AV417">
        <v>304.25666666666598</v>
      </c>
      <c r="AW417">
        <v>341.21666666666601</v>
      </c>
      <c r="AX417">
        <v>317.05666666666599</v>
      </c>
      <c r="AY417">
        <v>304.92</v>
      </c>
      <c r="AZ417">
        <v>295.77999999999901</v>
      </c>
      <c r="BA417">
        <v>346.26333333333298</v>
      </c>
      <c r="BB417">
        <v>291.01999999999902</v>
      </c>
      <c r="BC417">
        <v>329.38999999999902</v>
      </c>
      <c r="BD417">
        <v>304.106666666666</v>
      </c>
      <c r="BE417">
        <v>290.54333333333301</v>
      </c>
      <c r="BF417">
        <v>280.25333333333299</v>
      </c>
      <c r="BG417" s="14"/>
      <c r="BH417" s="14"/>
      <c r="BI417" s="14"/>
      <c r="BJ417" s="199"/>
      <c r="BK417" s="14"/>
      <c r="BL417" s="14"/>
      <c r="BM417" s="14"/>
      <c r="BN417" s="14"/>
      <c r="BO417" s="14"/>
      <c r="BP417" s="14"/>
      <c r="BQ417" s="14"/>
      <c r="BR417" s="14"/>
      <c r="BS417" s="14"/>
      <c r="BT417" s="14"/>
      <c r="BU417" s="14"/>
      <c r="BV417" s="14"/>
      <c r="BW417" s="14"/>
      <c r="BX417" s="14"/>
      <c r="BY417" s="170"/>
    </row>
    <row r="418" spans="9:77" x14ac:dyDescent="0.25">
      <c r="I418">
        <v>2950</v>
      </c>
      <c r="J418" s="1" t="s">
        <v>599</v>
      </c>
      <c r="K418">
        <v>340.64666666666602</v>
      </c>
      <c r="L418">
        <v>299.849999999999</v>
      </c>
      <c r="M418">
        <v>326.57666666666597</v>
      </c>
      <c r="N418">
        <v>307.53333333333302</v>
      </c>
      <c r="O418">
        <v>298.83333333333297</v>
      </c>
      <c r="P418">
        <v>292.37333333333299</v>
      </c>
      <c r="Q418">
        <v>324.48333333333301</v>
      </c>
      <c r="R418">
        <v>266.19666666666598</v>
      </c>
      <c r="S418">
        <v>306.24999999999898</v>
      </c>
      <c r="T418">
        <v>280.303333333333</v>
      </c>
      <c r="U418">
        <v>265.95666666666602</v>
      </c>
      <c r="V418">
        <v>254.78666666666601</v>
      </c>
      <c r="W418">
        <v>327.479999999999</v>
      </c>
      <c r="X418">
        <v>298.67666666666599</v>
      </c>
      <c r="Y418">
        <v>309.99666666666599</v>
      </c>
      <c r="Z418">
        <v>308.04999999999899</v>
      </c>
      <c r="AA418">
        <v>302.38</v>
      </c>
      <c r="AB418">
        <v>302.38</v>
      </c>
      <c r="AC418">
        <v>346.12333333333299</v>
      </c>
      <c r="AD418">
        <v>302.74</v>
      </c>
      <c r="AE418">
        <v>331.28333333333302</v>
      </c>
      <c r="AF418">
        <v>318.50333333333299</v>
      </c>
      <c r="AG418">
        <v>310.33999999999997</v>
      </c>
      <c r="AH418">
        <v>306.52666666666602</v>
      </c>
      <c r="AI418">
        <v>340.64666666666602</v>
      </c>
      <c r="AJ418">
        <v>299.849999999999</v>
      </c>
      <c r="AK418">
        <v>326.57666666666597</v>
      </c>
      <c r="AL418">
        <v>307.53333333333302</v>
      </c>
      <c r="AM418">
        <v>298.83333333333297</v>
      </c>
      <c r="AN418">
        <v>292.37333333333299</v>
      </c>
      <c r="AO418">
        <v>345.289999999999</v>
      </c>
      <c r="AP418">
        <v>277.43999999999897</v>
      </c>
      <c r="AQ418">
        <v>326.09333333333302</v>
      </c>
      <c r="AR418">
        <v>293.053333333333</v>
      </c>
      <c r="AS418">
        <v>274.83333333333297</v>
      </c>
      <c r="AT418">
        <v>259.46333333333303</v>
      </c>
      <c r="AU418">
        <v>357.666666666666</v>
      </c>
      <c r="AV418">
        <v>304.25666666666598</v>
      </c>
      <c r="AW418">
        <v>341.21666666666601</v>
      </c>
      <c r="AX418">
        <v>317.05666666666599</v>
      </c>
      <c r="AY418">
        <v>304.92</v>
      </c>
      <c r="AZ418">
        <v>295.77999999999901</v>
      </c>
      <c r="BA418">
        <v>346.26333333333298</v>
      </c>
      <c r="BB418">
        <v>291.01999999999902</v>
      </c>
      <c r="BC418">
        <v>329.38999999999902</v>
      </c>
      <c r="BD418">
        <v>304.106666666666</v>
      </c>
      <c r="BE418">
        <v>290.54333333333301</v>
      </c>
      <c r="BF418">
        <v>280.25333333333299</v>
      </c>
      <c r="BG418" s="14"/>
      <c r="BH418" s="14"/>
      <c r="BI418" s="14"/>
      <c r="BJ418" s="199"/>
      <c r="BK418" s="14"/>
      <c r="BL418" s="14"/>
      <c r="BM418" s="14"/>
      <c r="BN418" s="14"/>
      <c r="BO418" s="14"/>
      <c r="BP418" s="14"/>
      <c r="BQ418" s="14"/>
      <c r="BR418" s="14"/>
      <c r="BS418" s="14"/>
      <c r="BT418" s="14"/>
      <c r="BU418" s="14"/>
      <c r="BV418" s="14"/>
      <c r="BW418" s="14"/>
      <c r="BX418" s="14"/>
      <c r="BY418" s="170"/>
    </row>
    <row r="419" spans="9:77" x14ac:dyDescent="0.25">
      <c r="I419">
        <v>2960</v>
      </c>
      <c r="J419" s="1" t="s">
        <v>600</v>
      </c>
      <c r="K419">
        <v>340.64666666666602</v>
      </c>
      <c r="L419">
        <v>299.849999999999</v>
      </c>
      <c r="M419">
        <v>326.57666666666597</v>
      </c>
      <c r="N419">
        <v>307.53333333333302</v>
      </c>
      <c r="O419">
        <v>298.83333333333297</v>
      </c>
      <c r="P419">
        <v>292.37333333333299</v>
      </c>
      <c r="Q419">
        <v>324.48333333333301</v>
      </c>
      <c r="R419">
        <v>266.19666666666598</v>
      </c>
      <c r="S419">
        <v>306.24999999999898</v>
      </c>
      <c r="T419">
        <v>280.303333333333</v>
      </c>
      <c r="U419">
        <v>265.95666666666602</v>
      </c>
      <c r="V419">
        <v>254.78666666666601</v>
      </c>
      <c r="W419">
        <v>327.479999999999</v>
      </c>
      <c r="X419">
        <v>298.67666666666599</v>
      </c>
      <c r="Y419">
        <v>309.99666666666599</v>
      </c>
      <c r="Z419">
        <v>308.04999999999899</v>
      </c>
      <c r="AA419">
        <v>302.38</v>
      </c>
      <c r="AB419">
        <v>302.38</v>
      </c>
      <c r="AC419">
        <v>346.12333333333299</v>
      </c>
      <c r="AD419">
        <v>302.74</v>
      </c>
      <c r="AE419">
        <v>331.28333333333302</v>
      </c>
      <c r="AF419">
        <v>318.50333333333299</v>
      </c>
      <c r="AG419">
        <v>310.33999999999997</v>
      </c>
      <c r="AH419">
        <v>306.52666666666602</v>
      </c>
      <c r="AI419">
        <v>340.64666666666602</v>
      </c>
      <c r="AJ419">
        <v>299.849999999999</v>
      </c>
      <c r="AK419">
        <v>326.57666666666597</v>
      </c>
      <c r="AL419">
        <v>307.53333333333302</v>
      </c>
      <c r="AM419">
        <v>298.83333333333297</v>
      </c>
      <c r="AN419">
        <v>292.37333333333299</v>
      </c>
      <c r="AO419">
        <v>345.289999999999</v>
      </c>
      <c r="AP419">
        <v>277.43999999999897</v>
      </c>
      <c r="AQ419">
        <v>326.09333333333302</v>
      </c>
      <c r="AR419">
        <v>293.053333333333</v>
      </c>
      <c r="AS419">
        <v>274.83333333333297</v>
      </c>
      <c r="AT419">
        <v>259.46333333333303</v>
      </c>
      <c r="AU419">
        <v>357.666666666666</v>
      </c>
      <c r="AV419">
        <v>304.25666666666598</v>
      </c>
      <c r="AW419">
        <v>341.21666666666601</v>
      </c>
      <c r="AX419">
        <v>317.05666666666599</v>
      </c>
      <c r="AY419">
        <v>304.92</v>
      </c>
      <c r="AZ419">
        <v>295.77999999999901</v>
      </c>
      <c r="BA419">
        <v>346.26333333333298</v>
      </c>
      <c r="BB419">
        <v>291.01999999999902</v>
      </c>
      <c r="BC419">
        <v>329.38999999999902</v>
      </c>
      <c r="BD419">
        <v>304.106666666666</v>
      </c>
      <c r="BE419">
        <v>290.54333333333301</v>
      </c>
      <c r="BF419">
        <v>280.25333333333299</v>
      </c>
      <c r="BG419" s="14"/>
      <c r="BH419" s="14"/>
      <c r="BI419" s="14"/>
      <c r="BJ419" s="199"/>
      <c r="BK419" s="14"/>
      <c r="BL419" s="14"/>
      <c r="BM419" s="14"/>
      <c r="BN419" s="14"/>
      <c r="BO419" s="14"/>
      <c r="BP419" s="14"/>
      <c r="BQ419" s="14"/>
      <c r="BR419" s="14"/>
      <c r="BS419" s="14"/>
      <c r="BT419" s="14"/>
      <c r="BU419" s="14"/>
      <c r="BV419" s="14"/>
      <c r="BW419" s="14"/>
      <c r="BX419" s="14"/>
      <c r="BY419" s="170"/>
    </row>
    <row r="420" spans="9:77" x14ac:dyDescent="0.25">
      <c r="I420">
        <v>2970</v>
      </c>
      <c r="J420" s="1" t="s">
        <v>601</v>
      </c>
      <c r="K420">
        <v>416.27666666666602</v>
      </c>
      <c r="L420">
        <v>375.479999999999</v>
      </c>
      <c r="M420">
        <v>402.20666666666602</v>
      </c>
      <c r="N420">
        <v>383.16333333333301</v>
      </c>
      <c r="O420">
        <v>374.46333333333303</v>
      </c>
      <c r="P420">
        <v>368.00333333333299</v>
      </c>
      <c r="Q420">
        <v>400.113333333333</v>
      </c>
      <c r="R420">
        <v>341.82666666666597</v>
      </c>
      <c r="S420">
        <v>381.88</v>
      </c>
      <c r="T420">
        <v>355.933333333333</v>
      </c>
      <c r="U420">
        <v>341.58666666666602</v>
      </c>
      <c r="V420">
        <v>330.416666666666</v>
      </c>
      <c r="W420">
        <v>403.11</v>
      </c>
      <c r="X420">
        <v>374.30666666666599</v>
      </c>
      <c r="Y420">
        <v>385.62666666666598</v>
      </c>
      <c r="Z420">
        <v>383.68</v>
      </c>
      <c r="AA420">
        <v>378.01</v>
      </c>
      <c r="AB420">
        <v>378.01</v>
      </c>
      <c r="AC420">
        <v>421.75333333333299</v>
      </c>
      <c r="AD420">
        <v>378.37</v>
      </c>
      <c r="AE420">
        <v>406.91333333333301</v>
      </c>
      <c r="AF420">
        <v>394.13333333333298</v>
      </c>
      <c r="AG420">
        <v>385.97</v>
      </c>
      <c r="AH420">
        <v>382.15666666666601</v>
      </c>
      <c r="AI420">
        <v>416.27666666666602</v>
      </c>
      <c r="AJ420">
        <v>375.479999999999</v>
      </c>
      <c r="AK420">
        <v>402.20666666666602</v>
      </c>
      <c r="AL420">
        <v>383.16333333333301</v>
      </c>
      <c r="AM420">
        <v>374.46333333333303</v>
      </c>
      <c r="AN420">
        <v>368.00333333333299</v>
      </c>
      <c r="AO420">
        <v>420.91999999999899</v>
      </c>
      <c r="AP420">
        <v>353.06999999999903</v>
      </c>
      <c r="AQ420">
        <v>401.72333333333302</v>
      </c>
      <c r="AR420">
        <v>368.683333333333</v>
      </c>
      <c r="AS420">
        <v>350.46333333333303</v>
      </c>
      <c r="AT420">
        <v>335.09333333333302</v>
      </c>
      <c r="AU420">
        <v>433.296666666666</v>
      </c>
      <c r="AV420">
        <v>379.88666666666597</v>
      </c>
      <c r="AW420">
        <v>416.84666666666601</v>
      </c>
      <c r="AX420">
        <v>392.68666666666599</v>
      </c>
      <c r="AY420">
        <v>380.55</v>
      </c>
      <c r="AZ420">
        <v>371.41</v>
      </c>
      <c r="BA420">
        <v>421.89333333333298</v>
      </c>
      <c r="BB420">
        <v>366.64999999999901</v>
      </c>
      <c r="BC420">
        <v>405.01999999999902</v>
      </c>
      <c r="BD420">
        <v>379.736666666666</v>
      </c>
      <c r="BE420">
        <v>366.17333333333301</v>
      </c>
      <c r="BF420">
        <v>355.88333333333298</v>
      </c>
      <c r="BG420" s="14"/>
      <c r="BH420" s="14"/>
      <c r="BI420" s="14"/>
      <c r="BJ420" s="199"/>
      <c r="BK420" s="14"/>
      <c r="BL420" s="14"/>
      <c r="BM420" s="14"/>
      <c r="BN420" s="14"/>
      <c r="BO420" s="14"/>
      <c r="BP420" s="14"/>
      <c r="BQ420" s="14"/>
      <c r="BR420" s="14"/>
      <c r="BS420" s="14"/>
      <c r="BT420" s="14"/>
      <c r="BU420" s="14"/>
      <c r="BV420" s="14"/>
      <c r="BW420" s="14"/>
      <c r="BX420" s="14"/>
      <c r="BY420" s="170"/>
    </row>
    <row r="421" spans="9:77" x14ac:dyDescent="0.25">
      <c r="I421">
        <v>2980</v>
      </c>
      <c r="J421" s="1" t="s">
        <v>602</v>
      </c>
      <c r="K421">
        <v>416.27666666666602</v>
      </c>
      <c r="L421">
        <v>375.479999999999</v>
      </c>
      <c r="M421">
        <v>402.20666666666602</v>
      </c>
      <c r="N421">
        <v>383.16333333333301</v>
      </c>
      <c r="O421">
        <v>374.46333333333303</v>
      </c>
      <c r="P421">
        <v>368.00333333333299</v>
      </c>
      <c r="Q421">
        <v>400.113333333333</v>
      </c>
      <c r="R421">
        <v>341.82666666666597</v>
      </c>
      <c r="S421">
        <v>381.88</v>
      </c>
      <c r="T421">
        <v>355.933333333333</v>
      </c>
      <c r="U421">
        <v>341.58666666666602</v>
      </c>
      <c r="V421">
        <v>330.416666666666</v>
      </c>
      <c r="W421">
        <v>403.11</v>
      </c>
      <c r="X421">
        <v>374.30666666666599</v>
      </c>
      <c r="Y421">
        <v>385.62666666666598</v>
      </c>
      <c r="Z421">
        <v>383.68</v>
      </c>
      <c r="AA421">
        <v>378.01</v>
      </c>
      <c r="AB421">
        <v>378.01</v>
      </c>
      <c r="AC421">
        <v>421.75333333333299</v>
      </c>
      <c r="AD421">
        <v>378.37</v>
      </c>
      <c r="AE421">
        <v>406.91333333333301</v>
      </c>
      <c r="AF421">
        <v>394.13333333333298</v>
      </c>
      <c r="AG421">
        <v>385.97</v>
      </c>
      <c r="AH421">
        <v>382.15666666666601</v>
      </c>
      <c r="AI421">
        <v>416.27666666666602</v>
      </c>
      <c r="AJ421">
        <v>375.479999999999</v>
      </c>
      <c r="AK421">
        <v>402.20666666666602</v>
      </c>
      <c r="AL421">
        <v>383.16333333333301</v>
      </c>
      <c r="AM421">
        <v>374.46333333333303</v>
      </c>
      <c r="AN421">
        <v>368.00333333333299</v>
      </c>
      <c r="AO421">
        <v>420.91999999999899</v>
      </c>
      <c r="AP421">
        <v>353.06999999999903</v>
      </c>
      <c r="AQ421">
        <v>401.72333333333302</v>
      </c>
      <c r="AR421">
        <v>368.683333333333</v>
      </c>
      <c r="AS421">
        <v>350.46333333333303</v>
      </c>
      <c r="AT421">
        <v>335.09333333333302</v>
      </c>
      <c r="AU421">
        <v>433.296666666666</v>
      </c>
      <c r="AV421">
        <v>379.88666666666597</v>
      </c>
      <c r="AW421">
        <v>416.84666666666601</v>
      </c>
      <c r="AX421">
        <v>392.68666666666599</v>
      </c>
      <c r="AY421">
        <v>380.55</v>
      </c>
      <c r="AZ421">
        <v>371.41</v>
      </c>
      <c r="BA421">
        <v>421.89333333333298</v>
      </c>
      <c r="BB421">
        <v>366.64999999999901</v>
      </c>
      <c r="BC421">
        <v>405.01999999999902</v>
      </c>
      <c r="BD421">
        <v>379.736666666666</v>
      </c>
      <c r="BE421">
        <v>366.17333333333301</v>
      </c>
      <c r="BF421">
        <v>355.88333333333298</v>
      </c>
      <c r="BG421" s="14"/>
      <c r="BH421" s="14"/>
      <c r="BI421" s="14"/>
      <c r="BJ421" s="199"/>
      <c r="BK421" s="14"/>
      <c r="BL421" s="14"/>
      <c r="BM421" s="14"/>
      <c r="BN421" s="14"/>
      <c r="BO421" s="14"/>
      <c r="BP421" s="14"/>
      <c r="BQ421" s="14"/>
      <c r="BR421" s="14"/>
      <c r="BS421" s="14"/>
      <c r="BT421" s="14"/>
      <c r="BU421" s="14"/>
      <c r="BV421" s="14"/>
      <c r="BW421" s="14"/>
      <c r="BX421" s="14"/>
      <c r="BY421" s="170"/>
    </row>
    <row r="422" spans="9:77" x14ac:dyDescent="0.25">
      <c r="I422">
        <v>2990</v>
      </c>
      <c r="J422" s="1" t="s">
        <v>603</v>
      </c>
      <c r="K422">
        <v>335.06666666666598</v>
      </c>
      <c r="L422">
        <v>294.27</v>
      </c>
      <c r="M422">
        <v>320.99666666666599</v>
      </c>
      <c r="N422">
        <v>301.95333333333298</v>
      </c>
      <c r="O422">
        <v>293.25333333333299</v>
      </c>
      <c r="P422">
        <v>286.79333333333301</v>
      </c>
      <c r="Q422">
        <v>318.90333333333302</v>
      </c>
      <c r="R422">
        <v>260.61666666666599</v>
      </c>
      <c r="S422">
        <v>300.67</v>
      </c>
      <c r="T422">
        <v>274.72333333333302</v>
      </c>
      <c r="U422">
        <v>260.37666666666598</v>
      </c>
      <c r="V422">
        <v>249.206666666666</v>
      </c>
      <c r="W422">
        <v>321.89999999999998</v>
      </c>
      <c r="X422">
        <v>293.09666666666601</v>
      </c>
      <c r="Y422">
        <v>304.416666666666</v>
      </c>
      <c r="Z422">
        <v>302.47000000000003</v>
      </c>
      <c r="AA422">
        <v>296.8</v>
      </c>
      <c r="AB422">
        <v>296.8</v>
      </c>
      <c r="AC422">
        <v>340.54333333333301</v>
      </c>
      <c r="AD422">
        <v>297.16000000000003</v>
      </c>
      <c r="AE422">
        <v>325.70333333333298</v>
      </c>
      <c r="AF422">
        <v>312.92333333333301</v>
      </c>
      <c r="AG422">
        <v>304.76</v>
      </c>
      <c r="AH422">
        <v>300.94666666666598</v>
      </c>
      <c r="AI422">
        <v>335.06666666666598</v>
      </c>
      <c r="AJ422">
        <v>294.27</v>
      </c>
      <c r="AK422">
        <v>320.99666666666599</v>
      </c>
      <c r="AL422">
        <v>301.95333333333298</v>
      </c>
      <c r="AM422">
        <v>293.25333333333299</v>
      </c>
      <c r="AN422">
        <v>286.79333333333301</v>
      </c>
      <c r="AO422">
        <v>339.71</v>
      </c>
      <c r="AP422">
        <v>271.86</v>
      </c>
      <c r="AQ422">
        <v>320.51333333333298</v>
      </c>
      <c r="AR422">
        <v>287.47333333333302</v>
      </c>
      <c r="AS422">
        <v>269.25333333333299</v>
      </c>
      <c r="AT422">
        <v>253.88333333333301</v>
      </c>
      <c r="AU422">
        <v>352.08666666666602</v>
      </c>
      <c r="AV422">
        <v>298.67666666666599</v>
      </c>
      <c r="AW422">
        <v>335.63666666666597</v>
      </c>
      <c r="AX422">
        <v>311.47666666666601</v>
      </c>
      <c r="AY422">
        <v>299.33999999999997</v>
      </c>
      <c r="AZ422">
        <v>290.2</v>
      </c>
      <c r="BA422">
        <v>340.683333333333</v>
      </c>
      <c r="BB422">
        <v>285.44</v>
      </c>
      <c r="BC422">
        <v>323.81</v>
      </c>
      <c r="BD422">
        <v>298.52666666666602</v>
      </c>
      <c r="BE422">
        <v>284.96333333333303</v>
      </c>
      <c r="BF422">
        <v>274.67333333333301</v>
      </c>
      <c r="BG422" s="14"/>
      <c r="BH422" s="14"/>
      <c r="BI422" s="14"/>
      <c r="BJ422" s="199"/>
      <c r="BK422" s="14"/>
      <c r="BL422" s="14"/>
      <c r="BM422" s="14"/>
      <c r="BN422" s="14"/>
      <c r="BO422" s="14"/>
      <c r="BP422" s="14"/>
      <c r="BQ422" s="14"/>
      <c r="BR422" s="14"/>
      <c r="BS422" s="14"/>
      <c r="BT422" s="14"/>
      <c r="BU422" s="14"/>
      <c r="BV422" s="14"/>
      <c r="BW422" s="14"/>
      <c r="BX422" s="14"/>
      <c r="BY422" s="170"/>
    </row>
    <row r="423" spans="9:77" x14ac:dyDescent="0.25">
      <c r="I423">
        <v>3000</v>
      </c>
      <c r="J423" s="1" t="s">
        <v>604</v>
      </c>
      <c r="K423">
        <v>329.12666666666598</v>
      </c>
      <c r="L423">
        <v>288.32999999999902</v>
      </c>
      <c r="M423">
        <v>315.05666666666599</v>
      </c>
      <c r="N423">
        <v>296.01333333333298</v>
      </c>
      <c r="O423">
        <v>287.31333333333299</v>
      </c>
      <c r="P423">
        <v>280.85333333333301</v>
      </c>
      <c r="Q423">
        <v>312.96333333333303</v>
      </c>
      <c r="R423">
        <v>254.67666666666599</v>
      </c>
      <c r="S423">
        <v>294.729999999999</v>
      </c>
      <c r="T423">
        <v>268.78333333333302</v>
      </c>
      <c r="U423">
        <v>254.43666666666601</v>
      </c>
      <c r="V423">
        <v>243.266666666666</v>
      </c>
      <c r="W423">
        <v>315.95999999999901</v>
      </c>
      <c r="X423">
        <v>287.15666666666601</v>
      </c>
      <c r="Y423">
        <v>298.47666666666601</v>
      </c>
      <c r="Z423">
        <v>296.52999999999901</v>
      </c>
      <c r="AA423">
        <v>290.86</v>
      </c>
      <c r="AB423">
        <v>290.86</v>
      </c>
      <c r="AC423">
        <v>334.60333333333301</v>
      </c>
      <c r="AD423">
        <v>291.22000000000003</v>
      </c>
      <c r="AE423">
        <v>319.76333333333298</v>
      </c>
      <c r="AF423">
        <v>306.98333333333301</v>
      </c>
      <c r="AG423">
        <v>298.82</v>
      </c>
      <c r="AH423">
        <v>295.00666666666598</v>
      </c>
      <c r="AI423">
        <v>329.12666666666598</v>
      </c>
      <c r="AJ423">
        <v>288.32999999999902</v>
      </c>
      <c r="AK423">
        <v>315.05666666666599</v>
      </c>
      <c r="AL423">
        <v>296.01333333333298</v>
      </c>
      <c r="AM423">
        <v>287.31333333333299</v>
      </c>
      <c r="AN423">
        <v>280.85333333333301</v>
      </c>
      <c r="AO423">
        <v>333.76999999999902</v>
      </c>
      <c r="AP423">
        <v>265.91999999999899</v>
      </c>
      <c r="AQ423">
        <v>314.57333333333298</v>
      </c>
      <c r="AR423">
        <v>281.53333333333302</v>
      </c>
      <c r="AS423">
        <v>263.31333333333299</v>
      </c>
      <c r="AT423">
        <v>247.94333333333299</v>
      </c>
      <c r="AU423">
        <v>346.14666666666602</v>
      </c>
      <c r="AV423">
        <v>292.736666666666</v>
      </c>
      <c r="AW423">
        <v>329.69666666666598</v>
      </c>
      <c r="AX423">
        <v>305.53666666666601</v>
      </c>
      <c r="AY423">
        <v>293.39999999999998</v>
      </c>
      <c r="AZ423">
        <v>284.25999999999902</v>
      </c>
      <c r="BA423">
        <v>334.743333333333</v>
      </c>
      <c r="BB423">
        <v>279.49999999999898</v>
      </c>
      <c r="BC423">
        <v>317.86999999999898</v>
      </c>
      <c r="BD423">
        <v>292.58666666666602</v>
      </c>
      <c r="BE423">
        <v>279.02333333333303</v>
      </c>
      <c r="BF423">
        <v>268.73333333333301</v>
      </c>
      <c r="BG423" s="14"/>
      <c r="BH423" s="14"/>
      <c r="BI423" s="14"/>
      <c r="BJ423" s="199"/>
      <c r="BK423" s="14"/>
      <c r="BL423" s="14"/>
      <c r="BM423" s="14"/>
      <c r="BN423" s="14"/>
      <c r="BO423" s="14"/>
      <c r="BP423" s="14"/>
      <c r="BQ423" s="14"/>
      <c r="BR423" s="14"/>
      <c r="BS423" s="14"/>
      <c r="BT423" s="14"/>
      <c r="BU423" s="14"/>
      <c r="BV423" s="14"/>
      <c r="BW423" s="14"/>
      <c r="BX423" s="14"/>
      <c r="BY423" s="170"/>
    </row>
    <row r="424" spans="9:77" x14ac:dyDescent="0.25">
      <c r="I424">
        <v>3050</v>
      </c>
      <c r="J424" s="1" t="s">
        <v>605</v>
      </c>
      <c r="K424">
        <v>335.06666666666598</v>
      </c>
      <c r="L424">
        <v>294.27</v>
      </c>
      <c r="M424">
        <v>320.99666666666599</v>
      </c>
      <c r="N424">
        <v>301.95333333333298</v>
      </c>
      <c r="O424">
        <v>293.25333333333299</v>
      </c>
      <c r="P424">
        <v>286.79333333333301</v>
      </c>
      <c r="Q424">
        <v>318.90333333333302</v>
      </c>
      <c r="R424">
        <v>260.61666666666599</v>
      </c>
      <c r="S424">
        <v>300.67</v>
      </c>
      <c r="T424">
        <v>274.72333333333302</v>
      </c>
      <c r="U424">
        <v>260.37666666666598</v>
      </c>
      <c r="V424">
        <v>249.206666666666</v>
      </c>
      <c r="W424">
        <v>321.89999999999998</v>
      </c>
      <c r="X424">
        <v>293.09666666666601</v>
      </c>
      <c r="Y424">
        <v>304.416666666666</v>
      </c>
      <c r="Z424">
        <v>302.47000000000003</v>
      </c>
      <c r="AA424">
        <v>296.8</v>
      </c>
      <c r="AB424">
        <v>296.8</v>
      </c>
      <c r="AC424">
        <v>340.54333333333301</v>
      </c>
      <c r="AD424">
        <v>297.16000000000003</v>
      </c>
      <c r="AE424">
        <v>325.70333333333298</v>
      </c>
      <c r="AF424">
        <v>312.92333333333301</v>
      </c>
      <c r="AG424">
        <v>304.76</v>
      </c>
      <c r="AH424">
        <v>300.94666666666598</v>
      </c>
      <c r="AI424">
        <v>335.06666666666598</v>
      </c>
      <c r="AJ424">
        <v>294.27</v>
      </c>
      <c r="AK424">
        <v>320.99666666666599</v>
      </c>
      <c r="AL424">
        <v>301.95333333333298</v>
      </c>
      <c r="AM424">
        <v>293.25333333333299</v>
      </c>
      <c r="AN424">
        <v>286.79333333333301</v>
      </c>
      <c r="AO424">
        <v>339.71</v>
      </c>
      <c r="AP424">
        <v>271.86</v>
      </c>
      <c r="AQ424">
        <v>320.51333333333298</v>
      </c>
      <c r="AR424">
        <v>287.47333333333302</v>
      </c>
      <c r="AS424">
        <v>269.25333333333299</v>
      </c>
      <c r="AT424">
        <v>253.88333333333301</v>
      </c>
      <c r="AU424">
        <v>352.08666666666602</v>
      </c>
      <c r="AV424">
        <v>298.67666666666599</v>
      </c>
      <c r="AW424">
        <v>335.63666666666597</v>
      </c>
      <c r="AX424">
        <v>311.47666666666601</v>
      </c>
      <c r="AY424">
        <v>299.33999999999997</v>
      </c>
      <c r="AZ424">
        <v>290.2</v>
      </c>
      <c r="BA424">
        <v>340.683333333333</v>
      </c>
      <c r="BB424">
        <v>285.44</v>
      </c>
      <c r="BC424">
        <v>323.81</v>
      </c>
      <c r="BD424">
        <v>298.52666666666602</v>
      </c>
      <c r="BE424">
        <v>284.96333333333303</v>
      </c>
      <c r="BF424">
        <v>274.67333333333301</v>
      </c>
      <c r="BG424" s="14"/>
      <c r="BH424" s="14"/>
      <c r="BI424" s="14"/>
      <c r="BJ424" s="199"/>
      <c r="BK424" s="14"/>
      <c r="BL424" s="14"/>
      <c r="BM424" s="14"/>
      <c r="BN424" s="14"/>
      <c r="BO424" s="14"/>
      <c r="BP424" s="14"/>
      <c r="BQ424" s="14"/>
      <c r="BR424" s="14"/>
      <c r="BS424" s="14"/>
      <c r="BT424" s="14"/>
      <c r="BU424" s="14"/>
      <c r="BV424" s="14"/>
      <c r="BW424" s="14"/>
      <c r="BX424" s="14"/>
      <c r="BY424" s="170"/>
    </row>
    <row r="425" spans="9:77" x14ac:dyDescent="0.25">
      <c r="I425">
        <v>3060</v>
      </c>
      <c r="J425" s="1" t="s">
        <v>606</v>
      </c>
      <c r="K425">
        <v>335.06666666666598</v>
      </c>
      <c r="L425">
        <v>294.27</v>
      </c>
      <c r="M425">
        <v>320.99666666666599</v>
      </c>
      <c r="N425">
        <v>301.95333333333298</v>
      </c>
      <c r="O425">
        <v>293.25333333333299</v>
      </c>
      <c r="P425">
        <v>286.79333333333301</v>
      </c>
      <c r="Q425">
        <v>318.90333333333302</v>
      </c>
      <c r="R425">
        <v>260.61666666666599</v>
      </c>
      <c r="S425">
        <v>300.67</v>
      </c>
      <c r="T425">
        <v>274.72333333333302</v>
      </c>
      <c r="U425">
        <v>260.37666666666598</v>
      </c>
      <c r="V425">
        <v>249.206666666666</v>
      </c>
      <c r="W425">
        <v>321.89999999999998</v>
      </c>
      <c r="X425">
        <v>293.09666666666601</v>
      </c>
      <c r="Y425">
        <v>304.416666666666</v>
      </c>
      <c r="Z425">
        <v>302.47000000000003</v>
      </c>
      <c r="AA425">
        <v>296.8</v>
      </c>
      <c r="AB425">
        <v>296.8</v>
      </c>
      <c r="AC425">
        <v>340.54333333333301</v>
      </c>
      <c r="AD425">
        <v>297.16000000000003</v>
      </c>
      <c r="AE425">
        <v>325.70333333333298</v>
      </c>
      <c r="AF425">
        <v>312.92333333333301</v>
      </c>
      <c r="AG425">
        <v>304.76</v>
      </c>
      <c r="AH425">
        <v>300.94666666666598</v>
      </c>
      <c r="AI425">
        <v>335.06666666666598</v>
      </c>
      <c r="AJ425">
        <v>294.27</v>
      </c>
      <c r="AK425">
        <v>320.99666666666599</v>
      </c>
      <c r="AL425">
        <v>301.95333333333298</v>
      </c>
      <c r="AM425">
        <v>293.25333333333299</v>
      </c>
      <c r="AN425">
        <v>286.79333333333301</v>
      </c>
      <c r="AO425">
        <v>339.71</v>
      </c>
      <c r="AP425">
        <v>271.86</v>
      </c>
      <c r="AQ425">
        <v>320.51333333333298</v>
      </c>
      <c r="AR425">
        <v>287.47333333333302</v>
      </c>
      <c r="AS425">
        <v>269.25333333333299</v>
      </c>
      <c r="AT425">
        <v>253.88333333333301</v>
      </c>
      <c r="AU425">
        <v>352.08666666666602</v>
      </c>
      <c r="AV425">
        <v>298.67666666666599</v>
      </c>
      <c r="AW425">
        <v>335.63666666666597</v>
      </c>
      <c r="AX425">
        <v>311.47666666666601</v>
      </c>
      <c r="AY425">
        <v>299.33999999999997</v>
      </c>
      <c r="AZ425">
        <v>290.2</v>
      </c>
      <c r="BA425">
        <v>340.683333333333</v>
      </c>
      <c r="BB425">
        <v>285.44</v>
      </c>
      <c r="BC425">
        <v>323.81</v>
      </c>
      <c r="BD425">
        <v>298.52666666666602</v>
      </c>
      <c r="BE425">
        <v>284.96333333333303</v>
      </c>
      <c r="BF425">
        <v>274.67333333333301</v>
      </c>
      <c r="BG425" s="14"/>
      <c r="BH425" s="14"/>
      <c r="BI425" s="14"/>
      <c r="BJ425" s="199"/>
      <c r="BK425" s="14"/>
      <c r="BL425" s="14"/>
      <c r="BM425" s="14"/>
      <c r="BN425" s="14"/>
      <c r="BO425" s="14"/>
      <c r="BP425" s="14"/>
      <c r="BQ425" s="14"/>
      <c r="BR425" s="14"/>
      <c r="BS425" s="14"/>
      <c r="BT425" s="14"/>
      <c r="BU425" s="14"/>
      <c r="BV425" s="14"/>
      <c r="BW425" s="14"/>
      <c r="BX425" s="14"/>
      <c r="BY425" s="170"/>
    </row>
    <row r="426" spans="9:77" x14ac:dyDescent="0.25">
      <c r="I426">
        <v>3070</v>
      </c>
      <c r="J426" s="1" t="s">
        <v>607</v>
      </c>
      <c r="K426">
        <v>335.06666666666598</v>
      </c>
      <c r="L426">
        <v>294.27</v>
      </c>
      <c r="M426">
        <v>320.99666666666599</v>
      </c>
      <c r="N426">
        <v>301.95333333333298</v>
      </c>
      <c r="O426">
        <v>293.25333333333299</v>
      </c>
      <c r="P426">
        <v>286.79333333333301</v>
      </c>
      <c r="Q426">
        <v>318.90333333333302</v>
      </c>
      <c r="R426">
        <v>260.61666666666599</v>
      </c>
      <c r="S426">
        <v>300.67</v>
      </c>
      <c r="T426">
        <v>274.72333333333302</v>
      </c>
      <c r="U426">
        <v>260.37666666666598</v>
      </c>
      <c r="V426">
        <v>249.206666666666</v>
      </c>
      <c r="W426">
        <v>321.89999999999998</v>
      </c>
      <c r="X426">
        <v>293.09666666666601</v>
      </c>
      <c r="Y426">
        <v>304.416666666666</v>
      </c>
      <c r="Z426">
        <v>302.47000000000003</v>
      </c>
      <c r="AA426">
        <v>296.8</v>
      </c>
      <c r="AB426">
        <v>296.8</v>
      </c>
      <c r="AC426">
        <v>340.54333333333301</v>
      </c>
      <c r="AD426">
        <v>297.16000000000003</v>
      </c>
      <c r="AE426">
        <v>325.70333333333298</v>
      </c>
      <c r="AF426">
        <v>312.92333333333301</v>
      </c>
      <c r="AG426">
        <v>304.76</v>
      </c>
      <c r="AH426">
        <v>300.94666666666598</v>
      </c>
      <c r="AI426">
        <v>335.06666666666598</v>
      </c>
      <c r="AJ426">
        <v>294.27</v>
      </c>
      <c r="AK426">
        <v>320.99666666666599</v>
      </c>
      <c r="AL426">
        <v>301.95333333333298</v>
      </c>
      <c r="AM426">
        <v>293.25333333333299</v>
      </c>
      <c r="AN426">
        <v>286.79333333333301</v>
      </c>
      <c r="AO426">
        <v>339.71</v>
      </c>
      <c r="AP426">
        <v>271.86</v>
      </c>
      <c r="AQ426">
        <v>320.51333333333298</v>
      </c>
      <c r="AR426">
        <v>287.47333333333302</v>
      </c>
      <c r="AS426">
        <v>269.25333333333299</v>
      </c>
      <c r="AT426">
        <v>253.88333333333301</v>
      </c>
      <c r="AU426">
        <v>352.08666666666602</v>
      </c>
      <c r="AV426">
        <v>298.67666666666599</v>
      </c>
      <c r="AW426">
        <v>335.63666666666597</v>
      </c>
      <c r="AX426">
        <v>311.47666666666601</v>
      </c>
      <c r="AY426">
        <v>299.33999999999997</v>
      </c>
      <c r="AZ426">
        <v>290.2</v>
      </c>
      <c r="BA426">
        <v>340.683333333333</v>
      </c>
      <c r="BB426">
        <v>285.44</v>
      </c>
      <c r="BC426">
        <v>323.81</v>
      </c>
      <c r="BD426">
        <v>298.52666666666602</v>
      </c>
      <c r="BE426">
        <v>284.96333333333303</v>
      </c>
      <c r="BF426">
        <v>274.67333333333301</v>
      </c>
      <c r="BG426" s="14"/>
      <c r="BH426" s="14"/>
      <c r="BI426" s="14"/>
      <c r="BJ426" s="199"/>
      <c r="BK426" s="14"/>
      <c r="BL426" s="14"/>
      <c r="BM426" s="14"/>
      <c r="BN426" s="14"/>
      <c r="BO426" s="14"/>
      <c r="BP426" s="14"/>
      <c r="BQ426" s="14"/>
      <c r="BR426" s="14"/>
      <c r="BS426" s="14"/>
      <c r="BT426" s="14"/>
      <c r="BU426" s="14"/>
      <c r="BV426" s="14"/>
      <c r="BW426" s="14"/>
      <c r="BX426" s="14"/>
      <c r="BY426" s="170"/>
    </row>
    <row r="427" spans="9:77" x14ac:dyDescent="0.25">
      <c r="I427">
        <v>3080</v>
      </c>
      <c r="J427" s="1" t="s">
        <v>608</v>
      </c>
      <c r="K427">
        <v>389.15666666666601</v>
      </c>
      <c r="L427">
        <v>348.35999999999899</v>
      </c>
      <c r="M427">
        <v>375.08666666666602</v>
      </c>
      <c r="N427">
        <v>356.04333333333301</v>
      </c>
      <c r="O427">
        <v>347.34333333333302</v>
      </c>
      <c r="P427">
        <v>340.88333333333298</v>
      </c>
      <c r="Q427">
        <v>372.993333333333</v>
      </c>
      <c r="R427">
        <v>314.70666666666602</v>
      </c>
      <c r="S427">
        <v>354.75999999999902</v>
      </c>
      <c r="T427">
        <v>328.81333333333299</v>
      </c>
      <c r="U427">
        <v>314.46666666666601</v>
      </c>
      <c r="V427">
        <v>303.296666666666</v>
      </c>
      <c r="W427">
        <v>375.99</v>
      </c>
      <c r="X427">
        <v>347.18666666666599</v>
      </c>
      <c r="Y427">
        <v>358.50666666666598</v>
      </c>
      <c r="Z427">
        <v>356.56</v>
      </c>
      <c r="AA427">
        <v>350.89</v>
      </c>
      <c r="AB427">
        <v>350.89</v>
      </c>
      <c r="AC427">
        <v>394.63333333333298</v>
      </c>
      <c r="AD427">
        <v>351.25</v>
      </c>
      <c r="AE427">
        <v>379.79333333333301</v>
      </c>
      <c r="AF427">
        <v>367.01333333333298</v>
      </c>
      <c r="AG427">
        <v>358.85</v>
      </c>
      <c r="AH427">
        <v>355.03666666666601</v>
      </c>
      <c r="AI427">
        <v>389.15666666666601</v>
      </c>
      <c r="AJ427">
        <v>348.35999999999899</v>
      </c>
      <c r="AK427">
        <v>375.08666666666602</v>
      </c>
      <c r="AL427">
        <v>356.04333333333301</v>
      </c>
      <c r="AM427">
        <v>347.34333333333302</v>
      </c>
      <c r="AN427">
        <v>340.88333333333298</v>
      </c>
      <c r="AO427">
        <v>393.79999999999899</v>
      </c>
      <c r="AP427">
        <v>325.94999999999902</v>
      </c>
      <c r="AQ427">
        <v>374.60333333333301</v>
      </c>
      <c r="AR427">
        <v>341.56333333333299</v>
      </c>
      <c r="AS427">
        <v>323.34333333333302</v>
      </c>
      <c r="AT427">
        <v>307.97333333333302</v>
      </c>
      <c r="AU427">
        <v>406.17666666666599</v>
      </c>
      <c r="AV427">
        <v>352.76666666666603</v>
      </c>
      <c r="AW427">
        <v>389.72666666666601</v>
      </c>
      <c r="AX427">
        <v>365.56666666666598</v>
      </c>
      <c r="AY427">
        <v>353.43</v>
      </c>
      <c r="AZ427">
        <v>344.29</v>
      </c>
      <c r="BA427">
        <v>394.77333333333303</v>
      </c>
      <c r="BB427">
        <v>339.52999999999901</v>
      </c>
      <c r="BC427">
        <v>377.89999999999901</v>
      </c>
      <c r="BD427">
        <v>352.61666666666599</v>
      </c>
      <c r="BE427">
        <v>339.053333333333</v>
      </c>
      <c r="BF427">
        <v>328.76333333333298</v>
      </c>
      <c r="BG427" s="14"/>
      <c r="BH427" s="14"/>
      <c r="BI427" s="14"/>
      <c r="BJ427" s="199"/>
      <c r="BK427" s="14"/>
      <c r="BL427" s="14"/>
      <c r="BM427" s="14"/>
      <c r="BN427" s="14"/>
      <c r="BO427" s="14"/>
      <c r="BP427" s="14"/>
      <c r="BQ427" s="14"/>
      <c r="BR427" s="14"/>
      <c r="BS427" s="14"/>
      <c r="BT427" s="14"/>
      <c r="BU427" s="14"/>
      <c r="BV427" s="14"/>
      <c r="BW427" s="14"/>
      <c r="BX427" s="14"/>
      <c r="BY427" s="170"/>
    </row>
    <row r="428" spans="9:77" x14ac:dyDescent="0.25">
      <c r="I428">
        <v>3100</v>
      </c>
      <c r="J428" s="1" t="s">
        <v>609</v>
      </c>
      <c r="K428">
        <v>389.15666666666601</v>
      </c>
      <c r="L428">
        <v>348.35999999999899</v>
      </c>
      <c r="M428">
        <v>375.08666666666602</v>
      </c>
      <c r="N428">
        <v>356.04333333333301</v>
      </c>
      <c r="O428">
        <v>347.34333333333302</v>
      </c>
      <c r="P428">
        <v>340.88333333333298</v>
      </c>
      <c r="Q428">
        <v>372.993333333333</v>
      </c>
      <c r="R428">
        <v>314.70666666666602</v>
      </c>
      <c r="S428">
        <v>354.75999999999902</v>
      </c>
      <c r="T428">
        <v>328.81333333333299</v>
      </c>
      <c r="U428">
        <v>314.46666666666601</v>
      </c>
      <c r="V428">
        <v>303.296666666666</v>
      </c>
      <c r="W428">
        <v>375.99</v>
      </c>
      <c r="X428">
        <v>347.18666666666599</v>
      </c>
      <c r="Y428">
        <v>358.50666666666598</v>
      </c>
      <c r="Z428">
        <v>356.56</v>
      </c>
      <c r="AA428">
        <v>350.89</v>
      </c>
      <c r="AB428">
        <v>350.89</v>
      </c>
      <c r="AC428">
        <v>394.63333333333298</v>
      </c>
      <c r="AD428">
        <v>351.25</v>
      </c>
      <c r="AE428">
        <v>379.79333333333301</v>
      </c>
      <c r="AF428">
        <v>367.01333333333298</v>
      </c>
      <c r="AG428">
        <v>358.85</v>
      </c>
      <c r="AH428">
        <v>355.03666666666601</v>
      </c>
      <c r="AI428">
        <v>389.15666666666601</v>
      </c>
      <c r="AJ428">
        <v>348.35999999999899</v>
      </c>
      <c r="AK428">
        <v>375.08666666666602</v>
      </c>
      <c r="AL428">
        <v>356.04333333333301</v>
      </c>
      <c r="AM428">
        <v>347.34333333333302</v>
      </c>
      <c r="AN428">
        <v>340.88333333333298</v>
      </c>
      <c r="AO428">
        <v>393.79999999999899</v>
      </c>
      <c r="AP428">
        <v>325.94999999999902</v>
      </c>
      <c r="AQ428">
        <v>374.60333333333301</v>
      </c>
      <c r="AR428">
        <v>341.56333333333299</v>
      </c>
      <c r="AS428">
        <v>323.34333333333302</v>
      </c>
      <c r="AT428">
        <v>307.97333333333302</v>
      </c>
      <c r="AU428">
        <v>406.17666666666599</v>
      </c>
      <c r="AV428">
        <v>352.76666666666603</v>
      </c>
      <c r="AW428">
        <v>389.72666666666601</v>
      </c>
      <c r="AX428">
        <v>365.56666666666598</v>
      </c>
      <c r="AY428">
        <v>353.43</v>
      </c>
      <c r="AZ428">
        <v>344.29</v>
      </c>
      <c r="BA428">
        <v>394.77333333333303</v>
      </c>
      <c r="BB428">
        <v>339.52999999999901</v>
      </c>
      <c r="BC428">
        <v>377.89999999999901</v>
      </c>
      <c r="BD428">
        <v>352.61666666666599</v>
      </c>
      <c r="BE428">
        <v>339.053333333333</v>
      </c>
      <c r="BF428">
        <v>328.76333333333298</v>
      </c>
      <c r="BG428" s="14"/>
      <c r="BH428" s="14"/>
      <c r="BI428" s="14"/>
      <c r="BJ428" s="199"/>
      <c r="BK428" s="14"/>
      <c r="BL428" s="14"/>
      <c r="BM428" s="14"/>
      <c r="BN428" s="14"/>
      <c r="BO428" s="14"/>
      <c r="BP428" s="14"/>
      <c r="BQ428" s="14"/>
      <c r="BR428" s="14"/>
      <c r="BS428" s="14"/>
      <c r="BT428" s="14"/>
      <c r="BU428" s="14"/>
      <c r="BV428" s="14"/>
      <c r="BW428" s="14"/>
      <c r="BX428" s="14"/>
      <c r="BY428" s="170"/>
    </row>
    <row r="429" spans="9:77" x14ac:dyDescent="0.25">
      <c r="I429">
        <v>3120</v>
      </c>
      <c r="J429" s="1" t="s">
        <v>610</v>
      </c>
      <c r="K429">
        <v>389.15666666666601</v>
      </c>
      <c r="L429">
        <v>348.35999999999899</v>
      </c>
      <c r="M429">
        <v>375.08666666666602</v>
      </c>
      <c r="N429">
        <v>356.04333333333301</v>
      </c>
      <c r="O429">
        <v>347.34333333333302</v>
      </c>
      <c r="P429">
        <v>340.88333333333298</v>
      </c>
      <c r="Q429">
        <v>372.993333333333</v>
      </c>
      <c r="R429">
        <v>314.70666666666602</v>
      </c>
      <c r="S429">
        <v>354.75999999999902</v>
      </c>
      <c r="T429">
        <v>328.81333333333299</v>
      </c>
      <c r="U429">
        <v>314.46666666666601</v>
      </c>
      <c r="V429">
        <v>303.296666666666</v>
      </c>
      <c r="W429">
        <v>375.99</v>
      </c>
      <c r="X429">
        <v>347.18666666666599</v>
      </c>
      <c r="Y429">
        <v>358.50666666666598</v>
      </c>
      <c r="Z429">
        <v>356.56</v>
      </c>
      <c r="AA429">
        <v>350.89</v>
      </c>
      <c r="AB429">
        <v>350.89</v>
      </c>
      <c r="AC429">
        <v>394.63333333333298</v>
      </c>
      <c r="AD429">
        <v>351.25</v>
      </c>
      <c r="AE429">
        <v>379.79333333333301</v>
      </c>
      <c r="AF429">
        <v>367.01333333333298</v>
      </c>
      <c r="AG429">
        <v>358.85</v>
      </c>
      <c r="AH429">
        <v>355.03666666666601</v>
      </c>
      <c r="AI429">
        <v>389.15666666666601</v>
      </c>
      <c r="AJ429">
        <v>348.35999999999899</v>
      </c>
      <c r="AK429">
        <v>375.08666666666602</v>
      </c>
      <c r="AL429">
        <v>356.04333333333301</v>
      </c>
      <c r="AM429">
        <v>347.34333333333302</v>
      </c>
      <c r="AN429">
        <v>340.88333333333298</v>
      </c>
      <c r="AO429">
        <v>393.79999999999899</v>
      </c>
      <c r="AP429">
        <v>325.94999999999902</v>
      </c>
      <c r="AQ429">
        <v>374.60333333333301</v>
      </c>
      <c r="AR429">
        <v>341.56333333333299</v>
      </c>
      <c r="AS429">
        <v>323.34333333333302</v>
      </c>
      <c r="AT429">
        <v>307.97333333333302</v>
      </c>
      <c r="AU429">
        <v>406.17666666666599</v>
      </c>
      <c r="AV429">
        <v>352.76666666666603</v>
      </c>
      <c r="AW429">
        <v>389.72666666666601</v>
      </c>
      <c r="AX429">
        <v>365.56666666666598</v>
      </c>
      <c r="AY429">
        <v>353.43</v>
      </c>
      <c r="AZ429">
        <v>344.29</v>
      </c>
      <c r="BA429">
        <v>394.77333333333303</v>
      </c>
      <c r="BB429">
        <v>339.52999999999901</v>
      </c>
      <c r="BC429">
        <v>377.89999999999901</v>
      </c>
      <c r="BD429">
        <v>352.61666666666599</v>
      </c>
      <c r="BE429">
        <v>339.053333333333</v>
      </c>
      <c r="BF429">
        <v>328.76333333333298</v>
      </c>
      <c r="BG429" s="14"/>
      <c r="BH429" s="14"/>
      <c r="BI429" s="14"/>
      <c r="BJ429" s="199"/>
      <c r="BK429" s="14"/>
      <c r="BL429" s="14"/>
      <c r="BM429" s="14"/>
      <c r="BN429" s="14"/>
      <c r="BO429" s="14"/>
      <c r="BP429" s="14"/>
      <c r="BQ429" s="14"/>
      <c r="BR429" s="14"/>
      <c r="BS429" s="14"/>
      <c r="BT429" s="14"/>
      <c r="BU429" s="14"/>
      <c r="BV429" s="14"/>
      <c r="BW429" s="14"/>
      <c r="BX429" s="14"/>
      <c r="BY429" s="170"/>
    </row>
    <row r="430" spans="9:77" x14ac:dyDescent="0.25">
      <c r="I430">
        <v>3140</v>
      </c>
      <c r="J430" s="1" t="s">
        <v>611</v>
      </c>
      <c r="K430">
        <v>329.12666666666598</v>
      </c>
      <c r="L430">
        <v>288.32999999999902</v>
      </c>
      <c r="M430">
        <v>315.05666666666599</v>
      </c>
      <c r="N430">
        <v>296.01333333333298</v>
      </c>
      <c r="O430">
        <v>287.31333333333299</v>
      </c>
      <c r="P430">
        <v>280.85333333333301</v>
      </c>
      <c r="Q430">
        <v>312.96333333333303</v>
      </c>
      <c r="R430">
        <v>254.67666666666599</v>
      </c>
      <c r="S430">
        <v>294.729999999999</v>
      </c>
      <c r="T430">
        <v>268.78333333333302</v>
      </c>
      <c r="U430">
        <v>254.43666666666601</v>
      </c>
      <c r="V430">
        <v>243.266666666666</v>
      </c>
      <c r="W430">
        <v>315.95999999999901</v>
      </c>
      <c r="X430">
        <v>287.15666666666601</v>
      </c>
      <c r="Y430">
        <v>298.47666666666601</v>
      </c>
      <c r="Z430">
        <v>296.52999999999901</v>
      </c>
      <c r="AA430">
        <v>290.86</v>
      </c>
      <c r="AB430">
        <v>290.86</v>
      </c>
      <c r="AC430">
        <v>334.60333333333301</v>
      </c>
      <c r="AD430">
        <v>291.22000000000003</v>
      </c>
      <c r="AE430">
        <v>319.76333333333298</v>
      </c>
      <c r="AF430">
        <v>306.98333333333301</v>
      </c>
      <c r="AG430">
        <v>298.82</v>
      </c>
      <c r="AH430">
        <v>295.00666666666598</v>
      </c>
      <c r="AI430">
        <v>329.12666666666598</v>
      </c>
      <c r="AJ430">
        <v>288.32999999999902</v>
      </c>
      <c r="AK430">
        <v>315.05666666666599</v>
      </c>
      <c r="AL430">
        <v>296.01333333333298</v>
      </c>
      <c r="AM430">
        <v>287.31333333333299</v>
      </c>
      <c r="AN430">
        <v>280.85333333333301</v>
      </c>
      <c r="AO430">
        <v>333.76999999999902</v>
      </c>
      <c r="AP430">
        <v>265.91999999999899</v>
      </c>
      <c r="AQ430">
        <v>314.57333333333298</v>
      </c>
      <c r="AR430">
        <v>281.53333333333302</v>
      </c>
      <c r="AS430">
        <v>263.31333333333299</v>
      </c>
      <c r="AT430">
        <v>247.94333333333299</v>
      </c>
      <c r="AU430">
        <v>346.14666666666602</v>
      </c>
      <c r="AV430">
        <v>292.736666666666</v>
      </c>
      <c r="AW430">
        <v>329.69666666666598</v>
      </c>
      <c r="AX430">
        <v>305.53666666666601</v>
      </c>
      <c r="AY430">
        <v>293.39999999999998</v>
      </c>
      <c r="AZ430">
        <v>284.25999999999902</v>
      </c>
      <c r="BA430">
        <v>334.743333333333</v>
      </c>
      <c r="BB430">
        <v>279.49999999999898</v>
      </c>
      <c r="BC430">
        <v>317.86999999999898</v>
      </c>
      <c r="BD430">
        <v>292.58666666666602</v>
      </c>
      <c r="BE430">
        <v>279.02333333333303</v>
      </c>
      <c r="BF430">
        <v>268.73333333333301</v>
      </c>
      <c r="BG430" s="14"/>
      <c r="BH430" s="14"/>
      <c r="BI430" s="14"/>
      <c r="BJ430" s="199"/>
      <c r="BK430" s="14"/>
      <c r="BL430" s="14"/>
      <c r="BM430" s="14"/>
      <c r="BN430" s="14"/>
      <c r="BO430" s="14"/>
      <c r="BP430" s="14"/>
      <c r="BQ430" s="14"/>
      <c r="BR430" s="14"/>
      <c r="BS430" s="14"/>
      <c r="BT430" s="14"/>
      <c r="BU430" s="14"/>
      <c r="BV430" s="14"/>
      <c r="BW430" s="14"/>
      <c r="BX430" s="14"/>
      <c r="BY430" s="170"/>
    </row>
    <row r="431" spans="9:77" x14ac:dyDescent="0.25">
      <c r="I431">
        <v>3150</v>
      </c>
      <c r="J431" s="1" t="s">
        <v>612</v>
      </c>
      <c r="K431">
        <v>329.12666666666598</v>
      </c>
      <c r="L431">
        <v>288.32999999999902</v>
      </c>
      <c r="M431">
        <v>315.05666666666599</v>
      </c>
      <c r="N431">
        <v>296.01333333333298</v>
      </c>
      <c r="O431">
        <v>287.31333333333299</v>
      </c>
      <c r="P431">
        <v>280.85333333333301</v>
      </c>
      <c r="Q431">
        <v>312.96333333333303</v>
      </c>
      <c r="R431">
        <v>254.67666666666599</v>
      </c>
      <c r="S431">
        <v>294.729999999999</v>
      </c>
      <c r="T431">
        <v>268.78333333333302</v>
      </c>
      <c r="U431">
        <v>254.43666666666601</v>
      </c>
      <c r="V431">
        <v>243.266666666666</v>
      </c>
      <c r="W431">
        <v>315.95999999999901</v>
      </c>
      <c r="X431">
        <v>287.15666666666601</v>
      </c>
      <c r="Y431">
        <v>298.47666666666601</v>
      </c>
      <c r="Z431">
        <v>296.52999999999901</v>
      </c>
      <c r="AA431">
        <v>290.86</v>
      </c>
      <c r="AB431">
        <v>290.86</v>
      </c>
      <c r="AC431">
        <v>334.60333333333301</v>
      </c>
      <c r="AD431">
        <v>291.22000000000003</v>
      </c>
      <c r="AE431">
        <v>319.76333333333298</v>
      </c>
      <c r="AF431">
        <v>306.98333333333301</v>
      </c>
      <c r="AG431">
        <v>298.82</v>
      </c>
      <c r="AH431">
        <v>295.00666666666598</v>
      </c>
      <c r="AI431">
        <v>329.12666666666598</v>
      </c>
      <c r="AJ431">
        <v>288.32999999999902</v>
      </c>
      <c r="AK431">
        <v>315.05666666666599</v>
      </c>
      <c r="AL431">
        <v>296.01333333333298</v>
      </c>
      <c r="AM431">
        <v>287.31333333333299</v>
      </c>
      <c r="AN431">
        <v>280.85333333333301</v>
      </c>
      <c r="AO431">
        <v>333.76999999999902</v>
      </c>
      <c r="AP431">
        <v>265.91999999999899</v>
      </c>
      <c r="AQ431">
        <v>314.57333333333298</v>
      </c>
      <c r="AR431">
        <v>281.53333333333302</v>
      </c>
      <c r="AS431">
        <v>263.31333333333299</v>
      </c>
      <c r="AT431">
        <v>247.94333333333299</v>
      </c>
      <c r="AU431">
        <v>346.14666666666602</v>
      </c>
      <c r="AV431">
        <v>292.736666666666</v>
      </c>
      <c r="AW431">
        <v>329.69666666666598</v>
      </c>
      <c r="AX431">
        <v>305.53666666666601</v>
      </c>
      <c r="AY431">
        <v>293.39999999999998</v>
      </c>
      <c r="AZ431">
        <v>284.25999999999902</v>
      </c>
      <c r="BA431">
        <v>334.743333333333</v>
      </c>
      <c r="BB431">
        <v>279.49999999999898</v>
      </c>
      <c r="BC431">
        <v>317.86999999999898</v>
      </c>
      <c r="BD431">
        <v>292.58666666666602</v>
      </c>
      <c r="BE431">
        <v>279.02333333333303</v>
      </c>
      <c r="BF431">
        <v>268.73333333333301</v>
      </c>
      <c r="BG431" s="14"/>
      <c r="BH431" s="14"/>
      <c r="BI431" s="14"/>
      <c r="BJ431" s="199"/>
      <c r="BK431" s="14"/>
      <c r="BL431" s="14"/>
      <c r="BM431" s="14"/>
      <c r="BN431" s="14"/>
      <c r="BO431" s="14"/>
      <c r="BP431" s="14"/>
      <c r="BQ431" s="14"/>
      <c r="BR431" s="14"/>
      <c r="BS431" s="14"/>
      <c r="BT431" s="14"/>
      <c r="BU431" s="14"/>
      <c r="BV431" s="14"/>
      <c r="BW431" s="14"/>
      <c r="BX431" s="14"/>
      <c r="BY431" s="170"/>
    </row>
    <row r="432" spans="9:77" x14ac:dyDescent="0.25">
      <c r="I432">
        <v>3200</v>
      </c>
      <c r="J432" s="1" t="s">
        <v>613</v>
      </c>
      <c r="K432">
        <v>404.05666666666599</v>
      </c>
      <c r="L432">
        <v>363.25999999999902</v>
      </c>
      <c r="M432">
        <v>389.986666666666</v>
      </c>
      <c r="N432">
        <v>370.94333333333299</v>
      </c>
      <c r="O432">
        <v>362.243333333333</v>
      </c>
      <c r="P432">
        <v>355.78333333333302</v>
      </c>
      <c r="Q432">
        <v>387.89333333333298</v>
      </c>
      <c r="R432">
        <v>329.606666666666</v>
      </c>
      <c r="S432">
        <v>369.659999999999</v>
      </c>
      <c r="T432">
        <v>343.71333333333303</v>
      </c>
      <c r="U432">
        <v>329.36666666666599</v>
      </c>
      <c r="V432">
        <v>318.19666666666598</v>
      </c>
      <c r="W432">
        <v>390.88999999999902</v>
      </c>
      <c r="X432">
        <v>362.08666666666602</v>
      </c>
      <c r="Y432">
        <v>373.40666666666601</v>
      </c>
      <c r="Z432">
        <v>371.45999999999901</v>
      </c>
      <c r="AA432">
        <v>365.789999999999</v>
      </c>
      <c r="AB432">
        <v>365.789999999999</v>
      </c>
      <c r="AC432">
        <v>409.53333333333302</v>
      </c>
      <c r="AD432">
        <v>366.14999999999901</v>
      </c>
      <c r="AE432">
        <v>394.69333333333299</v>
      </c>
      <c r="AF432">
        <v>381.91333333333301</v>
      </c>
      <c r="AG432">
        <v>373.75</v>
      </c>
      <c r="AH432">
        <v>369.93666666666599</v>
      </c>
      <c r="AI432">
        <v>404.05666666666599</v>
      </c>
      <c r="AJ432">
        <v>363.25999999999902</v>
      </c>
      <c r="AK432">
        <v>389.986666666666</v>
      </c>
      <c r="AL432">
        <v>370.94333333333299</v>
      </c>
      <c r="AM432">
        <v>362.243333333333</v>
      </c>
      <c r="AN432">
        <v>355.78333333333302</v>
      </c>
      <c r="AO432">
        <v>408.69999999999902</v>
      </c>
      <c r="AP432">
        <v>340.849999999999</v>
      </c>
      <c r="AQ432">
        <v>389.50333333333299</v>
      </c>
      <c r="AR432">
        <v>356.46333333333303</v>
      </c>
      <c r="AS432">
        <v>338.243333333333</v>
      </c>
      <c r="AT432">
        <v>322.87333333333299</v>
      </c>
      <c r="AU432">
        <v>421.07666666666597</v>
      </c>
      <c r="AV432">
        <v>367.666666666666</v>
      </c>
      <c r="AW432">
        <v>404.62666666666598</v>
      </c>
      <c r="AX432">
        <v>380.46666666666601</v>
      </c>
      <c r="AY432">
        <v>368.32999999999902</v>
      </c>
      <c r="AZ432">
        <v>359.18999999999897</v>
      </c>
      <c r="BA432">
        <v>409.67333333333301</v>
      </c>
      <c r="BB432">
        <v>354.42999999999898</v>
      </c>
      <c r="BC432">
        <v>392.79999999999899</v>
      </c>
      <c r="BD432">
        <v>367.51666666666603</v>
      </c>
      <c r="BE432">
        <v>353.95333333333298</v>
      </c>
      <c r="BF432">
        <v>343.66333333333301</v>
      </c>
      <c r="BG432" s="14"/>
      <c r="BH432" s="14"/>
      <c r="BI432" s="14"/>
      <c r="BJ432" s="199"/>
      <c r="BK432" s="14"/>
      <c r="BL432" s="14"/>
      <c r="BM432" s="14"/>
      <c r="BN432" s="14"/>
      <c r="BO432" s="14"/>
      <c r="BP432" s="14"/>
      <c r="BQ432" s="14"/>
      <c r="BR432" s="14"/>
      <c r="BS432" s="14"/>
      <c r="BT432" s="14"/>
      <c r="BU432" s="14"/>
      <c r="BV432" s="14"/>
      <c r="BW432" s="14"/>
      <c r="BX432" s="14"/>
      <c r="BY432" s="170"/>
    </row>
    <row r="433" spans="9:77" x14ac:dyDescent="0.25">
      <c r="I433">
        <v>3210</v>
      </c>
      <c r="J433" s="1" t="s">
        <v>614</v>
      </c>
      <c r="K433">
        <v>346.17666666666599</v>
      </c>
      <c r="L433">
        <v>305.37999999999897</v>
      </c>
      <c r="M433">
        <v>332.106666666666</v>
      </c>
      <c r="N433">
        <v>313.06333333333299</v>
      </c>
      <c r="O433">
        <v>304.363333333333</v>
      </c>
      <c r="P433">
        <v>297.90333333333302</v>
      </c>
      <c r="Q433">
        <v>330.01333333333298</v>
      </c>
      <c r="R433">
        <v>271.72666666666601</v>
      </c>
      <c r="S433">
        <v>311.77999999999901</v>
      </c>
      <c r="T433">
        <v>285.83333333333297</v>
      </c>
      <c r="U433">
        <v>271.486666666666</v>
      </c>
      <c r="V433">
        <v>260.31666666666598</v>
      </c>
      <c r="W433">
        <v>333.01</v>
      </c>
      <c r="X433">
        <v>304.20666666666602</v>
      </c>
      <c r="Y433">
        <v>315.52666666666602</v>
      </c>
      <c r="Z433">
        <v>313.57999999999902</v>
      </c>
      <c r="AA433">
        <v>307.91000000000003</v>
      </c>
      <c r="AB433">
        <v>307.91000000000003</v>
      </c>
      <c r="AC433">
        <v>351.65333333333302</v>
      </c>
      <c r="AD433">
        <v>308.27</v>
      </c>
      <c r="AE433">
        <v>336.81333333333299</v>
      </c>
      <c r="AF433">
        <v>324.03333333333302</v>
      </c>
      <c r="AG433">
        <v>315.87</v>
      </c>
      <c r="AH433">
        <v>312.05666666666599</v>
      </c>
      <c r="AI433">
        <v>346.17666666666599</v>
      </c>
      <c r="AJ433">
        <v>305.37999999999897</v>
      </c>
      <c r="AK433">
        <v>332.106666666666</v>
      </c>
      <c r="AL433">
        <v>313.06333333333299</v>
      </c>
      <c r="AM433">
        <v>304.363333333333</v>
      </c>
      <c r="AN433">
        <v>297.90333333333302</v>
      </c>
      <c r="AO433">
        <v>350.81999999999903</v>
      </c>
      <c r="AP433">
        <v>282.969999999999</v>
      </c>
      <c r="AQ433">
        <v>331.62333333333299</v>
      </c>
      <c r="AR433">
        <v>298.58333333333297</v>
      </c>
      <c r="AS433">
        <v>280.363333333333</v>
      </c>
      <c r="AT433">
        <v>264.993333333333</v>
      </c>
      <c r="AU433">
        <v>363.19666666666598</v>
      </c>
      <c r="AV433">
        <v>309.78666666666601</v>
      </c>
      <c r="AW433">
        <v>346.74666666666599</v>
      </c>
      <c r="AX433">
        <v>322.58666666666602</v>
      </c>
      <c r="AY433">
        <v>310.45</v>
      </c>
      <c r="AZ433">
        <v>301.31</v>
      </c>
      <c r="BA433">
        <v>351.79333333333301</v>
      </c>
      <c r="BB433">
        <v>296.54999999999899</v>
      </c>
      <c r="BC433">
        <v>334.91999999999899</v>
      </c>
      <c r="BD433">
        <v>309.63666666666597</v>
      </c>
      <c r="BE433">
        <v>296.07333333333298</v>
      </c>
      <c r="BF433">
        <v>285.78333333333302</v>
      </c>
      <c r="BG433" s="14"/>
      <c r="BH433" s="14"/>
      <c r="BI433" s="14"/>
      <c r="BJ433" s="199"/>
      <c r="BK433" s="14"/>
      <c r="BL433" s="14"/>
      <c r="BM433" s="14"/>
      <c r="BN433" s="14"/>
      <c r="BO433" s="14"/>
      <c r="BP433" s="14"/>
      <c r="BQ433" s="14"/>
      <c r="BR433" s="14"/>
      <c r="BS433" s="14"/>
      <c r="BT433" s="14"/>
      <c r="BU433" s="14"/>
      <c r="BV433" s="14"/>
      <c r="BW433" s="14"/>
      <c r="BX433" s="14"/>
      <c r="BY433" s="170"/>
    </row>
    <row r="434" spans="9:77" x14ac:dyDescent="0.25">
      <c r="I434">
        <v>3220</v>
      </c>
      <c r="J434" s="1" t="s">
        <v>615</v>
      </c>
      <c r="K434">
        <v>346.17666666666599</v>
      </c>
      <c r="L434">
        <v>305.37999999999897</v>
      </c>
      <c r="M434">
        <v>332.106666666666</v>
      </c>
      <c r="N434">
        <v>313.06333333333299</v>
      </c>
      <c r="O434">
        <v>304.363333333333</v>
      </c>
      <c r="P434">
        <v>297.90333333333302</v>
      </c>
      <c r="Q434">
        <v>330.01333333333298</v>
      </c>
      <c r="R434">
        <v>271.72666666666601</v>
      </c>
      <c r="S434">
        <v>311.77999999999901</v>
      </c>
      <c r="T434">
        <v>285.83333333333297</v>
      </c>
      <c r="U434">
        <v>271.486666666666</v>
      </c>
      <c r="V434">
        <v>260.31666666666598</v>
      </c>
      <c r="W434">
        <v>333.01</v>
      </c>
      <c r="X434">
        <v>304.20666666666602</v>
      </c>
      <c r="Y434">
        <v>315.52666666666602</v>
      </c>
      <c r="Z434">
        <v>313.57999999999902</v>
      </c>
      <c r="AA434">
        <v>307.91000000000003</v>
      </c>
      <c r="AB434">
        <v>307.91000000000003</v>
      </c>
      <c r="AC434">
        <v>351.65333333333302</v>
      </c>
      <c r="AD434">
        <v>308.27</v>
      </c>
      <c r="AE434">
        <v>336.81333333333299</v>
      </c>
      <c r="AF434">
        <v>324.03333333333302</v>
      </c>
      <c r="AG434">
        <v>315.87</v>
      </c>
      <c r="AH434">
        <v>312.05666666666599</v>
      </c>
      <c r="AI434">
        <v>346.17666666666599</v>
      </c>
      <c r="AJ434">
        <v>305.37999999999897</v>
      </c>
      <c r="AK434">
        <v>332.106666666666</v>
      </c>
      <c r="AL434">
        <v>313.06333333333299</v>
      </c>
      <c r="AM434">
        <v>304.363333333333</v>
      </c>
      <c r="AN434">
        <v>297.90333333333302</v>
      </c>
      <c r="AO434">
        <v>350.81999999999903</v>
      </c>
      <c r="AP434">
        <v>282.969999999999</v>
      </c>
      <c r="AQ434">
        <v>331.62333333333299</v>
      </c>
      <c r="AR434">
        <v>298.58333333333297</v>
      </c>
      <c r="AS434">
        <v>280.363333333333</v>
      </c>
      <c r="AT434">
        <v>264.993333333333</v>
      </c>
      <c r="AU434">
        <v>363.19666666666598</v>
      </c>
      <c r="AV434">
        <v>309.78666666666601</v>
      </c>
      <c r="AW434">
        <v>346.74666666666599</v>
      </c>
      <c r="AX434">
        <v>322.58666666666602</v>
      </c>
      <c r="AY434">
        <v>310.45</v>
      </c>
      <c r="AZ434">
        <v>301.31</v>
      </c>
      <c r="BA434">
        <v>351.79333333333301</v>
      </c>
      <c r="BB434">
        <v>296.54999999999899</v>
      </c>
      <c r="BC434">
        <v>334.91999999999899</v>
      </c>
      <c r="BD434">
        <v>309.63666666666597</v>
      </c>
      <c r="BE434">
        <v>296.07333333333298</v>
      </c>
      <c r="BF434">
        <v>285.78333333333302</v>
      </c>
      <c r="BG434" s="14"/>
      <c r="BH434" s="14"/>
      <c r="BI434" s="14"/>
      <c r="BJ434" s="199"/>
      <c r="BK434" s="14"/>
      <c r="BL434" s="14"/>
      <c r="BM434" s="14"/>
      <c r="BN434" s="14"/>
      <c r="BO434" s="14"/>
      <c r="BP434" s="14"/>
      <c r="BQ434" s="14"/>
      <c r="BR434" s="14"/>
      <c r="BS434" s="14"/>
      <c r="BT434" s="14"/>
      <c r="BU434" s="14"/>
      <c r="BV434" s="14"/>
      <c r="BW434" s="14"/>
      <c r="BX434" s="14"/>
      <c r="BY434" s="170"/>
    </row>
    <row r="435" spans="9:77" x14ac:dyDescent="0.25">
      <c r="I435">
        <v>3230</v>
      </c>
      <c r="J435" s="1" t="s">
        <v>616</v>
      </c>
      <c r="K435">
        <v>404.05666666666599</v>
      </c>
      <c r="L435">
        <v>363.25999999999902</v>
      </c>
      <c r="M435">
        <v>389.986666666666</v>
      </c>
      <c r="N435">
        <v>370.94333333333299</v>
      </c>
      <c r="O435">
        <v>362.243333333333</v>
      </c>
      <c r="P435">
        <v>355.78333333333302</v>
      </c>
      <c r="Q435">
        <v>387.89333333333298</v>
      </c>
      <c r="R435">
        <v>329.606666666666</v>
      </c>
      <c r="S435">
        <v>369.659999999999</v>
      </c>
      <c r="T435">
        <v>343.71333333333303</v>
      </c>
      <c r="U435">
        <v>329.36666666666599</v>
      </c>
      <c r="V435">
        <v>318.19666666666598</v>
      </c>
      <c r="W435">
        <v>390.88999999999902</v>
      </c>
      <c r="X435">
        <v>362.08666666666602</v>
      </c>
      <c r="Y435">
        <v>373.40666666666601</v>
      </c>
      <c r="Z435">
        <v>371.45999999999901</v>
      </c>
      <c r="AA435">
        <v>365.789999999999</v>
      </c>
      <c r="AB435">
        <v>365.789999999999</v>
      </c>
      <c r="AC435">
        <v>409.53333333333302</v>
      </c>
      <c r="AD435">
        <v>366.14999999999901</v>
      </c>
      <c r="AE435">
        <v>394.69333333333299</v>
      </c>
      <c r="AF435">
        <v>381.91333333333301</v>
      </c>
      <c r="AG435">
        <v>373.75</v>
      </c>
      <c r="AH435">
        <v>369.93666666666599</v>
      </c>
      <c r="AI435">
        <v>404.05666666666599</v>
      </c>
      <c r="AJ435">
        <v>363.25999999999902</v>
      </c>
      <c r="AK435">
        <v>389.986666666666</v>
      </c>
      <c r="AL435">
        <v>370.94333333333299</v>
      </c>
      <c r="AM435">
        <v>362.243333333333</v>
      </c>
      <c r="AN435">
        <v>355.78333333333302</v>
      </c>
      <c r="AO435">
        <v>408.69999999999902</v>
      </c>
      <c r="AP435">
        <v>340.849999999999</v>
      </c>
      <c r="AQ435">
        <v>389.50333333333299</v>
      </c>
      <c r="AR435">
        <v>356.46333333333303</v>
      </c>
      <c r="AS435">
        <v>338.243333333333</v>
      </c>
      <c r="AT435">
        <v>322.87333333333299</v>
      </c>
      <c r="AU435">
        <v>421.07666666666597</v>
      </c>
      <c r="AV435">
        <v>367.666666666666</v>
      </c>
      <c r="AW435">
        <v>404.62666666666598</v>
      </c>
      <c r="AX435">
        <v>380.46666666666601</v>
      </c>
      <c r="AY435">
        <v>368.32999999999902</v>
      </c>
      <c r="AZ435">
        <v>359.18999999999897</v>
      </c>
      <c r="BA435">
        <v>409.67333333333301</v>
      </c>
      <c r="BB435">
        <v>354.42999999999898</v>
      </c>
      <c r="BC435">
        <v>392.79999999999899</v>
      </c>
      <c r="BD435">
        <v>367.51666666666603</v>
      </c>
      <c r="BE435">
        <v>353.95333333333298</v>
      </c>
      <c r="BF435">
        <v>343.66333333333301</v>
      </c>
      <c r="BG435" s="14"/>
      <c r="BH435" s="14"/>
      <c r="BI435" s="14"/>
      <c r="BJ435" s="199"/>
      <c r="BK435" s="14"/>
      <c r="BL435" s="14"/>
      <c r="BM435" s="14"/>
      <c r="BN435" s="14"/>
      <c r="BO435" s="14"/>
      <c r="BP435" s="14"/>
      <c r="BQ435" s="14"/>
      <c r="BR435" s="14"/>
      <c r="BS435" s="14"/>
      <c r="BT435" s="14"/>
      <c r="BU435" s="14"/>
      <c r="BV435" s="14"/>
      <c r="BW435" s="14"/>
      <c r="BX435" s="14"/>
      <c r="BY435" s="170"/>
    </row>
    <row r="436" spans="9:77" x14ac:dyDescent="0.25">
      <c r="I436">
        <v>3250</v>
      </c>
      <c r="J436" s="1" t="s">
        <v>617</v>
      </c>
      <c r="K436">
        <v>404.05666666666599</v>
      </c>
      <c r="L436">
        <v>363.25999999999902</v>
      </c>
      <c r="M436">
        <v>389.986666666666</v>
      </c>
      <c r="N436">
        <v>370.94333333333299</v>
      </c>
      <c r="O436">
        <v>362.243333333333</v>
      </c>
      <c r="P436">
        <v>355.78333333333302</v>
      </c>
      <c r="Q436">
        <v>387.89333333333298</v>
      </c>
      <c r="R436">
        <v>329.606666666666</v>
      </c>
      <c r="S436">
        <v>369.659999999999</v>
      </c>
      <c r="T436">
        <v>343.71333333333303</v>
      </c>
      <c r="U436">
        <v>329.36666666666599</v>
      </c>
      <c r="V436">
        <v>318.19666666666598</v>
      </c>
      <c r="W436">
        <v>390.88999999999902</v>
      </c>
      <c r="X436">
        <v>362.08666666666602</v>
      </c>
      <c r="Y436">
        <v>373.40666666666601</v>
      </c>
      <c r="Z436">
        <v>371.45999999999901</v>
      </c>
      <c r="AA436">
        <v>365.789999999999</v>
      </c>
      <c r="AB436">
        <v>365.789999999999</v>
      </c>
      <c r="AC436">
        <v>409.53333333333302</v>
      </c>
      <c r="AD436">
        <v>366.14999999999901</v>
      </c>
      <c r="AE436">
        <v>394.69333333333299</v>
      </c>
      <c r="AF436">
        <v>381.91333333333301</v>
      </c>
      <c r="AG436">
        <v>373.75</v>
      </c>
      <c r="AH436">
        <v>369.93666666666599</v>
      </c>
      <c r="AI436">
        <v>404.05666666666599</v>
      </c>
      <c r="AJ436">
        <v>363.25999999999902</v>
      </c>
      <c r="AK436">
        <v>389.986666666666</v>
      </c>
      <c r="AL436">
        <v>370.94333333333299</v>
      </c>
      <c r="AM436">
        <v>362.243333333333</v>
      </c>
      <c r="AN436">
        <v>355.78333333333302</v>
      </c>
      <c r="AO436">
        <v>408.69999999999902</v>
      </c>
      <c r="AP436">
        <v>340.849999999999</v>
      </c>
      <c r="AQ436">
        <v>389.50333333333299</v>
      </c>
      <c r="AR436">
        <v>356.46333333333303</v>
      </c>
      <c r="AS436">
        <v>338.243333333333</v>
      </c>
      <c r="AT436">
        <v>322.87333333333299</v>
      </c>
      <c r="AU436">
        <v>421.07666666666597</v>
      </c>
      <c r="AV436">
        <v>367.666666666666</v>
      </c>
      <c r="AW436">
        <v>404.62666666666598</v>
      </c>
      <c r="AX436">
        <v>380.46666666666601</v>
      </c>
      <c r="AY436">
        <v>368.32999999999902</v>
      </c>
      <c r="AZ436">
        <v>359.18999999999897</v>
      </c>
      <c r="BA436">
        <v>409.67333333333301</v>
      </c>
      <c r="BB436">
        <v>354.42999999999898</v>
      </c>
      <c r="BC436">
        <v>392.79999999999899</v>
      </c>
      <c r="BD436">
        <v>367.51666666666603</v>
      </c>
      <c r="BE436">
        <v>353.95333333333298</v>
      </c>
      <c r="BF436">
        <v>343.66333333333301</v>
      </c>
      <c r="BG436" s="14"/>
      <c r="BH436" s="14"/>
      <c r="BI436" s="14"/>
      <c r="BJ436" s="199"/>
      <c r="BK436" s="14"/>
      <c r="BL436" s="14"/>
      <c r="BM436" s="14"/>
      <c r="BN436" s="14"/>
      <c r="BO436" s="14"/>
      <c r="BP436" s="14"/>
      <c r="BQ436" s="14"/>
      <c r="BR436" s="14"/>
      <c r="BS436" s="14"/>
      <c r="BT436" s="14"/>
      <c r="BU436" s="14"/>
      <c r="BV436" s="14"/>
      <c r="BW436" s="14"/>
      <c r="BX436" s="14"/>
      <c r="BY436" s="170"/>
    </row>
    <row r="437" spans="9:77" x14ac:dyDescent="0.25">
      <c r="I437">
        <v>3300</v>
      </c>
      <c r="J437" s="1" t="s">
        <v>618</v>
      </c>
      <c r="K437">
        <v>317.62666666666598</v>
      </c>
      <c r="L437">
        <v>276.82999999999902</v>
      </c>
      <c r="M437">
        <v>303.55666666666599</v>
      </c>
      <c r="N437">
        <v>284.51333333333298</v>
      </c>
      <c r="O437">
        <v>275.81333333333299</v>
      </c>
      <c r="P437">
        <v>269.35333333333301</v>
      </c>
      <c r="Q437">
        <v>301.46333333333303</v>
      </c>
      <c r="R437">
        <v>243.17666666666599</v>
      </c>
      <c r="S437">
        <v>283.23</v>
      </c>
      <c r="T437">
        <v>257.28333333333302</v>
      </c>
      <c r="U437">
        <v>242.93666666666601</v>
      </c>
      <c r="V437">
        <v>231.766666666666</v>
      </c>
      <c r="W437">
        <v>304.45999999999998</v>
      </c>
      <c r="X437">
        <v>275.65666666666601</v>
      </c>
      <c r="Y437">
        <v>286.97666666666601</v>
      </c>
      <c r="Z437">
        <v>285.02999999999997</v>
      </c>
      <c r="AA437">
        <v>279.36</v>
      </c>
      <c r="AB437">
        <v>279.36</v>
      </c>
      <c r="AC437">
        <v>323.10333333333301</v>
      </c>
      <c r="AD437">
        <v>279.72000000000003</v>
      </c>
      <c r="AE437">
        <v>308.26333333333298</v>
      </c>
      <c r="AF437">
        <v>295.48333333333301</v>
      </c>
      <c r="AG437">
        <v>287.32</v>
      </c>
      <c r="AH437">
        <v>283.50666666666598</v>
      </c>
      <c r="AI437">
        <v>317.62666666666598</v>
      </c>
      <c r="AJ437">
        <v>276.82999999999902</v>
      </c>
      <c r="AK437">
        <v>303.55666666666599</v>
      </c>
      <c r="AL437">
        <v>284.51333333333298</v>
      </c>
      <c r="AM437">
        <v>275.81333333333299</v>
      </c>
      <c r="AN437">
        <v>269.35333333333301</v>
      </c>
      <c r="AO437">
        <v>322.26999999999902</v>
      </c>
      <c r="AP437">
        <v>254.42</v>
      </c>
      <c r="AQ437">
        <v>303.07333333333298</v>
      </c>
      <c r="AR437">
        <v>270.03333333333302</v>
      </c>
      <c r="AS437">
        <v>251.81333333333299</v>
      </c>
      <c r="AT437">
        <v>236.44333333333299</v>
      </c>
      <c r="AU437">
        <v>334.64666666666602</v>
      </c>
      <c r="AV437">
        <v>281.236666666666</v>
      </c>
      <c r="AW437">
        <v>318.19666666666598</v>
      </c>
      <c r="AX437">
        <v>294.03666666666601</v>
      </c>
      <c r="AY437">
        <v>281.89999999999998</v>
      </c>
      <c r="AZ437">
        <v>272.76</v>
      </c>
      <c r="BA437">
        <v>323.243333333333</v>
      </c>
      <c r="BB437">
        <v>268</v>
      </c>
      <c r="BC437">
        <v>306.36999999999898</v>
      </c>
      <c r="BD437">
        <v>281.08666666666602</v>
      </c>
      <c r="BE437">
        <v>267.52333333333303</v>
      </c>
      <c r="BF437">
        <v>257.23333333333301</v>
      </c>
      <c r="BG437" s="14"/>
      <c r="BH437" s="14"/>
      <c r="BI437" s="14"/>
      <c r="BJ437" s="199"/>
      <c r="BK437" s="14"/>
      <c r="BL437" s="14"/>
      <c r="BM437" s="14"/>
      <c r="BN437" s="14"/>
      <c r="BO437" s="14"/>
      <c r="BP437" s="14"/>
      <c r="BQ437" s="14"/>
      <c r="BR437" s="14"/>
      <c r="BS437" s="14"/>
      <c r="BT437" s="14"/>
      <c r="BU437" s="14"/>
      <c r="BV437" s="14"/>
      <c r="BW437" s="14"/>
      <c r="BX437" s="14"/>
      <c r="BY437" s="170"/>
    </row>
    <row r="438" spans="9:77" x14ac:dyDescent="0.25">
      <c r="I438">
        <v>3310</v>
      </c>
      <c r="J438" s="1" t="s">
        <v>619</v>
      </c>
      <c r="K438">
        <v>318.49666666666599</v>
      </c>
      <c r="L438">
        <v>277.69999999999902</v>
      </c>
      <c r="M438">
        <v>304.42666666666599</v>
      </c>
      <c r="N438">
        <v>285.38333333333298</v>
      </c>
      <c r="O438">
        <v>276.683333333333</v>
      </c>
      <c r="P438">
        <v>270.22333333333302</v>
      </c>
      <c r="Q438">
        <v>302.33333333333297</v>
      </c>
      <c r="R438">
        <v>244.046666666666</v>
      </c>
      <c r="S438">
        <v>284.10000000000002</v>
      </c>
      <c r="T438">
        <v>258.15333333333302</v>
      </c>
      <c r="U438">
        <v>243.80666666666599</v>
      </c>
      <c r="V438">
        <v>232.636666666666</v>
      </c>
      <c r="W438">
        <v>305.33</v>
      </c>
      <c r="X438">
        <v>276.52666666666602</v>
      </c>
      <c r="Y438">
        <v>287.84666666666601</v>
      </c>
      <c r="Z438">
        <v>285.89999999999998</v>
      </c>
      <c r="AA438">
        <v>280.23</v>
      </c>
      <c r="AB438">
        <v>280.23</v>
      </c>
      <c r="AC438">
        <v>323.97333333333302</v>
      </c>
      <c r="AD438">
        <v>280.58999999999997</v>
      </c>
      <c r="AE438">
        <v>309.13333333333298</v>
      </c>
      <c r="AF438">
        <v>296.35333333333301</v>
      </c>
      <c r="AG438">
        <v>288.19</v>
      </c>
      <c r="AH438">
        <v>284.37666666666598</v>
      </c>
      <c r="AI438">
        <v>318.49666666666599</v>
      </c>
      <c r="AJ438">
        <v>277.69999999999902</v>
      </c>
      <c r="AK438">
        <v>304.42666666666599</v>
      </c>
      <c r="AL438">
        <v>285.38333333333298</v>
      </c>
      <c r="AM438">
        <v>276.683333333333</v>
      </c>
      <c r="AN438">
        <v>270.22333333333302</v>
      </c>
      <c r="AO438">
        <v>323.13999999999902</v>
      </c>
      <c r="AP438">
        <v>255.29</v>
      </c>
      <c r="AQ438">
        <v>303.94333333333299</v>
      </c>
      <c r="AR438">
        <v>270.90333333333302</v>
      </c>
      <c r="AS438">
        <v>252.683333333333</v>
      </c>
      <c r="AT438">
        <v>237.31333333333299</v>
      </c>
      <c r="AU438">
        <v>335.51666666666603</v>
      </c>
      <c r="AV438">
        <v>282.106666666666</v>
      </c>
      <c r="AW438">
        <v>319.06666666666598</v>
      </c>
      <c r="AX438">
        <v>294.90666666666601</v>
      </c>
      <c r="AY438">
        <v>282.77</v>
      </c>
      <c r="AZ438">
        <v>273.63</v>
      </c>
      <c r="BA438">
        <v>324.113333333333</v>
      </c>
      <c r="BB438">
        <v>268.87</v>
      </c>
      <c r="BC438">
        <v>307.23999999999899</v>
      </c>
      <c r="BD438">
        <v>281.95666666666602</v>
      </c>
      <c r="BE438">
        <v>268.39333333333298</v>
      </c>
      <c r="BF438">
        <v>258.10333333333301</v>
      </c>
      <c r="BG438" s="14"/>
      <c r="BH438" s="14"/>
      <c r="BI438" s="14"/>
      <c r="BJ438" s="199"/>
      <c r="BK438" s="14"/>
      <c r="BL438" s="14"/>
      <c r="BM438" s="14"/>
      <c r="BN438" s="14"/>
      <c r="BO438" s="14"/>
      <c r="BP438" s="14"/>
      <c r="BQ438" s="14"/>
      <c r="BR438" s="14"/>
      <c r="BS438" s="14"/>
      <c r="BT438" s="14"/>
      <c r="BU438" s="14"/>
      <c r="BV438" s="14"/>
      <c r="BW438" s="14"/>
      <c r="BX438" s="14"/>
      <c r="BY438" s="170"/>
    </row>
    <row r="439" spans="9:77" x14ac:dyDescent="0.25">
      <c r="I439">
        <v>3320</v>
      </c>
      <c r="J439" s="1" t="s">
        <v>620</v>
      </c>
      <c r="K439">
        <v>318.49666666666599</v>
      </c>
      <c r="L439">
        <v>277.69999999999902</v>
      </c>
      <c r="M439">
        <v>304.42666666666599</v>
      </c>
      <c r="N439">
        <v>285.38333333333298</v>
      </c>
      <c r="O439">
        <v>276.683333333333</v>
      </c>
      <c r="P439">
        <v>270.22333333333302</v>
      </c>
      <c r="Q439">
        <v>302.33333333333297</v>
      </c>
      <c r="R439">
        <v>244.046666666666</v>
      </c>
      <c r="S439">
        <v>284.10000000000002</v>
      </c>
      <c r="T439">
        <v>258.15333333333302</v>
      </c>
      <c r="U439">
        <v>243.80666666666599</v>
      </c>
      <c r="V439">
        <v>232.636666666666</v>
      </c>
      <c r="W439">
        <v>305.33</v>
      </c>
      <c r="X439">
        <v>276.52666666666602</v>
      </c>
      <c r="Y439">
        <v>287.84666666666601</v>
      </c>
      <c r="Z439">
        <v>285.89999999999998</v>
      </c>
      <c r="AA439">
        <v>280.23</v>
      </c>
      <c r="AB439">
        <v>280.23</v>
      </c>
      <c r="AC439">
        <v>323.97333333333302</v>
      </c>
      <c r="AD439">
        <v>280.58999999999997</v>
      </c>
      <c r="AE439">
        <v>309.13333333333298</v>
      </c>
      <c r="AF439">
        <v>296.35333333333301</v>
      </c>
      <c r="AG439">
        <v>288.19</v>
      </c>
      <c r="AH439">
        <v>284.37666666666598</v>
      </c>
      <c r="AI439">
        <v>318.49666666666599</v>
      </c>
      <c r="AJ439">
        <v>277.69999999999902</v>
      </c>
      <c r="AK439">
        <v>304.42666666666599</v>
      </c>
      <c r="AL439">
        <v>285.38333333333298</v>
      </c>
      <c r="AM439">
        <v>276.683333333333</v>
      </c>
      <c r="AN439">
        <v>270.22333333333302</v>
      </c>
      <c r="AO439">
        <v>323.13999999999902</v>
      </c>
      <c r="AP439">
        <v>255.29</v>
      </c>
      <c r="AQ439">
        <v>303.94333333333299</v>
      </c>
      <c r="AR439">
        <v>270.90333333333302</v>
      </c>
      <c r="AS439">
        <v>252.683333333333</v>
      </c>
      <c r="AT439">
        <v>237.31333333333299</v>
      </c>
      <c r="AU439">
        <v>335.51666666666603</v>
      </c>
      <c r="AV439">
        <v>282.106666666666</v>
      </c>
      <c r="AW439">
        <v>319.06666666666598</v>
      </c>
      <c r="AX439">
        <v>294.90666666666601</v>
      </c>
      <c r="AY439">
        <v>282.77</v>
      </c>
      <c r="AZ439">
        <v>273.63</v>
      </c>
      <c r="BA439">
        <v>324.113333333333</v>
      </c>
      <c r="BB439">
        <v>268.87</v>
      </c>
      <c r="BC439">
        <v>307.23999999999899</v>
      </c>
      <c r="BD439">
        <v>281.95666666666602</v>
      </c>
      <c r="BE439">
        <v>268.39333333333298</v>
      </c>
      <c r="BF439">
        <v>258.10333333333301</v>
      </c>
      <c r="BG439" s="14"/>
      <c r="BH439" s="14"/>
      <c r="BI439" s="14"/>
      <c r="BJ439" s="199"/>
      <c r="BK439" s="14"/>
      <c r="BL439" s="14"/>
      <c r="BM439" s="14"/>
      <c r="BN439" s="14"/>
      <c r="BO439" s="14"/>
      <c r="BP439" s="14"/>
      <c r="BQ439" s="14"/>
      <c r="BR439" s="14"/>
      <c r="BS439" s="14"/>
      <c r="BT439" s="14"/>
      <c r="BU439" s="14"/>
      <c r="BV439" s="14"/>
      <c r="BW439" s="14"/>
      <c r="BX439" s="14"/>
      <c r="BY439" s="170"/>
    </row>
    <row r="440" spans="9:77" x14ac:dyDescent="0.25">
      <c r="I440">
        <v>3330</v>
      </c>
      <c r="J440" s="1" t="s">
        <v>621</v>
      </c>
      <c r="K440">
        <v>353.64666666666602</v>
      </c>
      <c r="L440">
        <v>312.849999999999</v>
      </c>
      <c r="M440">
        <v>339.57666666666597</v>
      </c>
      <c r="N440">
        <v>320.53333333333302</v>
      </c>
      <c r="O440">
        <v>311.83333333333297</v>
      </c>
      <c r="P440">
        <v>305.37333333333299</v>
      </c>
      <c r="Q440">
        <v>337.48333333333301</v>
      </c>
      <c r="R440">
        <v>279.19666666666598</v>
      </c>
      <c r="S440">
        <v>319.25</v>
      </c>
      <c r="T440">
        <v>293.303333333333</v>
      </c>
      <c r="U440">
        <v>278.95666666666602</v>
      </c>
      <c r="V440">
        <v>267.78666666666601</v>
      </c>
      <c r="W440">
        <v>340.48</v>
      </c>
      <c r="X440">
        <v>311.67666666666599</v>
      </c>
      <c r="Y440">
        <v>322.99666666666599</v>
      </c>
      <c r="Z440">
        <v>321.05</v>
      </c>
      <c r="AA440">
        <v>315.38</v>
      </c>
      <c r="AB440">
        <v>315.38</v>
      </c>
      <c r="AC440">
        <v>359.12333333333299</v>
      </c>
      <c r="AD440">
        <v>315.74</v>
      </c>
      <c r="AE440">
        <v>344.28333333333302</v>
      </c>
      <c r="AF440">
        <v>331.50333333333299</v>
      </c>
      <c r="AG440">
        <v>323.33999999999997</v>
      </c>
      <c r="AH440">
        <v>319.52666666666602</v>
      </c>
      <c r="AI440">
        <v>353.64666666666602</v>
      </c>
      <c r="AJ440">
        <v>312.849999999999</v>
      </c>
      <c r="AK440">
        <v>339.57666666666597</v>
      </c>
      <c r="AL440">
        <v>320.53333333333302</v>
      </c>
      <c r="AM440">
        <v>311.83333333333297</v>
      </c>
      <c r="AN440">
        <v>305.37333333333299</v>
      </c>
      <c r="AO440">
        <v>358.289999999999</v>
      </c>
      <c r="AP440">
        <v>290.44</v>
      </c>
      <c r="AQ440">
        <v>339.09333333333302</v>
      </c>
      <c r="AR440">
        <v>306.053333333333</v>
      </c>
      <c r="AS440">
        <v>287.83333333333297</v>
      </c>
      <c r="AT440">
        <v>272.46333333333303</v>
      </c>
      <c r="AU440">
        <v>370.666666666666</v>
      </c>
      <c r="AV440">
        <v>317.25666666666598</v>
      </c>
      <c r="AW440">
        <v>354.21666666666601</v>
      </c>
      <c r="AX440">
        <v>330.05666666666599</v>
      </c>
      <c r="AY440">
        <v>317.92</v>
      </c>
      <c r="AZ440">
        <v>308.77999999999997</v>
      </c>
      <c r="BA440">
        <v>359.26333333333298</v>
      </c>
      <c r="BB440">
        <v>304.01999999999902</v>
      </c>
      <c r="BC440">
        <v>342.38999999999902</v>
      </c>
      <c r="BD440">
        <v>317.106666666666</v>
      </c>
      <c r="BE440">
        <v>303.54333333333301</v>
      </c>
      <c r="BF440">
        <v>293.25333333333299</v>
      </c>
      <c r="BG440" s="14"/>
      <c r="BH440" s="14"/>
      <c r="BI440" s="14"/>
      <c r="BJ440" s="199"/>
      <c r="BK440" s="14"/>
      <c r="BL440" s="14"/>
      <c r="BM440" s="14"/>
      <c r="BN440" s="14"/>
      <c r="BO440" s="14"/>
      <c r="BP440" s="14"/>
      <c r="BQ440" s="14"/>
      <c r="BR440" s="14"/>
      <c r="BS440" s="14"/>
      <c r="BT440" s="14"/>
      <c r="BU440" s="14"/>
      <c r="BV440" s="14"/>
      <c r="BW440" s="14"/>
      <c r="BX440" s="14"/>
      <c r="BY440" s="170"/>
    </row>
    <row r="441" spans="9:77" x14ac:dyDescent="0.25">
      <c r="I441">
        <v>3360</v>
      </c>
      <c r="J441" s="1" t="s">
        <v>622</v>
      </c>
      <c r="K441">
        <v>292.96666666666601</v>
      </c>
      <c r="L441">
        <v>252.16999999999899</v>
      </c>
      <c r="M441">
        <v>278.89666666666602</v>
      </c>
      <c r="N441">
        <v>259.85333333333301</v>
      </c>
      <c r="O441">
        <v>251.15333333333299</v>
      </c>
      <c r="P441">
        <v>244.69333333333299</v>
      </c>
      <c r="Q441">
        <v>276.803333333333</v>
      </c>
      <c r="R441">
        <v>218.516666666666</v>
      </c>
      <c r="S441">
        <v>258.56999999999903</v>
      </c>
      <c r="T441">
        <v>232.62333333333299</v>
      </c>
      <c r="U441">
        <v>218.27666666666599</v>
      </c>
      <c r="V441">
        <v>207.106666666666</v>
      </c>
      <c r="W441">
        <v>279.8</v>
      </c>
      <c r="X441">
        <v>250.99666666666599</v>
      </c>
      <c r="Y441">
        <v>262.31666666666598</v>
      </c>
      <c r="Z441">
        <v>260.36999999999898</v>
      </c>
      <c r="AA441">
        <v>254.7</v>
      </c>
      <c r="AB441">
        <v>254.7</v>
      </c>
      <c r="AC441">
        <v>298.44333333333299</v>
      </c>
      <c r="AD441">
        <v>255.06</v>
      </c>
      <c r="AE441">
        <v>283.60333333333301</v>
      </c>
      <c r="AF441">
        <v>270.82333333333298</v>
      </c>
      <c r="AG441">
        <v>262.66000000000003</v>
      </c>
      <c r="AH441">
        <v>258.84666666666601</v>
      </c>
      <c r="AI441">
        <v>292.96666666666601</v>
      </c>
      <c r="AJ441">
        <v>252.16999999999899</v>
      </c>
      <c r="AK441">
        <v>278.89666666666602</v>
      </c>
      <c r="AL441">
        <v>259.85333333333301</v>
      </c>
      <c r="AM441">
        <v>251.15333333333299</v>
      </c>
      <c r="AN441">
        <v>244.69333333333299</v>
      </c>
      <c r="AO441">
        <v>297.60999999999899</v>
      </c>
      <c r="AP441">
        <v>229.759999999999</v>
      </c>
      <c r="AQ441">
        <v>278.41333333333301</v>
      </c>
      <c r="AR441">
        <v>245.37333333333299</v>
      </c>
      <c r="AS441">
        <v>227.15333333333299</v>
      </c>
      <c r="AT441">
        <v>211.78333333333299</v>
      </c>
      <c r="AU441">
        <v>309.986666666666</v>
      </c>
      <c r="AV441">
        <v>256.57666666666597</v>
      </c>
      <c r="AW441">
        <v>293.53666666666601</v>
      </c>
      <c r="AX441">
        <v>269.37666666666598</v>
      </c>
      <c r="AY441">
        <v>257.24</v>
      </c>
      <c r="AZ441">
        <v>248.1</v>
      </c>
      <c r="BA441">
        <v>298.58333333333297</v>
      </c>
      <c r="BB441">
        <v>243.33999999999901</v>
      </c>
      <c r="BC441">
        <v>281.70999999999901</v>
      </c>
      <c r="BD441">
        <v>256.42666666666599</v>
      </c>
      <c r="BE441">
        <v>242.863333333333</v>
      </c>
      <c r="BF441">
        <v>232.57333333333301</v>
      </c>
      <c r="BG441" s="14"/>
      <c r="BH441" s="14"/>
      <c r="BI441" s="14"/>
      <c r="BJ441" s="199"/>
      <c r="BK441" s="14"/>
      <c r="BL441" s="14"/>
      <c r="BM441" s="14"/>
      <c r="BN441" s="14"/>
      <c r="BO441" s="14"/>
      <c r="BP441" s="14"/>
      <c r="BQ441" s="14"/>
      <c r="BR441" s="14"/>
      <c r="BS441" s="14"/>
      <c r="BT441" s="14"/>
      <c r="BU441" s="14"/>
      <c r="BV441" s="14"/>
      <c r="BW441" s="14"/>
      <c r="BX441" s="14"/>
      <c r="BY441" s="170"/>
    </row>
    <row r="442" spans="9:77" x14ac:dyDescent="0.25">
      <c r="I442">
        <v>3370</v>
      </c>
      <c r="J442" s="1" t="s">
        <v>623</v>
      </c>
      <c r="K442">
        <v>292.96666666666601</v>
      </c>
      <c r="L442">
        <v>252.16999999999899</v>
      </c>
      <c r="M442">
        <v>278.89666666666602</v>
      </c>
      <c r="N442">
        <v>259.85333333333301</v>
      </c>
      <c r="O442">
        <v>251.15333333333299</v>
      </c>
      <c r="P442">
        <v>244.69333333333299</v>
      </c>
      <c r="Q442">
        <v>276.803333333333</v>
      </c>
      <c r="R442">
        <v>218.516666666666</v>
      </c>
      <c r="S442">
        <v>258.56999999999903</v>
      </c>
      <c r="T442">
        <v>232.62333333333299</v>
      </c>
      <c r="U442">
        <v>218.27666666666599</v>
      </c>
      <c r="V442">
        <v>207.106666666666</v>
      </c>
      <c r="W442">
        <v>279.8</v>
      </c>
      <c r="X442">
        <v>250.99666666666599</v>
      </c>
      <c r="Y442">
        <v>262.31666666666598</v>
      </c>
      <c r="Z442">
        <v>260.36999999999898</v>
      </c>
      <c r="AA442">
        <v>254.7</v>
      </c>
      <c r="AB442">
        <v>254.7</v>
      </c>
      <c r="AC442">
        <v>298.44333333333299</v>
      </c>
      <c r="AD442">
        <v>255.06</v>
      </c>
      <c r="AE442">
        <v>283.60333333333301</v>
      </c>
      <c r="AF442">
        <v>270.82333333333298</v>
      </c>
      <c r="AG442">
        <v>262.66000000000003</v>
      </c>
      <c r="AH442">
        <v>258.84666666666601</v>
      </c>
      <c r="AI442">
        <v>292.96666666666601</v>
      </c>
      <c r="AJ442">
        <v>252.16999999999899</v>
      </c>
      <c r="AK442">
        <v>278.89666666666602</v>
      </c>
      <c r="AL442">
        <v>259.85333333333301</v>
      </c>
      <c r="AM442">
        <v>251.15333333333299</v>
      </c>
      <c r="AN442">
        <v>244.69333333333299</v>
      </c>
      <c r="AO442">
        <v>297.60999999999899</v>
      </c>
      <c r="AP442">
        <v>229.759999999999</v>
      </c>
      <c r="AQ442">
        <v>278.41333333333301</v>
      </c>
      <c r="AR442">
        <v>245.37333333333299</v>
      </c>
      <c r="AS442">
        <v>227.15333333333299</v>
      </c>
      <c r="AT442">
        <v>211.78333333333299</v>
      </c>
      <c r="AU442">
        <v>309.986666666666</v>
      </c>
      <c r="AV442">
        <v>256.57666666666597</v>
      </c>
      <c r="AW442">
        <v>293.53666666666601</v>
      </c>
      <c r="AX442">
        <v>269.37666666666598</v>
      </c>
      <c r="AY442">
        <v>257.24</v>
      </c>
      <c r="AZ442">
        <v>248.1</v>
      </c>
      <c r="BA442">
        <v>298.58333333333297</v>
      </c>
      <c r="BB442">
        <v>243.33999999999901</v>
      </c>
      <c r="BC442">
        <v>281.70999999999901</v>
      </c>
      <c r="BD442">
        <v>256.42666666666599</v>
      </c>
      <c r="BE442">
        <v>242.863333333333</v>
      </c>
      <c r="BF442">
        <v>232.57333333333301</v>
      </c>
      <c r="BG442" s="14"/>
      <c r="BH442" s="14"/>
      <c r="BI442" s="14"/>
      <c r="BJ442" s="199"/>
      <c r="BK442" s="14"/>
      <c r="BL442" s="14"/>
      <c r="BM442" s="14"/>
      <c r="BN442" s="14"/>
      <c r="BO442" s="14"/>
      <c r="BP442" s="14"/>
      <c r="BQ442" s="14"/>
      <c r="BR442" s="14"/>
      <c r="BS442" s="14"/>
      <c r="BT442" s="14"/>
      <c r="BU442" s="14"/>
      <c r="BV442" s="14"/>
      <c r="BW442" s="14"/>
      <c r="BX442" s="14"/>
      <c r="BY442" s="170"/>
    </row>
    <row r="443" spans="9:77" x14ac:dyDescent="0.25">
      <c r="I443">
        <v>3390</v>
      </c>
      <c r="J443" s="1" t="s">
        <v>624</v>
      </c>
      <c r="K443">
        <v>292.96666666666601</v>
      </c>
      <c r="L443">
        <v>252.16999999999899</v>
      </c>
      <c r="M443">
        <v>278.89666666666602</v>
      </c>
      <c r="N443">
        <v>259.85333333333301</v>
      </c>
      <c r="O443">
        <v>251.15333333333299</v>
      </c>
      <c r="P443">
        <v>244.69333333333299</v>
      </c>
      <c r="Q443">
        <v>276.803333333333</v>
      </c>
      <c r="R443">
        <v>218.516666666666</v>
      </c>
      <c r="S443">
        <v>258.56999999999903</v>
      </c>
      <c r="T443">
        <v>232.62333333333299</v>
      </c>
      <c r="U443">
        <v>218.27666666666599</v>
      </c>
      <c r="V443">
        <v>207.106666666666</v>
      </c>
      <c r="W443">
        <v>279.8</v>
      </c>
      <c r="X443">
        <v>250.99666666666599</v>
      </c>
      <c r="Y443">
        <v>262.31666666666598</v>
      </c>
      <c r="Z443">
        <v>260.36999999999898</v>
      </c>
      <c r="AA443">
        <v>254.7</v>
      </c>
      <c r="AB443">
        <v>254.7</v>
      </c>
      <c r="AC443">
        <v>298.44333333333299</v>
      </c>
      <c r="AD443">
        <v>255.06</v>
      </c>
      <c r="AE443">
        <v>283.60333333333301</v>
      </c>
      <c r="AF443">
        <v>270.82333333333298</v>
      </c>
      <c r="AG443">
        <v>262.66000000000003</v>
      </c>
      <c r="AH443">
        <v>258.84666666666601</v>
      </c>
      <c r="AI443">
        <v>292.96666666666601</v>
      </c>
      <c r="AJ443">
        <v>252.16999999999899</v>
      </c>
      <c r="AK443">
        <v>278.89666666666602</v>
      </c>
      <c r="AL443">
        <v>259.85333333333301</v>
      </c>
      <c r="AM443">
        <v>251.15333333333299</v>
      </c>
      <c r="AN443">
        <v>244.69333333333299</v>
      </c>
      <c r="AO443">
        <v>297.60999999999899</v>
      </c>
      <c r="AP443">
        <v>229.759999999999</v>
      </c>
      <c r="AQ443">
        <v>278.41333333333301</v>
      </c>
      <c r="AR443">
        <v>245.37333333333299</v>
      </c>
      <c r="AS443">
        <v>227.15333333333299</v>
      </c>
      <c r="AT443">
        <v>211.78333333333299</v>
      </c>
      <c r="AU443">
        <v>309.986666666666</v>
      </c>
      <c r="AV443">
        <v>256.57666666666597</v>
      </c>
      <c r="AW443">
        <v>293.53666666666601</v>
      </c>
      <c r="AX443">
        <v>269.37666666666598</v>
      </c>
      <c r="AY443">
        <v>257.24</v>
      </c>
      <c r="AZ443">
        <v>248.1</v>
      </c>
      <c r="BA443">
        <v>298.58333333333297</v>
      </c>
      <c r="BB443">
        <v>243.33999999999901</v>
      </c>
      <c r="BC443">
        <v>281.70999999999901</v>
      </c>
      <c r="BD443">
        <v>256.42666666666599</v>
      </c>
      <c r="BE443">
        <v>242.863333333333</v>
      </c>
      <c r="BF443">
        <v>232.57333333333301</v>
      </c>
      <c r="BG443" s="14"/>
      <c r="BH443" s="14"/>
      <c r="BI443" s="14"/>
      <c r="BJ443" s="199"/>
      <c r="BK443" s="14"/>
      <c r="BL443" s="14"/>
      <c r="BM443" s="14"/>
      <c r="BN443" s="14"/>
      <c r="BO443" s="14"/>
      <c r="BP443" s="14"/>
      <c r="BQ443" s="14"/>
      <c r="BR443" s="14"/>
      <c r="BS443" s="14"/>
      <c r="BT443" s="14"/>
      <c r="BU443" s="14"/>
      <c r="BV443" s="14"/>
      <c r="BW443" s="14"/>
      <c r="BX443" s="14"/>
      <c r="BY443" s="170"/>
    </row>
    <row r="444" spans="9:77" x14ac:dyDescent="0.25">
      <c r="I444">
        <v>3400</v>
      </c>
      <c r="J444" s="1" t="s">
        <v>625</v>
      </c>
      <c r="K444">
        <v>385.236666666666</v>
      </c>
      <c r="L444">
        <v>344.44</v>
      </c>
      <c r="M444">
        <v>371.166666666666</v>
      </c>
      <c r="N444">
        <v>352.12333333333299</v>
      </c>
      <c r="O444">
        <v>343.42333333333301</v>
      </c>
      <c r="P444">
        <v>336.96333333333303</v>
      </c>
      <c r="Q444">
        <v>369.07333333333298</v>
      </c>
      <c r="R444">
        <v>310.78666666666601</v>
      </c>
      <c r="S444">
        <v>350.84</v>
      </c>
      <c r="T444">
        <v>324.89333333333298</v>
      </c>
      <c r="U444">
        <v>310.546666666666</v>
      </c>
      <c r="V444">
        <v>299.37666666666598</v>
      </c>
      <c r="W444">
        <v>372.07</v>
      </c>
      <c r="X444">
        <v>343.26666666666603</v>
      </c>
      <c r="Y444">
        <v>354.58666666666602</v>
      </c>
      <c r="Z444">
        <v>352.64</v>
      </c>
      <c r="AA444">
        <v>346.97</v>
      </c>
      <c r="AB444">
        <v>346.97</v>
      </c>
      <c r="AC444">
        <v>390.71333333333303</v>
      </c>
      <c r="AD444">
        <v>347.33</v>
      </c>
      <c r="AE444">
        <v>375.87333333333299</v>
      </c>
      <c r="AF444">
        <v>363.09333333333302</v>
      </c>
      <c r="AG444">
        <v>354.93</v>
      </c>
      <c r="AH444">
        <v>351.11666666666599</v>
      </c>
      <c r="AI444">
        <v>385.236666666666</v>
      </c>
      <c r="AJ444">
        <v>344.44</v>
      </c>
      <c r="AK444">
        <v>371.166666666666</v>
      </c>
      <c r="AL444">
        <v>352.12333333333299</v>
      </c>
      <c r="AM444">
        <v>343.42333333333301</v>
      </c>
      <c r="AN444">
        <v>336.96333333333303</v>
      </c>
      <c r="AO444">
        <v>389.88</v>
      </c>
      <c r="AP444">
        <v>322.02999999999997</v>
      </c>
      <c r="AQ444">
        <v>370.683333333333</v>
      </c>
      <c r="AR444">
        <v>337.64333333333298</v>
      </c>
      <c r="AS444">
        <v>319.42333333333301</v>
      </c>
      <c r="AT444">
        <v>304.053333333333</v>
      </c>
      <c r="AU444">
        <v>402.25666666666598</v>
      </c>
      <c r="AV444">
        <v>348.84666666666601</v>
      </c>
      <c r="AW444">
        <v>385.80666666666599</v>
      </c>
      <c r="AX444">
        <v>361.64666666666602</v>
      </c>
      <c r="AY444">
        <v>349.51</v>
      </c>
      <c r="AZ444">
        <v>340.37</v>
      </c>
      <c r="BA444">
        <v>390.85333333333301</v>
      </c>
      <c r="BB444">
        <v>335.61</v>
      </c>
      <c r="BC444">
        <v>373.979999999999</v>
      </c>
      <c r="BD444">
        <v>348.69666666666598</v>
      </c>
      <c r="BE444">
        <v>335.13333333333298</v>
      </c>
      <c r="BF444">
        <v>324.84333333333302</v>
      </c>
      <c r="BG444" s="14"/>
      <c r="BH444" s="14"/>
      <c r="BI444" s="14"/>
      <c r="BJ444" s="199"/>
      <c r="BK444" s="14"/>
      <c r="BL444" s="14"/>
      <c r="BM444" s="14"/>
      <c r="BN444" s="14"/>
      <c r="BO444" s="14"/>
      <c r="BP444" s="14"/>
      <c r="BQ444" s="14"/>
      <c r="BR444" s="14"/>
      <c r="BS444" s="14"/>
      <c r="BT444" s="14"/>
      <c r="BU444" s="14"/>
      <c r="BV444" s="14"/>
      <c r="BW444" s="14"/>
      <c r="BX444" s="14"/>
      <c r="BY444" s="170"/>
    </row>
    <row r="445" spans="9:77" x14ac:dyDescent="0.25">
      <c r="I445">
        <v>3450</v>
      </c>
      <c r="J445" s="1" t="s">
        <v>626</v>
      </c>
      <c r="K445">
        <v>416.27666666666602</v>
      </c>
      <c r="L445">
        <v>375.479999999999</v>
      </c>
      <c r="M445">
        <v>402.20666666666602</v>
      </c>
      <c r="N445">
        <v>383.16333333333301</v>
      </c>
      <c r="O445">
        <v>374.46333333333303</v>
      </c>
      <c r="P445">
        <v>368.00333333333299</v>
      </c>
      <c r="Q445">
        <v>400.113333333333</v>
      </c>
      <c r="R445">
        <v>341.82666666666597</v>
      </c>
      <c r="S445">
        <v>381.88</v>
      </c>
      <c r="T445">
        <v>355.933333333333</v>
      </c>
      <c r="U445">
        <v>341.58666666666602</v>
      </c>
      <c r="V445">
        <v>330.416666666666</v>
      </c>
      <c r="W445">
        <v>403.11</v>
      </c>
      <c r="X445">
        <v>374.30666666666599</v>
      </c>
      <c r="Y445">
        <v>385.62666666666598</v>
      </c>
      <c r="Z445">
        <v>383.68</v>
      </c>
      <c r="AA445">
        <v>378.01</v>
      </c>
      <c r="AB445">
        <v>378.01</v>
      </c>
      <c r="AC445">
        <v>421.75333333333299</v>
      </c>
      <c r="AD445">
        <v>378.37</v>
      </c>
      <c r="AE445">
        <v>406.91333333333301</v>
      </c>
      <c r="AF445">
        <v>394.13333333333298</v>
      </c>
      <c r="AG445">
        <v>385.97</v>
      </c>
      <c r="AH445">
        <v>382.15666666666601</v>
      </c>
      <c r="AI445">
        <v>416.27666666666602</v>
      </c>
      <c r="AJ445">
        <v>375.479999999999</v>
      </c>
      <c r="AK445">
        <v>402.20666666666602</v>
      </c>
      <c r="AL445">
        <v>383.16333333333301</v>
      </c>
      <c r="AM445">
        <v>374.46333333333303</v>
      </c>
      <c r="AN445">
        <v>368.00333333333299</v>
      </c>
      <c r="AO445">
        <v>420.91999999999899</v>
      </c>
      <c r="AP445">
        <v>353.06999999999903</v>
      </c>
      <c r="AQ445">
        <v>401.72333333333302</v>
      </c>
      <c r="AR445">
        <v>368.683333333333</v>
      </c>
      <c r="AS445">
        <v>350.46333333333303</v>
      </c>
      <c r="AT445">
        <v>335.09333333333302</v>
      </c>
      <c r="AU445">
        <v>433.296666666666</v>
      </c>
      <c r="AV445">
        <v>379.88666666666597</v>
      </c>
      <c r="AW445">
        <v>416.84666666666601</v>
      </c>
      <c r="AX445">
        <v>392.68666666666599</v>
      </c>
      <c r="AY445">
        <v>380.55</v>
      </c>
      <c r="AZ445">
        <v>371.41</v>
      </c>
      <c r="BA445">
        <v>421.89333333333298</v>
      </c>
      <c r="BB445">
        <v>366.64999999999901</v>
      </c>
      <c r="BC445">
        <v>405.01999999999902</v>
      </c>
      <c r="BD445">
        <v>379.736666666666</v>
      </c>
      <c r="BE445">
        <v>366.17333333333301</v>
      </c>
      <c r="BF445">
        <v>355.88333333333298</v>
      </c>
      <c r="BG445" s="14"/>
      <c r="BH445" s="14"/>
      <c r="BI445" s="14"/>
      <c r="BJ445" s="199"/>
      <c r="BK445" s="14"/>
      <c r="BL445" s="14"/>
      <c r="BM445" s="14"/>
      <c r="BN445" s="14"/>
      <c r="BO445" s="14"/>
      <c r="BP445" s="14"/>
      <c r="BQ445" s="14"/>
      <c r="BR445" s="14"/>
      <c r="BS445" s="14"/>
      <c r="BT445" s="14"/>
      <c r="BU445" s="14"/>
      <c r="BV445" s="14"/>
      <c r="BW445" s="14"/>
      <c r="BX445" s="14"/>
      <c r="BY445" s="170"/>
    </row>
    <row r="446" spans="9:77" x14ac:dyDescent="0.25">
      <c r="I446">
        <v>3460</v>
      </c>
      <c r="J446" s="1" t="s">
        <v>627</v>
      </c>
      <c r="K446">
        <v>416.27666666666602</v>
      </c>
      <c r="L446">
        <v>375.479999999999</v>
      </c>
      <c r="M446">
        <v>402.20666666666602</v>
      </c>
      <c r="N446">
        <v>383.16333333333301</v>
      </c>
      <c r="O446">
        <v>374.46333333333303</v>
      </c>
      <c r="P446">
        <v>368.00333333333299</v>
      </c>
      <c r="Q446">
        <v>400.113333333333</v>
      </c>
      <c r="R446">
        <v>341.82666666666597</v>
      </c>
      <c r="S446">
        <v>381.88</v>
      </c>
      <c r="T446">
        <v>355.933333333333</v>
      </c>
      <c r="U446">
        <v>341.58666666666602</v>
      </c>
      <c r="V446">
        <v>330.416666666666</v>
      </c>
      <c r="W446">
        <v>403.11</v>
      </c>
      <c r="X446">
        <v>374.30666666666599</v>
      </c>
      <c r="Y446">
        <v>385.62666666666598</v>
      </c>
      <c r="Z446">
        <v>383.68</v>
      </c>
      <c r="AA446">
        <v>378.01</v>
      </c>
      <c r="AB446">
        <v>378.01</v>
      </c>
      <c r="AC446">
        <v>421.75333333333299</v>
      </c>
      <c r="AD446">
        <v>378.37</v>
      </c>
      <c r="AE446">
        <v>406.91333333333301</v>
      </c>
      <c r="AF446">
        <v>394.13333333333298</v>
      </c>
      <c r="AG446">
        <v>385.97</v>
      </c>
      <c r="AH446">
        <v>382.15666666666601</v>
      </c>
      <c r="AI446">
        <v>416.27666666666602</v>
      </c>
      <c r="AJ446">
        <v>375.479999999999</v>
      </c>
      <c r="AK446">
        <v>402.20666666666602</v>
      </c>
      <c r="AL446">
        <v>383.16333333333301</v>
      </c>
      <c r="AM446">
        <v>374.46333333333303</v>
      </c>
      <c r="AN446">
        <v>368.00333333333299</v>
      </c>
      <c r="AO446">
        <v>420.91999999999899</v>
      </c>
      <c r="AP446">
        <v>353.06999999999903</v>
      </c>
      <c r="AQ446">
        <v>401.72333333333302</v>
      </c>
      <c r="AR446">
        <v>368.683333333333</v>
      </c>
      <c r="AS446">
        <v>350.46333333333303</v>
      </c>
      <c r="AT446">
        <v>335.09333333333302</v>
      </c>
      <c r="AU446">
        <v>433.296666666666</v>
      </c>
      <c r="AV446">
        <v>379.88666666666597</v>
      </c>
      <c r="AW446">
        <v>416.84666666666601</v>
      </c>
      <c r="AX446">
        <v>392.68666666666599</v>
      </c>
      <c r="AY446">
        <v>380.55</v>
      </c>
      <c r="AZ446">
        <v>371.41</v>
      </c>
      <c r="BA446">
        <v>421.89333333333298</v>
      </c>
      <c r="BB446">
        <v>366.64999999999901</v>
      </c>
      <c r="BC446">
        <v>405.01999999999902</v>
      </c>
      <c r="BD446">
        <v>379.736666666666</v>
      </c>
      <c r="BE446">
        <v>366.17333333333301</v>
      </c>
      <c r="BF446">
        <v>355.88333333333298</v>
      </c>
      <c r="BG446" s="14"/>
      <c r="BH446" s="14"/>
      <c r="BI446" s="14"/>
      <c r="BJ446" s="199"/>
      <c r="BK446" s="14"/>
      <c r="BL446" s="14"/>
      <c r="BM446" s="14"/>
      <c r="BN446" s="14"/>
      <c r="BO446" s="14"/>
      <c r="BP446" s="14"/>
      <c r="BQ446" s="14"/>
      <c r="BR446" s="14"/>
      <c r="BS446" s="14"/>
      <c r="BT446" s="14"/>
      <c r="BU446" s="14"/>
      <c r="BV446" s="14"/>
      <c r="BW446" s="14"/>
      <c r="BX446" s="14"/>
      <c r="BY446" s="170"/>
    </row>
    <row r="447" spans="9:77" x14ac:dyDescent="0.25">
      <c r="I447">
        <v>3480</v>
      </c>
      <c r="J447" s="1" t="s">
        <v>628</v>
      </c>
      <c r="K447">
        <v>400.82666666666597</v>
      </c>
      <c r="L447">
        <v>360.02999999999901</v>
      </c>
      <c r="M447">
        <v>386.75666666666598</v>
      </c>
      <c r="N447">
        <v>367.71333333333303</v>
      </c>
      <c r="O447">
        <v>359.01333333333298</v>
      </c>
      <c r="P447">
        <v>352.553333333333</v>
      </c>
      <c r="Q447">
        <v>384.66333333333301</v>
      </c>
      <c r="R447">
        <v>326.37666666666598</v>
      </c>
      <c r="S447">
        <v>366.42999999999898</v>
      </c>
      <c r="T447">
        <v>340.48333333333301</v>
      </c>
      <c r="U447">
        <v>326.13666666666597</v>
      </c>
      <c r="V447">
        <v>314.96666666666601</v>
      </c>
      <c r="W447">
        <v>387.66</v>
      </c>
      <c r="X447">
        <v>358.856666666666</v>
      </c>
      <c r="Y447">
        <v>370.17666666666599</v>
      </c>
      <c r="Z447">
        <v>368.229999999999</v>
      </c>
      <c r="AA447">
        <v>362.56</v>
      </c>
      <c r="AB447">
        <v>362.56</v>
      </c>
      <c r="AC447">
        <v>406.303333333333</v>
      </c>
      <c r="AD447">
        <v>362.92</v>
      </c>
      <c r="AE447">
        <v>391.46333333333303</v>
      </c>
      <c r="AF447">
        <v>378.683333333333</v>
      </c>
      <c r="AG447">
        <v>370.52</v>
      </c>
      <c r="AH447">
        <v>366.70666666666602</v>
      </c>
      <c r="AI447">
        <v>400.82666666666597</v>
      </c>
      <c r="AJ447">
        <v>360.02999999999901</v>
      </c>
      <c r="AK447">
        <v>386.75666666666598</v>
      </c>
      <c r="AL447">
        <v>367.71333333333303</v>
      </c>
      <c r="AM447">
        <v>359.01333333333298</v>
      </c>
      <c r="AN447">
        <v>352.553333333333</v>
      </c>
      <c r="AO447">
        <v>405.469999999999</v>
      </c>
      <c r="AP447">
        <v>337.61999999999898</v>
      </c>
      <c r="AQ447">
        <v>386.27333333333303</v>
      </c>
      <c r="AR447">
        <v>353.23333333333301</v>
      </c>
      <c r="AS447">
        <v>335.01333333333298</v>
      </c>
      <c r="AT447">
        <v>319.64333333333298</v>
      </c>
      <c r="AU447">
        <v>417.84666666666601</v>
      </c>
      <c r="AV447">
        <v>364.43666666666599</v>
      </c>
      <c r="AW447">
        <v>401.39666666666602</v>
      </c>
      <c r="AX447">
        <v>377.236666666666</v>
      </c>
      <c r="AY447">
        <v>365.1</v>
      </c>
      <c r="AZ447">
        <v>355.96</v>
      </c>
      <c r="BA447">
        <v>406.44333333333299</v>
      </c>
      <c r="BB447">
        <v>351.19999999999902</v>
      </c>
      <c r="BC447">
        <v>389.56999999999903</v>
      </c>
      <c r="BD447">
        <v>364.28666666666601</v>
      </c>
      <c r="BE447">
        <v>350.72333333333302</v>
      </c>
      <c r="BF447">
        <v>340.433333333333</v>
      </c>
      <c r="BG447" s="14"/>
      <c r="BH447" s="14"/>
      <c r="BI447" s="14"/>
      <c r="BJ447" s="199"/>
      <c r="BK447" s="14"/>
      <c r="BL447" s="14"/>
      <c r="BM447" s="14"/>
      <c r="BN447" s="14"/>
      <c r="BO447" s="14"/>
      <c r="BP447" s="14"/>
      <c r="BQ447" s="14"/>
      <c r="BR447" s="14"/>
      <c r="BS447" s="14"/>
      <c r="BT447" s="14"/>
      <c r="BU447" s="14"/>
      <c r="BV447" s="14"/>
      <c r="BW447" s="14"/>
      <c r="BX447" s="14"/>
      <c r="BY447" s="170"/>
    </row>
    <row r="448" spans="9:77" x14ac:dyDescent="0.25">
      <c r="I448">
        <v>3490</v>
      </c>
      <c r="J448" s="1" t="s">
        <v>629</v>
      </c>
      <c r="K448">
        <v>400.82666666666597</v>
      </c>
      <c r="L448">
        <v>360.02999999999901</v>
      </c>
      <c r="M448">
        <v>386.75666666666598</v>
      </c>
      <c r="N448">
        <v>367.71333333333303</v>
      </c>
      <c r="O448">
        <v>359.01333333333298</v>
      </c>
      <c r="P448">
        <v>352.553333333333</v>
      </c>
      <c r="Q448">
        <v>384.66333333333301</v>
      </c>
      <c r="R448">
        <v>326.37666666666598</v>
      </c>
      <c r="S448">
        <v>366.42999999999898</v>
      </c>
      <c r="T448">
        <v>340.48333333333301</v>
      </c>
      <c r="U448">
        <v>326.13666666666597</v>
      </c>
      <c r="V448">
        <v>314.96666666666601</v>
      </c>
      <c r="W448">
        <v>387.66</v>
      </c>
      <c r="X448">
        <v>358.856666666666</v>
      </c>
      <c r="Y448">
        <v>370.17666666666599</v>
      </c>
      <c r="Z448">
        <v>368.229999999999</v>
      </c>
      <c r="AA448">
        <v>362.56</v>
      </c>
      <c r="AB448">
        <v>362.56</v>
      </c>
      <c r="AC448">
        <v>406.303333333333</v>
      </c>
      <c r="AD448">
        <v>362.92</v>
      </c>
      <c r="AE448">
        <v>391.46333333333303</v>
      </c>
      <c r="AF448">
        <v>378.683333333333</v>
      </c>
      <c r="AG448">
        <v>370.52</v>
      </c>
      <c r="AH448">
        <v>366.70666666666602</v>
      </c>
      <c r="AI448">
        <v>400.82666666666597</v>
      </c>
      <c r="AJ448">
        <v>360.02999999999901</v>
      </c>
      <c r="AK448">
        <v>386.75666666666598</v>
      </c>
      <c r="AL448">
        <v>367.71333333333303</v>
      </c>
      <c r="AM448">
        <v>359.01333333333298</v>
      </c>
      <c r="AN448">
        <v>352.553333333333</v>
      </c>
      <c r="AO448">
        <v>405.469999999999</v>
      </c>
      <c r="AP448">
        <v>337.61999999999898</v>
      </c>
      <c r="AQ448">
        <v>386.27333333333303</v>
      </c>
      <c r="AR448">
        <v>353.23333333333301</v>
      </c>
      <c r="AS448">
        <v>335.01333333333298</v>
      </c>
      <c r="AT448">
        <v>319.64333333333298</v>
      </c>
      <c r="AU448">
        <v>417.84666666666601</v>
      </c>
      <c r="AV448">
        <v>364.43666666666599</v>
      </c>
      <c r="AW448">
        <v>401.39666666666602</v>
      </c>
      <c r="AX448">
        <v>377.236666666666</v>
      </c>
      <c r="AY448">
        <v>365.1</v>
      </c>
      <c r="AZ448">
        <v>355.96</v>
      </c>
      <c r="BA448">
        <v>406.44333333333299</v>
      </c>
      <c r="BB448">
        <v>351.19999999999902</v>
      </c>
      <c r="BC448">
        <v>389.56999999999903</v>
      </c>
      <c r="BD448">
        <v>364.28666666666601</v>
      </c>
      <c r="BE448">
        <v>350.72333333333302</v>
      </c>
      <c r="BF448">
        <v>340.433333333333</v>
      </c>
      <c r="BG448" s="14"/>
      <c r="BH448" s="14"/>
      <c r="BI448" s="14"/>
      <c r="BJ448" s="199"/>
      <c r="BK448" s="14"/>
      <c r="BL448" s="14"/>
      <c r="BM448" s="14"/>
      <c r="BN448" s="14"/>
      <c r="BO448" s="14"/>
      <c r="BP448" s="14"/>
      <c r="BQ448" s="14"/>
      <c r="BR448" s="14"/>
      <c r="BS448" s="14"/>
      <c r="BT448" s="14"/>
      <c r="BU448" s="14"/>
      <c r="BV448" s="14"/>
      <c r="BW448" s="14"/>
      <c r="BX448" s="14"/>
      <c r="BY448" s="170"/>
    </row>
    <row r="449" spans="9:77" x14ac:dyDescent="0.25">
      <c r="I449">
        <v>3500</v>
      </c>
      <c r="J449" s="1" t="s">
        <v>630</v>
      </c>
      <c r="K449">
        <v>391.43666666666599</v>
      </c>
      <c r="L449">
        <v>350.63999999999902</v>
      </c>
      <c r="M449">
        <v>377.36666666666599</v>
      </c>
      <c r="N449">
        <v>358.32333333333298</v>
      </c>
      <c r="O449">
        <v>349.62333333333299</v>
      </c>
      <c r="P449">
        <v>343.16333333333301</v>
      </c>
      <c r="Q449">
        <v>375.27333333333303</v>
      </c>
      <c r="R449">
        <v>316.986666666666</v>
      </c>
      <c r="S449">
        <v>357.039999999999</v>
      </c>
      <c r="T449">
        <v>331.09333333333302</v>
      </c>
      <c r="U449">
        <v>316.74666666666599</v>
      </c>
      <c r="V449">
        <v>305.57666666666597</v>
      </c>
      <c r="W449">
        <v>378.27</v>
      </c>
      <c r="X449">
        <v>349.46666666666601</v>
      </c>
      <c r="Y449">
        <v>360.78666666666601</v>
      </c>
      <c r="Z449">
        <v>358.83999999999901</v>
      </c>
      <c r="AA449">
        <v>353.17</v>
      </c>
      <c r="AB449">
        <v>353.17</v>
      </c>
      <c r="AC449">
        <v>396.91333333333301</v>
      </c>
      <c r="AD449">
        <v>353.53</v>
      </c>
      <c r="AE449">
        <v>382.07333333333298</v>
      </c>
      <c r="AF449">
        <v>369.29333333333301</v>
      </c>
      <c r="AG449">
        <v>361.13</v>
      </c>
      <c r="AH449">
        <v>357.31666666666598</v>
      </c>
      <c r="AI449">
        <v>391.43666666666599</v>
      </c>
      <c r="AJ449">
        <v>350.63999999999902</v>
      </c>
      <c r="AK449">
        <v>377.36666666666599</v>
      </c>
      <c r="AL449">
        <v>358.32333333333298</v>
      </c>
      <c r="AM449">
        <v>349.62333333333299</v>
      </c>
      <c r="AN449">
        <v>343.16333333333301</v>
      </c>
      <c r="AO449">
        <v>396.07999999999902</v>
      </c>
      <c r="AP449">
        <v>328.229999999999</v>
      </c>
      <c r="AQ449">
        <v>376.88333333333298</v>
      </c>
      <c r="AR449">
        <v>343.84333333333302</v>
      </c>
      <c r="AS449">
        <v>325.62333333333299</v>
      </c>
      <c r="AT449">
        <v>310.25333333333299</v>
      </c>
      <c r="AU449">
        <v>408.45666666666602</v>
      </c>
      <c r="AV449">
        <v>355.046666666666</v>
      </c>
      <c r="AW449">
        <v>392.00666666666598</v>
      </c>
      <c r="AX449">
        <v>367.84666666666601</v>
      </c>
      <c r="AY449">
        <v>355.71</v>
      </c>
      <c r="AZ449">
        <v>346.57</v>
      </c>
      <c r="BA449">
        <v>397.053333333333</v>
      </c>
      <c r="BB449">
        <v>341.80999999999898</v>
      </c>
      <c r="BC449">
        <v>380.17999999999898</v>
      </c>
      <c r="BD449">
        <v>354.89666666666602</v>
      </c>
      <c r="BE449">
        <v>341.33333333333297</v>
      </c>
      <c r="BF449">
        <v>331.04333333333301</v>
      </c>
      <c r="BG449" s="14"/>
      <c r="BH449" s="14"/>
      <c r="BI449" s="14"/>
      <c r="BJ449" s="199"/>
      <c r="BK449" s="14"/>
      <c r="BL449" s="14"/>
      <c r="BM449" s="14"/>
      <c r="BN449" s="14"/>
      <c r="BO449" s="14"/>
      <c r="BP449" s="14"/>
      <c r="BQ449" s="14"/>
      <c r="BR449" s="14"/>
      <c r="BS449" s="14"/>
      <c r="BT449" s="14"/>
      <c r="BU449" s="14"/>
      <c r="BV449" s="14"/>
      <c r="BW449" s="14"/>
      <c r="BX449" s="14"/>
      <c r="BY449" s="170"/>
    </row>
    <row r="450" spans="9:77" x14ac:dyDescent="0.25">
      <c r="I450">
        <v>3520</v>
      </c>
      <c r="J450" s="1" t="s">
        <v>631</v>
      </c>
      <c r="K450">
        <v>391.43666666666599</v>
      </c>
      <c r="L450">
        <v>350.63999999999902</v>
      </c>
      <c r="M450">
        <v>377.36666666666599</v>
      </c>
      <c r="N450">
        <v>358.32333333333298</v>
      </c>
      <c r="O450">
        <v>349.62333333333299</v>
      </c>
      <c r="P450">
        <v>343.16333333333301</v>
      </c>
      <c r="Q450">
        <v>375.27333333333303</v>
      </c>
      <c r="R450">
        <v>316.986666666666</v>
      </c>
      <c r="S450">
        <v>357.039999999999</v>
      </c>
      <c r="T450">
        <v>331.09333333333302</v>
      </c>
      <c r="U450">
        <v>316.74666666666599</v>
      </c>
      <c r="V450">
        <v>305.57666666666597</v>
      </c>
      <c r="W450">
        <v>378.27</v>
      </c>
      <c r="X450">
        <v>349.46666666666601</v>
      </c>
      <c r="Y450">
        <v>360.78666666666601</v>
      </c>
      <c r="Z450">
        <v>358.83999999999901</v>
      </c>
      <c r="AA450">
        <v>353.17</v>
      </c>
      <c r="AB450">
        <v>353.17</v>
      </c>
      <c r="AC450">
        <v>396.91333333333301</v>
      </c>
      <c r="AD450">
        <v>353.53</v>
      </c>
      <c r="AE450">
        <v>382.07333333333298</v>
      </c>
      <c r="AF450">
        <v>369.29333333333301</v>
      </c>
      <c r="AG450">
        <v>361.13</v>
      </c>
      <c r="AH450">
        <v>357.31666666666598</v>
      </c>
      <c r="AI450">
        <v>391.43666666666599</v>
      </c>
      <c r="AJ450">
        <v>350.63999999999902</v>
      </c>
      <c r="AK450">
        <v>377.36666666666599</v>
      </c>
      <c r="AL450">
        <v>358.32333333333298</v>
      </c>
      <c r="AM450">
        <v>349.62333333333299</v>
      </c>
      <c r="AN450">
        <v>343.16333333333301</v>
      </c>
      <c r="AO450">
        <v>396.07999999999902</v>
      </c>
      <c r="AP450">
        <v>328.229999999999</v>
      </c>
      <c r="AQ450">
        <v>376.88333333333298</v>
      </c>
      <c r="AR450">
        <v>343.84333333333302</v>
      </c>
      <c r="AS450">
        <v>325.62333333333299</v>
      </c>
      <c r="AT450">
        <v>310.25333333333299</v>
      </c>
      <c r="AU450">
        <v>408.45666666666602</v>
      </c>
      <c r="AV450">
        <v>355.046666666666</v>
      </c>
      <c r="AW450">
        <v>392.00666666666598</v>
      </c>
      <c r="AX450">
        <v>367.84666666666601</v>
      </c>
      <c r="AY450">
        <v>355.71</v>
      </c>
      <c r="AZ450">
        <v>346.57</v>
      </c>
      <c r="BA450">
        <v>397.053333333333</v>
      </c>
      <c r="BB450">
        <v>341.80999999999898</v>
      </c>
      <c r="BC450">
        <v>380.17999999999898</v>
      </c>
      <c r="BD450">
        <v>354.89666666666602</v>
      </c>
      <c r="BE450">
        <v>341.33333333333297</v>
      </c>
      <c r="BF450">
        <v>331.04333333333301</v>
      </c>
      <c r="BG450" s="14"/>
      <c r="BH450" s="14"/>
      <c r="BI450" s="14"/>
      <c r="BJ450" s="199"/>
      <c r="BK450" s="14"/>
      <c r="BL450" s="14"/>
      <c r="BM450" s="14"/>
      <c r="BN450" s="14"/>
      <c r="BO450" s="14"/>
      <c r="BP450" s="14"/>
      <c r="BQ450" s="14"/>
      <c r="BR450" s="14"/>
      <c r="BS450" s="14"/>
      <c r="BT450" s="14"/>
      <c r="BU450" s="14"/>
      <c r="BV450" s="14"/>
      <c r="BW450" s="14"/>
      <c r="BX450" s="14"/>
      <c r="BY450" s="170"/>
    </row>
    <row r="451" spans="9:77" x14ac:dyDescent="0.25">
      <c r="I451">
        <v>3540</v>
      </c>
      <c r="J451" s="1" t="s">
        <v>632</v>
      </c>
      <c r="K451">
        <v>353.64666666666602</v>
      </c>
      <c r="L451">
        <v>312.849999999999</v>
      </c>
      <c r="M451">
        <v>339.57666666666597</v>
      </c>
      <c r="N451">
        <v>320.53333333333302</v>
      </c>
      <c r="O451">
        <v>311.83333333333297</v>
      </c>
      <c r="P451">
        <v>305.37333333333299</v>
      </c>
      <c r="Q451">
        <v>337.48333333333301</v>
      </c>
      <c r="R451">
        <v>279.19666666666598</v>
      </c>
      <c r="S451">
        <v>319.25</v>
      </c>
      <c r="T451">
        <v>293.303333333333</v>
      </c>
      <c r="U451">
        <v>278.95666666666602</v>
      </c>
      <c r="V451">
        <v>267.78666666666601</v>
      </c>
      <c r="W451">
        <v>340.48</v>
      </c>
      <c r="X451">
        <v>311.67666666666599</v>
      </c>
      <c r="Y451">
        <v>322.99666666666599</v>
      </c>
      <c r="Z451">
        <v>321.05</v>
      </c>
      <c r="AA451">
        <v>315.38</v>
      </c>
      <c r="AB451">
        <v>315.38</v>
      </c>
      <c r="AC451">
        <v>359.12333333333299</v>
      </c>
      <c r="AD451">
        <v>315.74</v>
      </c>
      <c r="AE451">
        <v>344.28333333333302</v>
      </c>
      <c r="AF451">
        <v>331.50333333333299</v>
      </c>
      <c r="AG451">
        <v>323.33999999999997</v>
      </c>
      <c r="AH451">
        <v>319.52666666666602</v>
      </c>
      <c r="AI451">
        <v>353.64666666666602</v>
      </c>
      <c r="AJ451">
        <v>312.849999999999</v>
      </c>
      <c r="AK451">
        <v>339.57666666666597</v>
      </c>
      <c r="AL451">
        <v>320.53333333333302</v>
      </c>
      <c r="AM451">
        <v>311.83333333333297</v>
      </c>
      <c r="AN451">
        <v>305.37333333333299</v>
      </c>
      <c r="AO451">
        <v>358.289999999999</v>
      </c>
      <c r="AP451">
        <v>290.44</v>
      </c>
      <c r="AQ451">
        <v>339.09333333333302</v>
      </c>
      <c r="AR451">
        <v>306.053333333333</v>
      </c>
      <c r="AS451">
        <v>287.83333333333297</v>
      </c>
      <c r="AT451">
        <v>272.46333333333303</v>
      </c>
      <c r="AU451">
        <v>370.666666666666</v>
      </c>
      <c r="AV451">
        <v>317.25666666666598</v>
      </c>
      <c r="AW451">
        <v>354.21666666666601</v>
      </c>
      <c r="AX451">
        <v>330.05666666666599</v>
      </c>
      <c r="AY451">
        <v>317.92</v>
      </c>
      <c r="AZ451">
        <v>308.77999999999997</v>
      </c>
      <c r="BA451">
        <v>359.26333333333298</v>
      </c>
      <c r="BB451">
        <v>304.01999999999902</v>
      </c>
      <c r="BC451">
        <v>342.38999999999902</v>
      </c>
      <c r="BD451">
        <v>317.106666666666</v>
      </c>
      <c r="BE451">
        <v>303.54333333333301</v>
      </c>
      <c r="BF451">
        <v>293.25333333333299</v>
      </c>
      <c r="BG451" s="14"/>
      <c r="BH451" s="14"/>
      <c r="BI451" s="14"/>
      <c r="BJ451" s="199"/>
      <c r="BK451" s="14"/>
      <c r="BL451" s="14"/>
      <c r="BM451" s="14"/>
      <c r="BN451" s="14"/>
      <c r="BO451" s="14"/>
      <c r="BP451" s="14"/>
      <c r="BQ451" s="14"/>
      <c r="BR451" s="14"/>
      <c r="BS451" s="14"/>
      <c r="BT451" s="14"/>
      <c r="BU451" s="14"/>
      <c r="BV451" s="14"/>
      <c r="BW451" s="14"/>
      <c r="BX451" s="14"/>
      <c r="BY451" s="170"/>
    </row>
    <row r="452" spans="9:77" x14ac:dyDescent="0.25">
      <c r="I452">
        <v>3550</v>
      </c>
      <c r="J452" s="1" t="s">
        <v>633</v>
      </c>
      <c r="K452">
        <v>353.64666666666602</v>
      </c>
      <c r="L452">
        <v>312.849999999999</v>
      </c>
      <c r="M452">
        <v>339.57666666666597</v>
      </c>
      <c r="N452">
        <v>320.53333333333302</v>
      </c>
      <c r="O452">
        <v>311.83333333333297</v>
      </c>
      <c r="P452">
        <v>305.37333333333299</v>
      </c>
      <c r="Q452">
        <v>337.48333333333301</v>
      </c>
      <c r="R452">
        <v>279.19666666666598</v>
      </c>
      <c r="S452">
        <v>319.25</v>
      </c>
      <c r="T452">
        <v>293.303333333333</v>
      </c>
      <c r="U452">
        <v>278.95666666666602</v>
      </c>
      <c r="V452">
        <v>267.78666666666601</v>
      </c>
      <c r="W452">
        <v>340.48</v>
      </c>
      <c r="X452">
        <v>311.67666666666599</v>
      </c>
      <c r="Y452">
        <v>322.99666666666599</v>
      </c>
      <c r="Z452">
        <v>321.05</v>
      </c>
      <c r="AA452">
        <v>315.38</v>
      </c>
      <c r="AB452">
        <v>315.38</v>
      </c>
      <c r="AC452">
        <v>359.12333333333299</v>
      </c>
      <c r="AD452">
        <v>315.74</v>
      </c>
      <c r="AE452">
        <v>344.28333333333302</v>
      </c>
      <c r="AF452">
        <v>331.50333333333299</v>
      </c>
      <c r="AG452">
        <v>323.33999999999997</v>
      </c>
      <c r="AH452">
        <v>319.52666666666602</v>
      </c>
      <c r="AI452">
        <v>353.64666666666602</v>
      </c>
      <c r="AJ452">
        <v>312.849999999999</v>
      </c>
      <c r="AK452">
        <v>339.57666666666597</v>
      </c>
      <c r="AL452">
        <v>320.53333333333302</v>
      </c>
      <c r="AM452">
        <v>311.83333333333297</v>
      </c>
      <c r="AN452">
        <v>305.37333333333299</v>
      </c>
      <c r="AO452">
        <v>358.289999999999</v>
      </c>
      <c r="AP452">
        <v>290.44</v>
      </c>
      <c r="AQ452">
        <v>339.09333333333302</v>
      </c>
      <c r="AR452">
        <v>306.053333333333</v>
      </c>
      <c r="AS452">
        <v>287.83333333333297</v>
      </c>
      <c r="AT452">
        <v>272.46333333333303</v>
      </c>
      <c r="AU452">
        <v>370.666666666666</v>
      </c>
      <c r="AV452">
        <v>317.25666666666598</v>
      </c>
      <c r="AW452">
        <v>354.21666666666601</v>
      </c>
      <c r="AX452">
        <v>330.05666666666599</v>
      </c>
      <c r="AY452">
        <v>317.92</v>
      </c>
      <c r="AZ452">
        <v>308.77999999999997</v>
      </c>
      <c r="BA452">
        <v>359.26333333333298</v>
      </c>
      <c r="BB452">
        <v>304.01999999999902</v>
      </c>
      <c r="BC452">
        <v>342.38999999999902</v>
      </c>
      <c r="BD452">
        <v>317.106666666666</v>
      </c>
      <c r="BE452">
        <v>303.54333333333301</v>
      </c>
      <c r="BF452">
        <v>293.25333333333299</v>
      </c>
      <c r="BG452" s="14"/>
      <c r="BH452" s="14"/>
      <c r="BI452" s="14"/>
      <c r="BJ452" s="199"/>
      <c r="BK452" s="14"/>
      <c r="BL452" s="14"/>
      <c r="BM452" s="14"/>
      <c r="BN452" s="14"/>
      <c r="BO452" s="14"/>
      <c r="BP452" s="14"/>
      <c r="BQ452" s="14"/>
      <c r="BR452" s="14"/>
      <c r="BS452" s="14"/>
      <c r="BT452" s="14"/>
      <c r="BU452" s="14"/>
      <c r="BV452" s="14"/>
      <c r="BW452" s="14"/>
      <c r="BX452" s="14"/>
      <c r="BY452" s="170"/>
    </row>
    <row r="453" spans="9:77" x14ac:dyDescent="0.25">
      <c r="I453">
        <v>3600</v>
      </c>
      <c r="J453" s="1" t="s">
        <v>634</v>
      </c>
      <c r="K453">
        <v>313.736666666666</v>
      </c>
      <c r="L453">
        <v>272.93999999999897</v>
      </c>
      <c r="M453">
        <v>299.666666666666</v>
      </c>
      <c r="N453">
        <v>280.62333333333299</v>
      </c>
      <c r="O453">
        <v>271.92333333333301</v>
      </c>
      <c r="P453">
        <v>265.46333333333303</v>
      </c>
      <c r="Q453">
        <v>297.57333333333298</v>
      </c>
      <c r="R453">
        <v>239.28666666666601</v>
      </c>
      <c r="S453">
        <v>279.33999999999901</v>
      </c>
      <c r="T453">
        <v>253.393333333333</v>
      </c>
      <c r="U453">
        <v>239.046666666666</v>
      </c>
      <c r="V453">
        <v>227.87666666666601</v>
      </c>
      <c r="W453">
        <v>300.56999999999903</v>
      </c>
      <c r="X453">
        <v>271.76666666666603</v>
      </c>
      <c r="Y453">
        <v>283.08666666666602</v>
      </c>
      <c r="Z453">
        <v>281.13999999999902</v>
      </c>
      <c r="AA453">
        <v>275.47000000000003</v>
      </c>
      <c r="AB453">
        <v>275.47000000000003</v>
      </c>
      <c r="AC453">
        <v>319.21333333333303</v>
      </c>
      <c r="AD453">
        <v>275.83</v>
      </c>
      <c r="AE453">
        <v>304.37333333333299</v>
      </c>
      <c r="AF453">
        <v>291.59333333333302</v>
      </c>
      <c r="AG453">
        <v>283.43</v>
      </c>
      <c r="AH453">
        <v>279.61666666666599</v>
      </c>
      <c r="AI453">
        <v>313.736666666666</v>
      </c>
      <c r="AJ453">
        <v>272.93999999999897</v>
      </c>
      <c r="AK453">
        <v>299.666666666666</v>
      </c>
      <c r="AL453">
        <v>280.62333333333299</v>
      </c>
      <c r="AM453">
        <v>271.92333333333301</v>
      </c>
      <c r="AN453">
        <v>265.46333333333303</v>
      </c>
      <c r="AO453">
        <v>318.37999999999897</v>
      </c>
      <c r="AP453">
        <v>250.52999999999901</v>
      </c>
      <c r="AQ453">
        <v>299.183333333333</v>
      </c>
      <c r="AR453">
        <v>266.14333333333298</v>
      </c>
      <c r="AS453">
        <v>247.92333333333301</v>
      </c>
      <c r="AT453">
        <v>232.553333333333</v>
      </c>
      <c r="AU453">
        <v>330.75666666666598</v>
      </c>
      <c r="AV453">
        <v>277.34666666666601</v>
      </c>
      <c r="AW453">
        <v>314.30666666666599</v>
      </c>
      <c r="AX453">
        <v>290.14666666666602</v>
      </c>
      <c r="AY453">
        <v>278.01</v>
      </c>
      <c r="AZ453">
        <v>268.87</v>
      </c>
      <c r="BA453">
        <v>319.35333333333301</v>
      </c>
      <c r="BB453">
        <v>264.10999999999899</v>
      </c>
      <c r="BC453">
        <v>302.479999999999</v>
      </c>
      <c r="BD453">
        <v>277.19666666666598</v>
      </c>
      <c r="BE453">
        <v>263.63333333333298</v>
      </c>
      <c r="BF453">
        <v>253.34333333333299</v>
      </c>
      <c r="BG453" s="14"/>
      <c r="BH453" s="14"/>
      <c r="BI453" s="14"/>
      <c r="BJ453" s="199"/>
      <c r="BK453" s="14"/>
      <c r="BL453" s="14"/>
      <c r="BM453" s="14"/>
      <c r="BN453" s="14"/>
      <c r="BO453" s="14"/>
      <c r="BP453" s="14"/>
      <c r="BQ453" s="14"/>
      <c r="BR453" s="14"/>
      <c r="BS453" s="14"/>
      <c r="BT453" s="14"/>
      <c r="BU453" s="14"/>
      <c r="BV453" s="14"/>
      <c r="BW453" s="14"/>
      <c r="BX453" s="14"/>
      <c r="BY453" s="170"/>
    </row>
    <row r="454" spans="9:77" x14ac:dyDescent="0.25">
      <c r="I454">
        <v>3630</v>
      </c>
      <c r="J454" s="1" t="s">
        <v>635</v>
      </c>
      <c r="K454">
        <v>306.666666666666</v>
      </c>
      <c r="L454">
        <v>265.86999999999898</v>
      </c>
      <c r="M454">
        <v>292.59666666666601</v>
      </c>
      <c r="N454">
        <v>273.553333333333</v>
      </c>
      <c r="O454">
        <v>264.85333333333301</v>
      </c>
      <c r="P454">
        <v>258.39333333333298</v>
      </c>
      <c r="Q454">
        <v>290.50333333333299</v>
      </c>
      <c r="R454">
        <v>232.21666666666599</v>
      </c>
      <c r="S454">
        <v>272.26999999999902</v>
      </c>
      <c r="T454">
        <v>246.32333333333301</v>
      </c>
      <c r="U454">
        <v>231.97666666666601</v>
      </c>
      <c r="V454">
        <v>220.80666666666599</v>
      </c>
      <c r="W454">
        <v>293.5</v>
      </c>
      <c r="X454">
        <v>264.69666666666598</v>
      </c>
      <c r="Y454">
        <v>276.01666666666603</v>
      </c>
      <c r="Z454">
        <v>274.06999999999903</v>
      </c>
      <c r="AA454">
        <v>268.39999999999998</v>
      </c>
      <c r="AB454">
        <v>268.39999999999998</v>
      </c>
      <c r="AC454">
        <v>312.14333333333298</v>
      </c>
      <c r="AD454">
        <v>268.76</v>
      </c>
      <c r="AE454">
        <v>297.303333333333</v>
      </c>
      <c r="AF454">
        <v>284.52333333333303</v>
      </c>
      <c r="AG454">
        <v>276.36</v>
      </c>
      <c r="AH454">
        <v>272.546666666666</v>
      </c>
      <c r="AI454">
        <v>306.666666666666</v>
      </c>
      <c r="AJ454">
        <v>265.86999999999898</v>
      </c>
      <c r="AK454">
        <v>292.59666666666601</v>
      </c>
      <c r="AL454">
        <v>273.553333333333</v>
      </c>
      <c r="AM454">
        <v>264.85333333333301</v>
      </c>
      <c r="AN454">
        <v>258.39333333333298</v>
      </c>
      <c r="AO454">
        <v>311.30999999999898</v>
      </c>
      <c r="AP454">
        <v>243.45999999999901</v>
      </c>
      <c r="AQ454">
        <v>292.113333333333</v>
      </c>
      <c r="AR454">
        <v>259.07333333333298</v>
      </c>
      <c r="AS454">
        <v>240.85333333333301</v>
      </c>
      <c r="AT454">
        <v>225.48333333333301</v>
      </c>
      <c r="AU454">
        <v>323.68666666666599</v>
      </c>
      <c r="AV454">
        <v>270.27666666666602</v>
      </c>
      <c r="AW454">
        <v>307.236666666666</v>
      </c>
      <c r="AX454">
        <v>283.07666666666597</v>
      </c>
      <c r="AY454">
        <v>270.94</v>
      </c>
      <c r="AZ454">
        <v>261.8</v>
      </c>
      <c r="BA454">
        <v>312.28333333333302</v>
      </c>
      <c r="BB454">
        <v>257.039999999999</v>
      </c>
      <c r="BC454">
        <v>295.409999999999</v>
      </c>
      <c r="BD454">
        <v>270.12666666666598</v>
      </c>
      <c r="BE454">
        <v>256.56333333333299</v>
      </c>
      <c r="BF454">
        <v>246.273333333333</v>
      </c>
      <c r="BG454" s="14"/>
      <c r="BH454" s="14"/>
      <c r="BI454" s="14"/>
      <c r="BJ454" s="199"/>
      <c r="BK454" s="14"/>
      <c r="BL454" s="14"/>
      <c r="BM454" s="14"/>
      <c r="BN454" s="14"/>
      <c r="BO454" s="14"/>
      <c r="BP454" s="14"/>
      <c r="BQ454" s="14"/>
      <c r="BR454" s="14"/>
      <c r="BS454" s="14"/>
      <c r="BT454" s="14"/>
      <c r="BU454" s="14"/>
      <c r="BV454" s="14"/>
      <c r="BW454" s="14"/>
      <c r="BX454" s="14"/>
      <c r="BY454" s="170"/>
    </row>
    <row r="455" spans="9:77" x14ac:dyDescent="0.25">
      <c r="I455">
        <v>3650</v>
      </c>
      <c r="J455" s="1" t="s">
        <v>636</v>
      </c>
      <c r="K455">
        <v>313.736666666666</v>
      </c>
      <c r="L455">
        <v>272.93999999999897</v>
      </c>
      <c r="M455">
        <v>299.666666666666</v>
      </c>
      <c r="N455">
        <v>280.62333333333299</v>
      </c>
      <c r="O455">
        <v>271.92333333333301</v>
      </c>
      <c r="P455">
        <v>265.46333333333303</v>
      </c>
      <c r="Q455">
        <v>297.57333333333298</v>
      </c>
      <c r="R455">
        <v>239.28666666666601</v>
      </c>
      <c r="S455">
        <v>279.33999999999901</v>
      </c>
      <c r="T455">
        <v>253.393333333333</v>
      </c>
      <c r="U455">
        <v>239.046666666666</v>
      </c>
      <c r="V455">
        <v>227.87666666666601</v>
      </c>
      <c r="W455">
        <v>300.56999999999903</v>
      </c>
      <c r="X455">
        <v>271.76666666666603</v>
      </c>
      <c r="Y455">
        <v>283.08666666666602</v>
      </c>
      <c r="Z455">
        <v>281.13999999999902</v>
      </c>
      <c r="AA455">
        <v>275.47000000000003</v>
      </c>
      <c r="AB455">
        <v>275.47000000000003</v>
      </c>
      <c r="AC455">
        <v>319.21333333333303</v>
      </c>
      <c r="AD455">
        <v>275.83</v>
      </c>
      <c r="AE455">
        <v>304.37333333333299</v>
      </c>
      <c r="AF455">
        <v>291.59333333333302</v>
      </c>
      <c r="AG455">
        <v>283.43</v>
      </c>
      <c r="AH455">
        <v>279.61666666666599</v>
      </c>
      <c r="AI455">
        <v>313.736666666666</v>
      </c>
      <c r="AJ455">
        <v>272.93999999999897</v>
      </c>
      <c r="AK455">
        <v>299.666666666666</v>
      </c>
      <c r="AL455">
        <v>280.62333333333299</v>
      </c>
      <c r="AM455">
        <v>271.92333333333301</v>
      </c>
      <c r="AN455">
        <v>265.46333333333303</v>
      </c>
      <c r="AO455">
        <v>318.37999999999897</v>
      </c>
      <c r="AP455">
        <v>250.52999999999901</v>
      </c>
      <c r="AQ455">
        <v>299.183333333333</v>
      </c>
      <c r="AR455">
        <v>266.14333333333298</v>
      </c>
      <c r="AS455">
        <v>247.92333333333301</v>
      </c>
      <c r="AT455">
        <v>232.553333333333</v>
      </c>
      <c r="AU455">
        <v>330.75666666666598</v>
      </c>
      <c r="AV455">
        <v>277.34666666666601</v>
      </c>
      <c r="AW455">
        <v>314.30666666666599</v>
      </c>
      <c r="AX455">
        <v>290.14666666666602</v>
      </c>
      <c r="AY455">
        <v>278.01</v>
      </c>
      <c r="AZ455">
        <v>268.87</v>
      </c>
      <c r="BA455">
        <v>319.35333333333301</v>
      </c>
      <c r="BB455">
        <v>264.10999999999899</v>
      </c>
      <c r="BC455">
        <v>302.479999999999</v>
      </c>
      <c r="BD455">
        <v>277.19666666666598</v>
      </c>
      <c r="BE455">
        <v>263.63333333333298</v>
      </c>
      <c r="BF455">
        <v>253.34333333333299</v>
      </c>
      <c r="BG455" s="14"/>
      <c r="BH455" s="14"/>
      <c r="BI455" s="14"/>
      <c r="BJ455" s="199"/>
      <c r="BK455" s="14"/>
      <c r="BL455" s="14"/>
      <c r="BM455" s="14"/>
      <c r="BN455" s="14"/>
      <c r="BO455" s="14"/>
      <c r="BP455" s="14"/>
      <c r="BQ455" s="14"/>
      <c r="BR455" s="14"/>
      <c r="BS455" s="14"/>
      <c r="BT455" s="14"/>
      <c r="BU455" s="14"/>
      <c r="BV455" s="14"/>
      <c r="BW455" s="14"/>
      <c r="BX455" s="14"/>
      <c r="BY455" s="170"/>
    </row>
    <row r="456" spans="9:77" x14ac:dyDescent="0.25">
      <c r="I456">
        <v>3660</v>
      </c>
      <c r="J456" s="1" t="s">
        <v>637</v>
      </c>
      <c r="K456">
        <v>333.50666666666598</v>
      </c>
      <c r="L456">
        <v>292.70999999999998</v>
      </c>
      <c r="M456">
        <v>319.43666666666599</v>
      </c>
      <c r="N456">
        <v>300.39333333333298</v>
      </c>
      <c r="O456">
        <v>291.69333333333299</v>
      </c>
      <c r="P456">
        <v>285.23333333333301</v>
      </c>
      <c r="Q456">
        <v>317.34333333333302</v>
      </c>
      <c r="R456">
        <v>259.05666666666599</v>
      </c>
      <c r="S456">
        <v>299.11</v>
      </c>
      <c r="T456">
        <v>273.16333333333301</v>
      </c>
      <c r="U456">
        <v>258.81666666666598</v>
      </c>
      <c r="V456">
        <v>247.64666666666599</v>
      </c>
      <c r="W456">
        <v>320.33999999999997</v>
      </c>
      <c r="X456">
        <v>291.53666666666601</v>
      </c>
      <c r="Y456">
        <v>302.856666666666</v>
      </c>
      <c r="Z456">
        <v>300.91000000000003</v>
      </c>
      <c r="AA456">
        <v>295.24</v>
      </c>
      <c r="AB456">
        <v>295.24</v>
      </c>
      <c r="AC456">
        <v>338.98333333333301</v>
      </c>
      <c r="AD456">
        <v>295.60000000000002</v>
      </c>
      <c r="AE456">
        <v>324.14333333333298</v>
      </c>
      <c r="AF456">
        <v>311.363333333333</v>
      </c>
      <c r="AG456">
        <v>303.2</v>
      </c>
      <c r="AH456">
        <v>299.38666666666597</v>
      </c>
      <c r="AI456">
        <v>333.50666666666598</v>
      </c>
      <c r="AJ456">
        <v>292.70999999999998</v>
      </c>
      <c r="AK456">
        <v>319.43666666666599</v>
      </c>
      <c r="AL456">
        <v>300.39333333333298</v>
      </c>
      <c r="AM456">
        <v>291.69333333333299</v>
      </c>
      <c r="AN456">
        <v>285.23333333333301</v>
      </c>
      <c r="AO456">
        <v>338.15</v>
      </c>
      <c r="AP456">
        <v>270.3</v>
      </c>
      <c r="AQ456">
        <v>318.95333333333298</v>
      </c>
      <c r="AR456">
        <v>285.91333333333301</v>
      </c>
      <c r="AS456">
        <v>267.69333333333299</v>
      </c>
      <c r="AT456">
        <v>252.32333333333301</v>
      </c>
      <c r="AU456">
        <v>350.52666666666602</v>
      </c>
      <c r="AV456">
        <v>297.11666666666599</v>
      </c>
      <c r="AW456">
        <v>334.07666666666597</v>
      </c>
      <c r="AX456">
        <v>309.916666666666</v>
      </c>
      <c r="AY456">
        <v>297.77999999999997</v>
      </c>
      <c r="AZ456">
        <v>288.64</v>
      </c>
      <c r="BA456">
        <v>339.12333333333299</v>
      </c>
      <c r="BB456">
        <v>283.88</v>
      </c>
      <c r="BC456">
        <v>322.25</v>
      </c>
      <c r="BD456">
        <v>296.96666666666601</v>
      </c>
      <c r="BE456">
        <v>283.40333333333302</v>
      </c>
      <c r="BF456">
        <v>273.113333333333</v>
      </c>
      <c r="BG456" s="14"/>
      <c r="BH456" s="14"/>
      <c r="BI456" s="14"/>
      <c r="BJ456" s="199"/>
      <c r="BK456" s="14"/>
      <c r="BL456" s="14"/>
      <c r="BM456" s="14"/>
      <c r="BN456" s="14"/>
      <c r="BO456" s="14"/>
      <c r="BP456" s="14"/>
      <c r="BQ456" s="14"/>
      <c r="BR456" s="14"/>
      <c r="BS456" s="14"/>
      <c r="BT456" s="14"/>
      <c r="BU456" s="14"/>
      <c r="BV456" s="14"/>
      <c r="BW456" s="14"/>
      <c r="BX456" s="14"/>
      <c r="BY456" s="170"/>
    </row>
    <row r="457" spans="9:77" x14ac:dyDescent="0.25">
      <c r="I457">
        <v>3670</v>
      </c>
      <c r="J457" s="1" t="s">
        <v>638</v>
      </c>
      <c r="K457">
        <v>333.50666666666598</v>
      </c>
      <c r="L457">
        <v>292.70999999999998</v>
      </c>
      <c r="M457">
        <v>319.43666666666599</v>
      </c>
      <c r="N457">
        <v>300.39333333333298</v>
      </c>
      <c r="O457">
        <v>291.69333333333299</v>
      </c>
      <c r="P457">
        <v>285.23333333333301</v>
      </c>
      <c r="Q457">
        <v>317.34333333333302</v>
      </c>
      <c r="R457">
        <v>259.05666666666599</v>
      </c>
      <c r="S457">
        <v>299.11</v>
      </c>
      <c r="T457">
        <v>273.16333333333301</v>
      </c>
      <c r="U457">
        <v>258.81666666666598</v>
      </c>
      <c r="V457">
        <v>247.64666666666599</v>
      </c>
      <c r="W457">
        <v>320.33999999999997</v>
      </c>
      <c r="X457">
        <v>291.53666666666601</v>
      </c>
      <c r="Y457">
        <v>302.856666666666</v>
      </c>
      <c r="Z457">
        <v>300.91000000000003</v>
      </c>
      <c r="AA457">
        <v>295.24</v>
      </c>
      <c r="AB457">
        <v>295.24</v>
      </c>
      <c r="AC457">
        <v>338.98333333333301</v>
      </c>
      <c r="AD457">
        <v>295.60000000000002</v>
      </c>
      <c r="AE457">
        <v>324.14333333333298</v>
      </c>
      <c r="AF457">
        <v>311.363333333333</v>
      </c>
      <c r="AG457">
        <v>303.2</v>
      </c>
      <c r="AH457">
        <v>299.38666666666597</v>
      </c>
      <c r="AI457">
        <v>333.50666666666598</v>
      </c>
      <c r="AJ457">
        <v>292.70999999999998</v>
      </c>
      <c r="AK457">
        <v>319.43666666666599</v>
      </c>
      <c r="AL457">
        <v>300.39333333333298</v>
      </c>
      <c r="AM457">
        <v>291.69333333333299</v>
      </c>
      <c r="AN457">
        <v>285.23333333333301</v>
      </c>
      <c r="AO457">
        <v>338.15</v>
      </c>
      <c r="AP457">
        <v>270.3</v>
      </c>
      <c r="AQ457">
        <v>318.95333333333298</v>
      </c>
      <c r="AR457">
        <v>285.91333333333301</v>
      </c>
      <c r="AS457">
        <v>267.69333333333299</v>
      </c>
      <c r="AT457">
        <v>252.32333333333301</v>
      </c>
      <c r="AU457">
        <v>350.52666666666602</v>
      </c>
      <c r="AV457">
        <v>297.11666666666599</v>
      </c>
      <c r="AW457">
        <v>334.07666666666597</v>
      </c>
      <c r="AX457">
        <v>309.916666666666</v>
      </c>
      <c r="AY457">
        <v>297.77999999999997</v>
      </c>
      <c r="AZ457">
        <v>288.64</v>
      </c>
      <c r="BA457">
        <v>339.12333333333299</v>
      </c>
      <c r="BB457">
        <v>283.88</v>
      </c>
      <c r="BC457">
        <v>322.25</v>
      </c>
      <c r="BD457">
        <v>296.96666666666601</v>
      </c>
      <c r="BE457">
        <v>283.40333333333302</v>
      </c>
      <c r="BF457">
        <v>273.113333333333</v>
      </c>
      <c r="BG457" s="14"/>
      <c r="BH457" s="14"/>
      <c r="BI457" s="14"/>
      <c r="BJ457" s="199"/>
      <c r="BK457" s="14"/>
      <c r="BL457" s="14"/>
      <c r="BM457" s="14"/>
      <c r="BN457" s="14"/>
      <c r="BO457" s="14"/>
      <c r="BP457" s="14"/>
      <c r="BQ457" s="14"/>
      <c r="BR457" s="14"/>
      <c r="BS457" s="14"/>
      <c r="BT457" s="14"/>
      <c r="BU457" s="14"/>
      <c r="BV457" s="14"/>
      <c r="BW457" s="14"/>
      <c r="BX457" s="14"/>
      <c r="BY457" s="170"/>
    </row>
    <row r="458" spans="9:77" x14ac:dyDescent="0.25">
      <c r="I458">
        <v>3700</v>
      </c>
      <c r="J458" s="1" t="s">
        <v>639</v>
      </c>
      <c r="K458">
        <v>264.62666666666598</v>
      </c>
      <c r="L458">
        <v>223.82999999999899</v>
      </c>
      <c r="M458">
        <v>250.55666666666599</v>
      </c>
      <c r="N458">
        <v>231.51333333333301</v>
      </c>
      <c r="O458">
        <v>222.81333333333299</v>
      </c>
      <c r="P458">
        <v>216.35333333333301</v>
      </c>
      <c r="Q458">
        <v>248.463333333333</v>
      </c>
      <c r="R458">
        <v>190.17666666666599</v>
      </c>
      <c r="S458">
        <v>230.23</v>
      </c>
      <c r="T458">
        <v>204.28333333333299</v>
      </c>
      <c r="U458">
        <v>189.93666666666601</v>
      </c>
      <c r="V458">
        <v>178.766666666666</v>
      </c>
      <c r="W458">
        <v>251.46</v>
      </c>
      <c r="X458">
        <v>222.65666666666601</v>
      </c>
      <c r="Y458">
        <v>233.97666666666601</v>
      </c>
      <c r="Z458">
        <v>232.03</v>
      </c>
      <c r="AA458">
        <v>226.36</v>
      </c>
      <c r="AB458">
        <v>226.36</v>
      </c>
      <c r="AC458">
        <v>270.10333333333301</v>
      </c>
      <c r="AD458">
        <v>226.72</v>
      </c>
      <c r="AE458">
        <v>255.26333333333301</v>
      </c>
      <c r="AF458">
        <v>242.48333333333301</v>
      </c>
      <c r="AG458">
        <v>234.32</v>
      </c>
      <c r="AH458">
        <v>230.50666666666601</v>
      </c>
      <c r="AI458">
        <v>264.62666666666598</v>
      </c>
      <c r="AJ458">
        <v>223.82999999999899</v>
      </c>
      <c r="AK458">
        <v>250.55666666666599</v>
      </c>
      <c r="AL458">
        <v>231.51333333333301</v>
      </c>
      <c r="AM458">
        <v>222.81333333333299</v>
      </c>
      <c r="AN458">
        <v>216.35333333333301</v>
      </c>
      <c r="AO458">
        <v>269.26999999999902</v>
      </c>
      <c r="AP458">
        <v>201.42</v>
      </c>
      <c r="AQ458">
        <v>250.07333333333301</v>
      </c>
      <c r="AR458">
        <v>217.03333333333299</v>
      </c>
      <c r="AS458">
        <v>198.81333333333299</v>
      </c>
      <c r="AT458">
        <v>183.44333333333299</v>
      </c>
      <c r="AU458">
        <v>281.64666666666602</v>
      </c>
      <c r="AV458">
        <v>228.236666666666</v>
      </c>
      <c r="AW458">
        <v>265.19666666666598</v>
      </c>
      <c r="AX458">
        <v>241.03666666666601</v>
      </c>
      <c r="AY458">
        <v>228.9</v>
      </c>
      <c r="AZ458">
        <v>219.76</v>
      </c>
      <c r="BA458">
        <v>270.243333333333</v>
      </c>
      <c r="BB458">
        <v>215</v>
      </c>
      <c r="BC458">
        <v>253.36999999999901</v>
      </c>
      <c r="BD458">
        <v>228.08666666666599</v>
      </c>
      <c r="BE458">
        <v>214.523333333333</v>
      </c>
      <c r="BF458">
        <v>204.23333333333301</v>
      </c>
      <c r="BG458" s="14"/>
      <c r="BH458" s="14"/>
      <c r="BI458" s="14"/>
      <c r="BJ458" s="199"/>
      <c r="BK458" s="14"/>
      <c r="BL458" s="14"/>
      <c r="BM458" s="14"/>
      <c r="BN458" s="14"/>
      <c r="BO458" s="14"/>
      <c r="BP458" s="14"/>
      <c r="BQ458" s="14"/>
      <c r="BR458" s="14"/>
      <c r="BS458" s="14"/>
      <c r="BT458" s="14"/>
      <c r="BU458" s="14"/>
      <c r="BV458" s="14"/>
      <c r="BW458" s="14"/>
      <c r="BX458" s="14"/>
      <c r="BY458" s="170"/>
    </row>
    <row r="459" spans="9:77" x14ac:dyDescent="0.25">
      <c r="I459">
        <v>3720</v>
      </c>
      <c r="J459" s="1" t="s">
        <v>640</v>
      </c>
      <c r="K459">
        <v>378.22666666666601</v>
      </c>
      <c r="L459">
        <v>337.42999999999898</v>
      </c>
      <c r="M459">
        <v>364.15666666666601</v>
      </c>
      <c r="N459">
        <v>345.113333333333</v>
      </c>
      <c r="O459">
        <v>336.41333333333301</v>
      </c>
      <c r="P459">
        <v>329.95333333333298</v>
      </c>
      <c r="Q459">
        <v>362.06333333333299</v>
      </c>
      <c r="R459">
        <v>303.77666666666602</v>
      </c>
      <c r="S459">
        <v>343.82999999999902</v>
      </c>
      <c r="T459">
        <v>317.88333333333298</v>
      </c>
      <c r="U459">
        <v>303.53666666666601</v>
      </c>
      <c r="V459">
        <v>292.36666666666599</v>
      </c>
      <c r="W459">
        <v>365.06</v>
      </c>
      <c r="X459">
        <v>336.25666666666598</v>
      </c>
      <c r="Y459">
        <v>347.57666666666597</v>
      </c>
      <c r="Z459">
        <v>345.62999999999897</v>
      </c>
      <c r="AA459">
        <v>339.96</v>
      </c>
      <c r="AB459">
        <v>339.96</v>
      </c>
      <c r="AC459">
        <v>383.70333333333298</v>
      </c>
      <c r="AD459">
        <v>340.32</v>
      </c>
      <c r="AE459">
        <v>368.863333333333</v>
      </c>
      <c r="AF459">
        <v>356.08333333333297</v>
      </c>
      <c r="AG459">
        <v>347.92</v>
      </c>
      <c r="AH459">
        <v>344.106666666666</v>
      </c>
      <c r="AI459">
        <v>378.22666666666601</v>
      </c>
      <c r="AJ459">
        <v>337.42999999999898</v>
      </c>
      <c r="AK459">
        <v>364.15666666666601</v>
      </c>
      <c r="AL459">
        <v>345.113333333333</v>
      </c>
      <c r="AM459">
        <v>336.41333333333301</v>
      </c>
      <c r="AN459">
        <v>329.95333333333298</v>
      </c>
      <c r="AO459">
        <v>382.86999999999898</v>
      </c>
      <c r="AP459">
        <v>315.01999999999902</v>
      </c>
      <c r="AQ459">
        <v>363.67333333333301</v>
      </c>
      <c r="AR459">
        <v>330.63333333333298</v>
      </c>
      <c r="AS459">
        <v>312.41333333333301</v>
      </c>
      <c r="AT459">
        <v>297.04333333333301</v>
      </c>
      <c r="AU459">
        <v>395.24666666666599</v>
      </c>
      <c r="AV459">
        <v>341.83666666666602</v>
      </c>
      <c r="AW459">
        <v>378.796666666666</v>
      </c>
      <c r="AX459">
        <v>354.63666666666597</v>
      </c>
      <c r="AY459">
        <v>342.5</v>
      </c>
      <c r="AZ459">
        <v>333.36</v>
      </c>
      <c r="BA459">
        <v>383.84333333333302</v>
      </c>
      <c r="BB459">
        <v>328.599999999999</v>
      </c>
      <c r="BC459">
        <v>366.969999999999</v>
      </c>
      <c r="BD459">
        <v>341.68666666666599</v>
      </c>
      <c r="BE459">
        <v>328.12333333333299</v>
      </c>
      <c r="BF459">
        <v>317.83333333333297</v>
      </c>
      <c r="BG459" s="14"/>
      <c r="BH459" s="14"/>
      <c r="BI459" s="14"/>
      <c r="BJ459" s="199"/>
      <c r="BK459" s="14"/>
      <c r="BL459" s="14"/>
      <c r="BM459" s="14"/>
      <c r="BN459" s="14"/>
      <c r="BO459" s="14"/>
      <c r="BP459" s="14"/>
      <c r="BQ459" s="14"/>
      <c r="BR459" s="14"/>
      <c r="BS459" s="14"/>
      <c r="BT459" s="14"/>
      <c r="BU459" s="14"/>
      <c r="BV459" s="14"/>
      <c r="BW459" s="14"/>
      <c r="BX459" s="14"/>
      <c r="BY459" s="170"/>
    </row>
    <row r="460" spans="9:77" x14ac:dyDescent="0.25">
      <c r="I460">
        <v>3730</v>
      </c>
      <c r="J460" s="1" t="s">
        <v>641</v>
      </c>
      <c r="K460">
        <v>412.06666666666598</v>
      </c>
      <c r="L460">
        <v>371.26999999999902</v>
      </c>
      <c r="M460">
        <v>397.99666666666599</v>
      </c>
      <c r="N460">
        <v>378.95333333333298</v>
      </c>
      <c r="O460">
        <v>370.25333333333299</v>
      </c>
      <c r="P460">
        <v>363.79333333333301</v>
      </c>
      <c r="Q460">
        <v>395.90333333333302</v>
      </c>
      <c r="R460">
        <v>337.61666666666599</v>
      </c>
      <c r="S460">
        <v>377.66999999999899</v>
      </c>
      <c r="T460">
        <v>351.72333333333302</v>
      </c>
      <c r="U460">
        <v>337.37666666666598</v>
      </c>
      <c r="V460">
        <v>326.20666666666602</v>
      </c>
      <c r="W460">
        <v>398.89999999999901</v>
      </c>
      <c r="X460">
        <v>370.09666666666601</v>
      </c>
      <c r="Y460">
        <v>381.416666666666</v>
      </c>
      <c r="Z460">
        <v>379.469999999999</v>
      </c>
      <c r="AA460">
        <v>373.79999999999899</v>
      </c>
      <c r="AB460">
        <v>373.79999999999899</v>
      </c>
      <c r="AC460">
        <v>417.54333333333301</v>
      </c>
      <c r="AD460">
        <v>374.159999999999</v>
      </c>
      <c r="AE460">
        <v>402.70333333333298</v>
      </c>
      <c r="AF460">
        <v>389.92333333333301</v>
      </c>
      <c r="AG460">
        <v>381.75999999999902</v>
      </c>
      <c r="AH460">
        <v>377.94666666666598</v>
      </c>
      <c r="AI460">
        <v>412.06666666666598</v>
      </c>
      <c r="AJ460">
        <v>371.26999999999902</v>
      </c>
      <c r="AK460">
        <v>397.99666666666599</v>
      </c>
      <c r="AL460">
        <v>378.95333333333298</v>
      </c>
      <c r="AM460">
        <v>370.25333333333299</v>
      </c>
      <c r="AN460">
        <v>363.79333333333301</v>
      </c>
      <c r="AO460">
        <v>416.70999999999901</v>
      </c>
      <c r="AP460">
        <v>348.85999999999899</v>
      </c>
      <c r="AQ460">
        <v>397.51333333333298</v>
      </c>
      <c r="AR460">
        <v>364.47333333333302</v>
      </c>
      <c r="AS460">
        <v>346.25333333333299</v>
      </c>
      <c r="AT460">
        <v>330.88333333333298</v>
      </c>
      <c r="AU460">
        <v>429.08666666666602</v>
      </c>
      <c r="AV460">
        <v>375.67666666666599</v>
      </c>
      <c r="AW460">
        <v>412.63666666666597</v>
      </c>
      <c r="AX460">
        <v>388.47666666666601</v>
      </c>
      <c r="AY460">
        <v>376.33999999999901</v>
      </c>
      <c r="AZ460">
        <v>367.19999999999902</v>
      </c>
      <c r="BA460">
        <v>417.683333333333</v>
      </c>
      <c r="BB460">
        <v>362.43999999999897</v>
      </c>
      <c r="BC460">
        <v>400.80999999999898</v>
      </c>
      <c r="BD460">
        <v>375.52666666666602</v>
      </c>
      <c r="BE460">
        <v>361.96333333333303</v>
      </c>
      <c r="BF460">
        <v>351.67333333333301</v>
      </c>
      <c r="BG460" s="14"/>
      <c r="BH460" s="14"/>
      <c r="BI460" s="14"/>
      <c r="BJ460" s="199"/>
      <c r="BK460" s="14"/>
      <c r="BL460" s="14"/>
      <c r="BM460" s="14"/>
      <c r="BN460" s="14"/>
      <c r="BO460" s="14"/>
      <c r="BP460" s="14"/>
      <c r="BQ460" s="14"/>
      <c r="BR460" s="14"/>
      <c r="BS460" s="14"/>
      <c r="BT460" s="14"/>
      <c r="BU460" s="14"/>
      <c r="BV460" s="14"/>
      <c r="BW460" s="14"/>
      <c r="BX460" s="14"/>
      <c r="BY460" s="170"/>
    </row>
    <row r="461" spans="9:77" x14ac:dyDescent="0.25">
      <c r="I461">
        <v>3740</v>
      </c>
      <c r="J461" s="1" t="s">
        <v>642</v>
      </c>
      <c r="K461">
        <v>286.80666666666599</v>
      </c>
      <c r="L461">
        <v>246.01</v>
      </c>
      <c r="M461">
        <v>272.736666666666</v>
      </c>
      <c r="N461">
        <v>253.69333333333299</v>
      </c>
      <c r="O461">
        <v>244.993333333333</v>
      </c>
      <c r="P461">
        <v>238.53333333333299</v>
      </c>
      <c r="Q461">
        <v>270.64333333333298</v>
      </c>
      <c r="R461">
        <v>212.356666666666</v>
      </c>
      <c r="S461">
        <v>252.41</v>
      </c>
      <c r="T461">
        <v>226.463333333333</v>
      </c>
      <c r="U461">
        <v>212.11666666666599</v>
      </c>
      <c r="V461">
        <v>200.946666666666</v>
      </c>
      <c r="W461">
        <v>273.64</v>
      </c>
      <c r="X461">
        <v>244.83666666666599</v>
      </c>
      <c r="Y461">
        <v>256.15666666666601</v>
      </c>
      <c r="Z461">
        <v>254.21</v>
      </c>
      <c r="AA461">
        <v>248.54</v>
      </c>
      <c r="AB461">
        <v>248.54</v>
      </c>
      <c r="AC461">
        <v>292.28333333333302</v>
      </c>
      <c r="AD461">
        <v>248.9</v>
      </c>
      <c r="AE461">
        <v>277.44333333333299</v>
      </c>
      <c r="AF461">
        <v>264.66333333333301</v>
      </c>
      <c r="AG461">
        <v>256.5</v>
      </c>
      <c r="AH461">
        <v>252.68666666666601</v>
      </c>
      <c r="AI461">
        <v>286.80666666666599</v>
      </c>
      <c r="AJ461">
        <v>246.01</v>
      </c>
      <c r="AK461">
        <v>272.736666666666</v>
      </c>
      <c r="AL461">
        <v>253.69333333333299</v>
      </c>
      <c r="AM461">
        <v>244.993333333333</v>
      </c>
      <c r="AN461">
        <v>238.53333333333299</v>
      </c>
      <c r="AO461">
        <v>291.45</v>
      </c>
      <c r="AP461">
        <v>223.6</v>
      </c>
      <c r="AQ461">
        <v>272.25333333333299</v>
      </c>
      <c r="AR461">
        <v>239.213333333333</v>
      </c>
      <c r="AS461">
        <v>220.993333333333</v>
      </c>
      <c r="AT461">
        <v>205.62333333333299</v>
      </c>
      <c r="AU461">
        <v>303.82666666666597</v>
      </c>
      <c r="AV461">
        <v>250.416666666666</v>
      </c>
      <c r="AW461">
        <v>287.37666666666598</v>
      </c>
      <c r="AX461">
        <v>263.21666666666601</v>
      </c>
      <c r="AY461">
        <v>251.08</v>
      </c>
      <c r="AZ461">
        <v>241.94</v>
      </c>
      <c r="BA461">
        <v>292.42333333333301</v>
      </c>
      <c r="BB461">
        <v>237.18</v>
      </c>
      <c r="BC461">
        <v>275.55</v>
      </c>
      <c r="BD461">
        <v>250.266666666666</v>
      </c>
      <c r="BE461">
        <v>236.70333333333301</v>
      </c>
      <c r="BF461">
        <v>226.41333333333299</v>
      </c>
      <c r="BG461" s="14"/>
      <c r="BH461" s="14"/>
      <c r="BI461" s="14"/>
      <c r="BJ461" s="199"/>
      <c r="BK461" s="14"/>
      <c r="BL461" s="14"/>
      <c r="BM461" s="14"/>
      <c r="BN461" s="14"/>
      <c r="BO461" s="14"/>
      <c r="BP461" s="14"/>
      <c r="BQ461" s="14"/>
      <c r="BR461" s="14"/>
      <c r="BS461" s="14"/>
      <c r="BT461" s="14"/>
      <c r="BU461" s="14"/>
      <c r="BV461" s="14"/>
      <c r="BW461" s="14"/>
      <c r="BX461" s="14"/>
      <c r="BY461" s="170"/>
    </row>
    <row r="462" spans="9:77" x14ac:dyDescent="0.25">
      <c r="I462">
        <v>3751</v>
      </c>
      <c r="J462" s="1" t="s">
        <v>643</v>
      </c>
      <c r="K462">
        <v>286.80666666666599</v>
      </c>
      <c r="L462">
        <v>246.01</v>
      </c>
      <c r="M462">
        <v>272.736666666666</v>
      </c>
      <c r="N462">
        <v>253.69333333333299</v>
      </c>
      <c r="O462">
        <v>244.993333333333</v>
      </c>
      <c r="P462">
        <v>238.53333333333299</v>
      </c>
      <c r="Q462">
        <v>270.64333333333298</v>
      </c>
      <c r="R462">
        <v>212.356666666666</v>
      </c>
      <c r="S462">
        <v>252.41</v>
      </c>
      <c r="T462">
        <v>226.463333333333</v>
      </c>
      <c r="U462">
        <v>212.11666666666599</v>
      </c>
      <c r="V462">
        <v>200.946666666666</v>
      </c>
      <c r="W462">
        <v>273.64</v>
      </c>
      <c r="X462">
        <v>244.83666666666599</v>
      </c>
      <c r="Y462">
        <v>256.15666666666601</v>
      </c>
      <c r="Z462">
        <v>254.21</v>
      </c>
      <c r="AA462">
        <v>248.54</v>
      </c>
      <c r="AB462">
        <v>248.54</v>
      </c>
      <c r="AC462">
        <v>292.28333333333302</v>
      </c>
      <c r="AD462">
        <v>248.9</v>
      </c>
      <c r="AE462">
        <v>277.44333333333299</v>
      </c>
      <c r="AF462">
        <v>264.66333333333301</v>
      </c>
      <c r="AG462">
        <v>256.5</v>
      </c>
      <c r="AH462">
        <v>252.68666666666601</v>
      </c>
      <c r="AI462">
        <v>286.80666666666599</v>
      </c>
      <c r="AJ462">
        <v>246.01</v>
      </c>
      <c r="AK462">
        <v>272.736666666666</v>
      </c>
      <c r="AL462">
        <v>253.69333333333299</v>
      </c>
      <c r="AM462">
        <v>244.993333333333</v>
      </c>
      <c r="AN462">
        <v>238.53333333333299</v>
      </c>
      <c r="AO462">
        <v>291.45</v>
      </c>
      <c r="AP462">
        <v>223.6</v>
      </c>
      <c r="AQ462">
        <v>272.25333333333299</v>
      </c>
      <c r="AR462">
        <v>239.213333333333</v>
      </c>
      <c r="AS462">
        <v>220.993333333333</v>
      </c>
      <c r="AT462">
        <v>205.62333333333299</v>
      </c>
      <c r="AU462">
        <v>303.82666666666597</v>
      </c>
      <c r="AV462">
        <v>250.416666666666</v>
      </c>
      <c r="AW462">
        <v>287.37666666666598</v>
      </c>
      <c r="AX462">
        <v>263.21666666666601</v>
      </c>
      <c r="AY462">
        <v>251.08</v>
      </c>
      <c r="AZ462">
        <v>241.94</v>
      </c>
      <c r="BA462">
        <v>292.42333333333301</v>
      </c>
      <c r="BB462">
        <v>237.18</v>
      </c>
      <c r="BC462">
        <v>275.55</v>
      </c>
      <c r="BD462">
        <v>250.266666666666</v>
      </c>
      <c r="BE462">
        <v>236.70333333333301</v>
      </c>
      <c r="BF462">
        <v>226.41333333333299</v>
      </c>
      <c r="BG462" s="14"/>
      <c r="BH462" s="14"/>
      <c r="BI462" s="14"/>
      <c r="BJ462" s="199"/>
      <c r="BK462" s="14"/>
      <c r="BL462" s="14"/>
      <c r="BM462" s="14"/>
      <c r="BN462" s="14"/>
      <c r="BO462" s="14"/>
      <c r="BP462" s="14"/>
      <c r="BQ462" s="14"/>
      <c r="BR462" s="14"/>
      <c r="BS462" s="14"/>
      <c r="BT462" s="14"/>
      <c r="BU462" s="14"/>
      <c r="BV462" s="14"/>
      <c r="BW462" s="14"/>
      <c r="BX462" s="14"/>
      <c r="BY462" s="170"/>
    </row>
    <row r="463" spans="9:77" x14ac:dyDescent="0.25">
      <c r="I463">
        <v>3760</v>
      </c>
      <c r="J463" s="1" t="s">
        <v>644</v>
      </c>
      <c r="K463">
        <v>356.416666666666</v>
      </c>
      <c r="L463">
        <v>315.61999999999898</v>
      </c>
      <c r="M463">
        <v>342.34666666666601</v>
      </c>
      <c r="N463">
        <v>323.303333333333</v>
      </c>
      <c r="O463">
        <v>314.60333333333301</v>
      </c>
      <c r="P463">
        <v>308.14333333333298</v>
      </c>
      <c r="Q463">
        <v>340.25333333333299</v>
      </c>
      <c r="R463">
        <v>281.96666666666601</v>
      </c>
      <c r="S463">
        <v>322.01999999999902</v>
      </c>
      <c r="T463">
        <v>296.07333333333298</v>
      </c>
      <c r="U463">
        <v>281.72666666666601</v>
      </c>
      <c r="V463">
        <v>270.55666666666599</v>
      </c>
      <c r="W463">
        <v>343.24999999999898</v>
      </c>
      <c r="X463">
        <v>314.44666666666598</v>
      </c>
      <c r="Y463">
        <v>325.76666666666603</v>
      </c>
      <c r="Z463">
        <v>323.81999999999903</v>
      </c>
      <c r="AA463">
        <v>318.14999999999901</v>
      </c>
      <c r="AB463">
        <v>318.14999999999901</v>
      </c>
      <c r="AC463">
        <v>361.89333333333298</v>
      </c>
      <c r="AD463">
        <v>318.50999999999902</v>
      </c>
      <c r="AE463">
        <v>347.053333333333</v>
      </c>
      <c r="AF463">
        <v>334.27333333333303</v>
      </c>
      <c r="AG463">
        <v>326.11</v>
      </c>
      <c r="AH463">
        <v>322.296666666666</v>
      </c>
      <c r="AI463">
        <v>356.416666666666</v>
      </c>
      <c r="AJ463">
        <v>315.61999999999898</v>
      </c>
      <c r="AK463">
        <v>342.34666666666601</v>
      </c>
      <c r="AL463">
        <v>323.303333333333</v>
      </c>
      <c r="AM463">
        <v>314.60333333333301</v>
      </c>
      <c r="AN463">
        <v>308.14333333333298</v>
      </c>
      <c r="AO463">
        <v>361.05999999999898</v>
      </c>
      <c r="AP463">
        <v>293.20999999999901</v>
      </c>
      <c r="AQ463">
        <v>341.863333333333</v>
      </c>
      <c r="AR463">
        <v>308.82333333333298</v>
      </c>
      <c r="AS463">
        <v>290.60333333333301</v>
      </c>
      <c r="AT463">
        <v>275.23333333333301</v>
      </c>
      <c r="AU463">
        <v>373.43666666666599</v>
      </c>
      <c r="AV463">
        <v>320.02666666666602</v>
      </c>
      <c r="AW463">
        <v>356.986666666666</v>
      </c>
      <c r="AX463">
        <v>332.82666666666597</v>
      </c>
      <c r="AY463">
        <v>320.69</v>
      </c>
      <c r="AZ463">
        <v>311.54999999999899</v>
      </c>
      <c r="BA463">
        <v>362.03333333333302</v>
      </c>
      <c r="BB463">
        <v>306.789999999999</v>
      </c>
      <c r="BC463">
        <v>345.159999999999</v>
      </c>
      <c r="BD463">
        <v>319.87666666666598</v>
      </c>
      <c r="BE463">
        <v>306.31333333333299</v>
      </c>
      <c r="BF463">
        <v>296.02333333333303</v>
      </c>
      <c r="BG463" s="14"/>
      <c r="BH463" s="14"/>
      <c r="BI463" s="14"/>
      <c r="BJ463" s="199"/>
      <c r="BK463" s="14"/>
      <c r="BL463" s="14"/>
      <c r="BM463" s="14"/>
      <c r="BN463" s="14"/>
      <c r="BO463" s="14"/>
      <c r="BP463" s="14"/>
      <c r="BQ463" s="14"/>
      <c r="BR463" s="14"/>
      <c r="BS463" s="14"/>
      <c r="BT463" s="14"/>
      <c r="BU463" s="14"/>
      <c r="BV463" s="14"/>
      <c r="BW463" s="14"/>
      <c r="BX463" s="14"/>
      <c r="BY463" s="170"/>
    </row>
    <row r="464" spans="9:77" x14ac:dyDescent="0.25">
      <c r="I464">
        <v>3770</v>
      </c>
      <c r="J464" s="1" t="s">
        <v>645</v>
      </c>
      <c r="K464">
        <v>251.486666666666</v>
      </c>
      <c r="L464">
        <v>210.689999999999</v>
      </c>
      <c r="M464">
        <v>237.416666666666</v>
      </c>
      <c r="N464">
        <v>218.37333333333299</v>
      </c>
      <c r="O464">
        <v>209.67333333333301</v>
      </c>
      <c r="P464">
        <v>203.213333333333</v>
      </c>
      <c r="Q464">
        <v>235.32333333333301</v>
      </c>
      <c r="R464">
        <v>177.03666666666601</v>
      </c>
      <c r="S464">
        <v>217.08999999999901</v>
      </c>
      <c r="T464">
        <v>191.143333333333</v>
      </c>
      <c r="U464">
        <v>176.796666666666</v>
      </c>
      <c r="V464">
        <v>165.62666666666601</v>
      </c>
      <c r="W464">
        <v>238.319999999999</v>
      </c>
      <c r="X464">
        <v>209.516666666666</v>
      </c>
      <c r="Y464">
        <v>220.83666666666599</v>
      </c>
      <c r="Z464">
        <v>218.88999999999899</v>
      </c>
      <c r="AA464">
        <v>213.22</v>
      </c>
      <c r="AB464">
        <v>213.22</v>
      </c>
      <c r="AC464">
        <v>256.96333333333303</v>
      </c>
      <c r="AD464">
        <v>213.58</v>
      </c>
      <c r="AE464">
        <v>242.12333333333299</v>
      </c>
      <c r="AF464">
        <v>229.34333333333299</v>
      </c>
      <c r="AG464">
        <v>221.18</v>
      </c>
      <c r="AH464">
        <v>217.36666666666599</v>
      </c>
      <c r="AI464">
        <v>251.486666666666</v>
      </c>
      <c r="AJ464">
        <v>210.689999999999</v>
      </c>
      <c r="AK464">
        <v>237.416666666666</v>
      </c>
      <c r="AL464">
        <v>218.37333333333299</v>
      </c>
      <c r="AM464">
        <v>209.67333333333301</v>
      </c>
      <c r="AN464">
        <v>203.213333333333</v>
      </c>
      <c r="AO464">
        <v>256.12999999999897</v>
      </c>
      <c r="AP464">
        <v>188.27999999999901</v>
      </c>
      <c r="AQ464">
        <v>236.933333333333</v>
      </c>
      <c r="AR464">
        <v>203.893333333333</v>
      </c>
      <c r="AS464">
        <v>185.67333333333301</v>
      </c>
      <c r="AT464">
        <v>170.303333333333</v>
      </c>
      <c r="AU464">
        <v>268.50666666666598</v>
      </c>
      <c r="AV464">
        <v>215.09666666666601</v>
      </c>
      <c r="AW464">
        <v>252.05666666666599</v>
      </c>
      <c r="AX464">
        <v>227.89666666666599</v>
      </c>
      <c r="AY464">
        <v>215.76</v>
      </c>
      <c r="AZ464">
        <v>206.62</v>
      </c>
      <c r="BA464">
        <v>257.10333333333301</v>
      </c>
      <c r="BB464">
        <v>201.85999999999899</v>
      </c>
      <c r="BC464">
        <v>240.229999999999</v>
      </c>
      <c r="BD464">
        <v>214.946666666666</v>
      </c>
      <c r="BE464">
        <v>201.38333333333301</v>
      </c>
      <c r="BF464">
        <v>191.09333333333299</v>
      </c>
      <c r="BG464" s="14"/>
      <c r="BH464" s="14"/>
      <c r="BI464" s="14"/>
      <c r="BJ464" s="199"/>
      <c r="BK464" s="14"/>
      <c r="BL464" s="14"/>
      <c r="BM464" s="14"/>
      <c r="BN464" s="14"/>
      <c r="BO464" s="14"/>
      <c r="BP464" s="14"/>
      <c r="BQ464" s="14"/>
      <c r="BR464" s="14"/>
      <c r="BS464" s="14"/>
      <c r="BT464" s="14"/>
      <c r="BU464" s="14"/>
      <c r="BV464" s="14"/>
      <c r="BW464" s="14"/>
      <c r="BX464" s="14"/>
      <c r="BY464" s="170"/>
    </row>
    <row r="465" spans="9:77" x14ac:dyDescent="0.25">
      <c r="I465">
        <v>3782</v>
      </c>
      <c r="J465" s="1" t="s">
        <v>646</v>
      </c>
      <c r="K465">
        <v>301.27666666666602</v>
      </c>
      <c r="L465">
        <v>260.479999999999</v>
      </c>
      <c r="M465">
        <v>287.20666666666602</v>
      </c>
      <c r="N465">
        <v>268.16333333333301</v>
      </c>
      <c r="O465">
        <v>259.46333333333303</v>
      </c>
      <c r="P465">
        <v>253.00333333333299</v>
      </c>
      <c r="Q465">
        <v>285.113333333333</v>
      </c>
      <c r="R465">
        <v>226.826666666666</v>
      </c>
      <c r="S465">
        <v>266.88</v>
      </c>
      <c r="T465">
        <v>240.933333333333</v>
      </c>
      <c r="U465">
        <v>226.58666666666599</v>
      </c>
      <c r="V465">
        <v>215.416666666666</v>
      </c>
      <c r="W465">
        <v>288.11</v>
      </c>
      <c r="X465">
        <v>259.30666666666599</v>
      </c>
      <c r="Y465">
        <v>270.62666666666598</v>
      </c>
      <c r="Z465">
        <v>268.68</v>
      </c>
      <c r="AA465">
        <v>263.01</v>
      </c>
      <c r="AB465">
        <v>263.01</v>
      </c>
      <c r="AC465">
        <v>306.75333333333299</v>
      </c>
      <c r="AD465">
        <v>263.37</v>
      </c>
      <c r="AE465">
        <v>291.91333333333301</v>
      </c>
      <c r="AF465">
        <v>279.13333333333298</v>
      </c>
      <c r="AG465">
        <v>270.97000000000003</v>
      </c>
      <c r="AH465">
        <v>267.15666666666601</v>
      </c>
      <c r="AI465">
        <v>301.27666666666602</v>
      </c>
      <c r="AJ465">
        <v>260.479999999999</v>
      </c>
      <c r="AK465">
        <v>287.20666666666602</v>
      </c>
      <c r="AL465">
        <v>268.16333333333301</v>
      </c>
      <c r="AM465">
        <v>259.46333333333303</v>
      </c>
      <c r="AN465">
        <v>253.00333333333299</v>
      </c>
      <c r="AO465">
        <v>305.91999999999899</v>
      </c>
      <c r="AP465">
        <v>238.069999999999</v>
      </c>
      <c r="AQ465">
        <v>286.72333333333302</v>
      </c>
      <c r="AR465">
        <v>253.683333333333</v>
      </c>
      <c r="AS465">
        <v>235.463333333333</v>
      </c>
      <c r="AT465">
        <v>220.09333333333299</v>
      </c>
      <c r="AU465">
        <v>318.296666666666</v>
      </c>
      <c r="AV465">
        <v>264.88666666666597</v>
      </c>
      <c r="AW465">
        <v>301.84666666666601</v>
      </c>
      <c r="AX465">
        <v>277.68666666666599</v>
      </c>
      <c r="AY465">
        <v>265.55</v>
      </c>
      <c r="AZ465">
        <v>256.41000000000003</v>
      </c>
      <c r="BA465">
        <v>306.89333333333298</v>
      </c>
      <c r="BB465">
        <v>251.64999999999901</v>
      </c>
      <c r="BC465">
        <v>290.01999999999902</v>
      </c>
      <c r="BD465">
        <v>264.736666666666</v>
      </c>
      <c r="BE465">
        <v>251.17333333333301</v>
      </c>
      <c r="BF465">
        <v>240.88333333333301</v>
      </c>
      <c r="BG465" s="14"/>
      <c r="BH465" s="14"/>
      <c r="BI465" s="14"/>
      <c r="BJ465" s="199"/>
      <c r="BK465" s="14"/>
      <c r="BL465" s="14"/>
      <c r="BM465" s="14"/>
      <c r="BN465" s="14"/>
      <c r="BO465" s="14"/>
      <c r="BP465" s="14"/>
      <c r="BQ465" s="14"/>
      <c r="BR465" s="14"/>
      <c r="BS465" s="14"/>
      <c r="BT465" s="14"/>
      <c r="BU465" s="14"/>
      <c r="BV465" s="14"/>
      <c r="BW465" s="14"/>
      <c r="BX465" s="14"/>
      <c r="BY465" s="170"/>
    </row>
    <row r="466" spans="9:77" x14ac:dyDescent="0.25">
      <c r="I466">
        <v>3790</v>
      </c>
      <c r="J466" s="1" t="s">
        <v>647</v>
      </c>
      <c r="K466">
        <v>301.27666666666602</v>
      </c>
      <c r="L466">
        <v>260.479999999999</v>
      </c>
      <c r="M466">
        <v>287.20666666666602</v>
      </c>
      <c r="N466">
        <v>268.16333333333301</v>
      </c>
      <c r="O466">
        <v>259.46333333333303</v>
      </c>
      <c r="P466">
        <v>253.00333333333299</v>
      </c>
      <c r="Q466">
        <v>285.113333333333</v>
      </c>
      <c r="R466">
        <v>226.826666666666</v>
      </c>
      <c r="S466">
        <v>266.88</v>
      </c>
      <c r="T466">
        <v>240.933333333333</v>
      </c>
      <c r="U466">
        <v>226.58666666666599</v>
      </c>
      <c r="V466">
        <v>215.416666666666</v>
      </c>
      <c r="W466">
        <v>288.11</v>
      </c>
      <c r="X466">
        <v>259.30666666666599</v>
      </c>
      <c r="Y466">
        <v>270.62666666666598</v>
      </c>
      <c r="Z466">
        <v>268.68</v>
      </c>
      <c r="AA466">
        <v>263.01</v>
      </c>
      <c r="AB466">
        <v>263.01</v>
      </c>
      <c r="AC466">
        <v>306.75333333333299</v>
      </c>
      <c r="AD466">
        <v>263.37</v>
      </c>
      <c r="AE466">
        <v>291.91333333333301</v>
      </c>
      <c r="AF466">
        <v>279.13333333333298</v>
      </c>
      <c r="AG466">
        <v>270.97000000000003</v>
      </c>
      <c r="AH466">
        <v>267.15666666666601</v>
      </c>
      <c r="AI466">
        <v>301.27666666666602</v>
      </c>
      <c r="AJ466">
        <v>260.479999999999</v>
      </c>
      <c r="AK466">
        <v>287.20666666666602</v>
      </c>
      <c r="AL466">
        <v>268.16333333333301</v>
      </c>
      <c r="AM466">
        <v>259.46333333333303</v>
      </c>
      <c r="AN466">
        <v>253.00333333333299</v>
      </c>
      <c r="AO466">
        <v>305.91999999999899</v>
      </c>
      <c r="AP466">
        <v>238.069999999999</v>
      </c>
      <c r="AQ466">
        <v>286.72333333333302</v>
      </c>
      <c r="AR466">
        <v>253.683333333333</v>
      </c>
      <c r="AS466">
        <v>235.463333333333</v>
      </c>
      <c r="AT466">
        <v>220.09333333333299</v>
      </c>
      <c r="AU466">
        <v>318.296666666666</v>
      </c>
      <c r="AV466">
        <v>264.88666666666597</v>
      </c>
      <c r="AW466">
        <v>301.84666666666601</v>
      </c>
      <c r="AX466">
        <v>277.68666666666599</v>
      </c>
      <c r="AY466">
        <v>265.55</v>
      </c>
      <c r="AZ466">
        <v>256.41000000000003</v>
      </c>
      <c r="BA466">
        <v>306.89333333333298</v>
      </c>
      <c r="BB466">
        <v>251.64999999999901</v>
      </c>
      <c r="BC466">
        <v>290.01999999999902</v>
      </c>
      <c r="BD466">
        <v>264.736666666666</v>
      </c>
      <c r="BE466">
        <v>251.17333333333301</v>
      </c>
      <c r="BF466">
        <v>240.88333333333301</v>
      </c>
      <c r="BG466" s="14"/>
      <c r="BH466" s="14"/>
      <c r="BI466" s="14"/>
      <c r="BJ466" s="199"/>
      <c r="BK466" s="14"/>
      <c r="BL466" s="14"/>
      <c r="BM466" s="14"/>
      <c r="BN466" s="14"/>
      <c r="BO466" s="14"/>
      <c r="BP466" s="14"/>
      <c r="BQ466" s="14"/>
      <c r="BR466" s="14"/>
      <c r="BS466" s="14"/>
      <c r="BT466" s="14"/>
      <c r="BU466" s="14"/>
      <c r="BV466" s="14"/>
      <c r="BW466" s="14"/>
      <c r="BX466" s="14"/>
      <c r="BY466" s="170"/>
    </row>
    <row r="467" spans="9:77" x14ac:dyDescent="0.25">
      <c r="I467">
        <v>4000</v>
      </c>
      <c r="J467" s="1" t="s">
        <v>648</v>
      </c>
      <c r="K467">
        <v>330.83666666666602</v>
      </c>
      <c r="L467">
        <v>290.04000000000002</v>
      </c>
      <c r="M467">
        <v>316.76666666666603</v>
      </c>
      <c r="N467">
        <v>297.72333333333302</v>
      </c>
      <c r="O467">
        <v>289.02333333333303</v>
      </c>
      <c r="P467">
        <v>282.56333333333299</v>
      </c>
      <c r="Q467">
        <v>314.67333333333301</v>
      </c>
      <c r="R467">
        <v>256.38666666666597</v>
      </c>
      <c r="S467">
        <v>296.44</v>
      </c>
      <c r="T467">
        <v>270.493333333333</v>
      </c>
      <c r="U467">
        <v>256.14666666666602</v>
      </c>
      <c r="V467">
        <v>244.97666666666601</v>
      </c>
      <c r="W467">
        <v>317.67</v>
      </c>
      <c r="X467">
        <v>288.86666666666599</v>
      </c>
      <c r="Y467">
        <v>300.18666666666599</v>
      </c>
      <c r="Z467">
        <v>298.24</v>
      </c>
      <c r="AA467">
        <v>292.57</v>
      </c>
      <c r="AB467">
        <v>292.57</v>
      </c>
      <c r="AC467">
        <v>336.31333333333299</v>
      </c>
      <c r="AD467">
        <v>292.93</v>
      </c>
      <c r="AE467">
        <v>321.47333333333302</v>
      </c>
      <c r="AF467">
        <v>308.69333333333299</v>
      </c>
      <c r="AG467">
        <v>300.52999999999997</v>
      </c>
      <c r="AH467">
        <v>296.71666666666601</v>
      </c>
      <c r="AI467">
        <v>330.83666666666602</v>
      </c>
      <c r="AJ467">
        <v>290.04000000000002</v>
      </c>
      <c r="AK467">
        <v>316.76666666666603</v>
      </c>
      <c r="AL467">
        <v>297.72333333333302</v>
      </c>
      <c r="AM467">
        <v>289.02333333333303</v>
      </c>
      <c r="AN467">
        <v>282.56333333333299</v>
      </c>
      <c r="AO467">
        <v>335.48</v>
      </c>
      <c r="AP467">
        <v>267.63</v>
      </c>
      <c r="AQ467">
        <v>316.28333333333302</v>
      </c>
      <c r="AR467">
        <v>283.243333333333</v>
      </c>
      <c r="AS467">
        <v>265.02333333333303</v>
      </c>
      <c r="AT467">
        <v>249.65333333333299</v>
      </c>
      <c r="AU467">
        <v>347.856666666666</v>
      </c>
      <c r="AV467">
        <v>294.44666666666598</v>
      </c>
      <c r="AW467">
        <v>331.40666666666601</v>
      </c>
      <c r="AX467">
        <v>307.24666666666599</v>
      </c>
      <c r="AY467">
        <v>295.11</v>
      </c>
      <c r="AZ467">
        <v>285.97000000000003</v>
      </c>
      <c r="BA467">
        <v>336.45333333333298</v>
      </c>
      <c r="BB467">
        <v>281.20999999999998</v>
      </c>
      <c r="BC467">
        <v>319.57999999999902</v>
      </c>
      <c r="BD467">
        <v>294.296666666666</v>
      </c>
      <c r="BE467">
        <v>280.73333333333301</v>
      </c>
      <c r="BF467">
        <v>270.44333333333299</v>
      </c>
      <c r="BG467" s="14"/>
      <c r="BH467" s="14"/>
      <c r="BI467" s="14"/>
      <c r="BJ467" s="199"/>
      <c r="BK467" s="14"/>
      <c r="BL467" s="14"/>
      <c r="BM467" s="14"/>
      <c r="BN467" s="14"/>
      <c r="BO467" s="14"/>
      <c r="BP467" s="14"/>
      <c r="BQ467" s="14"/>
      <c r="BR467" s="14"/>
      <c r="BS467" s="14"/>
      <c r="BT467" s="14"/>
      <c r="BU467" s="14"/>
      <c r="BV467" s="14"/>
      <c r="BW467" s="14"/>
      <c r="BX467" s="14"/>
      <c r="BY467" s="170"/>
    </row>
    <row r="468" spans="9:77" x14ac:dyDescent="0.25">
      <c r="I468">
        <v>4030</v>
      </c>
      <c r="J468" s="1"/>
      <c r="K468">
        <v>313.736666666666</v>
      </c>
      <c r="L468">
        <v>272.93999999999897</v>
      </c>
      <c r="M468">
        <v>299.666666666666</v>
      </c>
      <c r="N468">
        <v>280.62333333333299</v>
      </c>
      <c r="O468">
        <v>271.92333333333301</v>
      </c>
      <c r="P468">
        <v>265.46333333333303</v>
      </c>
      <c r="Q468">
        <v>297.57333333333298</v>
      </c>
      <c r="R468">
        <v>239.28666666666601</v>
      </c>
      <c r="S468">
        <v>279.33999999999901</v>
      </c>
      <c r="T468">
        <v>253.393333333333</v>
      </c>
      <c r="U468">
        <v>239.046666666666</v>
      </c>
      <c r="V468">
        <v>227.87666666666601</v>
      </c>
      <c r="W468">
        <v>300.56999999999903</v>
      </c>
      <c r="X468">
        <v>271.76666666666603</v>
      </c>
      <c r="Y468">
        <v>283.08666666666602</v>
      </c>
      <c r="Z468">
        <v>281.13999999999902</v>
      </c>
      <c r="AA468">
        <v>275.47000000000003</v>
      </c>
      <c r="AB468">
        <v>275.47000000000003</v>
      </c>
      <c r="AC468">
        <v>319.21333333333303</v>
      </c>
      <c r="AD468">
        <v>275.83</v>
      </c>
      <c r="AE468">
        <v>304.37333333333299</v>
      </c>
      <c r="AF468">
        <v>291.59333333333302</v>
      </c>
      <c r="AG468">
        <v>283.43</v>
      </c>
      <c r="AH468">
        <v>279.61666666666599</v>
      </c>
      <c r="AI468">
        <v>313.736666666666</v>
      </c>
      <c r="AJ468">
        <v>272.93999999999897</v>
      </c>
      <c r="AK468">
        <v>299.666666666666</v>
      </c>
      <c r="AL468">
        <v>280.62333333333299</v>
      </c>
      <c r="AM468">
        <v>271.92333333333301</v>
      </c>
      <c r="AN468">
        <v>265.46333333333303</v>
      </c>
      <c r="AO468">
        <v>318.37999999999897</v>
      </c>
      <c r="AP468">
        <v>250.52999999999901</v>
      </c>
      <c r="AQ468">
        <v>299.183333333333</v>
      </c>
      <c r="AR468">
        <v>266.14333333333298</v>
      </c>
      <c r="AS468">
        <v>247.92333333333301</v>
      </c>
      <c r="AT468">
        <v>232.553333333333</v>
      </c>
      <c r="AU468">
        <v>330.75666666666598</v>
      </c>
      <c r="AV468">
        <v>277.34666666666601</v>
      </c>
      <c r="AW468">
        <v>314.30666666666599</v>
      </c>
      <c r="AX468">
        <v>290.14666666666602</v>
      </c>
      <c r="AY468">
        <v>278.01</v>
      </c>
      <c r="AZ468">
        <v>268.87</v>
      </c>
      <c r="BA468">
        <v>319.35333333333301</v>
      </c>
      <c r="BB468">
        <v>264.10999999999899</v>
      </c>
      <c r="BC468">
        <v>302.479999999999</v>
      </c>
      <c r="BD468">
        <v>277.19666666666598</v>
      </c>
      <c r="BE468">
        <v>263.63333333333298</v>
      </c>
      <c r="BF468">
        <v>253.34333333333299</v>
      </c>
      <c r="BG468" s="14"/>
      <c r="BH468" s="14"/>
      <c r="BI468" s="14"/>
      <c r="BJ468" s="199"/>
      <c r="BK468" s="14"/>
      <c r="BL468" s="14"/>
      <c r="BM468" s="14"/>
      <c r="BN468" s="14"/>
      <c r="BO468" s="14"/>
      <c r="BP468" s="14"/>
      <c r="BQ468" s="14"/>
      <c r="BR468" s="14"/>
      <c r="BS468" s="14"/>
      <c r="BT468" s="14"/>
      <c r="BU468" s="14"/>
      <c r="BV468" s="14"/>
      <c r="BW468" s="14"/>
      <c r="BX468" s="14"/>
      <c r="BY468" s="170"/>
    </row>
    <row r="469" spans="9:77" x14ac:dyDescent="0.25">
      <c r="I469">
        <v>4040</v>
      </c>
      <c r="J469" s="1" t="s">
        <v>649</v>
      </c>
      <c r="K469">
        <v>313.736666666666</v>
      </c>
      <c r="L469">
        <v>272.93999999999897</v>
      </c>
      <c r="M469">
        <v>299.666666666666</v>
      </c>
      <c r="N469">
        <v>280.62333333333299</v>
      </c>
      <c r="O469">
        <v>271.92333333333301</v>
      </c>
      <c r="P469">
        <v>265.46333333333303</v>
      </c>
      <c r="Q469">
        <v>297.57333333333298</v>
      </c>
      <c r="R469">
        <v>239.28666666666601</v>
      </c>
      <c r="S469">
        <v>279.33999999999901</v>
      </c>
      <c r="T469">
        <v>253.393333333333</v>
      </c>
      <c r="U469">
        <v>239.046666666666</v>
      </c>
      <c r="V469">
        <v>227.87666666666601</v>
      </c>
      <c r="W469">
        <v>300.56999999999903</v>
      </c>
      <c r="X469">
        <v>271.76666666666603</v>
      </c>
      <c r="Y469">
        <v>283.08666666666602</v>
      </c>
      <c r="Z469">
        <v>281.13999999999902</v>
      </c>
      <c r="AA469">
        <v>275.47000000000003</v>
      </c>
      <c r="AB469">
        <v>275.47000000000003</v>
      </c>
      <c r="AC469">
        <v>319.21333333333303</v>
      </c>
      <c r="AD469">
        <v>275.83</v>
      </c>
      <c r="AE469">
        <v>304.37333333333299</v>
      </c>
      <c r="AF469">
        <v>291.59333333333302</v>
      </c>
      <c r="AG469">
        <v>283.43</v>
      </c>
      <c r="AH469">
        <v>279.61666666666599</v>
      </c>
      <c r="AI469">
        <v>313.736666666666</v>
      </c>
      <c r="AJ469">
        <v>272.93999999999897</v>
      </c>
      <c r="AK469">
        <v>299.666666666666</v>
      </c>
      <c r="AL469">
        <v>280.62333333333299</v>
      </c>
      <c r="AM469">
        <v>271.92333333333301</v>
      </c>
      <c r="AN469">
        <v>265.46333333333303</v>
      </c>
      <c r="AO469">
        <v>318.37999999999897</v>
      </c>
      <c r="AP469">
        <v>250.52999999999901</v>
      </c>
      <c r="AQ469">
        <v>299.183333333333</v>
      </c>
      <c r="AR469">
        <v>266.14333333333298</v>
      </c>
      <c r="AS469">
        <v>247.92333333333301</v>
      </c>
      <c r="AT469">
        <v>232.553333333333</v>
      </c>
      <c r="AU469">
        <v>330.75666666666598</v>
      </c>
      <c r="AV469">
        <v>277.34666666666601</v>
      </c>
      <c r="AW469">
        <v>314.30666666666599</v>
      </c>
      <c r="AX469">
        <v>290.14666666666602</v>
      </c>
      <c r="AY469">
        <v>278.01</v>
      </c>
      <c r="AZ469">
        <v>268.87</v>
      </c>
      <c r="BA469">
        <v>319.35333333333301</v>
      </c>
      <c r="BB469">
        <v>264.10999999999899</v>
      </c>
      <c r="BC469">
        <v>302.479999999999</v>
      </c>
      <c r="BD469">
        <v>277.19666666666598</v>
      </c>
      <c r="BE469">
        <v>263.63333333333298</v>
      </c>
      <c r="BF469">
        <v>253.34333333333299</v>
      </c>
      <c r="BG469" s="14"/>
      <c r="BH469" s="14"/>
      <c r="BI469" s="14"/>
      <c r="BJ469" s="199"/>
      <c r="BK469" s="14"/>
      <c r="BL469" s="14"/>
      <c r="BM469" s="14"/>
      <c r="BN469" s="14"/>
      <c r="BO469" s="14"/>
      <c r="BP469" s="14"/>
      <c r="BQ469" s="14"/>
      <c r="BR469" s="14"/>
      <c r="BS469" s="14"/>
      <c r="BT469" s="14"/>
      <c r="BU469" s="14"/>
      <c r="BV469" s="14"/>
      <c r="BW469" s="14"/>
      <c r="BX469" s="14"/>
      <c r="BY469" s="170"/>
    </row>
    <row r="470" spans="9:77" x14ac:dyDescent="0.25">
      <c r="I470">
        <v>4050</v>
      </c>
      <c r="J470" s="1" t="s">
        <v>650</v>
      </c>
      <c r="K470">
        <v>312.52666666666602</v>
      </c>
      <c r="L470">
        <v>271.729999999999</v>
      </c>
      <c r="M470">
        <v>298.45666666666602</v>
      </c>
      <c r="N470">
        <v>279.41333333333301</v>
      </c>
      <c r="O470">
        <v>270.71333333333303</v>
      </c>
      <c r="P470">
        <v>264.25333333333299</v>
      </c>
      <c r="Q470">
        <v>296.363333333333</v>
      </c>
      <c r="R470">
        <v>238.076666666666</v>
      </c>
      <c r="S470">
        <v>278.13</v>
      </c>
      <c r="T470">
        <v>252.183333333333</v>
      </c>
      <c r="U470">
        <v>237.83666666666599</v>
      </c>
      <c r="V470">
        <v>226.666666666666</v>
      </c>
      <c r="W470">
        <v>299.36</v>
      </c>
      <c r="X470">
        <v>270.55666666666599</v>
      </c>
      <c r="Y470">
        <v>281.87666666666598</v>
      </c>
      <c r="Z470">
        <v>279.93</v>
      </c>
      <c r="AA470">
        <v>274.26</v>
      </c>
      <c r="AB470">
        <v>274.26</v>
      </c>
      <c r="AC470">
        <v>318.00333333333299</v>
      </c>
      <c r="AD470">
        <v>274.62</v>
      </c>
      <c r="AE470">
        <v>303.16333333333301</v>
      </c>
      <c r="AF470">
        <v>290.38333333333298</v>
      </c>
      <c r="AG470">
        <v>282.22000000000003</v>
      </c>
      <c r="AH470">
        <v>278.40666666666601</v>
      </c>
      <c r="AI470">
        <v>312.52666666666602</v>
      </c>
      <c r="AJ470">
        <v>271.729999999999</v>
      </c>
      <c r="AK470">
        <v>298.45666666666602</v>
      </c>
      <c r="AL470">
        <v>279.41333333333301</v>
      </c>
      <c r="AM470">
        <v>270.71333333333303</v>
      </c>
      <c r="AN470">
        <v>264.25333333333299</v>
      </c>
      <c r="AO470">
        <v>317.16999999999899</v>
      </c>
      <c r="AP470">
        <v>249.319999999999</v>
      </c>
      <c r="AQ470">
        <v>297.97333333333302</v>
      </c>
      <c r="AR470">
        <v>264.933333333333</v>
      </c>
      <c r="AS470">
        <v>246.713333333333</v>
      </c>
      <c r="AT470">
        <v>231.34333333333299</v>
      </c>
      <c r="AU470">
        <v>329.546666666666</v>
      </c>
      <c r="AV470">
        <v>276.13666666666597</v>
      </c>
      <c r="AW470">
        <v>313.09666666666601</v>
      </c>
      <c r="AX470">
        <v>288.93666666666599</v>
      </c>
      <c r="AY470">
        <v>276.8</v>
      </c>
      <c r="AZ470">
        <v>267.66000000000003</v>
      </c>
      <c r="BA470">
        <v>318.14333333333298</v>
      </c>
      <c r="BB470">
        <v>262.89999999999901</v>
      </c>
      <c r="BC470">
        <v>301.26999999999902</v>
      </c>
      <c r="BD470">
        <v>275.986666666666</v>
      </c>
      <c r="BE470">
        <v>262.42333333333301</v>
      </c>
      <c r="BF470">
        <v>252.13333333333301</v>
      </c>
      <c r="BG470" s="14"/>
      <c r="BH470" s="14"/>
      <c r="BI470" s="14"/>
      <c r="BJ470" s="199"/>
      <c r="BK470" s="14"/>
      <c r="BL470" s="14"/>
      <c r="BM470" s="14"/>
      <c r="BN470" s="14"/>
      <c r="BO470" s="14"/>
      <c r="BP470" s="14"/>
      <c r="BQ470" s="14"/>
      <c r="BR470" s="14"/>
      <c r="BS470" s="14"/>
      <c r="BT470" s="14"/>
      <c r="BU470" s="14"/>
      <c r="BV470" s="14"/>
      <c r="BW470" s="14"/>
      <c r="BX470" s="14"/>
      <c r="BY470" s="170"/>
    </row>
    <row r="471" spans="9:77" x14ac:dyDescent="0.25">
      <c r="I471">
        <v>4060</v>
      </c>
      <c r="J471" s="1" t="s">
        <v>651</v>
      </c>
      <c r="K471">
        <v>322.81666666666598</v>
      </c>
      <c r="L471">
        <v>282.01999999999902</v>
      </c>
      <c r="M471">
        <v>308.74666666666599</v>
      </c>
      <c r="N471">
        <v>289.70333333333298</v>
      </c>
      <c r="O471">
        <v>281.00333333333299</v>
      </c>
      <c r="P471">
        <v>274.54333333333301</v>
      </c>
      <c r="Q471">
        <v>306.65333333333302</v>
      </c>
      <c r="R471">
        <v>248.36666666666599</v>
      </c>
      <c r="S471">
        <v>288.41999999999899</v>
      </c>
      <c r="T471">
        <v>262.47333333333302</v>
      </c>
      <c r="U471">
        <v>248.12666666666601</v>
      </c>
      <c r="V471">
        <v>236.956666666666</v>
      </c>
      <c r="W471">
        <v>309.64999999999998</v>
      </c>
      <c r="X471">
        <v>280.84666666666601</v>
      </c>
      <c r="Y471">
        <v>292.166666666666</v>
      </c>
      <c r="Z471">
        <v>290.219999999999</v>
      </c>
      <c r="AA471">
        <v>284.55</v>
      </c>
      <c r="AB471">
        <v>284.55</v>
      </c>
      <c r="AC471">
        <v>328.29333333333301</v>
      </c>
      <c r="AD471">
        <v>284.91000000000003</v>
      </c>
      <c r="AE471">
        <v>313.45333333333298</v>
      </c>
      <c r="AF471">
        <v>300.67333333333301</v>
      </c>
      <c r="AG471">
        <v>292.51</v>
      </c>
      <c r="AH471">
        <v>288.69666666666598</v>
      </c>
      <c r="AI471">
        <v>322.81666666666598</v>
      </c>
      <c r="AJ471">
        <v>282.01999999999902</v>
      </c>
      <c r="AK471">
        <v>308.74666666666599</v>
      </c>
      <c r="AL471">
        <v>289.70333333333298</v>
      </c>
      <c r="AM471">
        <v>281.00333333333299</v>
      </c>
      <c r="AN471">
        <v>274.54333333333301</v>
      </c>
      <c r="AO471">
        <v>327.45999999999901</v>
      </c>
      <c r="AP471">
        <v>259.60999999999899</v>
      </c>
      <c r="AQ471">
        <v>308.26333333333298</v>
      </c>
      <c r="AR471">
        <v>275.22333333333302</v>
      </c>
      <c r="AS471">
        <v>257.00333333333299</v>
      </c>
      <c r="AT471">
        <v>241.63333333333301</v>
      </c>
      <c r="AU471">
        <v>339.83666666666602</v>
      </c>
      <c r="AV471">
        <v>286.42666666666599</v>
      </c>
      <c r="AW471">
        <v>323.38666666666597</v>
      </c>
      <c r="AX471">
        <v>299.22666666666601</v>
      </c>
      <c r="AY471">
        <v>287.08999999999997</v>
      </c>
      <c r="AZ471">
        <v>277.95</v>
      </c>
      <c r="BA471">
        <v>328.433333333333</v>
      </c>
      <c r="BB471">
        <v>273.18999999999897</v>
      </c>
      <c r="BC471">
        <v>311.55999999999898</v>
      </c>
      <c r="BD471">
        <v>286.27666666666602</v>
      </c>
      <c r="BE471">
        <v>272.71333333333303</v>
      </c>
      <c r="BF471">
        <v>262.42333333333301</v>
      </c>
      <c r="BG471" s="14"/>
      <c r="BH471" s="14"/>
      <c r="BI471" s="14"/>
      <c r="BJ471" s="199"/>
      <c r="BK471" s="14"/>
      <c r="BL471" s="14"/>
      <c r="BM471" s="14"/>
      <c r="BN471" s="14"/>
      <c r="BO471" s="14"/>
      <c r="BP471" s="14"/>
      <c r="BQ471" s="14"/>
      <c r="BR471" s="14"/>
      <c r="BS471" s="14"/>
      <c r="BT471" s="14"/>
      <c r="BU471" s="14"/>
      <c r="BV471" s="14"/>
      <c r="BW471" s="14"/>
      <c r="BX471" s="14"/>
      <c r="BY471" s="170"/>
    </row>
    <row r="472" spans="9:77" x14ac:dyDescent="0.25">
      <c r="I472">
        <v>4070</v>
      </c>
      <c r="J472" s="1" t="s">
        <v>652</v>
      </c>
      <c r="K472">
        <v>286.75666666666598</v>
      </c>
      <c r="L472">
        <v>245.95999999999901</v>
      </c>
      <c r="M472">
        <v>272.68666666666599</v>
      </c>
      <c r="N472">
        <v>253.643333333333</v>
      </c>
      <c r="O472">
        <v>244.94333333333299</v>
      </c>
      <c r="P472">
        <v>238.48333333333301</v>
      </c>
      <c r="Q472">
        <v>270.59333333333302</v>
      </c>
      <c r="R472">
        <v>212.30666666666599</v>
      </c>
      <c r="S472">
        <v>252.36</v>
      </c>
      <c r="T472">
        <v>226.41333333333299</v>
      </c>
      <c r="U472">
        <v>212.06666666666601</v>
      </c>
      <c r="V472">
        <v>200.89666666666599</v>
      </c>
      <c r="W472">
        <v>273.58999999999997</v>
      </c>
      <c r="X472">
        <v>244.78666666666601</v>
      </c>
      <c r="Y472">
        <v>256.106666666666</v>
      </c>
      <c r="Z472">
        <v>254.16</v>
      </c>
      <c r="AA472">
        <v>248.49</v>
      </c>
      <c r="AB472">
        <v>248.49</v>
      </c>
      <c r="AC472">
        <v>292.23333333333301</v>
      </c>
      <c r="AD472">
        <v>248.85</v>
      </c>
      <c r="AE472">
        <v>277.39333333333298</v>
      </c>
      <c r="AF472">
        <v>264.613333333333</v>
      </c>
      <c r="AG472">
        <v>256.45</v>
      </c>
      <c r="AH472">
        <v>252.636666666666</v>
      </c>
      <c r="AI472">
        <v>286.75666666666598</v>
      </c>
      <c r="AJ472">
        <v>245.95999999999901</v>
      </c>
      <c r="AK472">
        <v>272.68666666666599</v>
      </c>
      <c r="AL472">
        <v>253.643333333333</v>
      </c>
      <c r="AM472">
        <v>244.94333333333299</v>
      </c>
      <c r="AN472">
        <v>238.48333333333301</v>
      </c>
      <c r="AO472">
        <v>291.39999999999901</v>
      </c>
      <c r="AP472">
        <v>223.55</v>
      </c>
      <c r="AQ472">
        <v>272.20333333333298</v>
      </c>
      <c r="AR472">
        <v>239.16333333333299</v>
      </c>
      <c r="AS472">
        <v>220.94333333333299</v>
      </c>
      <c r="AT472">
        <v>205.57333333333301</v>
      </c>
      <c r="AU472">
        <v>303.77666666666602</v>
      </c>
      <c r="AV472">
        <v>250.36666666666599</v>
      </c>
      <c r="AW472">
        <v>287.32666666666597</v>
      </c>
      <c r="AX472">
        <v>263.166666666666</v>
      </c>
      <c r="AY472">
        <v>251.03</v>
      </c>
      <c r="AZ472">
        <v>241.89</v>
      </c>
      <c r="BA472">
        <v>292.37333333333299</v>
      </c>
      <c r="BB472">
        <v>237.13</v>
      </c>
      <c r="BC472">
        <v>275.49999999999898</v>
      </c>
      <c r="BD472">
        <v>250.21666666666599</v>
      </c>
      <c r="BE472">
        <v>236.65333333333299</v>
      </c>
      <c r="BF472">
        <v>226.363333333333</v>
      </c>
      <c r="BG472" s="14"/>
      <c r="BH472" s="14"/>
      <c r="BI472" s="14"/>
      <c r="BJ472" s="199"/>
      <c r="BK472" s="14"/>
      <c r="BL472" s="14"/>
      <c r="BM472" s="14"/>
      <c r="BN472" s="14"/>
      <c r="BO472" s="14"/>
      <c r="BP472" s="14"/>
      <c r="BQ472" s="14"/>
      <c r="BR472" s="14"/>
      <c r="BS472" s="14"/>
      <c r="BT472" s="14"/>
      <c r="BU472" s="14"/>
      <c r="BV472" s="14"/>
      <c r="BW472" s="14"/>
      <c r="BX472" s="14"/>
      <c r="BY472" s="170"/>
    </row>
    <row r="473" spans="9:77" x14ac:dyDescent="0.25">
      <c r="I473">
        <v>4100</v>
      </c>
      <c r="J473" s="1" t="s">
        <v>653</v>
      </c>
      <c r="K473">
        <v>379.31666666666598</v>
      </c>
      <c r="L473">
        <v>338.51999999999902</v>
      </c>
      <c r="M473">
        <v>365.24666666666599</v>
      </c>
      <c r="N473">
        <v>346.20333333333298</v>
      </c>
      <c r="O473">
        <v>337.50333333333299</v>
      </c>
      <c r="P473">
        <v>331.04333333333301</v>
      </c>
      <c r="Q473">
        <v>363.15333333333302</v>
      </c>
      <c r="R473">
        <v>304.86666666666599</v>
      </c>
      <c r="S473">
        <v>344.91999999999899</v>
      </c>
      <c r="T473">
        <v>318.97333333333302</v>
      </c>
      <c r="U473">
        <v>304.62666666666598</v>
      </c>
      <c r="V473">
        <v>293.45666666666602</v>
      </c>
      <c r="W473">
        <v>366.15</v>
      </c>
      <c r="X473">
        <v>337.34666666666601</v>
      </c>
      <c r="Y473">
        <v>348.666666666666</v>
      </c>
      <c r="Z473">
        <v>346.719999999999</v>
      </c>
      <c r="AA473">
        <v>341.05</v>
      </c>
      <c r="AB473">
        <v>341.05</v>
      </c>
      <c r="AC473">
        <v>384.79333333333301</v>
      </c>
      <c r="AD473">
        <v>341.41</v>
      </c>
      <c r="AE473">
        <v>369.95333333333298</v>
      </c>
      <c r="AF473">
        <v>357.17333333333301</v>
      </c>
      <c r="AG473">
        <v>349.01</v>
      </c>
      <c r="AH473">
        <v>345.19666666666598</v>
      </c>
      <c r="AI473">
        <v>379.31666666666598</v>
      </c>
      <c r="AJ473">
        <v>338.51999999999902</v>
      </c>
      <c r="AK473">
        <v>365.24666666666599</v>
      </c>
      <c r="AL473">
        <v>346.20333333333298</v>
      </c>
      <c r="AM473">
        <v>337.50333333333299</v>
      </c>
      <c r="AN473">
        <v>331.04333333333301</v>
      </c>
      <c r="AO473">
        <v>383.95999999999901</v>
      </c>
      <c r="AP473">
        <v>316.10999999999899</v>
      </c>
      <c r="AQ473">
        <v>364.76333333333298</v>
      </c>
      <c r="AR473">
        <v>331.72333333333302</v>
      </c>
      <c r="AS473">
        <v>313.50333333333299</v>
      </c>
      <c r="AT473">
        <v>298.13333333333298</v>
      </c>
      <c r="AU473">
        <v>396.33666666666602</v>
      </c>
      <c r="AV473">
        <v>342.92666666666599</v>
      </c>
      <c r="AW473">
        <v>379.88666666666597</v>
      </c>
      <c r="AX473">
        <v>355.72666666666601</v>
      </c>
      <c r="AY473">
        <v>343.59</v>
      </c>
      <c r="AZ473">
        <v>334.45</v>
      </c>
      <c r="BA473">
        <v>384.933333333333</v>
      </c>
      <c r="BB473">
        <v>329.68999999999897</v>
      </c>
      <c r="BC473">
        <v>368.05999999999898</v>
      </c>
      <c r="BD473">
        <v>342.77666666666602</v>
      </c>
      <c r="BE473">
        <v>329.21333333333303</v>
      </c>
      <c r="BF473">
        <v>318.92333333333301</v>
      </c>
      <c r="BG473" s="14"/>
      <c r="BH473" s="14"/>
      <c r="BI473" s="14"/>
      <c r="BJ473" s="199"/>
      <c r="BK473" s="14"/>
      <c r="BL473" s="14"/>
      <c r="BM473" s="14"/>
      <c r="BN473" s="14"/>
      <c r="BO473" s="14"/>
      <c r="BP473" s="14"/>
      <c r="BQ473" s="14"/>
      <c r="BR473" s="14"/>
      <c r="BS473" s="14"/>
      <c r="BT473" s="14"/>
      <c r="BU473" s="14"/>
      <c r="BV473" s="14"/>
      <c r="BW473" s="14"/>
      <c r="BX473" s="14"/>
      <c r="BY473" s="170"/>
    </row>
    <row r="474" spans="9:77" x14ac:dyDescent="0.25">
      <c r="I474">
        <v>4130</v>
      </c>
      <c r="J474" s="1" t="s">
        <v>654</v>
      </c>
      <c r="K474">
        <v>353.986666666666</v>
      </c>
      <c r="L474">
        <v>313.19</v>
      </c>
      <c r="M474">
        <v>339.916666666666</v>
      </c>
      <c r="N474">
        <v>320.87333333333299</v>
      </c>
      <c r="O474">
        <v>312.17333333333301</v>
      </c>
      <c r="P474">
        <v>305.71333333333303</v>
      </c>
      <c r="Q474">
        <v>337.82333333333298</v>
      </c>
      <c r="R474">
        <v>279.53666666666601</v>
      </c>
      <c r="S474">
        <v>319.58999999999997</v>
      </c>
      <c r="T474">
        <v>293.64333333333298</v>
      </c>
      <c r="U474">
        <v>279.296666666666</v>
      </c>
      <c r="V474">
        <v>268.12666666666598</v>
      </c>
      <c r="W474">
        <v>340.82</v>
      </c>
      <c r="X474">
        <v>312.01666666666603</v>
      </c>
      <c r="Y474">
        <v>323.33666666666602</v>
      </c>
      <c r="Z474">
        <v>321.39</v>
      </c>
      <c r="AA474">
        <v>315.72000000000003</v>
      </c>
      <c r="AB474">
        <v>315.72000000000003</v>
      </c>
      <c r="AC474">
        <v>359.46333333333303</v>
      </c>
      <c r="AD474">
        <v>316.08</v>
      </c>
      <c r="AE474">
        <v>344.62333333333299</v>
      </c>
      <c r="AF474">
        <v>331.84333333333302</v>
      </c>
      <c r="AG474">
        <v>323.68</v>
      </c>
      <c r="AH474">
        <v>319.86666666666599</v>
      </c>
      <c r="AI474">
        <v>353.986666666666</v>
      </c>
      <c r="AJ474">
        <v>313.19</v>
      </c>
      <c r="AK474">
        <v>339.916666666666</v>
      </c>
      <c r="AL474">
        <v>320.87333333333299</v>
      </c>
      <c r="AM474">
        <v>312.17333333333301</v>
      </c>
      <c r="AN474">
        <v>305.71333333333303</v>
      </c>
      <c r="AO474">
        <v>358.63</v>
      </c>
      <c r="AP474">
        <v>290.77999999999997</v>
      </c>
      <c r="AQ474">
        <v>339.433333333333</v>
      </c>
      <c r="AR474">
        <v>306.39333333333298</v>
      </c>
      <c r="AS474">
        <v>288.17333333333301</v>
      </c>
      <c r="AT474">
        <v>272.803333333333</v>
      </c>
      <c r="AU474">
        <v>371.00666666666598</v>
      </c>
      <c r="AV474">
        <v>317.59666666666601</v>
      </c>
      <c r="AW474">
        <v>354.55666666666599</v>
      </c>
      <c r="AX474">
        <v>330.39666666666602</v>
      </c>
      <c r="AY474">
        <v>318.26</v>
      </c>
      <c r="AZ474">
        <v>309.12</v>
      </c>
      <c r="BA474">
        <v>359.60333333333301</v>
      </c>
      <c r="BB474">
        <v>304.36</v>
      </c>
      <c r="BC474">
        <v>342.729999999999</v>
      </c>
      <c r="BD474">
        <v>317.44666666666598</v>
      </c>
      <c r="BE474">
        <v>303.88333333333298</v>
      </c>
      <c r="BF474">
        <v>293.59333333333302</v>
      </c>
      <c r="BG474" s="14"/>
      <c r="BH474" s="14"/>
      <c r="BI474" s="14"/>
      <c r="BJ474" s="199"/>
      <c r="BK474" s="14"/>
      <c r="BL474" s="14"/>
      <c r="BM474" s="14"/>
      <c r="BN474" s="14"/>
      <c r="BO474" s="14"/>
      <c r="BP474" s="14"/>
      <c r="BQ474" s="14"/>
      <c r="BR474" s="14"/>
      <c r="BS474" s="14"/>
      <c r="BT474" s="14"/>
      <c r="BU474" s="14"/>
      <c r="BV474" s="14"/>
      <c r="BW474" s="14"/>
      <c r="BX474" s="14"/>
      <c r="BY474" s="170"/>
    </row>
    <row r="475" spans="9:77" x14ac:dyDescent="0.25">
      <c r="I475">
        <v>4140</v>
      </c>
      <c r="J475" s="1" t="s">
        <v>655</v>
      </c>
      <c r="K475">
        <v>370.77666666666602</v>
      </c>
      <c r="L475">
        <v>329.98</v>
      </c>
      <c r="M475">
        <v>356.70666666666602</v>
      </c>
      <c r="N475">
        <v>337.66333333333301</v>
      </c>
      <c r="O475">
        <v>328.96333333333303</v>
      </c>
      <c r="P475">
        <v>322.50333333333299</v>
      </c>
      <c r="Q475">
        <v>354.613333333333</v>
      </c>
      <c r="R475">
        <v>296.32666666666597</v>
      </c>
      <c r="S475">
        <v>336.38</v>
      </c>
      <c r="T475">
        <v>310.433333333333</v>
      </c>
      <c r="U475">
        <v>296.08666666666602</v>
      </c>
      <c r="V475">
        <v>284.916666666666</v>
      </c>
      <c r="W475">
        <v>357.61</v>
      </c>
      <c r="X475">
        <v>328.80666666666599</v>
      </c>
      <c r="Y475">
        <v>340.12666666666598</v>
      </c>
      <c r="Z475">
        <v>338.18</v>
      </c>
      <c r="AA475">
        <v>332.51</v>
      </c>
      <c r="AB475">
        <v>332.51</v>
      </c>
      <c r="AC475">
        <v>376.25333333333299</v>
      </c>
      <c r="AD475">
        <v>332.87</v>
      </c>
      <c r="AE475">
        <v>361.41333333333301</v>
      </c>
      <c r="AF475">
        <v>348.63333333333298</v>
      </c>
      <c r="AG475">
        <v>340.47</v>
      </c>
      <c r="AH475">
        <v>336.65666666666601</v>
      </c>
      <c r="AI475">
        <v>370.77666666666602</v>
      </c>
      <c r="AJ475">
        <v>329.98</v>
      </c>
      <c r="AK475">
        <v>356.70666666666602</v>
      </c>
      <c r="AL475">
        <v>337.66333333333301</v>
      </c>
      <c r="AM475">
        <v>328.96333333333303</v>
      </c>
      <c r="AN475">
        <v>322.50333333333299</v>
      </c>
      <c r="AO475">
        <v>375.42</v>
      </c>
      <c r="AP475">
        <v>307.57</v>
      </c>
      <c r="AQ475">
        <v>356.22333333333302</v>
      </c>
      <c r="AR475">
        <v>323.183333333333</v>
      </c>
      <c r="AS475">
        <v>304.96333333333303</v>
      </c>
      <c r="AT475">
        <v>289.59333333333302</v>
      </c>
      <c r="AU475">
        <v>387.796666666666</v>
      </c>
      <c r="AV475">
        <v>334.38666666666597</v>
      </c>
      <c r="AW475">
        <v>371.34666666666601</v>
      </c>
      <c r="AX475">
        <v>347.18666666666599</v>
      </c>
      <c r="AY475">
        <v>335.05</v>
      </c>
      <c r="AZ475">
        <v>325.91000000000003</v>
      </c>
      <c r="BA475">
        <v>376.39333333333298</v>
      </c>
      <c r="BB475">
        <v>321.14999999999998</v>
      </c>
      <c r="BC475">
        <v>359.52</v>
      </c>
      <c r="BD475">
        <v>334.236666666666</v>
      </c>
      <c r="BE475">
        <v>320.67333333333301</v>
      </c>
      <c r="BF475">
        <v>310.38333333333298</v>
      </c>
      <c r="BG475" s="14"/>
      <c r="BH475" s="14"/>
      <c r="BI475" s="14"/>
      <c r="BJ475" s="199"/>
      <c r="BK475" s="14"/>
      <c r="BL475" s="14"/>
      <c r="BM475" s="14"/>
      <c r="BN475" s="14"/>
      <c r="BO475" s="14"/>
      <c r="BP475" s="14"/>
      <c r="BQ475" s="14"/>
      <c r="BR475" s="14"/>
      <c r="BS475" s="14"/>
      <c r="BT475" s="14"/>
      <c r="BU475" s="14"/>
      <c r="BV475" s="14"/>
      <c r="BW475" s="14"/>
      <c r="BX475" s="14"/>
      <c r="BY475" s="170"/>
    </row>
    <row r="476" spans="9:77" x14ac:dyDescent="0.25">
      <c r="I476">
        <v>4160</v>
      </c>
      <c r="J476" s="1" t="s">
        <v>656</v>
      </c>
      <c r="K476">
        <v>374.76333333333298</v>
      </c>
      <c r="L476">
        <v>325.659999999999</v>
      </c>
      <c r="M476">
        <v>358.63333333333298</v>
      </c>
      <c r="N476">
        <v>335.31666666666598</v>
      </c>
      <c r="O476">
        <v>324.44666666666598</v>
      </c>
      <c r="P476">
        <v>315.81999999999903</v>
      </c>
      <c r="Q476">
        <v>358.14666666666602</v>
      </c>
      <c r="R476">
        <v>296.15666666666601</v>
      </c>
      <c r="S476">
        <v>340.21333333333303</v>
      </c>
      <c r="T476">
        <v>310.87333333333299</v>
      </c>
      <c r="U476">
        <v>294.56</v>
      </c>
      <c r="V476">
        <v>280.89999999999998</v>
      </c>
      <c r="W476">
        <v>360.13</v>
      </c>
      <c r="X476">
        <v>330.19</v>
      </c>
      <c r="Y476">
        <v>342.32333333333298</v>
      </c>
      <c r="Z476">
        <v>340.27666666666602</v>
      </c>
      <c r="AA476">
        <v>334.18999999999897</v>
      </c>
      <c r="AB476">
        <v>334.18999999999897</v>
      </c>
      <c r="AC476">
        <v>384.89666666666602</v>
      </c>
      <c r="AD476">
        <v>334.89666666666602</v>
      </c>
      <c r="AE476">
        <v>368.93</v>
      </c>
      <c r="AF476">
        <v>353.84</v>
      </c>
      <c r="AG476">
        <v>344.31666666666598</v>
      </c>
      <c r="AH476">
        <v>339.52333333333303</v>
      </c>
      <c r="AI476">
        <v>374.76333333333298</v>
      </c>
      <c r="AJ476">
        <v>325.659999999999</v>
      </c>
      <c r="AK476">
        <v>358.63333333333298</v>
      </c>
      <c r="AL476">
        <v>335.31666666666598</v>
      </c>
      <c r="AM476">
        <v>324.44666666666598</v>
      </c>
      <c r="AN476">
        <v>315.81999999999903</v>
      </c>
      <c r="AO476">
        <v>379.28333333333302</v>
      </c>
      <c r="AP476">
        <v>308.42333333333301</v>
      </c>
      <c r="AQ476">
        <v>360.19999999999902</v>
      </c>
      <c r="AR476">
        <v>324.93666666666599</v>
      </c>
      <c r="AS476">
        <v>305.36999999999898</v>
      </c>
      <c r="AT476">
        <v>288.55</v>
      </c>
      <c r="AU476">
        <v>390.493333333333</v>
      </c>
      <c r="AV476">
        <v>334.88999999999902</v>
      </c>
      <c r="AW476">
        <v>373.159999999999</v>
      </c>
      <c r="AX476">
        <v>347.83333333333297</v>
      </c>
      <c r="AY476">
        <v>334.63333333333298</v>
      </c>
      <c r="AZ476">
        <v>324.61</v>
      </c>
      <c r="BA476">
        <v>383.63333333333298</v>
      </c>
      <c r="BB476">
        <v>324.13999999999902</v>
      </c>
      <c r="BC476">
        <v>365.93</v>
      </c>
      <c r="BD476">
        <v>338.26666666666603</v>
      </c>
      <c r="BE476">
        <v>323.00666666666598</v>
      </c>
      <c r="BF476">
        <v>311.15333333333302</v>
      </c>
      <c r="BG476" s="14"/>
      <c r="BH476" s="14"/>
      <c r="BI476" s="14"/>
      <c r="BJ476" s="199"/>
      <c r="BK476" s="14"/>
      <c r="BL476" s="14"/>
      <c r="BM476" s="14"/>
      <c r="BN476" s="14"/>
      <c r="BO476" s="14"/>
      <c r="BP476" s="14"/>
      <c r="BQ476" s="14"/>
      <c r="BR476" s="14"/>
      <c r="BS476" s="14"/>
      <c r="BT476" s="14"/>
      <c r="BU476" s="14"/>
      <c r="BV476" s="14"/>
      <c r="BW476" s="14"/>
      <c r="BX476" s="14"/>
      <c r="BY476" s="170"/>
    </row>
    <row r="477" spans="9:77" x14ac:dyDescent="0.25">
      <c r="I477">
        <v>4171</v>
      </c>
      <c r="J477" s="1" t="s">
        <v>657</v>
      </c>
      <c r="K477">
        <v>374.76333333333298</v>
      </c>
      <c r="L477">
        <v>325.659999999999</v>
      </c>
      <c r="M477">
        <v>358.63333333333298</v>
      </c>
      <c r="N477">
        <v>335.31666666666598</v>
      </c>
      <c r="O477">
        <v>324.44666666666598</v>
      </c>
      <c r="P477">
        <v>315.81999999999903</v>
      </c>
      <c r="Q477">
        <v>358.14666666666602</v>
      </c>
      <c r="R477">
        <v>296.15666666666601</v>
      </c>
      <c r="S477">
        <v>340.21333333333303</v>
      </c>
      <c r="T477">
        <v>310.87333333333299</v>
      </c>
      <c r="U477">
        <v>294.56</v>
      </c>
      <c r="V477">
        <v>280.89999999999998</v>
      </c>
      <c r="W477">
        <v>360.13</v>
      </c>
      <c r="X477">
        <v>330.19</v>
      </c>
      <c r="Y477">
        <v>342.32333333333298</v>
      </c>
      <c r="Z477">
        <v>340.27666666666602</v>
      </c>
      <c r="AA477">
        <v>334.18999999999897</v>
      </c>
      <c r="AB477">
        <v>334.18999999999897</v>
      </c>
      <c r="AC477">
        <v>384.89666666666602</v>
      </c>
      <c r="AD477">
        <v>334.89666666666602</v>
      </c>
      <c r="AE477">
        <v>368.93</v>
      </c>
      <c r="AF477">
        <v>353.84</v>
      </c>
      <c r="AG477">
        <v>344.31666666666598</v>
      </c>
      <c r="AH477">
        <v>339.52333333333303</v>
      </c>
      <c r="AI477">
        <v>374.76333333333298</v>
      </c>
      <c r="AJ477">
        <v>325.659999999999</v>
      </c>
      <c r="AK477">
        <v>358.63333333333298</v>
      </c>
      <c r="AL477">
        <v>335.31666666666598</v>
      </c>
      <c r="AM477">
        <v>324.44666666666598</v>
      </c>
      <c r="AN477">
        <v>315.81999999999903</v>
      </c>
      <c r="AO477">
        <v>379.28333333333302</v>
      </c>
      <c r="AP477">
        <v>308.42333333333301</v>
      </c>
      <c r="AQ477">
        <v>360.19999999999902</v>
      </c>
      <c r="AR477">
        <v>324.93666666666599</v>
      </c>
      <c r="AS477">
        <v>305.36999999999898</v>
      </c>
      <c r="AT477">
        <v>288.55</v>
      </c>
      <c r="AU477">
        <v>390.493333333333</v>
      </c>
      <c r="AV477">
        <v>334.88999999999902</v>
      </c>
      <c r="AW477">
        <v>373.159999999999</v>
      </c>
      <c r="AX477">
        <v>347.83333333333297</v>
      </c>
      <c r="AY477">
        <v>334.63333333333298</v>
      </c>
      <c r="AZ477">
        <v>324.61</v>
      </c>
      <c r="BA477">
        <v>383.63333333333298</v>
      </c>
      <c r="BB477">
        <v>324.13999999999902</v>
      </c>
      <c r="BC477">
        <v>365.93</v>
      </c>
      <c r="BD477">
        <v>338.26666666666603</v>
      </c>
      <c r="BE477">
        <v>323.00666666666598</v>
      </c>
      <c r="BF477">
        <v>311.15333333333302</v>
      </c>
      <c r="BG477" s="14"/>
      <c r="BH477" s="14"/>
      <c r="BI477" s="14"/>
      <c r="BJ477" s="199"/>
      <c r="BK477" s="14"/>
      <c r="BL477" s="14"/>
      <c r="BM477" s="14"/>
      <c r="BN477" s="14"/>
      <c r="BO477" s="14"/>
      <c r="BP477" s="14"/>
      <c r="BQ477" s="14"/>
      <c r="BR477" s="14"/>
      <c r="BS477" s="14"/>
      <c r="BT477" s="14"/>
      <c r="BU477" s="14"/>
      <c r="BV477" s="14"/>
      <c r="BW477" s="14"/>
      <c r="BX477" s="14"/>
      <c r="BY477" s="170"/>
    </row>
    <row r="478" spans="9:77" x14ac:dyDescent="0.25">
      <c r="I478">
        <v>4173</v>
      </c>
      <c r="J478" s="1" t="s">
        <v>658</v>
      </c>
      <c r="K478">
        <v>401.88333333333298</v>
      </c>
      <c r="L478">
        <v>352.78</v>
      </c>
      <c r="M478">
        <v>385.75333333333299</v>
      </c>
      <c r="N478">
        <v>362.43666666666599</v>
      </c>
      <c r="O478">
        <v>351.56666666666598</v>
      </c>
      <c r="P478">
        <v>342.94</v>
      </c>
      <c r="Q478">
        <v>385.26666666666603</v>
      </c>
      <c r="R478">
        <v>323.27666666666602</v>
      </c>
      <c r="S478">
        <v>367.33333333333297</v>
      </c>
      <c r="T478">
        <v>337.993333333333</v>
      </c>
      <c r="U478">
        <v>321.68</v>
      </c>
      <c r="V478">
        <v>308.02</v>
      </c>
      <c r="W478">
        <v>387.25</v>
      </c>
      <c r="X478">
        <v>357.31</v>
      </c>
      <c r="Y478">
        <v>369.44333333333299</v>
      </c>
      <c r="Z478">
        <v>367.39666666666602</v>
      </c>
      <c r="AA478">
        <v>361.31</v>
      </c>
      <c r="AB478">
        <v>361.31</v>
      </c>
      <c r="AC478">
        <v>412.01666666666603</v>
      </c>
      <c r="AD478">
        <v>362.01666666666603</v>
      </c>
      <c r="AE478">
        <v>396.05</v>
      </c>
      <c r="AF478">
        <v>380.96</v>
      </c>
      <c r="AG478">
        <v>371.43666666666599</v>
      </c>
      <c r="AH478">
        <v>366.64333333333298</v>
      </c>
      <c r="AI478">
        <v>401.88333333333298</v>
      </c>
      <c r="AJ478">
        <v>352.78</v>
      </c>
      <c r="AK478">
        <v>385.75333333333299</v>
      </c>
      <c r="AL478">
        <v>362.43666666666599</v>
      </c>
      <c r="AM478">
        <v>351.56666666666598</v>
      </c>
      <c r="AN478">
        <v>342.94</v>
      </c>
      <c r="AO478">
        <v>406.40333333333302</v>
      </c>
      <c r="AP478">
        <v>335.54333333333301</v>
      </c>
      <c r="AQ478">
        <v>387.32</v>
      </c>
      <c r="AR478">
        <v>352.05666666666599</v>
      </c>
      <c r="AS478">
        <v>332.49</v>
      </c>
      <c r="AT478">
        <v>315.67</v>
      </c>
      <c r="AU478">
        <v>417.613333333333</v>
      </c>
      <c r="AV478">
        <v>362.01</v>
      </c>
      <c r="AW478">
        <v>400.28</v>
      </c>
      <c r="AX478">
        <v>374.95333333333298</v>
      </c>
      <c r="AY478">
        <v>361.75333333333299</v>
      </c>
      <c r="AZ478">
        <v>351.73</v>
      </c>
      <c r="BA478">
        <v>410.75333333333299</v>
      </c>
      <c r="BB478">
        <v>351.26</v>
      </c>
      <c r="BC478">
        <v>393.05</v>
      </c>
      <c r="BD478">
        <v>365.38666666666597</v>
      </c>
      <c r="BE478">
        <v>350.12666666666598</v>
      </c>
      <c r="BF478">
        <v>338.27333333333303</v>
      </c>
      <c r="BG478" s="14"/>
      <c r="BH478" s="14"/>
      <c r="BI478" s="14"/>
      <c r="BJ478" s="199"/>
      <c r="BK478" s="14"/>
      <c r="BL478" s="14"/>
      <c r="BM478" s="14"/>
      <c r="BN478" s="14"/>
      <c r="BO478" s="14"/>
      <c r="BP478" s="14"/>
      <c r="BQ478" s="14"/>
      <c r="BR478" s="14"/>
      <c r="BS478" s="14"/>
      <c r="BT478" s="14"/>
      <c r="BU478" s="14"/>
      <c r="BV478" s="14"/>
      <c r="BW478" s="14"/>
      <c r="BX478" s="14"/>
      <c r="BY478" s="170"/>
    </row>
    <row r="479" spans="9:77" x14ac:dyDescent="0.25">
      <c r="I479">
        <v>4174</v>
      </c>
      <c r="J479" s="1" t="s">
        <v>659</v>
      </c>
      <c r="K479">
        <v>370.77666666666602</v>
      </c>
      <c r="L479">
        <v>329.98</v>
      </c>
      <c r="M479">
        <v>356.70666666666602</v>
      </c>
      <c r="N479">
        <v>337.66333333333301</v>
      </c>
      <c r="O479">
        <v>328.96333333333303</v>
      </c>
      <c r="P479">
        <v>322.50333333333299</v>
      </c>
      <c r="Q479">
        <v>354.613333333333</v>
      </c>
      <c r="R479">
        <v>296.32666666666597</v>
      </c>
      <c r="S479">
        <v>336.38</v>
      </c>
      <c r="T479">
        <v>310.433333333333</v>
      </c>
      <c r="U479">
        <v>296.08666666666602</v>
      </c>
      <c r="V479">
        <v>284.916666666666</v>
      </c>
      <c r="W479">
        <v>357.61</v>
      </c>
      <c r="X479">
        <v>328.80666666666599</v>
      </c>
      <c r="Y479">
        <v>340.12666666666598</v>
      </c>
      <c r="Z479">
        <v>338.18</v>
      </c>
      <c r="AA479">
        <v>332.51</v>
      </c>
      <c r="AB479">
        <v>332.51</v>
      </c>
      <c r="AC479">
        <v>376.25333333333299</v>
      </c>
      <c r="AD479">
        <v>332.87</v>
      </c>
      <c r="AE479">
        <v>361.41333333333301</v>
      </c>
      <c r="AF479">
        <v>348.63333333333298</v>
      </c>
      <c r="AG479">
        <v>340.47</v>
      </c>
      <c r="AH479">
        <v>336.65666666666601</v>
      </c>
      <c r="AI479">
        <v>370.77666666666602</v>
      </c>
      <c r="AJ479">
        <v>329.98</v>
      </c>
      <c r="AK479">
        <v>356.70666666666602</v>
      </c>
      <c r="AL479">
        <v>337.66333333333301</v>
      </c>
      <c r="AM479">
        <v>328.96333333333303</v>
      </c>
      <c r="AN479">
        <v>322.50333333333299</v>
      </c>
      <c r="AO479">
        <v>375.42</v>
      </c>
      <c r="AP479">
        <v>307.57</v>
      </c>
      <c r="AQ479">
        <v>356.22333333333302</v>
      </c>
      <c r="AR479">
        <v>323.183333333333</v>
      </c>
      <c r="AS479">
        <v>304.96333333333303</v>
      </c>
      <c r="AT479">
        <v>289.59333333333302</v>
      </c>
      <c r="AU479">
        <v>387.796666666666</v>
      </c>
      <c r="AV479">
        <v>334.38666666666597</v>
      </c>
      <c r="AW479">
        <v>371.34666666666601</v>
      </c>
      <c r="AX479">
        <v>347.18666666666599</v>
      </c>
      <c r="AY479">
        <v>335.05</v>
      </c>
      <c r="AZ479">
        <v>325.91000000000003</v>
      </c>
      <c r="BA479">
        <v>376.39333333333298</v>
      </c>
      <c r="BB479">
        <v>321.14999999999998</v>
      </c>
      <c r="BC479">
        <v>359.52</v>
      </c>
      <c r="BD479">
        <v>334.236666666666</v>
      </c>
      <c r="BE479">
        <v>320.67333333333301</v>
      </c>
      <c r="BF479">
        <v>310.38333333333298</v>
      </c>
      <c r="BG479" s="14"/>
      <c r="BH479" s="14"/>
      <c r="BI479" s="14"/>
      <c r="BJ479" s="199"/>
      <c r="BK479" s="14"/>
      <c r="BL479" s="14"/>
      <c r="BM479" s="14"/>
      <c r="BN479" s="14"/>
      <c r="BO479" s="14"/>
      <c r="BP479" s="14"/>
      <c r="BQ479" s="14"/>
      <c r="BR479" s="14"/>
      <c r="BS479" s="14"/>
      <c r="BT479" s="14"/>
      <c r="BU479" s="14"/>
      <c r="BV479" s="14"/>
      <c r="BW479" s="14"/>
      <c r="BX479" s="14"/>
      <c r="BY479" s="170"/>
    </row>
    <row r="480" spans="9:77" x14ac:dyDescent="0.25">
      <c r="I480">
        <v>4180</v>
      </c>
      <c r="J480" s="1" t="s">
        <v>660</v>
      </c>
      <c r="K480">
        <v>401.88333333333298</v>
      </c>
      <c r="L480">
        <v>352.78</v>
      </c>
      <c r="M480">
        <v>385.75333333333299</v>
      </c>
      <c r="N480">
        <v>362.43666666666599</v>
      </c>
      <c r="O480">
        <v>351.56666666666598</v>
      </c>
      <c r="P480">
        <v>342.94</v>
      </c>
      <c r="Q480">
        <v>385.26666666666603</v>
      </c>
      <c r="R480">
        <v>323.27666666666602</v>
      </c>
      <c r="S480">
        <v>367.33333333333297</v>
      </c>
      <c r="T480">
        <v>337.993333333333</v>
      </c>
      <c r="U480">
        <v>321.68</v>
      </c>
      <c r="V480">
        <v>308.02</v>
      </c>
      <c r="W480">
        <v>387.25</v>
      </c>
      <c r="X480">
        <v>357.31</v>
      </c>
      <c r="Y480">
        <v>369.44333333333299</v>
      </c>
      <c r="Z480">
        <v>367.39666666666602</v>
      </c>
      <c r="AA480">
        <v>361.31</v>
      </c>
      <c r="AB480">
        <v>361.31</v>
      </c>
      <c r="AC480">
        <v>412.01666666666603</v>
      </c>
      <c r="AD480">
        <v>362.01666666666603</v>
      </c>
      <c r="AE480">
        <v>396.05</v>
      </c>
      <c r="AF480">
        <v>380.96</v>
      </c>
      <c r="AG480">
        <v>371.43666666666599</v>
      </c>
      <c r="AH480">
        <v>366.64333333333298</v>
      </c>
      <c r="AI480">
        <v>401.88333333333298</v>
      </c>
      <c r="AJ480">
        <v>352.78</v>
      </c>
      <c r="AK480">
        <v>385.75333333333299</v>
      </c>
      <c r="AL480">
        <v>362.43666666666599</v>
      </c>
      <c r="AM480">
        <v>351.56666666666598</v>
      </c>
      <c r="AN480">
        <v>342.94</v>
      </c>
      <c r="AO480">
        <v>406.40333333333302</v>
      </c>
      <c r="AP480">
        <v>335.54333333333301</v>
      </c>
      <c r="AQ480">
        <v>387.32</v>
      </c>
      <c r="AR480">
        <v>352.05666666666599</v>
      </c>
      <c r="AS480">
        <v>332.49</v>
      </c>
      <c r="AT480">
        <v>315.67</v>
      </c>
      <c r="AU480">
        <v>417.613333333333</v>
      </c>
      <c r="AV480">
        <v>362.01</v>
      </c>
      <c r="AW480">
        <v>400.28</v>
      </c>
      <c r="AX480">
        <v>374.95333333333298</v>
      </c>
      <c r="AY480">
        <v>361.75333333333299</v>
      </c>
      <c r="AZ480">
        <v>351.73</v>
      </c>
      <c r="BA480">
        <v>410.75333333333299</v>
      </c>
      <c r="BB480">
        <v>351.26</v>
      </c>
      <c r="BC480">
        <v>393.05</v>
      </c>
      <c r="BD480">
        <v>365.38666666666597</v>
      </c>
      <c r="BE480">
        <v>350.12666666666598</v>
      </c>
      <c r="BF480">
        <v>338.27333333333303</v>
      </c>
      <c r="BG480" s="14"/>
      <c r="BH480" s="14"/>
      <c r="BI480" s="14"/>
      <c r="BJ480" s="199"/>
      <c r="BK480" s="14"/>
      <c r="BL480" s="14"/>
      <c r="BM480" s="14"/>
      <c r="BN480" s="14"/>
      <c r="BO480" s="14"/>
      <c r="BP480" s="14"/>
      <c r="BQ480" s="14"/>
      <c r="BR480" s="14"/>
      <c r="BS480" s="14"/>
      <c r="BT480" s="14"/>
      <c r="BU480" s="14"/>
      <c r="BV480" s="14"/>
      <c r="BW480" s="14"/>
      <c r="BX480" s="14"/>
      <c r="BY480" s="170"/>
    </row>
    <row r="481" spans="9:77" x14ac:dyDescent="0.25">
      <c r="I481">
        <v>4190</v>
      </c>
      <c r="J481" s="1" t="s">
        <v>661</v>
      </c>
      <c r="K481">
        <v>351.70333333333298</v>
      </c>
      <c r="L481">
        <v>302.599999999999</v>
      </c>
      <c r="M481">
        <v>335.57333333333298</v>
      </c>
      <c r="N481">
        <v>312.25666666666598</v>
      </c>
      <c r="O481">
        <v>301.38666666666597</v>
      </c>
      <c r="P481">
        <v>292.75999999999902</v>
      </c>
      <c r="Q481">
        <v>335.08666666666602</v>
      </c>
      <c r="R481">
        <v>273.09666666666601</v>
      </c>
      <c r="S481">
        <v>317.15333333333302</v>
      </c>
      <c r="T481">
        <v>287.81333333333299</v>
      </c>
      <c r="U481">
        <v>271.5</v>
      </c>
      <c r="V481">
        <v>257.83999999999997</v>
      </c>
      <c r="W481">
        <v>337.06999999999903</v>
      </c>
      <c r="X481">
        <v>307.12999999999897</v>
      </c>
      <c r="Y481">
        <v>319.26333333333298</v>
      </c>
      <c r="Z481">
        <v>317.21666666666601</v>
      </c>
      <c r="AA481">
        <v>311.12999999999897</v>
      </c>
      <c r="AB481">
        <v>311.12999999999897</v>
      </c>
      <c r="AC481">
        <v>361.83666666666602</v>
      </c>
      <c r="AD481">
        <v>311.83666666666602</v>
      </c>
      <c r="AE481">
        <v>345.86999999999898</v>
      </c>
      <c r="AF481">
        <v>330.77999999999901</v>
      </c>
      <c r="AG481">
        <v>321.25666666666598</v>
      </c>
      <c r="AH481">
        <v>316.46333333333303</v>
      </c>
      <c r="AI481">
        <v>351.70333333333298</v>
      </c>
      <c r="AJ481">
        <v>302.599999999999</v>
      </c>
      <c r="AK481">
        <v>335.57333333333298</v>
      </c>
      <c r="AL481">
        <v>312.25666666666598</v>
      </c>
      <c r="AM481">
        <v>301.38666666666597</v>
      </c>
      <c r="AN481">
        <v>292.75999999999902</v>
      </c>
      <c r="AO481">
        <v>356.22333333333302</v>
      </c>
      <c r="AP481">
        <v>285.363333333333</v>
      </c>
      <c r="AQ481">
        <v>337.13999999999902</v>
      </c>
      <c r="AR481">
        <v>301.87666666666598</v>
      </c>
      <c r="AS481">
        <v>282.30999999999898</v>
      </c>
      <c r="AT481">
        <v>265.49</v>
      </c>
      <c r="AU481">
        <v>367.433333333333</v>
      </c>
      <c r="AV481">
        <v>311.82999999999902</v>
      </c>
      <c r="AW481">
        <v>350.099999999999</v>
      </c>
      <c r="AX481">
        <v>324.77333333333303</v>
      </c>
      <c r="AY481">
        <v>311.57333333333298</v>
      </c>
      <c r="AZ481">
        <v>301.55</v>
      </c>
      <c r="BA481">
        <v>360.57333333333298</v>
      </c>
      <c r="BB481">
        <v>301.07999999999902</v>
      </c>
      <c r="BC481">
        <v>342.86999999999898</v>
      </c>
      <c r="BD481">
        <v>315.20666666666602</v>
      </c>
      <c r="BE481">
        <v>299.94666666666598</v>
      </c>
      <c r="BF481">
        <v>288.09333333333302</v>
      </c>
      <c r="BG481" s="14"/>
      <c r="BH481" s="14"/>
      <c r="BI481" s="14"/>
      <c r="BJ481" s="199"/>
      <c r="BK481" s="14"/>
      <c r="BL481" s="14"/>
      <c r="BM481" s="14"/>
      <c r="BN481" s="14"/>
      <c r="BO481" s="14"/>
      <c r="BP481" s="14"/>
      <c r="BQ481" s="14"/>
      <c r="BR481" s="14"/>
      <c r="BS481" s="14"/>
      <c r="BT481" s="14"/>
      <c r="BU481" s="14"/>
      <c r="BV481" s="14"/>
      <c r="BW481" s="14"/>
      <c r="BX481" s="14"/>
      <c r="BY481" s="170"/>
    </row>
    <row r="482" spans="9:77" x14ac:dyDescent="0.25">
      <c r="I482">
        <v>4200</v>
      </c>
      <c r="J482" s="1" t="s">
        <v>662</v>
      </c>
      <c r="K482">
        <v>306.10333333333301</v>
      </c>
      <c r="L482">
        <v>256.99999999999898</v>
      </c>
      <c r="M482">
        <v>289.97333333333302</v>
      </c>
      <c r="N482">
        <v>266.65666666666601</v>
      </c>
      <c r="O482">
        <v>255.78666666666601</v>
      </c>
      <c r="P482">
        <v>247.159999999999</v>
      </c>
      <c r="Q482">
        <v>289.486666666666</v>
      </c>
      <c r="R482">
        <v>227.49666666666599</v>
      </c>
      <c r="S482">
        <v>271.553333333333</v>
      </c>
      <c r="T482">
        <v>242.213333333333</v>
      </c>
      <c r="U482">
        <v>225.89999999999901</v>
      </c>
      <c r="V482">
        <v>212.24</v>
      </c>
      <c r="W482">
        <v>291.469999999999</v>
      </c>
      <c r="X482">
        <v>261.52999999999901</v>
      </c>
      <c r="Y482">
        <v>273.66333333333301</v>
      </c>
      <c r="Z482">
        <v>271.61666666666599</v>
      </c>
      <c r="AA482">
        <v>265.52999999999901</v>
      </c>
      <c r="AB482">
        <v>265.52999999999901</v>
      </c>
      <c r="AC482">
        <v>316.236666666666</v>
      </c>
      <c r="AD482">
        <v>266.236666666666</v>
      </c>
      <c r="AE482">
        <v>300.26999999999902</v>
      </c>
      <c r="AF482">
        <v>285.17999999999898</v>
      </c>
      <c r="AG482">
        <v>275.65666666666601</v>
      </c>
      <c r="AH482">
        <v>270.863333333333</v>
      </c>
      <c r="AI482">
        <v>306.10333333333301</v>
      </c>
      <c r="AJ482">
        <v>256.99999999999898</v>
      </c>
      <c r="AK482">
        <v>289.97333333333302</v>
      </c>
      <c r="AL482">
        <v>266.65666666666601</v>
      </c>
      <c r="AM482">
        <v>255.78666666666601</v>
      </c>
      <c r="AN482">
        <v>247.159999999999</v>
      </c>
      <c r="AO482">
        <v>310.62333333333299</v>
      </c>
      <c r="AP482">
        <v>239.76333333333301</v>
      </c>
      <c r="AQ482">
        <v>291.539999999999</v>
      </c>
      <c r="AR482">
        <v>256.27666666666602</v>
      </c>
      <c r="AS482">
        <v>236.70999999999901</v>
      </c>
      <c r="AT482">
        <v>219.88999999999899</v>
      </c>
      <c r="AU482">
        <v>321.83333333333297</v>
      </c>
      <c r="AV482">
        <v>266.229999999999</v>
      </c>
      <c r="AW482">
        <v>304.49999999999898</v>
      </c>
      <c r="AX482">
        <v>279.17333333333301</v>
      </c>
      <c r="AY482">
        <v>265.97333333333302</v>
      </c>
      <c r="AZ482">
        <v>255.94999999999899</v>
      </c>
      <c r="BA482">
        <v>314.97333333333302</v>
      </c>
      <c r="BB482">
        <v>255.479999999999</v>
      </c>
      <c r="BC482">
        <v>297.26999999999902</v>
      </c>
      <c r="BD482">
        <v>269.606666666666</v>
      </c>
      <c r="BE482">
        <v>254.34666666666601</v>
      </c>
      <c r="BF482">
        <v>242.493333333333</v>
      </c>
      <c r="BG482" s="14"/>
      <c r="BH482" s="14"/>
      <c r="BI482" s="14"/>
      <c r="BJ482" s="199"/>
      <c r="BK482" s="14"/>
      <c r="BL482" s="14"/>
      <c r="BM482" s="14"/>
      <c r="BN482" s="14"/>
      <c r="BO482" s="14"/>
      <c r="BP482" s="14"/>
      <c r="BQ482" s="14"/>
      <c r="BR482" s="14"/>
      <c r="BS482" s="14"/>
      <c r="BT482" s="14"/>
      <c r="BU482" s="14"/>
      <c r="BV482" s="14"/>
      <c r="BW482" s="14"/>
      <c r="BX482" s="14"/>
      <c r="BY482" s="170"/>
    </row>
    <row r="483" spans="9:77" x14ac:dyDescent="0.25">
      <c r="I483">
        <v>4220</v>
      </c>
      <c r="J483" s="1" t="s">
        <v>663</v>
      </c>
      <c r="K483">
        <v>246.51333333333301</v>
      </c>
      <c r="L483">
        <v>197.409999999999</v>
      </c>
      <c r="M483">
        <v>230.38333333333301</v>
      </c>
      <c r="N483">
        <v>207.06666666666601</v>
      </c>
      <c r="O483">
        <v>196.196666666666</v>
      </c>
      <c r="P483">
        <v>187.569999999999</v>
      </c>
      <c r="Q483">
        <v>229.89666666666599</v>
      </c>
      <c r="R483">
        <v>167.90666666666601</v>
      </c>
      <c r="S483">
        <v>211.963333333333</v>
      </c>
      <c r="T483">
        <v>182.62333333333299</v>
      </c>
      <c r="U483">
        <v>166.31</v>
      </c>
      <c r="V483">
        <v>152.65</v>
      </c>
      <c r="W483">
        <v>231.88</v>
      </c>
      <c r="X483">
        <v>201.94</v>
      </c>
      <c r="Y483">
        <v>214.07333333333301</v>
      </c>
      <c r="Z483">
        <v>212.02666666666599</v>
      </c>
      <c r="AA483">
        <v>205.939999999999</v>
      </c>
      <c r="AB483">
        <v>205.939999999999</v>
      </c>
      <c r="AC483">
        <v>256.64666666666602</v>
      </c>
      <c r="AD483">
        <v>206.64666666666599</v>
      </c>
      <c r="AE483">
        <v>240.68</v>
      </c>
      <c r="AF483">
        <v>225.59</v>
      </c>
      <c r="AG483">
        <v>216.06666666666601</v>
      </c>
      <c r="AH483">
        <v>211.273333333333</v>
      </c>
      <c r="AI483">
        <v>246.51333333333301</v>
      </c>
      <c r="AJ483">
        <v>197.409999999999</v>
      </c>
      <c r="AK483">
        <v>230.38333333333301</v>
      </c>
      <c r="AL483">
        <v>207.06666666666601</v>
      </c>
      <c r="AM483">
        <v>196.196666666666</v>
      </c>
      <c r="AN483">
        <v>187.569999999999</v>
      </c>
      <c r="AO483">
        <v>251.03333333333299</v>
      </c>
      <c r="AP483">
        <v>180.17333333333301</v>
      </c>
      <c r="AQ483">
        <v>231.94999999999899</v>
      </c>
      <c r="AR483">
        <v>196.68666666666601</v>
      </c>
      <c r="AS483">
        <v>177.11999999999901</v>
      </c>
      <c r="AT483">
        <v>160.30000000000001</v>
      </c>
      <c r="AU483">
        <v>262.243333333333</v>
      </c>
      <c r="AV483">
        <v>206.63999999999899</v>
      </c>
      <c r="AW483">
        <v>244.909999999999</v>
      </c>
      <c r="AX483">
        <v>219.583333333333</v>
      </c>
      <c r="AY483">
        <v>206.38333333333301</v>
      </c>
      <c r="AZ483">
        <v>196.36</v>
      </c>
      <c r="BA483">
        <v>255.38333333333301</v>
      </c>
      <c r="BB483">
        <v>195.88999999999899</v>
      </c>
      <c r="BC483">
        <v>237.68</v>
      </c>
      <c r="BD483">
        <v>210.016666666666</v>
      </c>
      <c r="BE483">
        <v>194.75666666666601</v>
      </c>
      <c r="BF483">
        <v>182.90333333333299</v>
      </c>
      <c r="BG483" s="14"/>
      <c r="BH483" s="14"/>
      <c r="BI483" s="14"/>
      <c r="BJ483" s="199"/>
      <c r="BK483" s="14"/>
      <c r="BL483" s="14"/>
      <c r="BM483" s="14"/>
      <c r="BN483" s="14"/>
      <c r="BO483" s="14"/>
      <c r="BP483" s="14"/>
      <c r="BQ483" s="14"/>
      <c r="BR483" s="14"/>
      <c r="BS483" s="14"/>
      <c r="BT483" s="14"/>
      <c r="BU483" s="14"/>
      <c r="BV483" s="14"/>
      <c r="BW483" s="14"/>
      <c r="BX483" s="14"/>
      <c r="BY483" s="170"/>
    </row>
    <row r="484" spans="9:77" x14ac:dyDescent="0.25">
      <c r="I484">
        <v>4230</v>
      </c>
      <c r="J484" s="1" t="s">
        <v>664</v>
      </c>
      <c r="K484">
        <v>272.41333333333301</v>
      </c>
      <c r="L484">
        <v>223.30999999999901</v>
      </c>
      <c r="M484">
        <v>256.28333333333302</v>
      </c>
      <c r="N484">
        <v>232.96666666666599</v>
      </c>
      <c r="O484">
        <v>222.09666666666601</v>
      </c>
      <c r="P484">
        <v>213.469999999999</v>
      </c>
      <c r="Q484">
        <v>255.796666666666</v>
      </c>
      <c r="R484">
        <v>193.80666666666599</v>
      </c>
      <c r="S484">
        <v>237.863333333333</v>
      </c>
      <c r="T484">
        <v>208.523333333333</v>
      </c>
      <c r="U484">
        <v>192.21</v>
      </c>
      <c r="V484">
        <v>178.55</v>
      </c>
      <c r="W484">
        <v>257.77999999999901</v>
      </c>
      <c r="X484">
        <v>227.83999999999901</v>
      </c>
      <c r="Y484">
        <v>239.97333333333299</v>
      </c>
      <c r="Z484">
        <v>237.92666666666599</v>
      </c>
      <c r="AA484">
        <v>231.83999999999901</v>
      </c>
      <c r="AB484">
        <v>231.83999999999901</v>
      </c>
      <c r="AC484">
        <v>282.546666666666</v>
      </c>
      <c r="AD484">
        <v>232.546666666666</v>
      </c>
      <c r="AE484">
        <v>266.57999999999902</v>
      </c>
      <c r="AF484">
        <v>251.49</v>
      </c>
      <c r="AG484">
        <v>241.96666666666599</v>
      </c>
      <c r="AH484">
        <v>237.17333333333301</v>
      </c>
      <c r="AI484">
        <v>272.41333333333301</v>
      </c>
      <c r="AJ484">
        <v>223.30999999999901</v>
      </c>
      <c r="AK484">
        <v>256.28333333333302</v>
      </c>
      <c r="AL484">
        <v>232.96666666666599</v>
      </c>
      <c r="AM484">
        <v>222.09666666666601</v>
      </c>
      <c r="AN484">
        <v>213.469999999999</v>
      </c>
      <c r="AO484">
        <v>276.933333333333</v>
      </c>
      <c r="AP484">
        <v>206.07333333333301</v>
      </c>
      <c r="AQ484">
        <v>257.849999999999</v>
      </c>
      <c r="AR484">
        <v>222.58666666666599</v>
      </c>
      <c r="AS484">
        <v>203.01999999999899</v>
      </c>
      <c r="AT484">
        <v>186.2</v>
      </c>
      <c r="AU484">
        <v>288.14333333333298</v>
      </c>
      <c r="AV484">
        <v>232.539999999999</v>
      </c>
      <c r="AW484">
        <v>270.80999999999898</v>
      </c>
      <c r="AX484">
        <v>245.48333333333301</v>
      </c>
      <c r="AY484">
        <v>232.28333333333299</v>
      </c>
      <c r="AZ484">
        <v>222.26</v>
      </c>
      <c r="BA484">
        <v>281.28333333333302</v>
      </c>
      <c r="BB484">
        <v>221.789999999999</v>
      </c>
      <c r="BC484">
        <v>263.57999999999902</v>
      </c>
      <c r="BD484">
        <v>235.916666666666</v>
      </c>
      <c r="BE484">
        <v>220.65666666666601</v>
      </c>
      <c r="BF484">
        <v>208.803333333333</v>
      </c>
      <c r="BG484" s="14"/>
      <c r="BH484" s="14"/>
      <c r="BI484" s="14"/>
      <c r="BJ484" s="199"/>
      <c r="BK484" s="14"/>
      <c r="BL484" s="14"/>
      <c r="BM484" s="14"/>
      <c r="BN484" s="14"/>
      <c r="BO484" s="14"/>
      <c r="BP484" s="14"/>
      <c r="BQ484" s="14"/>
      <c r="BR484" s="14"/>
      <c r="BS484" s="14"/>
      <c r="BT484" s="14"/>
      <c r="BU484" s="14"/>
      <c r="BV484" s="14"/>
      <c r="BW484" s="14"/>
      <c r="BX484" s="14"/>
      <c r="BY484" s="170"/>
    </row>
    <row r="485" spans="9:77" x14ac:dyDescent="0.25">
      <c r="I485">
        <v>4241</v>
      </c>
      <c r="J485" s="1" t="s">
        <v>665</v>
      </c>
      <c r="K485">
        <v>306.10333333333301</v>
      </c>
      <c r="L485">
        <v>256.99999999999898</v>
      </c>
      <c r="M485">
        <v>289.97333333333302</v>
      </c>
      <c r="N485">
        <v>266.65666666666601</v>
      </c>
      <c r="O485">
        <v>255.78666666666601</v>
      </c>
      <c r="P485">
        <v>247.159999999999</v>
      </c>
      <c r="Q485">
        <v>289.486666666666</v>
      </c>
      <c r="R485">
        <v>227.49666666666599</v>
      </c>
      <c r="S485">
        <v>271.553333333333</v>
      </c>
      <c r="T485">
        <v>242.213333333333</v>
      </c>
      <c r="U485">
        <v>225.89999999999901</v>
      </c>
      <c r="V485">
        <v>212.24</v>
      </c>
      <c r="W485">
        <v>291.469999999999</v>
      </c>
      <c r="X485">
        <v>261.52999999999901</v>
      </c>
      <c r="Y485">
        <v>273.66333333333301</v>
      </c>
      <c r="Z485">
        <v>271.61666666666599</v>
      </c>
      <c r="AA485">
        <v>265.52999999999901</v>
      </c>
      <c r="AB485">
        <v>265.52999999999901</v>
      </c>
      <c r="AC485">
        <v>316.236666666666</v>
      </c>
      <c r="AD485">
        <v>266.236666666666</v>
      </c>
      <c r="AE485">
        <v>300.26999999999902</v>
      </c>
      <c r="AF485">
        <v>285.17999999999898</v>
      </c>
      <c r="AG485">
        <v>275.65666666666601</v>
      </c>
      <c r="AH485">
        <v>270.863333333333</v>
      </c>
      <c r="AI485">
        <v>306.10333333333301</v>
      </c>
      <c r="AJ485">
        <v>256.99999999999898</v>
      </c>
      <c r="AK485">
        <v>289.97333333333302</v>
      </c>
      <c r="AL485">
        <v>266.65666666666601</v>
      </c>
      <c r="AM485">
        <v>255.78666666666601</v>
      </c>
      <c r="AN485">
        <v>247.159999999999</v>
      </c>
      <c r="AO485">
        <v>310.62333333333299</v>
      </c>
      <c r="AP485">
        <v>239.76333333333301</v>
      </c>
      <c r="AQ485">
        <v>291.539999999999</v>
      </c>
      <c r="AR485">
        <v>256.27666666666602</v>
      </c>
      <c r="AS485">
        <v>236.70999999999901</v>
      </c>
      <c r="AT485">
        <v>219.88999999999899</v>
      </c>
      <c r="AU485">
        <v>321.83333333333297</v>
      </c>
      <c r="AV485">
        <v>266.229999999999</v>
      </c>
      <c r="AW485">
        <v>304.49999999999898</v>
      </c>
      <c r="AX485">
        <v>279.17333333333301</v>
      </c>
      <c r="AY485">
        <v>265.97333333333302</v>
      </c>
      <c r="AZ485">
        <v>255.94999999999899</v>
      </c>
      <c r="BA485">
        <v>314.97333333333302</v>
      </c>
      <c r="BB485">
        <v>255.479999999999</v>
      </c>
      <c r="BC485">
        <v>297.26999999999902</v>
      </c>
      <c r="BD485">
        <v>269.606666666666</v>
      </c>
      <c r="BE485">
        <v>254.34666666666601</v>
      </c>
      <c r="BF485">
        <v>242.493333333333</v>
      </c>
      <c r="BG485" s="14"/>
      <c r="BH485" s="14"/>
      <c r="BI485" s="14"/>
      <c r="BJ485" s="199"/>
      <c r="BK485" s="14"/>
      <c r="BL485" s="14"/>
      <c r="BM485" s="14"/>
      <c r="BN485" s="14"/>
      <c r="BO485" s="14"/>
      <c r="BP485" s="14"/>
      <c r="BQ485" s="14"/>
      <c r="BR485" s="14"/>
      <c r="BS485" s="14"/>
      <c r="BT485" s="14"/>
      <c r="BU485" s="14"/>
      <c r="BV485" s="14"/>
      <c r="BW485" s="14"/>
      <c r="BX485" s="14"/>
      <c r="BY485" s="170"/>
    </row>
    <row r="486" spans="9:77" x14ac:dyDescent="0.25">
      <c r="I486">
        <v>4242</v>
      </c>
      <c r="J486" s="1" t="s">
        <v>666</v>
      </c>
      <c r="K486">
        <v>272.41333333333301</v>
      </c>
      <c r="L486">
        <v>223.30999999999901</v>
      </c>
      <c r="M486">
        <v>256.28333333333302</v>
      </c>
      <c r="N486">
        <v>232.96666666666599</v>
      </c>
      <c r="O486">
        <v>222.09666666666601</v>
      </c>
      <c r="P486">
        <v>213.469999999999</v>
      </c>
      <c r="Q486">
        <v>255.796666666666</v>
      </c>
      <c r="R486">
        <v>193.80666666666599</v>
      </c>
      <c r="S486">
        <v>237.863333333333</v>
      </c>
      <c r="T486">
        <v>208.523333333333</v>
      </c>
      <c r="U486">
        <v>192.21</v>
      </c>
      <c r="V486">
        <v>178.55</v>
      </c>
      <c r="W486">
        <v>257.77999999999901</v>
      </c>
      <c r="X486">
        <v>227.83999999999901</v>
      </c>
      <c r="Y486">
        <v>239.97333333333299</v>
      </c>
      <c r="Z486">
        <v>237.92666666666599</v>
      </c>
      <c r="AA486">
        <v>231.83999999999901</v>
      </c>
      <c r="AB486">
        <v>231.83999999999901</v>
      </c>
      <c r="AC486">
        <v>282.546666666666</v>
      </c>
      <c r="AD486">
        <v>232.546666666666</v>
      </c>
      <c r="AE486">
        <v>266.57999999999902</v>
      </c>
      <c r="AF486">
        <v>251.49</v>
      </c>
      <c r="AG486">
        <v>241.96666666666599</v>
      </c>
      <c r="AH486">
        <v>237.17333333333301</v>
      </c>
      <c r="AI486">
        <v>272.41333333333301</v>
      </c>
      <c r="AJ486">
        <v>223.30999999999901</v>
      </c>
      <c r="AK486">
        <v>256.28333333333302</v>
      </c>
      <c r="AL486">
        <v>232.96666666666599</v>
      </c>
      <c r="AM486">
        <v>222.09666666666601</v>
      </c>
      <c r="AN486">
        <v>213.469999999999</v>
      </c>
      <c r="AO486">
        <v>276.933333333333</v>
      </c>
      <c r="AP486">
        <v>206.07333333333301</v>
      </c>
      <c r="AQ486">
        <v>257.849999999999</v>
      </c>
      <c r="AR486">
        <v>222.58666666666599</v>
      </c>
      <c r="AS486">
        <v>203.01999999999899</v>
      </c>
      <c r="AT486">
        <v>186.2</v>
      </c>
      <c r="AU486">
        <v>288.14333333333298</v>
      </c>
      <c r="AV486">
        <v>232.539999999999</v>
      </c>
      <c r="AW486">
        <v>270.80999999999898</v>
      </c>
      <c r="AX486">
        <v>245.48333333333301</v>
      </c>
      <c r="AY486">
        <v>232.28333333333299</v>
      </c>
      <c r="AZ486">
        <v>222.26</v>
      </c>
      <c r="BA486">
        <v>281.28333333333302</v>
      </c>
      <c r="BB486">
        <v>221.789999999999</v>
      </c>
      <c r="BC486">
        <v>263.57999999999902</v>
      </c>
      <c r="BD486">
        <v>235.916666666666</v>
      </c>
      <c r="BE486">
        <v>220.65666666666601</v>
      </c>
      <c r="BF486">
        <v>208.803333333333</v>
      </c>
      <c r="BG486" s="14"/>
      <c r="BH486" s="14"/>
      <c r="BI486" s="14"/>
      <c r="BJ486" s="199"/>
      <c r="BK486" s="14"/>
      <c r="BL486" s="14"/>
      <c r="BM486" s="14"/>
      <c r="BN486" s="14"/>
      <c r="BO486" s="14"/>
      <c r="BP486" s="14"/>
      <c r="BQ486" s="14"/>
      <c r="BR486" s="14"/>
      <c r="BS486" s="14"/>
      <c r="BT486" s="14"/>
      <c r="BU486" s="14"/>
      <c r="BV486" s="14"/>
      <c r="BW486" s="14"/>
      <c r="BX486" s="14"/>
      <c r="BY486" s="170"/>
    </row>
    <row r="487" spans="9:77" x14ac:dyDescent="0.25">
      <c r="I487">
        <v>4243</v>
      </c>
      <c r="J487" s="1" t="s">
        <v>667</v>
      </c>
      <c r="K487">
        <v>290.22333333333302</v>
      </c>
      <c r="L487">
        <v>241.12</v>
      </c>
      <c r="M487">
        <v>274.09333333333302</v>
      </c>
      <c r="N487">
        <v>250.77666666666599</v>
      </c>
      <c r="O487">
        <v>239.90666666666601</v>
      </c>
      <c r="P487">
        <v>231.27999999999901</v>
      </c>
      <c r="Q487">
        <v>273.606666666666</v>
      </c>
      <c r="R487">
        <v>211.61666666666599</v>
      </c>
      <c r="S487">
        <v>255.67333333333301</v>
      </c>
      <c r="T487">
        <v>226.333333333333</v>
      </c>
      <c r="U487">
        <v>210.02</v>
      </c>
      <c r="V487">
        <v>196.36</v>
      </c>
      <c r="W487">
        <v>275.58999999999997</v>
      </c>
      <c r="X487">
        <v>245.65</v>
      </c>
      <c r="Y487">
        <v>257.78333333333302</v>
      </c>
      <c r="Z487">
        <v>255.736666666666</v>
      </c>
      <c r="AA487">
        <v>249.64999999999901</v>
      </c>
      <c r="AB487">
        <v>249.64999999999901</v>
      </c>
      <c r="AC487">
        <v>300.356666666666</v>
      </c>
      <c r="AD487">
        <v>250.356666666666</v>
      </c>
      <c r="AE487">
        <v>284.39</v>
      </c>
      <c r="AF487">
        <v>269.3</v>
      </c>
      <c r="AG487">
        <v>259.77666666666602</v>
      </c>
      <c r="AH487">
        <v>254.98333333333301</v>
      </c>
      <c r="AI487">
        <v>290.22333333333302</v>
      </c>
      <c r="AJ487">
        <v>241.12</v>
      </c>
      <c r="AK487">
        <v>274.09333333333302</v>
      </c>
      <c r="AL487">
        <v>250.77666666666599</v>
      </c>
      <c r="AM487">
        <v>239.90666666666601</v>
      </c>
      <c r="AN487">
        <v>231.27999999999901</v>
      </c>
      <c r="AO487">
        <v>294.743333333333</v>
      </c>
      <c r="AP487">
        <v>223.88333333333301</v>
      </c>
      <c r="AQ487">
        <v>275.659999999999</v>
      </c>
      <c r="AR487">
        <v>240.39666666666599</v>
      </c>
      <c r="AS487">
        <v>220.82999999999899</v>
      </c>
      <c r="AT487">
        <v>204.01</v>
      </c>
      <c r="AU487">
        <v>305.95333333333298</v>
      </c>
      <c r="AV487">
        <v>250.35</v>
      </c>
      <c r="AW487">
        <v>288.62</v>
      </c>
      <c r="AX487">
        <v>263.29333333333301</v>
      </c>
      <c r="AY487">
        <v>250.09333333333299</v>
      </c>
      <c r="AZ487">
        <v>240.07</v>
      </c>
      <c r="BA487">
        <v>299.09333333333302</v>
      </c>
      <c r="BB487">
        <v>239.599999999999</v>
      </c>
      <c r="BC487">
        <v>281.39</v>
      </c>
      <c r="BD487">
        <v>253.72666666666601</v>
      </c>
      <c r="BE487">
        <v>238.46666666666599</v>
      </c>
      <c r="BF487">
        <v>226.613333333333</v>
      </c>
      <c r="BG487" s="14"/>
      <c r="BH487" s="14"/>
      <c r="BI487" s="14"/>
      <c r="BJ487" s="199"/>
      <c r="BK487" s="14"/>
      <c r="BL487" s="14"/>
      <c r="BM487" s="14"/>
      <c r="BN487" s="14"/>
      <c r="BO487" s="14"/>
      <c r="BP487" s="14"/>
      <c r="BQ487" s="14"/>
      <c r="BR487" s="14"/>
      <c r="BS487" s="14"/>
      <c r="BT487" s="14"/>
      <c r="BU487" s="14"/>
      <c r="BV487" s="14"/>
      <c r="BW487" s="14"/>
      <c r="BX487" s="14"/>
      <c r="BY487" s="170"/>
    </row>
    <row r="488" spans="9:77" x14ac:dyDescent="0.25">
      <c r="I488">
        <v>4250</v>
      </c>
      <c r="J488" s="1" t="s">
        <v>668</v>
      </c>
      <c r="K488">
        <v>352.37333333333299</v>
      </c>
      <c r="L488">
        <v>303.26999999999902</v>
      </c>
      <c r="M488">
        <v>336.243333333333</v>
      </c>
      <c r="N488">
        <v>312.92666666666599</v>
      </c>
      <c r="O488">
        <v>302.05666666666599</v>
      </c>
      <c r="P488">
        <v>293.42999999999898</v>
      </c>
      <c r="Q488">
        <v>335.75666666666598</v>
      </c>
      <c r="R488">
        <v>273.76666666666603</v>
      </c>
      <c r="S488">
        <v>317.82333333333298</v>
      </c>
      <c r="T488">
        <v>288.48333333333301</v>
      </c>
      <c r="U488">
        <v>272.17</v>
      </c>
      <c r="V488">
        <v>258.51</v>
      </c>
      <c r="W488">
        <v>337.74</v>
      </c>
      <c r="X488">
        <v>307.8</v>
      </c>
      <c r="Y488">
        <v>319.933333333333</v>
      </c>
      <c r="Z488">
        <v>317.88666666666597</v>
      </c>
      <c r="AA488">
        <v>311.79999999999899</v>
      </c>
      <c r="AB488">
        <v>311.79999999999899</v>
      </c>
      <c r="AC488">
        <v>362.50666666666598</v>
      </c>
      <c r="AD488">
        <v>312.50666666666598</v>
      </c>
      <c r="AE488">
        <v>346.54</v>
      </c>
      <c r="AF488">
        <v>331.45</v>
      </c>
      <c r="AG488">
        <v>321.92666666666599</v>
      </c>
      <c r="AH488">
        <v>317.13333333333298</v>
      </c>
      <c r="AI488">
        <v>352.37333333333299</v>
      </c>
      <c r="AJ488">
        <v>303.26999999999902</v>
      </c>
      <c r="AK488">
        <v>336.243333333333</v>
      </c>
      <c r="AL488">
        <v>312.92666666666599</v>
      </c>
      <c r="AM488">
        <v>302.05666666666599</v>
      </c>
      <c r="AN488">
        <v>293.42999999999898</v>
      </c>
      <c r="AO488">
        <v>356.89333333333298</v>
      </c>
      <c r="AP488">
        <v>286.03333333333302</v>
      </c>
      <c r="AQ488">
        <v>337.80999999999898</v>
      </c>
      <c r="AR488">
        <v>302.546666666666</v>
      </c>
      <c r="AS488">
        <v>282.979999999999</v>
      </c>
      <c r="AT488">
        <v>266.16000000000003</v>
      </c>
      <c r="AU488">
        <v>368.10333333333301</v>
      </c>
      <c r="AV488">
        <v>312.5</v>
      </c>
      <c r="AW488">
        <v>350.76999999999902</v>
      </c>
      <c r="AX488">
        <v>325.44333333333299</v>
      </c>
      <c r="AY488">
        <v>312.243333333333</v>
      </c>
      <c r="AZ488">
        <v>302.22000000000003</v>
      </c>
      <c r="BA488">
        <v>361.243333333333</v>
      </c>
      <c r="BB488">
        <v>301.74999999999898</v>
      </c>
      <c r="BC488">
        <v>343.54</v>
      </c>
      <c r="BD488">
        <v>315.87666666666598</v>
      </c>
      <c r="BE488">
        <v>300.61666666666599</v>
      </c>
      <c r="BF488">
        <v>288.76333333333298</v>
      </c>
      <c r="BG488" s="14"/>
      <c r="BH488" s="14"/>
      <c r="BI488" s="14"/>
      <c r="BJ488" s="199"/>
      <c r="BK488" s="14"/>
      <c r="BL488" s="14"/>
      <c r="BM488" s="14"/>
      <c r="BN488" s="14"/>
      <c r="BO488" s="14"/>
      <c r="BP488" s="14"/>
      <c r="BQ488" s="14"/>
      <c r="BR488" s="14"/>
      <c r="BS488" s="14"/>
      <c r="BT488" s="14"/>
      <c r="BU488" s="14"/>
      <c r="BV488" s="14"/>
      <c r="BW488" s="14"/>
      <c r="BX488" s="14"/>
      <c r="BY488" s="170"/>
    </row>
    <row r="489" spans="9:77" x14ac:dyDescent="0.25">
      <c r="I489">
        <v>4261</v>
      </c>
      <c r="J489" s="1" t="s">
        <v>669</v>
      </c>
      <c r="K489">
        <v>290.22333333333302</v>
      </c>
      <c r="L489">
        <v>241.12</v>
      </c>
      <c r="M489">
        <v>274.09333333333302</v>
      </c>
      <c r="N489">
        <v>250.77666666666599</v>
      </c>
      <c r="O489">
        <v>239.90666666666601</v>
      </c>
      <c r="P489">
        <v>231.27999999999901</v>
      </c>
      <c r="Q489">
        <v>273.606666666666</v>
      </c>
      <c r="R489">
        <v>211.61666666666599</v>
      </c>
      <c r="S489">
        <v>255.67333333333301</v>
      </c>
      <c r="T489">
        <v>226.333333333333</v>
      </c>
      <c r="U489">
        <v>210.02</v>
      </c>
      <c r="V489">
        <v>196.36</v>
      </c>
      <c r="W489">
        <v>275.58999999999997</v>
      </c>
      <c r="X489">
        <v>245.65</v>
      </c>
      <c r="Y489">
        <v>257.78333333333302</v>
      </c>
      <c r="Z489">
        <v>255.736666666666</v>
      </c>
      <c r="AA489">
        <v>249.64999999999901</v>
      </c>
      <c r="AB489">
        <v>249.64999999999901</v>
      </c>
      <c r="AC489">
        <v>300.356666666666</v>
      </c>
      <c r="AD489">
        <v>250.356666666666</v>
      </c>
      <c r="AE489">
        <v>284.39</v>
      </c>
      <c r="AF489">
        <v>269.3</v>
      </c>
      <c r="AG489">
        <v>259.77666666666602</v>
      </c>
      <c r="AH489">
        <v>254.98333333333301</v>
      </c>
      <c r="AI489">
        <v>290.22333333333302</v>
      </c>
      <c r="AJ489">
        <v>241.12</v>
      </c>
      <c r="AK489">
        <v>274.09333333333302</v>
      </c>
      <c r="AL489">
        <v>250.77666666666599</v>
      </c>
      <c r="AM489">
        <v>239.90666666666601</v>
      </c>
      <c r="AN489">
        <v>231.27999999999901</v>
      </c>
      <c r="AO489">
        <v>294.743333333333</v>
      </c>
      <c r="AP489">
        <v>223.88333333333301</v>
      </c>
      <c r="AQ489">
        <v>275.659999999999</v>
      </c>
      <c r="AR489">
        <v>240.39666666666599</v>
      </c>
      <c r="AS489">
        <v>220.82999999999899</v>
      </c>
      <c r="AT489">
        <v>204.01</v>
      </c>
      <c r="AU489">
        <v>305.95333333333298</v>
      </c>
      <c r="AV489">
        <v>250.35</v>
      </c>
      <c r="AW489">
        <v>288.62</v>
      </c>
      <c r="AX489">
        <v>263.29333333333301</v>
      </c>
      <c r="AY489">
        <v>250.09333333333299</v>
      </c>
      <c r="AZ489">
        <v>240.07</v>
      </c>
      <c r="BA489">
        <v>299.09333333333302</v>
      </c>
      <c r="BB489">
        <v>239.599999999999</v>
      </c>
      <c r="BC489">
        <v>281.39</v>
      </c>
      <c r="BD489">
        <v>253.72666666666601</v>
      </c>
      <c r="BE489">
        <v>238.46666666666599</v>
      </c>
      <c r="BF489">
        <v>226.613333333333</v>
      </c>
      <c r="BG489" s="14"/>
      <c r="BH489" s="14"/>
      <c r="BI489" s="14"/>
      <c r="BJ489" s="199"/>
      <c r="BK489" s="14"/>
      <c r="BL489" s="14"/>
      <c r="BM489" s="14"/>
      <c r="BN489" s="14"/>
      <c r="BO489" s="14"/>
      <c r="BP489" s="14"/>
      <c r="BQ489" s="14"/>
      <c r="BR489" s="14"/>
      <c r="BS489" s="14"/>
      <c r="BT489" s="14"/>
      <c r="BU489" s="14"/>
      <c r="BV489" s="14"/>
      <c r="BW489" s="14"/>
      <c r="BX489" s="14"/>
      <c r="BY489" s="170"/>
    </row>
    <row r="490" spans="9:77" x14ac:dyDescent="0.25">
      <c r="I490">
        <v>4270</v>
      </c>
      <c r="J490" s="1" t="s">
        <v>670</v>
      </c>
      <c r="K490">
        <v>327.02333333333303</v>
      </c>
      <c r="L490">
        <v>277.91999999999899</v>
      </c>
      <c r="M490">
        <v>310.89333333333298</v>
      </c>
      <c r="N490">
        <v>287.57666666666597</v>
      </c>
      <c r="O490">
        <v>276.70666666666602</v>
      </c>
      <c r="P490">
        <v>268.07999999999902</v>
      </c>
      <c r="Q490">
        <v>310.40666666666601</v>
      </c>
      <c r="R490">
        <v>248.416666666666</v>
      </c>
      <c r="S490">
        <v>292.47333333333302</v>
      </c>
      <c r="T490">
        <v>263.13333333333298</v>
      </c>
      <c r="U490">
        <v>246.82</v>
      </c>
      <c r="V490">
        <v>233.16</v>
      </c>
      <c r="W490">
        <v>312.38999999999902</v>
      </c>
      <c r="X490">
        <v>282.44999999999902</v>
      </c>
      <c r="Y490">
        <v>294.58333333333297</v>
      </c>
      <c r="Z490">
        <v>292.53666666666601</v>
      </c>
      <c r="AA490">
        <v>286.44999999999902</v>
      </c>
      <c r="AB490">
        <v>286.44999999999902</v>
      </c>
      <c r="AC490">
        <v>337.15666666666601</v>
      </c>
      <c r="AD490">
        <v>287.15666666666601</v>
      </c>
      <c r="AE490">
        <v>321.19</v>
      </c>
      <c r="AF490">
        <v>306.10000000000002</v>
      </c>
      <c r="AG490">
        <v>296.57666666666597</v>
      </c>
      <c r="AH490">
        <v>291.78333333333302</v>
      </c>
      <c r="AI490">
        <v>327.02333333333303</v>
      </c>
      <c r="AJ490">
        <v>277.91999999999899</v>
      </c>
      <c r="AK490">
        <v>310.89333333333298</v>
      </c>
      <c r="AL490">
        <v>287.57666666666597</v>
      </c>
      <c r="AM490">
        <v>276.70666666666602</v>
      </c>
      <c r="AN490">
        <v>268.07999999999902</v>
      </c>
      <c r="AO490">
        <v>331.54333333333301</v>
      </c>
      <c r="AP490">
        <v>260.683333333333</v>
      </c>
      <c r="AQ490">
        <v>312.45999999999901</v>
      </c>
      <c r="AR490">
        <v>277.19666666666598</v>
      </c>
      <c r="AS490">
        <v>257.62999999999897</v>
      </c>
      <c r="AT490">
        <v>240.81</v>
      </c>
      <c r="AU490">
        <v>342.75333333333299</v>
      </c>
      <c r="AV490">
        <v>287.14999999999901</v>
      </c>
      <c r="AW490">
        <v>325.41999999999899</v>
      </c>
      <c r="AX490">
        <v>300.09333333333302</v>
      </c>
      <c r="AY490">
        <v>286.89333333333298</v>
      </c>
      <c r="AZ490">
        <v>276.87</v>
      </c>
      <c r="BA490">
        <v>335.89333333333298</v>
      </c>
      <c r="BB490">
        <v>276.39999999999901</v>
      </c>
      <c r="BC490">
        <v>318.19</v>
      </c>
      <c r="BD490">
        <v>290.52666666666602</v>
      </c>
      <c r="BE490">
        <v>275.26666666666603</v>
      </c>
      <c r="BF490">
        <v>263.41333333333301</v>
      </c>
      <c r="BG490" s="14"/>
      <c r="BH490" s="14"/>
      <c r="BI490" s="14"/>
      <c r="BJ490" s="199"/>
      <c r="BK490" s="14"/>
      <c r="BL490" s="14"/>
      <c r="BM490" s="14"/>
      <c r="BN490" s="14"/>
      <c r="BO490" s="14"/>
      <c r="BP490" s="14"/>
      <c r="BQ490" s="14"/>
      <c r="BR490" s="14"/>
      <c r="BS490" s="14"/>
      <c r="BT490" s="14"/>
      <c r="BU490" s="14"/>
      <c r="BV490" s="14"/>
      <c r="BW490" s="14"/>
      <c r="BX490" s="14"/>
      <c r="BY490" s="170"/>
    </row>
    <row r="491" spans="9:77" x14ac:dyDescent="0.25">
      <c r="I491">
        <v>4281</v>
      </c>
      <c r="J491" s="1" t="s">
        <v>671</v>
      </c>
      <c r="K491">
        <v>263.113333333333</v>
      </c>
      <c r="L491">
        <v>214.009999999999</v>
      </c>
      <c r="M491">
        <v>246.98333333333301</v>
      </c>
      <c r="N491">
        <v>223.666666666666</v>
      </c>
      <c r="O491">
        <v>212.796666666666</v>
      </c>
      <c r="P491">
        <v>204.16999999999899</v>
      </c>
      <c r="Q491">
        <v>246.49666666666599</v>
      </c>
      <c r="R491">
        <v>184.50666666666601</v>
      </c>
      <c r="S491">
        <v>228.56333333333299</v>
      </c>
      <c r="T491">
        <v>199.22333333333299</v>
      </c>
      <c r="U491">
        <v>182.909999999999</v>
      </c>
      <c r="V491">
        <v>169.25</v>
      </c>
      <c r="W491">
        <v>248.479999999999</v>
      </c>
      <c r="X491">
        <v>218.539999999999</v>
      </c>
      <c r="Y491">
        <v>230.67333333333301</v>
      </c>
      <c r="Z491">
        <v>228.62666666666601</v>
      </c>
      <c r="AA491">
        <v>222.539999999999</v>
      </c>
      <c r="AB491">
        <v>222.539999999999</v>
      </c>
      <c r="AC491">
        <v>273.24666666666599</v>
      </c>
      <c r="AD491">
        <v>223.24666666666599</v>
      </c>
      <c r="AE491">
        <v>257.27999999999901</v>
      </c>
      <c r="AF491">
        <v>242.189999999999</v>
      </c>
      <c r="AG491">
        <v>232.666666666666</v>
      </c>
      <c r="AH491">
        <v>227.87333333333299</v>
      </c>
      <c r="AI491">
        <v>263.113333333333</v>
      </c>
      <c r="AJ491">
        <v>214.009999999999</v>
      </c>
      <c r="AK491">
        <v>246.98333333333301</v>
      </c>
      <c r="AL491">
        <v>223.666666666666</v>
      </c>
      <c r="AM491">
        <v>212.796666666666</v>
      </c>
      <c r="AN491">
        <v>204.16999999999899</v>
      </c>
      <c r="AO491">
        <v>267.63333333333298</v>
      </c>
      <c r="AP491">
        <v>196.773333333333</v>
      </c>
      <c r="AQ491">
        <v>248.54999999999899</v>
      </c>
      <c r="AR491">
        <v>213.28666666666601</v>
      </c>
      <c r="AS491">
        <v>193.719999999999</v>
      </c>
      <c r="AT491">
        <v>176.89999999999901</v>
      </c>
      <c r="AU491">
        <v>278.84333333333302</v>
      </c>
      <c r="AV491">
        <v>223.23999999999899</v>
      </c>
      <c r="AW491">
        <v>261.50999999999902</v>
      </c>
      <c r="AX491">
        <v>236.183333333333</v>
      </c>
      <c r="AY491">
        <v>222.98333333333301</v>
      </c>
      <c r="AZ491">
        <v>212.95999999999901</v>
      </c>
      <c r="BA491">
        <v>271.98333333333301</v>
      </c>
      <c r="BB491">
        <v>212.48999999999899</v>
      </c>
      <c r="BC491">
        <v>254.27999999999901</v>
      </c>
      <c r="BD491">
        <v>226.61666666666599</v>
      </c>
      <c r="BE491">
        <v>211.356666666666</v>
      </c>
      <c r="BF491">
        <v>199.50333333333299</v>
      </c>
      <c r="BG491" s="14"/>
      <c r="BH491" s="14"/>
      <c r="BI491" s="14"/>
      <c r="BJ491" s="199"/>
      <c r="BK491" s="14"/>
      <c r="BL491" s="14"/>
      <c r="BM491" s="14"/>
      <c r="BN491" s="14"/>
      <c r="BO491" s="14"/>
      <c r="BP491" s="14"/>
      <c r="BQ491" s="14"/>
      <c r="BR491" s="14"/>
      <c r="BS491" s="14"/>
      <c r="BT491" s="14"/>
      <c r="BU491" s="14"/>
      <c r="BV491" s="14"/>
      <c r="BW491" s="14"/>
      <c r="BX491" s="14"/>
      <c r="BY491" s="170"/>
    </row>
    <row r="492" spans="9:77" x14ac:dyDescent="0.25">
      <c r="I492">
        <v>4291</v>
      </c>
      <c r="J492" s="1" t="s">
        <v>672</v>
      </c>
      <c r="K492">
        <v>351.70333333333298</v>
      </c>
      <c r="L492">
        <v>302.599999999999</v>
      </c>
      <c r="M492">
        <v>335.57333333333298</v>
      </c>
      <c r="N492">
        <v>312.25666666666598</v>
      </c>
      <c r="O492">
        <v>301.38666666666597</v>
      </c>
      <c r="P492">
        <v>292.75999999999902</v>
      </c>
      <c r="Q492">
        <v>335.08666666666602</v>
      </c>
      <c r="R492">
        <v>273.09666666666601</v>
      </c>
      <c r="S492">
        <v>317.15333333333302</v>
      </c>
      <c r="T492">
        <v>287.81333333333299</v>
      </c>
      <c r="U492">
        <v>271.5</v>
      </c>
      <c r="V492">
        <v>257.83999999999997</v>
      </c>
      <c r="W492">
        <v>337.06999999999903</v>
      </c>
      <c r="X492">
        <v>307.12999999999897</v>
      </c>
      <c r="Y492">
        <v>319.26333333333298</v>
      </c>
      <c r="Z492">
        <v>317.21666666666601</v>
      </c>
      <c r="AA492">
        <v>311.12999999999897</v>
      </c>
      <c r="AB492">
        <v>311.12999999999897</v>
      </c>
      <c r="AC492">
        <v>361.83666666666602</v>
      </c>
      <c r="AD492">
        <v>311.83666666666602</v>
      </c>
      <c r="AE492">
        <v>345.86999999999898</v>
      </c>
      <c r="AF492">
        <v>330.77999999999901</v>
      </c>
      <c r="AG492">
        <v>321.25666666666598</v>
      </c>
      <c r="AH492">
        <v>316.46333333333303</v>
      </c>
      <c r="AI492">
        <v>351.70333333333298</v>
      </c>
      <c r="AJ492">
        <v>302.599999999999</v>
      </c>
      <c r="AK492">
        <v>335.57333333333298</v>
      </c>
      <c r="AL492">
        <v>312.25666666666598</v>
      </c>
      <c r="AM492">
        <v>301.38666666666597</v>
      </c>
      <c r="AN492">
        <v>292.75999999999902</v>
      </c>
      <c r="AO492">
        <v>356.22333333333302</v>
      </c>
      <c r="AP492">
        <v>285.363333333333</v>
      </c>
      <c r="AQ492">
        <v>337.13999999999902</v>
      </c>
      <c r="AR492">
        <v>301.87666666666598</v>
      </c>
      <c r="AS492">
        <v>282.30999999999898</v>
      </c>
      <c r="AT492">
        <v>265.49</v>
      </c>
      <c r="AU492">
        <v>367.433333333333</v>
      </c>
      <c r="AV492">
        <v>311.82999999999902</v>
      </c>
      <c r="AW492">
        <v>350.099999999999</v>
      </c>
      <c r="AX492">
        <v>324.77333333333303</v>
      </c>
      <c r="AY492">
        <v>311.57333333333298</v>
      </c>
      <c r="AZ492">
        <v>301.55</v>
      </c>
      <c r="BA492">
        <v>360.57333333333298</v>
      </c>
      <c r="BB492">
        <v>301.07999999999902</v>
      </c>
      <c r="BC492">
        <v>342.86999999999898</v>
      </c>
      <c r="BD492">
        <v>315.20666666666602</v>
      </c>
      <c r="BE492">
        <v>299.94666666666598</v>
      </c>
      <c r="BF492">
        <v>288.09333333333302</v>
      </c>
      <c r="BG492" s="14"/>
      <c r="BH492" s="14"/>
      <c r="BI492" s="14"/>
      <c r="BJ492" s="199"/>
      <c r="BK492" s="14"/>
      <c r="BL492" s="14"/>
      <c r="BM492" s="14"/>
      <c r="BN492" s="14"/>
      <c r="BO492" s="14"/>
      <c r="BP492" s="14"/>
      <c r="BQ492" s="14"/>
      <c r="BR492" s="14"/>
      <c r="BS492" s="14"/>
      <c r="BT492" s="14"/>
      <c r="BU492" s="14"/>
      <c r="BV492" s="14"/>
      <c r="BW492" s="14"/>
      <c r="BX492" s="14"/>
      <c r="BY492" s="170"/>
    </row>
    <row r="493" spans="9:77" x14ac:dyDescent="0.25">
      <c r="I493">
        <v>4293</v>
      </c>
      <c r="J493" s="1" t="s">
        <v>673</v>
      </c>
      <c r="K493">
        <v>351.70333333333298</v>
      </c>
      <c r="L493">
        <v>302.599999999999</v>
      </c>
      <c r="M493">
        <v>335.57333333333298</v>
      </c>
      <c r="N493">
        <v>312.25666666666598</v>
      </c>
      <c r="O493">
        <v>301.38666666666597</v>
      </c>
      <c r="P493">
        <v>292.75999999999902</v>
      </c>
      <c r="Q493">
        <v>335.08666666666602</v>
      </c>
      <c r="R493">
        <v>273.09666666666601</v>
      </c>
      <c r="S493">
        <v>317.15333333333302</v>
      </c>
      <c r="T493">
        <v>287.81333333333299</v>
      </c>
      <c r="U493">
        <v>271.5</v>
      </c>
      <c r="V493">
        <v>257.83999999999997</v>
      </c>
      <c r="W493">
        <v>337.06999999999903</v>
      </c>
      <c r="X493">
        <v>307.12999999999897</v>
      </c>
      <c r="Y493">
        <v>319.26333333333298</v>
      </c>
      <c r="Z493">
        <v>317.21666666666601</v>
      </c>
      <c r="AA493">
        <v>311.12999999999897</v>
      </c>
      <c r="AB493">
        <v>311.12999999999897</v>
      </c>
      <c r="AC493">
        <v>361.83666666666602</v>
      </c>
      <c r="AD493">
        <v>311.83666666666602</v>
      </c>
      <c r="AE493">
        <v>345.86999999999898</v>
      </c>
      <c r="AF493">
        <v>330.77999999999901</v>
      </c>
      <c r="AG493">
        <v>321.25666666666598</v>
      </c>
      <c r="AH493">
        <v>316.46333333333303</v>
      </c>
      <c r="AI493">
        <v>351.70333333333298</v>
      </c>
      <c r="AJ493">
        <v>302.599999999999</v>
      </c>
      <c r="AK493">
        <v>335.57333333333298</v>
      </c>
      <c r="AL493">
        <v>312.25666666666598</v>
      </c>
      <c r="AM493">
        <v>301.38666666666597</v>
      </c>
      <c r="AN493">
        <v>292.75999999999902</v>
      </c>
      <c r="AO493">
        <v>356.22333333333302</v>
      </c>
      <c r="AP493">
        <v>285.363333333333</v>
      </c>
      <c r="AQ493">
        <v>337.13999999999902</v>
      </c>
      <c r="AR493">
        <v>301.87666666666598</v>
      </c>
      <c r="AS493">
        <v>282.30999999999898</v>
      </c>
      <c r="AT493">
        <v>265.49</v>
      </c>
      <c r="AU493">
        <v>367.433333333333</v>
      </c>
      <c r="AV493">
        <v>311.82999999999902</v>
      </c>
      <c r="AW493">
        <v>350.099999999999</v>
      </c>
      <c r="AX493">
        <v>324.77333333333303</v>
      </c>
      <c r="AY493">
        <v>311.57333333333298</v>
      </c>
      <c r="AZ493">
        <v>301.55</v>
      </c>
      <c r="BA493">
        <v>360.57333333333298</v>
      </c>
      <c r="BB493">
        <v>301.07999999999902</v>
      </c>
      <c r="BC493">
        <v>342.86999999999898</v>
      </c>
      <c r="BD493">
        <v>315.20666666666602</v>
      </c>
      <c r="BE493">
        <v>299.94666666666598</v>
      </c>
      <c r="BF493">
        <v>288.09333333333302</v>
      </c>
      <c r="BG493" s="14"/>
      <c r="BH493" s="14"/>
      <c r="BI493" s="14"/>
      <c r="BJ493" s="199"/>
      <c r="BK493" s="14"/>
      <c r="BL493" s="14"/>
      <c r="BM493" s="14"/>
      <c r="BN493" s="14"/>
      <c r="BO493" s="14"/>
      <c r="BP493" s="14"/>
      <c r="BQ493" s="14"/>
      <c r="BR493" s="14"/>
      <c r="BS493" s="14"/>
      <c r="BT493" s="14"/>
      <c r="BU493" s="14"/>
      <c r="BV493" s="14"/>
      <c r="BW493" s="14"/>
      <c r="BX493" s="14"/>
      <c r="BY493" s="170"/>
    </row>
    <row r="494" spans="9:77" x14ac:dyDescent="0.25">
      <c r="I494">
        <v>4295</v>
      </c>
      <c r="J494" s="1" t="s">
        <v>674</v>
      </c>
      <c r="K494">
        <v>371.05666666666599</v>
      </c>
      <c r="L494">
        <v>330.25999999999902</v>
      </c>
      <c r="M494">
        <v>356.986666666666</v>
      </c>
      <c r="N494">
        <v>337.94333333333299</v>
      </c>
      <c r="O494">
        <v>329.243333333333</v>
      </c>
      <c r="P494">
        <v>322.78333333333302</v>
      </c>
      <c r="Q494">
        <v>354.89333333333298</v>
      </c>
      <c r="R494">
        <v>296.606666666666</v>
      </c>
      <c r="S494">
        <v>336.659999999999</v>
      </c>
      <c r="T494">
        <v>310.71333333333303</v>
      </c>
      <c r="U494">
        <v>296.36666666666599</v>
      </c>
      <c r="V494">
        <v>285.19666666666598</v>
      </c>
      <c r="W494">
        <v>357.89</v>
      </c>
      <c r="X494">
        <v>329.08666666666602</v>
      </c>
      <c r="Y494">
        <v>340.40666666666601</v>
      </c>
      <c r="Z494">
        <v>338.45999999999901</v>
      </c>
      <c r="AA494">
        <v>332.79</v>
      </c>
      <c r="AB494">
        <v>332.79</v>
      </c>
      <c r="AC494">
        <v>376.53333333333302</v>
      </c>
      <c r="AD494">
        <v>333.15</v>
      </c>
      <c r="AE494">
        <v>361.69333333333299</v>
      </c>
      <c r="AF494">
        <v>348.91333333333301</v>
      </c>
      <c r="AG494">
        <v>340.75</v>
      </c>
      <c r="AH494">
        <v>336.93666666666599</v>
      </c>
      <c r="AI494">
        <v>371.05666666666599</v>
      </c>
      <c r="AJ494">
        <v>330.25999999999902</v>
      </c>
      <c r="AK494">
        <v>356.986666666666</v>
      </c>
      <c r="AL494">
        <v>337.94333333333299</v>
      </c>
      <c r="AM494">
        <v>329.243333333333</v>
      </c>
      <c r="AN494">
        <v>322.78333333333302</v>
      </c>
      <c r="AO494">
        <v>375.69999999999902</v>
      </c>
      <c r="AP494">
        <v>307.849999999999</v>
      </c>
      <c r="AQ494">
        <v>356.50333333333299</v>
      </c>
      <c r="AR494">
        <v>323.46333333333303</v>
      </c>
      <c r="AS494">
        <v>305.243333333333</v>
      </c>
      <c r="AT494">
        <v>289.87333333333299</v>
      </c>
      <c r="AU494">
        <v>388.07666666666597</v>
      </c>
      <c r="AV494">
        <v>334.666666666666</v>
      </c>
      <c r="AW494">
        <v>371.62666666666598</v>
      </c>
      <c r="AX494">
        <v>347.46666666666601</v>
      </c>
      <c r="AY494">
        <v>335.33</v>
      </c>
      <c r="AZ494">
        <v>326.19</v>
      </c>
      <c r="BA494">
        <v>376.67333333333301</v>
      </c>
      <c r="BB494">
        <v>321.42999999999898</v>
      </c>
      <c r="BC494">
        <v>359.79999999999899</v>
      </c>
      <c r="BD494">
        <v>334.51666666666603</v>
      </c>
      <c r="BE494">
        <v>320.95333333333298</v>
      </c>
      <c r="BF494">
        <v>310.66333333333301</v>
      </c>
      <c r="BG494" s="14"/>
      <c r="BH494" s="14"/>
      <c r="BI494" s="14"/>
      <c r="BJ494" s="199"/>
      <c r="BK494" s="14"/>
      <c r="BL494" s="14"/>
      <c r="BM494" s="14"/>
      <c r="BN494" s="14"/>
      <c r="BO494" s="14"/>
      <c r="BP494" s="14"/>
      <c r="BQ494" s="14"/>
      <c r="BR494" s="14"/>
      <c r="BS494" s="14"/>
      <c r="BT494" s="14"/>
      <c r="BU494" s="14"/>
      <c r="BV494" s="14"/>
      <c r="BW494" s="14"/>
      <c r="BX494" s="14"/>
      <c r="BY494" s="170"/>
    </row>
    <row r="495" spans="9:77" x14ac:dyDescent="0.25">
      <c r="I495">
        <v>4296</v>
      </c>
      <c r="J495" s="1" t="s">
        <v>675</v>
      </c>
      <c r="K495">
        <v>371.05666666666599</v>
      </c>
      <c r="L495">
        <v>330.25999999999902</v>
      </c>
      <c r="M495">
        <v>356.986666666666</v>
      </c>
      <c r="N495">
        <v>337.94333333333299</v>
      </c>
      <c r="O495">
        <v>329.243333333333</v>
      </c>
      <c r="P495">
        <v>322.78333333333302</v>
      </c>
      <c r="Q495">
        <v>354.89333333333298</v>
      </c>
      <c r="R495">
        <v>296.606666666666</v>
      </c>
      <c r="S495">
        <v>336.659999999999</v>
      </c>
      <c r="T495">
        <v>310.71333333333303</v>
      </c>
      <c r="U495">
        <v>296.36666666666599</v>
      </c>
      <c r="V495">
        <v>285.19666666666598</v>
      </c>
      <c r="W495">
        <v>357.89</v>
      </c>
      <c r="X495">
        <v>329.08666666666602</v>
      </c>
      <c r="Y495">
        <v>340.40666666666601</v>
      </c>
      <c r="Z495">
        <v>338.45999999999901</v>
      </c>
      <c r="AA495">
        <v>332.79</v>
      </c>
      <c r="AB495">
        <v>332.79</v>
      </c>
      <c r="AC495">
        <v>376.53333333333302</v>
      </c>
      <c r="AD495">
        <v>333.15</v>
      </c>
      <c r="AE495">
        <v>361.69333333333299</v>
      </c>
      <c r="AF495">
        <v>348.91333333333301</v>
      </c>
      <c r="AG495">
        <v>340.75</v>
      </c>
      <c r="AH495">
        <v>336.93666666666599</v>
      </c>
      <c r="AI495">
        <v>371.05666666666599</v>
      </c>
      <c r="AJ495">
        <v>330.25999999999902</v>
      </c>
      <c r="AK495">
        <v>356.986666666666</v>
      </c>
      <c r="AL495">
        <v>337.94333333333299</v>
      </c>
      <c r="AM495">
        <v>329.243333333333</v>
      </c>
      <c r="AN495">
        <v>322.78333333333302</v>
      </c>
      <c r="AO495">
        <v>375.69999999999902</v>
      </c>
      <c r="AP495">
        <v>307.849999999999</v>
      </c>
      <c r="AQ495">
        <v>356.50333333333299</v>
      </c>
      <c r="AR495">
        <v>323.46333333333303</v>
      </c>
      <c r="AS495">
        <v>305.243333333333</v>
      </c>
      <c r="AT495">
        <v>289.87333333333299</v>
      </c>
      <c r="AU495">
        <v>388.07666666666597</v>
      </c>
      <c r="AV495">
        <v>334.666666666666</v>
      </c>
      <c r="AW495">
        <v>371.62666666666598</v>
      </c>
      <c r="AX495">
        <v>347.46666666666601</v>
      </c>
      <c r="AY495">
        <v>335.33</v>
      </c>
      <c r="AZ495">
        <v>326.19</v>
      </c>
      <c r="BA495">
        <v>376.67333333333301</v>
      </c>
      <c r="BB495">
        <v>321.42999999999898</v>
      </c>
      <c r="BC495">
        <v>359.79999999999899</v>
      </c>
      <c r="BD495">
        <v>334.51666666666603</v>
      </c>
      <c r="BE495">
        <v>320.95333333333298</v>
      </c>
      <c r="BF495">
        <v>310.66333333333301</v>
      </c>
      <c r="BG495" s="14"/>
      <c r="BH495" s="14"/>
      <c r="BI495" s="14"/>
      <c r="BJ495" s="199"/>
      <c r="BK495" s="14"/>
      <c r="BL495" s="14"/>
      <c r="BM495" s="14"/>
      <c r="BN495" s="14"/>
      <c r="BO495" s="14"/>
      <c r="BP495" s="14"/>
      <c r="BQ495" s="14"/>
      <c r="BR495" s="14"/>
      <c r="BS495" s="14"/>
      <c r="BT495" s="14"/>
      <c r="BU495" s="14"/>
      <c r="BV495" s="14"/>
      <c r="BW495" s="14"/>
      <c r="BX495" s="14"/>
      <c r="BY495" s="170"/>
    </row>
    <row r="496" spans="9:77" x14ac:dyDescent="0.25">
      <c r="I496">
        <v>4300</v>
      </c>
      <c r="J496" s="1" t="s">
        <v>676</v>
      </c>
      <c r="K496">
        <v>281.606666666666</v>
      </c>
      <c r="L496">
        <v>240.80999999999901</v>
      </c>
      <c r="M496">
        <v>267.53666666666601</v>
      </c>
      <c r="N496">
        <v>248.493333333333</v>
      </c>
      <c r="O496">
        <v>239.79333333333301</v>
      </c>
      <c r="P496">
        <v>233.333333333333</v>
      </c>
      <c r="Q496">
        <v>265.44333333333299</v>
      </c>
      <c r="R496">
        <v>207.15666666666601</v>
      </c>
      <c r="S496">
        <v>247.20999999999901</v>
      </c>
      <c r="T496">
        <v>221.26333333333301</v>
      </c>
      <c r="U496">
        <v>206.916666666666</v>
      </c>
      <c r="V496">
        <v>195.74666666666599</v>
      </c>
      <c r="W496">
        <v>268.44</v>
      </c>
      <c r="X496">
        <v>239.636666666666</v>
      </c>
      <c r="Y496">
        <v>250.956666666666</v>
      </c>
      <c r="Z496">
        <v>249.009999999999</v>
      </c>
      <c r="AA496">
        <v>243.34</v>
      </c>
      <c r="AB496">
        <v>243.34</v>
      </c>
      <c r="AC496">
        <v>287.08333333333297</v>
      </c>
      <c r="AD496">
        <v>243.7</v>
      </c>
      <c r="AE496">
        <v>272.243333333333</v>
      </c>
      <c r="AF496">
        <v>259.46333333333303</v>
      </c>
      <c r="AG496">
        <v>251.3</v>
      </c>
      <c r="AH496">
        <v>247.486666666666</v>
      </c>
      <c r="AI496">
        <v>281.606666666666</v>
      </c>
      <c r="AJ496">
        <v>240.80999999999901</v>
      </c>
      <c r="AK496">
        <v>267.53666666666601</v>
      </c>
      <c r="AL496">
        <v>248.493333333333</v>
      </c>
      <c r="AM496">
        <v>239.79333333333301</v>
      </c>
      <c r="AN496">
        <v>233.333333333333</v>
      </c>
      <c r="AO496">
        <v>286.24999999999898</v>
      </c>
      <c r="AP496">
        <v>218.39999999999901</v>
      </c>
      <c r="AQ496">
        <v>267.053333333333</v>
      </c>
      <c r="AR496">
        <v>234.01333333333301</v>
      </c>
      <c r="AS496">
        <v>215.79333333333301</v>
      </c>
      <c r="AT496">
        <v>200.42333333333301</v>
      </c>
      <c r="AU496">
        <v>298.62666666666598</v>
      </c>
      <c r="AV496">
        <v>245.21666666666599</v>
      </c>
      <c r="AW496">
        <v>282.17666666666599</v>
      </c>
      <c r="AX496">
        <v>258.01666666666603</v>
      </c>
      <c r="AY496">
        <v>245.88</v>
      </c>
      <c r="AZ496">
        <v>236.74</v>
      </c>
      <c r="BA496">
        <v>287.22333333333302</v>
      </c>
      <c r="BB496">
        <v>231.979999999999</v>
      </c>
      <c r="BC496">
        <v>270.349999999999</v>
      </c>
      <c r="BD496">
        <v>245.06666666666601</v>
      </c>
      <c r="BE496">
        <v>231.50333333333299</v>
      </c>
      <c r="BF496">
        <v>221.213333333333</v>
      </c>
      <c r="BG496" s="14"/>
      <c r="BH496" s="14"/>
      <c r="BI496" s="14"/>
      <c r="BJ496" s="199"/>
      <c r="BK496" s="14"/>
      <c r="BL496" s="14"/>
      <c r="BM496" s="14"/>
      <c r="BN496" s="14"/>
      <c r="BO496" s="14"/>
      <c r="BP496" s="14"/>
      <c r="BQ496" s="14"/>
      <c r="BR496" s="14"/>
      <c r="BS496" s="14"/>
      <c r="BT496" s="14"/>
      <c r="BU496" s="14"/>
      <c r="BV496" s="14"/>
      <c r="BW496" s="14"/>
      <c r="BX496" s="14"/>
      <c r="BY496" s="170"/>
    </row>
    <row r="497" spans="9:77" x14ac:dyDescent="0.25">
      <c r="I497">
        <v>4320</v>
      </c>
      <c r="J497" s="1" t="s">
        <v>677</v>
      </c>
      <c r="K497">
        <v>322.81666666666598</v>
      </c>
      <c r="L497">
        <v>282.01999999999902</v>
      </c>
      <c r="M497">
        <v>308.74666666666599</v>
      </c>
      <c r="N497">
        <v>289.70333333333298</v>
      </c>
      <c r="O497">
        <v>281.00333333333299</v>
      </c>
      <c r="P497">
        <v>274.54333333333301</v>
      </c>
      <c r="Q497">
        <v>306.65333333333302</v>
      </c>
      <c r="R497">
        <v>248.36666666666599</v>
      </c>
      <c r="S497">
        <v>288.41999999999899</v>
      </c>
      <c r="T497">
        <v>262.47333333333302</v>
      </c>
      <c r="U497">
        <v>248.12666666666601</v>
      </c>
      <c r="V497">
        <v>236.956666666666</v>
      </c>
      <c r="W497">
        <v>309.64999999999998</v>
      </c>
      <c r="X497">
        <v>280.84666666666601</v>
      </c>
      <c r="Y497">
        <v>292.166666666666</v>
      </c>
      <c r="Z497">
        <v>290.219999999999</v>
      </c>
      <c r="AA497">
        <v>284.55</v>
      </c>
      <c r="AB497">
        <v>284.55</v>
      </c>
      <c r="AC497">
        <v>328.29333333333301</v>
      </c>
      <c r="AD497">
        <v>284.91000000000003</v>
      </c>
      <c r="AE497">
        <v>313.45333333333298</v>
      </c>
      <c r="AF497">
        <v>300.67333333333301</v>
      </c>
      <c r="AG497">
        <v>292.51</v>
      </c>
      <c r="AH497">
        <v>288.69666666666598</v>
      </c>
      <c r="AI497">
        <v>322.81666666666598</v>
      </c>
      <c r="AJ497">
        <v>282.01999999999902</v>
      </c>
      <c r="AK497">
        <v>308.74666666666599</v>
      </c>
      <c r="AL497">
        <v>289.70333333333298</v>
      </c>
      <c r="AM497">
        <v>281.00333333333299</v>
      </c>
      <c r="AN497">
        <v>274.54333333333301</v>
      </c>
      <c r="AO497">
        <v>327.45999999999901</v>
      </c>
      <c r="AP497">
        <v>259.60999999999899</v>
      </c>
      <c r="AQ497">
        <v>308.26333333333298</v>
      </c>
      <c r="AR497">
        <v>275.22333333333302</v>
      </c>
      <c r="AS497">
        <v>257.00333333333299</v>
      </c>
      <c r="AT497">
        <v>241.63333333333301</v>
      </c>
      <c r="AU497">
        <v>339.83666666666602</v>
      </c>
      <c r="AV497">
        <v>286.42666666666599</v>
      </c>
      <c r="AW497">
        <v>323.38666666666597</v>
      </c>
      <c r="AX497">
        <v>299.22666666666601</v>
      </c>
      <c r="AY497">
        <v>287.08999999999997</v>
      </c>
      <c r="AZ497">
        <v>277.95</v>
      </c>
      <c r="BA497">
        <v>328.433333333333</v>
      </c>
      <c r="BB497">
        <v>273.18999999999897</v>
      </c>
      <c r="BC497">
        <v>311.55999999999898</v>
      </c>
      <c r="BD497">
        <v>286.27666666666602</v>
      </c>
      <c r="BE497">
        <v>272.71333333333303</v>
      </c>
      <c r="BF497">
        <v>262.42333333333301</v>
      </c>
      <c r="BG497" s="14"/>
      <c r="BH497" s="14"/>
      <c r="BI497" s="14"/>
      <c r="BJ497" s="199"/>
      <c r="BK497" s="14"/>
      <c r="BL497" s="14"/>
      <c r="BM497" s="14"/>
      <c r="BN497" s="14"/>
      <c r="BO497" s="14"/>
      <c r="BP497" s="14"/>
      <c r="BQ497" s="14"/>
      <c r="BR497" s="14"/>
      <c r="BS497" s="14"/>
      <c r="BT497" s="14"/>
      <c r="BU497" s="14"/>
      <c r="BV497" s="14"/>
      <c r="BW497" s="14"/>
      <c r="BX497" s="14"/>
      <c r="BY497" s="170"/>
    </row>
    <row r="498" spans="9:77" x14ac:dyDescent="0.25">
      <c r="I498">
        <v>4330</v>
      </c>
      <c r="J498" s="1" t="s">
        <v>678</v>
      </c>
      <c r="K498">
        <v>322.81666666666598</v>
      </c>
      <c r="L498">
        <v>282.01999999999902</v>
      </c>
      <c r="M498">
        <v>308.74666666666599</v>
      </c>
      <c r="N498">
        <v>289.70333333333298</v>
      </c>
      <c r="O498">
        <v>281.00333333333299</v>
      </c>
      <c r="P498">
        <v>274.54333333333301</v>
      </c>
      <c r="Q498">
        <v>306.65333333333302</v>
      </c>
      <c r="R498">
        <v>248.36666666666599</v>
      </c>
      <c r="S498">
        <v>288.41999999999899</v>
      </c>
      <c r="T498">
        <v>262.47333333333302</v>
      </c>
      <c r="U498">
        <v>248.12666666666601</v>
      </c>
      <c r="V498">
        <v>236.956666666666</v>
      </c>
      <c r="W498">
        <v>309.64999999999998</v>
      </c>
      <c r="X498">
        <v>280.84666666666601</v>
      </c>
      <c r="Y498">
        <v>292.166666666666</v>
      </c>
      <c r="Z498">
        <v>290.219999999999</v>
      </c>
      <c r="AA498">
        <v>284.55</v>
      </c>
      <c r="AB498">
        <v>284.55</v>
      </c>
      <c r="AC498">
        <v>328.29333333333301</v>
      </c>
      <c r="AD498">
        <v>284.91000000000003</v>
      </c>
      <c r="AE498">
        <v>313.45333333333298</v>
      </c>
      <c r="AF498">
        <v>300.67333333333301</v>
      </c>
      <c r="AG498">
        <v>292.51</v>
      </c>
      <c r="AH498">
        <v>288.69666666666598</v>
      </c>
      <c r="AI498">
        <v>322.81666666666598</v>
      </c>
      <c r="AJ498">
        <v>282.01999999999902</v>
      </c>
      <c r="AK498">
        <v>308.74666666666599</v>
      </c>
      <c r="AL498">
        <v>289.70333333333298</v>
      </c>
      <c r="AM498">
        <v>281.00333333333299</v>
      </c>
      <c r="AN498">
        <v>274.54333333333301</v>
      </c>
      <c r="AO498">
        <v>327.45999999999901</v>
      </c>
      <c r="AP498">
        <v>259.60999999999899</v>
      </c>
      <c r="AQ498">
        <v>308.26333333333298</v>
      </c>
      <c r="AR498">
        <v>275.22333333333302</v>
      </c>
      <c r="AS498">
        <v>257.00333333333299</v>
      </c>
      <c r="AT498">
        <v>241.63333333333301</v>
      </c>
      <c r="AU498">
        <v>339.83666666666602</v>
      </c>
      <c r="AV498">
        <v>286.42666666666599</v>
      </c>
      <c r="AW498">
        <v>323.38666666666597</v>
      </c>
      <c r="AX498">
        <v>299.22666666666601</v>
      </c>
      <c r="AY498">
        <v>287.08999999999997</v>
      </c>
      <c r="AZ498">
        <v>277.95</v>
      </c>
      <c r="BA498">
        <v>328.433333333333</v>
      </c>
      <c r="BB498">
        <v>273.18999999999897</v>
      </c>
      <c r="BC498">
        <v>311.55999999999898</v>
      </c>
      <c r="BD498">
        <v>286.27666666666602</v>
      </c>
      <c r="BE498">
        <v>272.71333333333303</v>
      </c>
      <c r="BF498">
        <v>262.42333333333301</v>
      </c>
      <c r="BG498" s="14"/>
      <c r="BH498" s="14"/>
      <c r="BI498" s="14"/>
      <c r="BJ498" s="199"/>
      <c r="BK498" s="14"/>
      <c r="BL498" s="14"/>
      <c r="BM498" s="14"/>
      <c r="BN498" s="14"/>
      <c r="BO498" s="14"/>
      <c r="BP498" s="14"/>
      <c r="BQ498" s="14"/>
      <c r="BR498" s="14"/>
      <c r="BS498" s="14"/>
      <c r="BT498" s="14"/>
      <c r="BU498" s="14"/>
      <c r="BV498" s="14"/>
      <c r="BW498" s="14"/>
      <c r="BX498" s="14"/>
      <c r="BY498" s="170"/>
    </row>
    <row r="499" spans="9:77" x14ac:dyDescent="0.25">
      <c r="I499">
        <v>4340</v>
      </c>
      <c r="J499" s="1" t="s">
        <v>679</v>
      </c>
      <c r="K499">
        <v>332.75666666666598</v>
      </c>
      <c r="L499">
        <v>291.95999999999901</v>
      </c>
      <c r="M499">
        <v>318.68666666666599</v>
      </c>
      <c r="N499">
        <v>299.64333333333298</v>
      </c>
      <c r="O499">
        <v>290.94333333333299</v>
      </c>
      <c r="P499">
        <v>284.48333333333301</v>
      </c>
      <c r="Q499">
        <v>316.59333333333302</v>
      </c>
      <c r="R499">
        <v>258.30666666666599</v>
      </c>
      <c r="S499">
        <v>298.35999999999899</v>
      </c>
      <c r="T499">
        <v>272.41333333333301</v>
      </c>
      <c r="U499">
        <v>258.06666666666598</v>
      </c>
      <c r="V499">
        <v>246.89666666666599</v>
      </c>
      <c r="W499">
        <v>319.58999999999901</v>
      </c>
      <c r="X499">
        <v>290.78666666666601</v>
      </c>
      <c r="Y499">
        <v>302.106666666666</v>
      </c>
      <c r="Z499">
        <v>300.159999999999</v>
      </c>
      <c r="AA499">
        <v>294.49</v>
      </c>
      <c r="AB499">
        <v>294.49</v>
      </c>
      <c r="AC499">
        <v>338.23333333333301</v>
      </c>
      <c r="AD499">
        <v>294.85000000000002</v>
      </c>
      <c r="AE499">
        <v>323.39333333333298</v>
      </c>
      <c r="AF499">
        <v>310.613333333333</v>
      </c>
      <c r="AG499">
        <v>302.45</v>
      </c>
      <c r="AH499">
        <v>298.63666666666597</v>
      </c>
      <c r="AI499">
        <v>332.75666666666598</v>
      </c>
      <c r="AJ499">
        <v>291.95999999999901</v>
      </c>
      <c r="AK499">
        <v>318.68666666666599</v>
      </c>
      <c r="AL499">
        <v>299.64333333333298</v>
      </c>
      <c r="AM499">
        <v>290.94333333333299</v>
      </c>
      <c r="AN499">
        <v>284.48333333333301</v>
      </c>
      <c r="AO499">
        <v>337.39999999999901</v>
      </c>
      <c r="AP499">
        <v>269.54999999999899</v>
      </c>
      <c r="AQ499">
        <v>318.20333333333298</v>
      </c>
      <c r="AR499">
        <v>285.16333333333301</v>
      </c>
      <c r="AS499">
        <v>266.94333333333299</v>
      </c>
      <c r="AT499">
        <v>251.57333333333301</v>
      </c>
      <c r="AU499">
        <v>349.77666666666602</v>
      </c>
      <c r="AV499">
        <v>296.36666666666599</v>
      </c>
      <c r="AW499">
        <v>333.32666666666597</v>
      </c>
      <c r="AX499">
        <v>309.166666666666</v>
      </c>
      <c r="AY499">
        <v>297.02999999999997</v>
      </c>
      <c r="AZ499">
        <v>287.88999999999902</v>
      </c>
      <c r="BA499">
        <v>338.37333333333299</v>
      </c>
      <c r="BB499">
        <v>283.12999999999897</v>
      </c>
      <c r="BC499">
        <v>321.49999999999898</v>
      </c>
      <c r="BD499">
        <v>296.21666666666601</v>
      </c>
      <c r="BE499">
        <v>282.65333333333302</v>
      </c>
      <c r="BF499">
        <v>272.363333333333</v>
      </c>
      <c r="BG499" s="14"/>
      <c r="BH499" s="14"/>
      <c r="BI499" s="14"/>
      <c r="BJ499" s="199"/>
      <c r="BK499" s="14"/>
      <c r="BL499" s="14"/>
      <c r="BM499" s="14"/>
      <c r="BN499" s="14"/>
      <c r="BO499" s="14"/>
      <c r="BP499" s="14"/>
      <c r="BQ499" s="14"/>
      <c r="BR499" s="14"/>
      <c r="BS499" s="14"/>
      <c r="BT499" s="14"/>
      <c r="BU499" s="14"/>
      <c r="BV499" s="14"/>
      <c r="BW499" s="14"/>
      <c r="BX499" s="14"/>
      <c r="BY499" s="170"/>
    </row>
    <row r="500" spans="9:77" x14ac:dyDescent="0.25">
      <c r="I500">
        <v>4350</v>
      </c>
      <c r="J500" s="1" t="s">
        <v>680</v>
      </c>
      <c r="K500">
        <v>339.26666666666603</v>
      </c>
      <c r="L500">
        <v>298.469999999999</v>
      </c>
      <c r="M500">
        <v>325.19666666666598</v>
      </c>
      <c r="N500">
        <v>306.15333333333302</v>
      </c>
      <c r="O500">
        <v>297.45333333333298</v>
      </c>
      <c r="P500">
        <v>290.993333333333</v>
      </c>
      <c r="Q500">
        <v>323.10333333333301</v>
      </c>
      <c r="R500">
        <v>264.81666666666598</v>
      </c>
      <c r="S500">
        <v>304.87</v>
      </c>
      <c r="T500">
        <v>278.92333333333301</v>
      </c>
      <c r="U500">
        <v>264.57666666666597</v>
      </c>
      <c r="V500">
        <v>253.40666666666601</v>
      </c>
      <c r="W500">
        <v>326.10000000000002</v>
      </c>
      <c r="X500">
        <v>297.296666666666</v>
      </c>
      <c r="Y500">
        <v>308.61666666666599</v>
      </c>
      <c r="Z500">
        <v>306.67</v>
      </c>
      <c r="AA500">
        <v>301</v>
      </c>
      <c r="AB500">
        <v>301</v>
      </c>
      <c r="AC500">
        <v>344.743333333333</v>
      </c>
      <c r="AD500">
        <v>301.36</v>
      </c>
      <c r="AE500">
        <v>329.90333333333302</v>
      </c>
      <c r="AF500">
        <v>317.12333333333299</v>
      </c>
      <c r="AG500">
        <v>308.95999999999998</v>
      </c>
      <c r="AH500">
        <v>305.14666666666602</v>
      </c>
      <c r="AI500">
        <v>339.26666666666603</v>
      </c>
      <c r="AJ500">
        <v>298.469999999999</v>
      </c>
      <c r="AK500">
        <v>325.19666666666598</v>
      </c>
      <c r="AL500">
        <v>306.15333333333302</v>
      </c>
      <c r="AM500">
        <v>297.45333333333298</v>
      </c>
      <c r="AN500">
        <v>290.993333333333</v>
      </c>
      <c r="AO500">
        <v>343.909999999999</v>
      </c>
      <c r="AP500">
        <v>276.06</v>
      </c>
      <c r="AQ500">
        <v>324.71333333333303</v>
      </c>
      <c r="AR500">
        <v>291.67333333333301</v>
      </c>
      <c r="AS500">
        <v>273.45333333333298</v>
      </c>
      <c r="AT500">
        <v>258.08333333333297</v>
      </c>
      <c r="AU500">
        <v>356.28666666666601</v>
      </c>
      <c r="AV500">
        <v>302.87666666666598</v>
      </c>
      <c r="AW500">
        <v>339.83666666666602</v>
      </c>
      <c r="AX500">
        <v>315.67666666666599</v>
      </c>
      <c r="AY500">
        <v>303.54000000000002</v>
      </c>
      <c r="AZ500">
        <v>294.39999999999998</v>
      </c>
      <c r="BA500">
        <v>344.88333333333298</v>
      </c>
      <c r="BB500">
        <v>289.63999999999902</v>
      </c>
      <c r="BC500">
        <v>328.00999999999902</v>
      </c>
      <c r="BD500">
        <v>302.72666666666601</v>
      </c>
      <c r="BE500">
        <v>289.16333333333301</v>
      </c>
      <c r="BF500">
        <v>278.87333333333299</v>
      </c>
      <c r="BG500" s="14"/>
      <c r="BH500" s="14"/>
      <c r="BI500" s="14"/>
      <c r="BJ500" s="199"/>
      <c r="BK500" s="14"/>
      <c r="BL500" s="14"/>
      <c r="BM500" s="14"/>
      <c r="BN500" s="14"/>
      <c r="BO500" s="14"/>
      <c r="BP500" s="14"/>
      <c r="BQ500" s="14"/>
      <c r="BR500" s="14"/>
      <c r="BS500" s="14"/>
      <c r="BT500" s="14"/>
      <c r="BU500" s="14"/>
      <c r="BV500" s="14"/>
      <c r="BW500" s="14"/>
      <c r="BX500" s="14"/>
      <c r="BY500" s="170"/>
    </row>
    <row r="501" spans="9:77" x14ac:dyDescent="0.25">
      <c r="I501">
        <v>4360</v>
      </c>
      <c r="J501" s="1" t="s">
        <v>681</v>
      </c>
      <c r="K501">
        <v>371.44666666666598</v>
      </c>
      <c r="L501">
        <v>330.65</v>
      </c>
      <c r="M501">
        <v>357.37666666666598</v>
      </c>
      <c r="N501">
        <v>338.33333333333297</v>
      </c>
      <c r="O501">
        <v>329.63333333333298</v>
      </c>
      <c r="P501">
        <v>323.17333333333301</v>
      </c>
      <c r="Q501">
        <v>355.28333333333302</v>
      </c>
      <c r="R501">
        <v>296.99666666666599</v>
      </c>
      <c r="S501">
        <v>337.05</v>
      </c>
      <c r="T501">
        <v>311.10333333333301</v>
      </c>
      <c r="U501">
        <v>296.75666666666598</v>
      </c>
      <c r="V501">
        <v>285.58666666666602</v>
      </c>
      <c r="W501">
        <v>358.28</v>
      </c>
      <c r="X501">
        <v>329.47666666666601</v>
      </c>
      <c r="Y501">
        <v>340.796666666666</v>
      </c>
      <c r="Z501">
        <v>338.85</v>
      </c>
      <c r="AA501">
        <v>333.18</v>
      </c>
      <c r="AB501">
        <v>333.18</v>
      </c>
      <c r="AC501">
        <v>376.92333333333301</v>
      </c>
      <c r="AD501">
        <v>333.54</v>
      </c>
      <c r="AE501">
        <v>362.08333333333297</v>
      </c>
      <c r="AF501">
        <v>349.303333333333</v>
      </c>
      <c r="AG501">
        <v>341.14</v>
      </c>
      <c r="AH501">
        <v>337.32666666666597</v>
      </c>
      <c r="AI501">
        <v>371.44666666666598</v>
      </c>
      <c r="AJ501">
        <v>330.65</v>
      </c>
      <c r="AK501">
        <v>357.37666666666598</v>
      </c>
      <c r="AL501">
        <v>338.33333333333297</v>
      </c>
      <c r="AM501">
        <v>329.63333333333298</v>
      </c>
      <c r="AN501">
        <v>323.17333333333301</v>
      </c>
      <c r="AO501">
        <v>376.09</v>
      </c>
      <c r="AP501">
        <v>308.24</v>
      </c>
      <c r="AQ501">
        <v>356.89333333333298</v>
      </c>
      <c r="AR501">
        <v>323.85333333333301</v>
      </c>
      <c r="AS501">
        <v>305.63333333333298</v>
      </c>
      <c r="AT501">
        <v>290.26333333333298</v>
      </c>
      <c r="AU501">
        <v>388.46666666666601</v>
      </c>
      <c r="AV501">
        <v>335.05666666666599</v>
      </c>
      <c r="AW501">
        <v>372.01666666666603</v>
      </c>
      <c r="AX501">
        <v>347.856666666666</v>
      </c>
      <c r="AY501">
        <v>335.72</v>
      </c>
      <c r="AZ501">
        <v>326.58</v>
      </c>
      <c r="BA501">
        <v>377.06333333333299</v>
      </c>
      <c r="BB501">
        <v>321.82</v>
      </c>
      <c r="BC501">
        <v>360.19</v>
      </c>
      <c r="BD501">
        <v>334.90666666666601</v>
      </c>
      <c r="BE501">
        <v>321.34333333333302</v>
      </c>
      <c r="BF501">
        <v>311.053333333333</v>
      </c>
      <c r="BG501" s="14"/>
      <c r="BH501" s="14"/>
      <c r="BI501" s="14"/>
      <c r="BJ501" s="199"/>
      <c r="BK501" s="14"/>
      <c r="BL501" s="14"/>
      <c r="BM501" s="14"/>
      <c r="BN501" s="14"/>
      <c r="BO501" s="14"/>
      <c r="BP501" s="14"/>
      <c r="BQ501" s="14"/>
      <c r="BR501" s="14"/>
      <c r="BS501" s="14"/>
      <c r="BT501" s="14"/>
      <c r="BU501" s="14"/>
      <c r="BV501" s="14"/>
      <c r="BW501" s="14"/>
      <c r="BX501" s="14"/>
      <c r="BY501" s="170"/>
    </row>
    <row r="502" spans="9:77" x14ac:dyDescent="0.25">
      <c r="I502">
        <v>4370</v>
      </c>
      <c r="J502" s="1" t="s">
        <v>682</v>
      </c>
      <c r="K502">
        <v>371.44666666666598</v>
      </c>
      <c r="L502">
        <v>330.65</v>
      </c>
      <c r="M502">
        <v>357.37666666666598</v>
      </c>
      <c r="N502">
        <v>338.33333333333297</v>
      </c>
      <c r="O502">
        <v>329.63333333333298</v>
      </c>
      <c r="P502">
        <v>323.17333333333301</v>
      </c>
      <c r="Q502">
        <v>355.28333333333302</v>
      </c>
      <c r="R502">
        <v>296.99666666666599</v>
      </c>
      <c r="S502">
        <v>337.05</v>
      </c>
      <c r="T502">
        <v>311.10333333333301</v>
      </c>
      <c r="U502">
        <v>296.75666666666598</v>
      </c>
      <c r="V502">
        <v>285.58666666666602</v>
      </c>
      <c r="W502">
        <v>358.28</v>
      </c>
      <c r="X502">
        <v>329.47666666666601</v>
      </c>
      <c r="Y502">
        <v>340.796666666666</v>
      </c>
      <c r="Z502">
        <v>338.85</v>
      </c>
      <c r="AA502">
        <v>333.18</v>
      </c>
      <c r="AB502">
        <v>333.18</v>
      </c>
      <c r="AC502">
        <v>376.92333333333301</v>
      </c>
      <c r="AD502">
        <v>333.54</v>
      </c>
      <c r="AE502">
        <v>362.08333333333297</v>
      </c>
      <c r="AF502">
        <v>349.303333333333</v>
      </c>
      <c r="AG502">
        <v>341.14</v>
      </c>
      <c r="AH502">
        <v>337.32666666666597</v>
      </c>
      <c r="AI502">
        <v>371.44666666666598</v>
      </c>
      <c r="AJ502">
        <v>330.65</v>
      </c>
      <c r="AK502">
        <v>357.37666666666598</v>
      </c>
      <c r="AL502">
        <v>338.33333333333297</v>
      </c>
      <c r="AM502">
        <v>329.63333333333298</v>
      </c>
      <c r="AN502">
        <v>323.17333333333301</v>
      </c>
      <c r="AO502">
        <v>376.09</v>
      </c>
      <c r="AP502">
        <v>308.24</v>
      </c>
      <c r="AQ502">
        <v>356.89333333333298</v>
      </c>
      <c r="AR502">
        <v>323.85333333333301</v>
      </c>
      <c r="AS502">
        <v>305.63333333333298</v>
      </c>
      <c r="AT502">
        <v>290.26333333333298</v>
      </c>
      <c r="AU502">
        <v>388.46666666666601</v>
      </c>
      <c r="AV502">
        <v>335.05666666666599</v>
      </c>
      <c r="AW502">
        <v>372.01666666666603</v>
      </c>
      <c r="AX502">
        <v>347.856666666666</v>
      </c>
      <c r="AY502">
        <v>335.72</v>
      </c>
      <c r="AZ502">
        <v>326.58</v>
      </c>
      <c r="BA502">
        <v>377.06333333333299</v>
      </c>
      <c r="BB502">
        <v>321.82</v>
      </c>
      <c r="BC502">
        <v>360.19</v>
      </c>
      <c r="BD502">
        <v>334.90666666666601</v>
      </c>
      <c r="BE502">
        <v>321.34333333333302</v>
      </c>
      <c r="BF502">
        <v>311.053333333333</v>
      </c>
      <c r="BG502" s="14"/>
      <c r="BH502" s="14"/>
      <c r="BI502" s="14"/>
      <c r="BJ502" s="199"/>
      <c r="BK502" s="14"/>
      <c r="BL502" s="14"/>
      <c r="BM502" s="14"/>
      <c r="BN502" s="14"/>
      <c r="BO502" s="14"/>
      <c r="BP502" s="14"/>
      <c r="BQ502" s="14"/>
      <c r="BR502" s="14"/>
      <c r="BS502" s="14"/>
      <c r="BT502" s="14"/>
      <c r="BU502" s="14"/>
      <c r="BV502" s="14"/>
      <c r="BW502" s="14"/>
      <c r="BX502" s="14"/>
      <c r="BY502" s="170"/>
    </row>
    <row r="503" spans="9:77" x14ac:dyDescent="0.25">
      <c r="I503">
        <v>4380</v>
      </c>
      <c r="J503" s="1"/>
      <c r="K503">
        <v>371.05666666666599</v>
      </c>
      <c r="L503">
        <v>330.25999999999902</v>
      </c>
      <c r="M503">
        <v>356.986666666666</v>
      </c>
      <c r="N503">
        <v>337.94333333333299</v>
      </c>
      <c r="O503">
        <v>329.243333333333</v>
      </c>
      <c r="P503">
        <v>322.78333333333302</v>
      </c>
      <c r="Q503">
        <v>354.89333333333298</v>
      </c>
      <c r="R503">
        <v>296.606666666666</v>
      </c>
      <c r="S503">
        <v>336.659999999999</v>
      </c>
      <c r="T503">
        <v>310.71333333333303</v>
      </c>
      <c r="U503">
        <v>296.36666666666599</v>
      </c>
      <c r="V503">
        <v>285.19666666666598</v>
      </c>
      <c r="W503">
        <v>357.89</v>
      </c>
      <c r="X503">
        <v>329.08666666666602</v>
      </c>
      <c r="Y503">
        <v>340.40666666666601</v>
      </c>
      <c r="Z503">
        <v>338.45999999999901</v>
      </c>
      <c r="AA503">
        <v>332.79</v>
      </c>
      <c r="AB503">
        <v>332.79</v>
      </c>
      <c r="AC503">
        <v>376.53333333333302</v>
      </c>
      <c r="AD503">
        <v>333.15</v>
      </c>
      <c r="AE503">
        <v>361.69333333333299</v>
      </c>
      <c r="AF503">
        <v>348.91333333333301</v>
      </c>
      <c r="AG503">
        <v>340.75</v>
      </c>
      <c r="AH503">
        <v>336.93666666666599</v>
      </c>
      <c r="AI503">
        <v>371.05666666666599</v>
      </c>
      <c r="AJ503">
        <v>330.25999999999902</v>
      </c>
      <c r="AK503">
        <v>356.986666666666</v>
      </c>
      <c r="AL503">
        <v>337.94333333333299</v>
      </c>
      <c r="AM503">
        <v>329.243333333333</v>
      </c>
      <c r="AN503">
        <v>322.78333333333302</v>
      </c>
      <c r="AO503">
        <v>375.69999999999902</v>
      </c>
      <c r="AP503">
        <v>307.849999999999</v>
      </c>
      <c r="AQ503">
        <v>356.50333333333299</v>
      </c>
      <c r="AR503">
        <v>323.46333333333303</v>
      </c>
      <c r="AS503">
        <v>305.243333333333</v>
      </c>
      <c r="AT503">
        <v>289.87333333333299</v>
      </c>
      <c r="AU503">
        <v>388.07666666666597</v>
      </c>
      <c r="AV503">
        <v>334.666666666666</v>
      </c>
      <c r="AW503">
        <v>371.62666666666598</v>
      </c>
      <c r="AX503">
        <v>347.46666666666601</v>
      </c>
      <c r="AY503">
        <v>335.33</v>
      </c>
      <c r="AZ503">
        <v>326.19</v>
      </c>
      <c r="BA503">
        <v>376.67333333333301</v>
      </c>
      <c r="BB503">
        <v>321.42999999999898</v>
      </c>
      <c r="BC503">
        <v>359.79999999999899</v>
      </c>
      <c r="BD503">
        <v>334.51666666666603</v>
      </c>
      <c r="BE503">
        <v>320.95333333333298</v>
      </c>
      <c r="BF503">
        <v>310.66333333333301</v>
      </c>
      <c r="BG503" s="14"/>
      <c r="BH503" s="14"/>
      <c r="BI503" s="14"/>
      <c r="BJ503" s="199"/>
      <c r="BK503" s="14"/>
      <c r="BL503" s="14"/>
      <c r="BM503" s="14"/>
      <c r="BN503" s="14"/>
      <c r="BO503" s="14"/>
      <c r="BP503" s="14"/>
      <c r="BQ503" s="14"/>
      <c r="BR503" s="14"/>
      <c r="BS503" s="14"/>
      <c r="BT503" s="14"/>
      <c r="BU503" s="14"/>
      <c r="BV503" s="14"/>
      <c r="BW503" s="14"/>
      <c r="BX503" s="14"/>
      <c r="BY503" s="170"/>
    </row>
    <row r="504" spans="9:77" x14ac:dyDescent="0.25">
      <c r="I504">
        <v>4390</v>
      </c>
      <c r="J504" s="1" t="s">
        <v>683</v>
      </c>
      <c r="K504">
        <v>332.75666666666598</v>
      </c>
      <c r="L504">
        <v>291.95999999999901</v>
      </c>
      <c r="M504">
        <v>318.68666666666599</v>
      </c>
      <c r="N504">
        <v>299.64333333333298</v>
      </c>
      <c r="O504">
        <v>290.94333333333299</v>
      </c>
      <c r="P504">
        <v>284.48333333333301</v>
      </c>
      <c r="Q504">
        <v>316.59333333333302</v>
      </c>
      <c r="R504">
        <v>258.30666666666599</v>
      </c>
      <c r="S504">
        <v>298.35999999999899</v>
      </c>
      <c r="T504">
        <v>272.41333333333301</v>
      </c>
      <c r="U504">
        <v>258.06666666666598</v>
      </c>
      <c r="V504">
        <v>246.89666666666599</v>
      </c>
      <c r="W504">
        <v>319.58999999999901</v>
      </c>
      <c r="X504">
        <v>290.78666666666601</v>
      </c>
      <c r="Y504">
        <v>302.106666666666</v>
      </c>
      <c r="Z504">
        <v>300.159999999999</v>
      </c>
      <c r="AA504">
        <v>294.49</v>
      </c>
      <c r="AB504">
        <v>294.49</v>
      </c>
      <c r="AC504">
        <v>338.23333333333301</v>
      </c>
      <c r="AD504">
        <v>294.85000000000002</v>
      </c>
      <c r="AE504">
        <v>323.39333333333298</v>
      </c>
      <c r="AF504">
        <v>310.613333333333</v>
      </c>
      <c r="AG504">
        <v>302.45</v>
      </c>
      <c r="AH504">
        <v>298.63666666666597</v>
      </c>
      <c r="AI504">
        <v>332.75666666666598</v>
      </c>
      <c r="AJ504">
        <v>291.95999999999901</v>
      </c>
      <c r="AK504">
        <v>318.68666666666599</v>
      </c>
      <c r="AL504">
        <v>299.64333333333298</v>
      </c>
      <c r="AM504">
        <v>290.94333333333299</v>
      </c>
      <c r="AN504">
        <v>284.48333333333301</v>
      </c>
      <c r="AO504">
        <v>337.39999999999901</v>
      </c>
      <c r="AP504">
        <v>269.54999999999899</v>
      </c>
      <c r="AQ504">
        <v>318.20333333333298</v>
      </c>
      <c r="AR504">
        <v>285.16333333333301</v>
      </c>
      <c r="AS504">
        <v>266.94333333333299</v>
      </c>
      <c r="AT504">
        <v>251.57333333333301</v>
      </c>
      <c r="AU504">
        <v>349.77666666666602</v>
      </c>
      <c r="AV504">
        <v>296.36666666666599</v>
      </c>
      <c r="AW504">
        <v>333.32666666666597</v>
      </c>
      <c r="AX504">
        <v>309.166666666666</v>
      </c>
      <c r="AY504">
        <v>297.02999999999997</v>
      </c>
      <c r="AZ504">
        <v>287.88999999999902</v>
      </c>
      <c r="BA504">
        <v>338.37333333333299</v>
      </c>
      <c r="BB504">
        <v>283.12999999999897</v>
      </c>
      <c r="BC504">
        <v>321.49999999999898</v>
      </c>
      <c r="BD504">
        <v>296.21666666666601</v>
      </c>
      <c r="BE504">
        <v>282.65333333333302</v>
      </c>
      <c r="BF504">
        <v>272.363333333333</v>
      </c>
      <c r="BG504" s="14"/>
      <c r="BH504" s="14"/>
      <c r="BI504" s="14"/>
      <c r="BJ504" s="199"/>
      <c r="BK504" s="14"/>
      <c r="BL504" s="14"/>
      <c r="BM504" s="14"/>
      <c r="BN504" s="14"/>
      <c r="BO504" s="14"/>
      <c r="BP504" s="14"/>
      <c r="BQ504" s="14"/>
      <c r="BR504" s="14"/>
      <c r="BS504" s="14"/>
      <c r="BT504" s="14"/>
      <c r="BU504" s="14"/>
      <c r="BV504" s="14"/>
      <c r="BW504" s="14"/>
      <c r="BX504" s="14"/>
      <c r="BY504" s="170"/>
    </row>
    <row r="505" spans="9:77" x14ac:dyDescent="0.25">
      <c r="I505">
        <v>4400</v>
      </c>
      <c r="J505" s="1" t="s">
        <v>684</v>
      </c>
      <c r="K505">
        <v>261.613333333333</v>
      </c>
      <c r="L505">
        <v>212.509999999999</v>
      </c>
      <c r="M505">
        <v>245.48333333333301</v>
      </c>
      <c r="N505">
        <v>222.166666666666</v>
      </c>
      <c r="O505">
        <v>211.296666666666</v>
      </c>
      <c r="P505">
        <v>202.66999999999899</v>
      </c>
      <c r="Q505">
        <v>244.99666666666599</v>
      </c>
      <c r="R505">
        <v>183.00666666666601</v>
      </c>
      <c r="S505">
        <v>227.06333333333299</v>
      </c>
      <c r="T505">
        <v>197.72333333333299</v>
      </c>
      <c r="U505">
        <v>181.41</v>
      </c>
      <c r="V505">
        <v>167.75</v>
      </c>
      <c r="W505">
        <v>246.98</v>
      </c>
      <c r="X505">
        <v>217.04</v>
      </c>
      <c r="Y505">
        <v>229.17333333333301</v>
      </c>
      <c r="Z505">
        <v>227.12666666666601</v>
      </c>
      <c r="AA505">
        <v>221.039999999999</v>
      </c>
      <c r="AB505">
        <v>221.039999999999</v>
      </c>
      <c r="AC505">
        <v>271.74666666666599</v>
      </c>
      <c r="AD505">
        <v>221.74666666666599</v>
      </c>
      <c r="AE505">
        <v>255.78</v>
      </c>
      <c r="AF505">
        <v>240.69</v>
      </c>
      <c r="AG505">
        <v>231.166666666666</v>
      </c>
      <c r="AH505">
        <v>226.37333333333299</v>
      </c>
      <c r="AI505">
        <v>261.613333333333</v>
      </c>
      <c r="AJ505">
        <v>212.509999999999</v>
      </c>
      <c r="AK505">
        <v>245.48333333333301</v>
      </c>
      <c r="AL505">
        <v>222.166666666666</v>
      </c>
      <c r="AM505">
        <v>211.296666666666</v>
      </c>
      <c r="AN505">
        <v>202.66999999999899</v>
      </c>
      <c r="AO505">
        <v>266.13333333333298</v>
      </c>
      <c r="AP505">
        <v>195.273333333333</v>
      </c>
      <c r="AQ505">
        <v>247.04999999999899</v>
      </c>
      <c r="AR505">
        <v>211.78666666666601</v>
      </c>
      <c r="AS505">
        <v>192.219999999999</v>
      </c>
      <c r="AT505">
        <v>175.4</v>
      </c>
      <c r="AU505">
        <v>277.34333333333302</v>
      </c>
      <c r="AV505">
        <v>221.74</v>
      </c>
      <c r="AW505">
        <v>260.00999999999902</v>
      </c>
      <c r="AX505">
        <v>234.683333333333</v>
      </c>
      <c r="AY505">
        <v>221.48333333333301</v>
      </c>
      <c r="AZ505">
        <v>211.46</v>
      </c>
      <c r="BA505">
        <v>270.48333333333301</v>
      </c>
      <c r="BB505">
        <v>210.98999999999899</v>
      </c>
      <c r="BC505">
        <v>252.78</v>
      </c>
      <c r="BD505">
        <v>225.11666666666599</v>
      </c>
      <c r="BE505">
        <v>209.856666666666</v>
      </c>
      <c r="BF505">
        <v>198.00333333333299</v>
      </c>
      <c r="BG505" s="14"/>
      <c r="BH505" s="14"/>
      <c r="BI505" s="14"/>
      <c r="BJ505" s="199"/>
      <c r="BK505" s="14"/>
      <c r="BL505" s="14"/>
      <c r="BM505" s="14"/>
      <c r="BN505" s="14"/>
      <c r="BO505" s="14"/>
      <c r="BP505" s="14"/>
      <c r="BQ505" s="14"/>
      <c r="BR505" s="14"/>
      <c r="BS505" s="14"/>
      <c r="BT505" s="14"/>
      <c r="BU505" s="14"/>
      <c r="BV505" s="14"/>
      <c r="BW505" s="14"/>
      <c r="BX505" s="14"/>
      <c r="BY505" s="170"/>
    </row>
    <row r="506" spans="9:77" x14ac:dyDescent="0.25">
      <c r="I506">
        <v>4420</v>
      </c>
      <c r="J506" s="1" t="s">
        <v>685</v>
      </c>
      <c r="K506">
        <v>339.26666666666603</v>
      </c>
      <c r="L506">
        <v>298.469999999999</v>
      </c>
      <c r="M506">
        <v>325.19666666666598</v>
      </c>
      <c r="N506">
        <v>306.15333333333302</v>
      </c>
      <c r="O506">
        <v>297.45333333333298</v>
      </c>
      <c r="P506">
        <v>290.993333333333</v>
      </c>
      <c r="Q506">
        <v>323.10333333333301</v>
      </c>
      <c r="R506">
        <v>264.81666666666598</v>
      </c>
      <c r="S506">
        <v>304.87</v>
      </c>
      <c r="T506">
        <v>278.92333333333301</v>
      </c>
      <c r="U506">
        <v>264.57666666666597</v>
      </c>
      <c r="V506">
        <v>253.40666666666601</v>
      </c>
      <c r="W506">
        <v>326.10000000000002</v>
      </c>
      <c r="X506">
        <v>297.296666666666</v>
      </c>
      <c r="Y506">
        <v>308.61666666666599</v>
      </c>
      <c r="Z506">
        <v>306.67</v>
      </c>
      <c r="AA506">
        <v>301</v>
      </c>
      <c r="AB506">
        <v>301</v>
      </c>
      <c r="AC506">
        <v>344.743333333333</v>
      </c>
      <c r="AD506">
        <v>301.36</v>
      </c>
      <c r="AE506">
        <v>329.90333333333302</v>
      </c>
      <c r="AF506">
        <v>317.12333333333299</v>
      </c>
      <c r="AG506">
        <v>308.95999999999998</v>
      </c>
      <c r="AH506">
        <v>305.14666666666602</v>
      </c>
      <c r="AI506">
        <v>339.26666666666603</v>
      </c>
      <c r="AJ506">
        <v>298.469999999999</v>
      </c>
      <c r="AK506">
        <v>325.19666666666598</v>
      </c>
      <c r="AL506">
        <v>306.15333333333302</v>
      </c>
      <c r="AM506">
        <v>297.45333333333298</v>
      </c>
      <c r="AN506">
        <v>290.993333333333</v>
      </c>
      <c r="AO506">
        <v>343.909999999999</v>
      </c>
      <c r="AP506">
        <v>276.06</v>
      </c>
      <c r="AQ506">
        <v>324.71333333333303</v>
      </c>
      <c r="AR506">
        <v>291.67333333333301</v>
      </c>
      <c r="AS506">
        <v>273.45333333333298</v>
      </c>
      <c r="AT506">
        <v>258.08333333333297</v>
      </c>
      <c r="AU506">
        <v>356.28666666666601</v>
      </c>
      <c r="AV506">
        <v>302.87666666666598</v>
      </c>
      <c r="AW506">
        <v>339.83666666666602</v>
      </c>
      <c r="AX506">
        <v>315.67666666666599</v>
      </c>
      <c r="AY506">
        <v>303.54000000000002</v>
      </c>
      <c r="AZ506">
        <v>294.39999999999998</v>
      </c>
      <c r="BA506">
        <v>344.88333333333298</v>
      </c>
      <c r="BB506">
        <v>289.63999999999902</v>
      </c>
      <c r="BC506">
        <v>328.00999999999902</v>
      </c>
      <c r="BD506">
        <v>302.72666666666601</v>
      </c>
      <c r="BE506">
        <v>289.16333333333301</v>
      </c>
      <c r="BF506">
        <v>278.87333333333299</v>
      </c>
      <c r="BG506" s="14"/>
      <c r="BH506" s="14"/>
      <c r="BI506" s="14"/>
      <c r="BJ506" s="199"/>
      <c r="BK506" s="14"/>
      <c r="BL506" s="14"/>
      <c r="BM506" s="14"/>
      <c r="BN506" s="14"/>
      <c r="BO506" s="14"/>
      <c r="BP506" s="14"/>
      <c r="BQ506" s="14"/>
      <c r="BR506" s="14"/>
      <c r="BS506" s="14"/>
      <c r="BT506" s="14"/>
      <c r="BU506" s="14"/>
      <c r="BV506" s="14"/>
      <c r="BW506" s="14"/>
      <c r="BX506" s="14"/>
      <c r="BY506" s="170"/>
    </row>
    <row r="507" spans="9:77" x14ac:dyDescent="0.25">
      <c r="I507">
        <v>4440</v>
      </c>
      <c r="J507" s="1" t="s">
        <v>686</v>
      </c>
      <c r="K507">
        <v>352.17666666666599</v>
      </c>
      <c r="L507">
        <v>311.37999999999897</v>
      </c>
      <c r="M507">
        <v>338.106666666666</v>
      </c>
      <c r="N507">
        <v>319.06333333333299</v>
      </c>
      <c r="O507">
        <v>310.363333333333</v>
      </c>
      <c r="P507">
        <v>303.90333333333302</v>
      </c>
      <c r="Q507">
        <v>336.01333333333298</v>
      </c>
      <c r="R507">
        <v>277.72666666666601</v>
      </c>
      <c r="S507">
        <v>317.77999999999901</v>
      </c>
      <c r="T507">
        <v>291.83333333333297</v>
      </c>
      <c r="U507">
        <v>277.486666666666</v>
      </c>
      <c r="V507">
        <v>266.31666666666598</v>
      </c>
      <c r="W507">
        <v>339.00999999999902</v>
      </c>
      <c r="X507">
        <v>310.20666666666602</v>
      </c>
      <c r="Y507">
        <v>321.52666666666602</v>
      </c>
      <c r="Z507">
        <v>319.57999999999902</v>
      </c>
      <c r="AA507">
        <v>313.909999999999</v>
      </c>
      <c r="AB507">
        <v>313.909999999999</v>
      </c>
      <c r="AC507">
        <v>357.65333333333302</v>
      </c>
      <c r="AD507">
        <v>314.26999999999902</v>
      </c>
      <c r="AE507">
        <v>342.81333333333299</v>
      </c>
      <c r="AF507">
        <v>330.03333333333302</v>
      </c>
      <c r="AG507">
        <v>321.87</v>
      </c>
      <c r="AH507">
        <v>318.05666666666599</v>
      </c>
      <c r="AI507">
        <v>352.17666666666599</v>
      </c>
      <c r="AJ507">
        <v>311.37999999999897</v>
      </c>
      <c r="AK507">
        <v>338.106666666666</v>
      </c>
      <c r="AL507">
        <v>319.06333333333299</v>
      </c>
      <c r="AM507">
        <v>310.363333333333</v>
      </c>
      <c r="AN507">
        <v>303.90333333333302</v>
      </c>
      <c r="AO507">
        <v>356.81999999999903</v>
      </c>
      <c r="AP507">
        <v>288.969999999999</v>
      </c>
      <c r="AQ507">
        <v>337.62333333333299</v>
      </c>
      <c r="AR507">
        <v>304.58333333333297</v>
      </c>
      <c r="AS507">
        <v>286.363333333333</v>
      </c>
      <c r="AT507">
        <v>270.993333333333</v>
      </c>
      <c r="AU507">
        <v>369.19666666666598</v>
      </c>
      <c r="AV507">
        <v>315.78666666666601</v>
      </c>
      <c r="AW507">
        <v>352.74666666666599</v>
      </c>
      <c r="AX507">
        <v>328.58666666666602</v>
      </c>
      <c r="AY507">
        <v>316.44999999999902</v>
      </c>
      <c r="AZ507">
        <v>307.30999999999898</v>
      </c>
      <c r="BA507">
        <v>357.79333333333301</v>
      </c>
      <c r="BB507">
        <v>302.54999999999899</v>
      </c>
      <c r="BC507">
        <v>340.91999999999899</v>
      </c>
      <c r="BD507">
        <v>315.63666666666597</v>
      </c>
      <c r="BE507">
        <v>302.07333333333298</v>
      </c>
      <c r="BF507">
        <v>291.78333333333302</v>
      </c>
      <c r="BG507" s="14"/>
      <c r="BH507" s="14"/>
      <c r="BI507" s="14"/>
      <c r="BJ507" s="199"/>
      <c r="BK507" s="14"/>
      <c r="BL507" s="14"/>
      <c r="BM507" s="14"/>
      <c r="BN507" s="14"/>
      <c r="BO507" s="14"/>
      <c r="BP507" s="14"/>
      <c r="BQ507" s="14"/>
      <c r="BR507" s="14"/>
      <c r="BS507" s="14"/>
      <c r="BT507" s="14"/>
      <c r="BU507" s="14"/>
      <c r="BV507" s="14"/>
      <c r="BW507" s="14"/>
      <c r="BX507" s="14"/>
      <c r="BY507" s="170"/>
    </row>
    <row r="508" spans="9:77" x14ac:dyDescent="0.25">
      <c r="I508">
        <v>4450</v>
      </c>
      <c r="J508" s="1" t="s">
        <v>687</v>
      </c>
      <c r="K508">
        <v>352.17666666666599</v>
      </c>
      <c r="L508">
        <v>311.37999999999897</v>
      </c>
      <c r="M508">
        <v>338.106666666666</v>
      </c>
      <c r="N508">
        <v>319.06333333333299</v>
      </c>
      <c r="O508">
        <v>310.363333333333</v>
      </c>
      <c r="P508">
        <v>303.90333333333302</v>
      </c>
      <c r="Q508">
        <v>336.01333333333298</v>
      </c>
      <c r="R508">
        <v>277.72666666666601</v>
      </c>
      <c r="S508">
        <v>317.77999999999901</v>
      </c>
      <c r="T508">
        <v>291.83333333333297</v>
      </c>
      <c r="U508">
        <v>277.486666666666</v>
      </c>
      <c r="V508">
        <v>266.31666666666598</v>
      </c>
      <c r="W508">
        <v>339.00999999999902</v>
      </c>
      <c r="X508">
        <v>310.20666666666602</v>
      </c>
      <c r="Y508">
        <v>321.52666666666602</v>
      </c>
      <c r="Z508">
        <v>319.57999999999902</v>
      </c>
      <c r="AA508">
        <v>313.909999999999</v>
      </c>
      <c r="AB508">
        <v>313.909999999999</v>
      </c>
      <c r="AC508">
        <v>357.65333333333302</v>
      </c>
      <c r="AD508">
        <v>314.26999999999902</v>
      </c>
      <c r="AE508">
        <v>342.81333333333299</v>
      </c>
      <c r="AF508">
        <v>330.03333333333302</v>
      </c>
      <c r="AG508">
        <v>321.87</v>
      </c>
      <c r="AH508">
        <v>318.05666666666599</v>
      </c>
      <c r="AI508">
        <v>352.17666666666599</v>
      </c>
      <c r="AJ508">
        <v>311.37999999999897</v>
      </c>
      <c r="AK508">
        <v>338.106666666666</v>
      </c>
      <c r="AL508">
        <v>319.06333333333299</v>
      </c>
      <c r="AM508">
        <v>310.363333333333</v>
      </c>
      <c r="AN508">
        <v>303.90333333333302</v>
      </c>
      <c r="AO508">
        <v>356.81999999999903</v>
      </c>
      <c r="AP508">
        <v>288.969999999999</v>
      </c>
      <c r="AQ508">
        <v>337.62333333333299</v>
      </c>
      <c r="AR508">
        <v>304.58333333333297</v>
      </c>
      <c r="AS508">
        <v>286.363333333333</v>
      </c>
      <c r="AT508">
        <v>270.993333333333</v>
      </c>
      <c r="AU508">
        <v>369.19666666666598</v>
      </c>
      <c r="AV508">
        <v>315.78666666666601</v>
      </c>
      <c r="AW508">
        <v>352.74666666666599</v>
      </c>
      <c r="AX508">
        <v>328.58666666666602</v>
      </c>
      <c r="AY508">
        <v>316.44999999999902</v>
      </c>
      <c r="AZ508">
        <v>307.30999999999898</v>
      </c>
      <c r="BA508">
        <v>357.79333333333301</v>
      </c>
      <c r="BB508">
        <v>302.54999999999899</v>
      </c>
      <c r="BC508">
        <v>340.91999999999899</v>
      </c>
      <c r="BD508">
        <v>315.63666666666597</v>
      </c>
      <c r="BE508">
        <v>302.07333333333298</v>
      </c>
      <c r="BF508">
        <v>291.78333333333302</v>
      </c>
      <c r="BG508" s="14"/>
      <c r="BH508" s="14"/>
      <c r="BI508" s="14"/>
      <c r="BJ508" s="199"/>
      <c r="BK508" s="14"/>
      <c r="BL508" s="14"/>
      <c r="BM508" s="14"/>
      <c r="BN508" s="14"/>
      <c r="BO508" s="14"/>
      <c r="BP508" s="14"/>
      <c r="BQ508" s="14"/>
      <c r="BR508" s="14"/>
      <c r="BS508" s="14"/>
      <c r="BT508" s="14"/>
      <c r="BU508" s="14"/>
      <c r="BV508" s="14"/>
      <c r="BW508" s="14"/>
      <c r="BX508" s="14"/>
      <c r="BY508" s="170"/>
    </row>
    <row r="509" spans="9:77" x14ac:dyDescent="0.25">
      <c r="I509">
        <v>4460</v>
      </c>
      <c r="J509" s="1" t="s">
        <v>688</v>
      </c>
      <c r="K509">
        <v>351.86666666666599</v>
      </c>
      <c r="L509">
        <v>311.06999999999903</v>
      </c>
      <c r="M509">
        <v>337.796666666666</v>
      </c>
      <c r="N509">
        <v>318.75333333333299</v>
      </c>
      <c r="O509">
        <v>310.053333333333</v>
      </c>
      <c r="P509">
        <v>303.59333333333302</v>
      </c>
      <c r="Q509">
        <v>335.70333333333298</v>
      </c>
      <c r="R509">
        <v>277.416666666666</v>
      </c>
      <c r="S509">
        <v>317.47000000000003</v>
      </c>
      <c r="T509">
        <v>291.52333333333303</v>
      </c>
      <c r="U509">
        <v>277.17666666666599</v>
      </c>
      <c r="V509">
        <v>266.00666666666598</v>
      </c>
      <c r="W509">
        <v>338.7</v>
      </c>
      <c r="X509">
        <v>309.89666666666602</v>
      </c>
      <c r="Y509">
        <v>321.21666666666601</v>
      </c>
      <c r="Z509">
        <v>319.27</v>
      </c>
      <c r="AA509">
        <v>313.60000000000002</v>
      </c>
      <c r="AB509">
        <v>313.60000000000002</v>
      </c>
      <c r="AC509">
        <v>357.34333333333302</v>
      </c>
      <c r="AD509">
        <v>313.95999999999998</v>
      </c>
      <c r="AE509">
        <v>342.50333333333299</v>
      </c>
      <c r="AF509">
        <v>329.72333333333302</v>
      </c>
      <c r="AG509">
        <v>321.56</v>
      </c>
      <c r="AH509">
        <v>317.74666666666599</v>
      </c>
      <c r="AI509">
        <v>351.86666666666599</v>
      </c>
      <c r="AJ509">
        <v>311.06999999999903</v>
      </c>
      <c r="AK509">
        <v>337.796666666666</v>
      </c>
      <c r="AL509">
        <v>318.75333333333299</v>
      </c>
      <c r="AM509">
        <v>310.053333333333</v>
      </c>
      <c r="AN509">
        <v>303.59333333333302</v>
      </c>
      <c r="AO509">
        <v>356.50999999999902</v>
      </c>
      <c r="AP509">
        <v>288.66000000000003</v>
      </c>
      <c r="AQ509">
        <v>337.31333333333299</v>
      </c>
      <c r="AR509">
        <v>304.27333333333303</v>
      </c>
      <c r="AS509">
        <v>286.053333333333</v>
      </c>
      <c r="AT509">
        <v>270.683333333333</v>
      </c>
      <c r="AU509">
        <v>368.88666666666597</v>
      </c>
      <c r="AV509">
        <v>315.47666666666601</v>
      </c>
      <c r="AW509">
        <v>352.43666666666599</v>
      </c>
      <c r="AX509">
        <v>328.27666666666602</v>
      </c>
      <c r="AY509">
        <v>316.14</v>
      </c>
      <c r="AZ509">
        <v>307</v>
      </c>
      <c r="BA509">
        <v>357.48333333333301</v>
      </c>
      <c r="BB509">
        <v>302.24</v>
      </c>
      <c r="BC509">
        <v>340.60999999999899</v>
      </c>
      <c r="BD509">
        <v>315.32666666666597</v>
      </c>
      <c r="BE509">
        <v>301.76333333333298</v>
      </c>
      <c r="BF509">
        <v>291.47333333333302</v>
      </c>
      <c r="BG509" s="14"/>
      <c r="BH509" s="14"/>
      <c r="BI509" s="14"/>
      <c r="BJ509" s="199"/>
      <c r="BK509" s="14"/>
      <c r="BL509" s="14"/>
      <c r="BM509" s="14"/>
      <c r="BN509" s="14"/>
      <c r="BO509" s="14"/>
      <c r="BP509" s="14"/>
      <c r="BQ509" s="14"/>
      <c r="BR509" s="14"/>
      <c r="BS509" s="14"/>
      <c r="BT509" s="14"/>
      <c r="BU509" s="14"/>
      <c r="BV509" s="14"/>
      <c r="BW509" s="14"/>
      <c r="BX509" s="14"/>
      <c r="BY509" s="170"/>
    </row>
    <row r="510" spans="9:77" x14ac:dyDescent="0.25">
      <c r="I510">
        <v>4470</v>
      </c>
      <c r="J510" s="1" t="s">
        <v>689</v>
      </c>
      <c r="K510">
        <v>342.50333333333299</v>
      </c>
      <c r="L510">
        <v>293.39999999999901</v>
      </c>
      <c r="M510">
        <v>326.37333333333299</v>
      </c>
      <c r="N510">
        <v>303.05666666666599</v>
      </c>
      <c r="O510">
        <v>292.18666666666599</v>
      </c>
      <c r="P510">
        <v>283.55999999999898</v>
      </c>
      <c r="Q510">
        <v>325.88666666666597</v>
      </c>
      <c r="R510">
        <v>263.89666666666602</v>
      </c>
      <c r="S510">
        <v>307.95333333333298</v>
      </c>
      <c r="T510">
        <v>278.613333333333</v>
      </c>
      <c r="U510">
        <v>262.3</v>
      </c>
      <c r="V510">
        <v>248.64</v>
      </c>
      <c r="W510">
        <v>327.87</v>
      </c>
      <c r="X510">
        <v>297.93</v>
      </c>
      <c r="Y510">
        <v>310.06333333333299</v>
      </c>
      <c r="Z510">
        <v>308.01666666666603</v>
      </c>
      <c r="AA510">
        <v>301.92999999999898</v>
      </c>
      <c r="AB510">
        <v>301.92999999999898</v>
      </c>
      <c r="AC510">
        <v>352.63666666666597</v>
      </c>
      <c r="AD510">
        <v>302.63666666666597</v>
      </c>
      <c r="AE510">
        <v>336.67</v>
      </c>
      <c r="AF510">
        <v>321.58</v>
      </c>
      <c r="AG510">
        <v>312.05666666666599</v>
      </c>
      <c r="AH510">
        <v>307.26333333333298</v>
      </c>
      <c r="AI510">
        <v>342.50333333333299</v>
      </c>
      <c r="AJ510">
        <v>293.39999999999901</v>
      </c>
      <c r="AK510">
        <v>326.37333333333299</v>
      </c>
      <c r="AL510">
        <v>303.05666666666599</v>
      </c>
      <c r="AM510">
        <v>292.18666666666599</v>
      </c>
      <c r="AN510">
        <v>283.55999999999898</v>
      </c>
      <c r="AO510">
        <v>347.02333333333303</v>
      </c>
      <c r="AP510">
        <v>276.16333333333301</v>
      </c>
      <c r="AQ510">
        <v>327.93999999999897</v>
      </c>
      <c r="AR510">
        <v>292.67666666666599</v>
      </c>
      <c r="AS510">
        <v>273.10999999999899</v>
      </c>
      <c r="AT510">
        <v>256.29000000000002</v>
      </c>
      <c r="AU510">
        <v>358.23333333333301</v>
      </c>
      <c r="AV510">
        <v>302.63</v>
      </c>
      <c r="AW510">
        <v>340.89999999999901</v>
      </c>
      <c r="AX510">
        <v>315.57333333333298</v>
      </c>
      <c r="AY510">
        <v>302.37333333333299</v>
      </c>
      <c r="AZ510">
        <v>292.35000000000002</v>
      </c>
      <c r="BA510">
        <v>351.37333333333299</v>
      </c>
      <c r="BB510">
        <v>291.87999999999897</v>
      </c>
      <c r="BC510">
        <v>333.67</v>
      </c>
      <c r="BD510">
        <v>306.00666666666598</v>
      </c>
      <c r="BE510">
        <v>290.74666666666599</v>
      </c>
      <c r="BF510">
        <v>278.89333333333298</v>
      </c>
      <c r="BG510" s="14"/>
      <c r="BH510" s="14"/>
      <c r="BI510" s="14"/>
      <c r="BJ510" s="199"/>
      <c r="BK510" s="14"/>
      <c r="BL510" s="14"/>
      <c r="BM510" s="14"/>
      <c r="BN510" s="14"/>
      <c r="BO510" s="14"/>
      <c r="BP510" s="14"/>
      <c r="BQ510" s="14"/>
      <c r="BR510" s="14"/>
      <c r="BS510" s="14"/>
      <c r="BT510" s="14"/>
      <c r="BU510" s="14"/>
      <c r="BV510" s="14"/>
      <c r="BW510" s="14"/>
      <c r="BX510" s="14"/>
      <c r="BY510" s="170"/>
    </row>
    <row r="511" spans="9:77" x14ac:dyDescent="0.25">
      <c r="I511">
        <v>4480</v>
      </c>
      <c r="J511" s="1" t="s">
        <v>690</v>
      </c>
      <c r="K511">
        <v>327.02333333333303</v>
      </c>
      <c r="L511">
        <v>277.91999999999899</v>
      </c>
      <c r="M511">
        <v>310.89333333333298</v>
      </c>
      <c r="N511">
        <v>287.57666666666597</v>
      </c>
      <c r="O511">
        <v>276.70666666666602</v>
      </c>
      <c r="P511">
        <v>268.07999999999902</v>
      </c>
      <c r="Q511">
        <v>310.40666666666601</v>
      </c>
      <c r="R511">
        <v>248.416666666666</v>
      </c>
      <c r="S511">
        <v>292.47333333333302</v>
      </c>
      <c r="T511">
        <v>263.13333333333298</v>
      </c>
      <c r="U511">
        <v>246.82</v>
      </c>
      <c r="V511">
        <v>233.16</v>
      </c>
      <c r="W511">
        <v>312.38999999999902</v>
      </c>
      <c r="X511">
        <v>282.44999999999902</v>
      </c>
      <c r="Y511">
        <v>294.58333333333297</v>
      </c>
      <c r="Z511">
        <v>292.53666666666601</v>
      </c>
      <c r="AA511">
        <v>286.44999999999902</v>
      </c>
      <c r="AB511">
        <v>286.44999999999902</v>
      </c>
      <c r="AC511">
        <v>337.15666666666601</v>
      </c>
      <c r="AD511">
        <v>287.15666666666601</v>
      </c>
      <c r="AE511">
        <v>321.19</v>
      </c>
      <c r="AF511">
        <v>306.10000000000002</v>
      </c>
      <c r="AG511">
        <v>296.57666666666597</v>
      </c>
      <c r="AH511">
        <v>291.78333333333302</v>
      </c>
      <c r="AI511">
        <v>327.02333333333303</v>
      </c>
      <c r="AJ511">
        <v>277.91999999999899</v>
      </c>
      <c r="AK511">
        <v>310.89333333333298</v>
      </c>
      <c r="AL511">
        <v>287.57666666666597</v>
      </c>
      <c r="AM511">
        <v>276.70666666666602</v>
      </c>
      <c r="AN511">
        <v>268.07999999999902</v>
      </c>
      <c r="AO511">
        <v>331.54333333333301</v>
      </c>
      <c r="AP511">
        <v>260.683333333333</v>
      </c>
      <c r="AQ511">
        <v>312.45999999999901</v>
      </c>
      <c r="AR511">
        <v>277.19666666666598</v>
      </c>
      <c r="AS511">
        <v>257.62999999999897</v>
      </c>
      <c r="AT511">
        <v>240.81</v>
      </c>
      <c r="AU511">
        <v>342.75333333333299</v>
      </c>
      <c r="AV511">
        <v>287.14999999999901</v>
      </c>
      <c r="AW511">
        <v>325.41999999999899</v>
      </c>
      <c r="AX511">
        <v>300.09333333333302</v>
      </c>
      <c r="AY511">
        <v>286.89333333333298</v>
      </c>
      <c r="AZ511">
        <v>276.87</v>
      </c>
      <c r="BA511">
        <v>335.89333333333298</v>
      </c>
      <c r="BB511">
        <v>276.39999999999901</v>
      </c>
      <c r="BC511">
        <v>318.19</v>
      </c>
      <c r="BD511">
        <v>290.52666666666602</v>
      </c>
      <c r="BE511">
        <v>275.26666666666603</v>
      </c>
      <c r="BF511">
        <v>263.41333333333301</v>
      </c>
      <c r="BG511" s="14"/>
      <c r="BH511" s="14"/>
      <c r="BI511" s="14"/>
      <c r="BJ511" s="199"/>
      <c r="BK511" s="14"/>
      <c r="BL511" s="14"/>
      <c r="BM511" s="14"/>
      <c r="BN511" s="14"/>
      <c r="BO511" s="14"/>
      <c r="BP511" s="14"/>
      <c r="BQ511" s="14"/>
      <c r="BR511" s="14"/>
      <c r="BS511" s="14"/>
      <c r="BT511" s="14"/>
      <c r="BU511" s="14"/>
      <c r="BV511" s="14"/>
      <c r="BW511" s="14"/>
      <c r="BX511" s="14"/>
      <c r="BY511" s="170"/>
    </row>
    <row r="512" spans="9:77" x14ac:dyDescent="0.25">
      <c r="I512">
        <v>4490</v>
      </c>
      <c r="J512" s="1" t="s">
        <v>691</v>
      </c>
      <c r="K512">
        <v>342.50333333333299</v>
      </c>
      <c r="L512">
        <v>293.39999999999901</v>
      </c>
      <c r="M512">
        <v>326.37333333333299</v>
      </c>
      <c r="N512">
        <v>303.05666666666599</v>
      </c>
      <c r="O512">
        <v>292.18666666666599</v>
      </c>
      <c r="P512">
        <v>283.55999999999898</v>
      </c>
      <c r="Q512">
        <v>325.88666666666597</v>
      </c>
      <c r="R512">
        <v>263.89666666666602</v>
      </c>
      <c r="S512">
        <v>307.95333333333298</v>
      </c>
      <c r="T512">
        <v>278.613333333333</v>
      </c>
      <c r="U512">
        <v>262.3</v>
      </c>
      <c r="V512">
        <v>248.64</v>
      </c>
      <c r="W512">
        <v>327.87</v>
      </c>
      <c r="X512">
        <v>297.93</v>
      </c>
      <c r="Y512">
        <v>310.06333333333299</v>
      </c>
      <c r="Z512">
        <v>308.01666666666603</v>
      </c>
      <c r="AA512">
        <v>301.92999999999898</v>
      </c>
      <c r="AB512">
        <v>301.92999999999898</v>
      </c>
      <c r="AC512">
        <v>352.63666666666597</v>
      </c>
      <c r="AD512">
        <v>302.63666666666597</v>
      </c>
      <c r="AE512">
        <v>336.67</v>
      </c>
      <c r="AF512">
        <v>321.58</v>
      </c>
      <c r="AG512">
        <v>312.05666666666599</v>
      </c>
      <c r="AH512">
        <v>307.26333333333298</v>
      </c>
      <c r="AI512">
        <v>342.50333333333299</v>
      </c>
      <c r="AJ512">
        <v>293.39999999999901</v>
      </c>
      <c r="AK512">
        <v>326.37333333333299</v>
      </c>
      <c r="AL512">
        <v>303.05666666666599</v>
      </c>
      <c r="AM512">
        <v>292.18666666666599</v>
      </c>
      <c r="AN512">
        <v>283.55999999999898</v>
      </c>
      <c r="AO512">
        <v>347.02333333333303</v>
      </c>
      <c r="AP512">
        <v>276.16333333333301</v>
      </c>
      <c r="AQ512">
        <v>327.93999999999897</v>
      </c>
      <c r="AR512">
        <v>292.67666666666599</v>
      </c>
      <c r="AS512">
        <v>273.10999999999899</v>
      </c>
      <c r="AT512">
        <v>256.29000000000002</v>
      </c>
      <c r="AU512">
        <v>358.23333333333301</v>
      </c>
      <c r="AV512">
        <v>302.63</v>
      </c>
      <c r="AW512">
        <v>340.89999999999901</v>
      </c>
      <c r="AX512">
        <v>315.57333333333298</v>
      </c>
      <c r="AY512">
        <v>302.37333333333299</v>
      </c>
      <c r="AZ512">
        <v>292.35000000000002</v>
      </c>
      <c r="BA512">
        <v>351.37333333333299</v>
      </c>
      <c r="BB512">
        <v>291.87999999999897</v>
      </c>
      <c r="BC512">
        <v>333.67</v>
      </c>
      <c r="BD512">
        <v>306.00666666666598</v>
      </c>
      <c r="BE512">
        <v>290.74666666666599</v>
      </c>
      <c r="BF512">
        <v>278.89333333333298</v>
      </c>
      <c r="BG512" s="14"/>
      <c r="BH512" s="14"/>
      <c r="BI512" s="14"/>
      <c r="BJ512" s="199"/>
      <c r="BK512" s="14"/>
      <c r="BL512" s="14"/>
      <c r="BM512" s="14"/>
      <c r="BN512" s="14"/>
      <c r="BO512" s="14"/>
      <c r="BP512" s="14"/>
      <c r="BQ512" s="14"/>
      <c r="BR512" s="14"/>
      <c r="BS512" s="14"/>
      <c r="BT512" s="14"/>
      <c r="BU512" s="14"/>
      <c r="BV512" s="14"/>
      <c r="BW512" s="14"/>
      <c r="BX512" s="14"/>
      <c r="BY512" s="170"/>
    </row>
    <row r="513" spans="9:77" x14ac:dyDescent="0.25">
      <c r="I513">
        <v>4500</v>
      </c>
      <c r="J513" s="1" t="s">
        <v>692</v>
      </c>
      <c r="K513">
        <v>291.08666666666602</v>
      </c>
      <c r="L513">
        <v>250.289999999999</v>
      </c>
      <c r="M513">
        <v>277.01666666666603</v>
      </c>
      <c r="N513">
        <v>257.97333333333302</v>
      </c>
      <c r="O513">
        <v>249.273333333333</v>
      </c>
      <c r="P513">
        <v>242.81333333333299</v>
      </c>
      <c r="Q513">
        <v>274.92333333333301</v>
      </c>
      <c r="R513">
        <v>216.636666666666</v>
      </c>
      <c r="S513">
        <v>256.68999999999897</v>
      </c>
      <c r="T513">
        <v>230.743333333333</v>
      </c>
      <c r="U513">
        <v>216.39666666666599</v>
      </c>
      <c r="V513">
        <v>205.22666666666601</v>
      </c>
      <c r="W513">
        <v>277.92</v>
      </c>
      <c r="X513">
        <v>249.11666666666599</v>
      </c>
      <c r="Y513">
        <v>260.43666666666599</v>
      </c>
      <c r="Z513">
        <v>258.48999999999899</v>
      </c>
      <c r="AA513">
        <v>252.82</v>
      </c>
      <c r="AB513">
        <v>252.82</v>
      </c>
      <c r="AC513">
        <v>296.56333333333299</v>
      </c>
      <c r="AD513">
        <v>253.18</v>
      </c>
      <c r="AE513">
        <v>281.72333333333302</v>
      </c>
      <c r="AF513">
        <v>268.94333333333299</v>
      </c>
      <c r="AG513">
        <v>260.77999999999997</v>
      </c>
      <c r="AH513">
        <v>256.96666666666601</v>
      </c>
      <c r="AI513">
        <v>291.08666666666602</v>
      </c>
      <c r="AJ513">
        <v>250.289999999999</v>
      </c>
      <c r="AK513">
        <v>277.01666666666603</v>
      </c>
      <c r="AL513">
        <v>257.97333333333302</v>
      </c>
      <c r="AM513">
        <v>249.273333333333</v>
      </c>
      <c r="AN513">
        <v>242.81333333333299</v>
      </c>
      <c r="AO513">
        <v>295.729999999999</v>
      </c>
      <c r="AP513">
        <v>227.879999999999</v>
      </c>
      <c r="AQ513">
        <v>276.53333333333302</v>
      </c>
      <c r="AR513">
        <v>243.493333333333</v>
      </c>
      <c r="AS513">
        <v>225.273333333333</v>
      </c>
      <c r="AT513">
        <v>209.90333333333299</v>
      </c>
      <c r="AU513">
        <v>308.106666666666</v>
      </c>
      <c r="AV513">
        <v>254.696666666666</v>
      </c>
      <c r="AW513">
        <v>291.65666666666601</v>
      </c>
      <c r="AX513">
        <v>267.49666666666599</v>
      </c>
      <c r="AY513">
        <v>255.36</v>
      </c>
      <c r="AZ513">
        <v>246.22</v>
      </c>
      <c r="BA513">
        <v>296.70333333333298</v>
      </c>
      <c r="BB513">
        <v>241.45999999999901</v>
      </c>
      <c r="BC513">
        <v>279.82999999999902</v>
      </c>
      <c r="BD513">
        <v>254.546666666666</v>
      </c>
      <c r="BE513">
        <v>240.98333333333301</v>
      </c>
      <c r="BF513">
        <v>230.69333333333299</v>
      </c>
      <c r="BG513" s="14"/>
      <c r="BH513" s="14"/>
      <c r="BI513" s="14"/>
      <c r="BJ513" s="199"/>
      <c r="BK513" s="14"/>
      <c r="BL513" s="14"/>
      <c r="BM513" s="14"/>
      <c r="BN513" s="14"/>
      <c r="BO513" s="14"/>
      <c r="BP513" s="14"/>
      <c r="BQ513" s="14"/>
      <c r="BR513" s="14"/>
      <c r="BS513" s="14"/>
      <c r="BT513" s="14"/>
      <c r="BU513" s="14"/>
      <c r="BV513" s="14"/>
      <c r="BW513" s="14"/>
      <c r="BX513" s="14"/>
      <c r="BY513" s="170"/>
    </row>
    <row r="514" spans="9:77" x14ac:dyDescent="0.25">
      <c r="I514">
        <v>4520</v>
      </c>
      <c r="J514" s="1" t="s">
        <v>693</v>
      </c>
      <c r="K514">
        <v>351.86666666666599</v>
      </c>
      <c r="L514">
        <v>311.06999999999903</v>
      </c>
      <c r="M514">
        <v>337.796666666666</v>
      </c>
      <c r="N514">
        <v>318.75333333333299</v>
      </c>
      <c r="O514">
        <v>310.053333333333</v>
      </c>
      <c r="P514">
        <v>303.59333333333302</v>
      </c>
      <c r="Q514">
        <v>335.70333333333298</v>
      </c>
      <c r="R514">
        <v>277.416666666666</v>
      </c>
      <c r="S514">
        <v>317.47000000000003</v>
      </c>
      <c r="T514">
        <v>291.52333333333303</v>
      </c>
      <c r="U514">
        <v>277.17666666666599</v>
      </c>
      <c r="V514">
        <v>266.00666666666598</v>
      </c>
      <c r="W514">
        <v>338.7</v>
      </c>
      <c r="X514">
        <v>309.89666666666602</v>
      </c>
      <c r="Y514">
        <v>321.21666666666601</v>
      </c>
      <c r="Z514">
        <v>319.27</v>
      </c>
      <c r="AA514">
        <v>313.60000000000002</v>
      </c>
      <c r="AB514">
        <v>313.60000000000002</v>
      </c>
      <c r="AC514">
        <v>357.34333333333302</v>
      </c>
      <c r="AD514">
        <v>313.95999999999998</v>
      </c>
      <c r="AE514">
        <v>342.50333333333299</v>
      </c>
      <c r="AF514">
        <v>329.72333333333302</v>
      </c>
      <c r="AG514">
        <v>321.56</v>
      </c>
      <c r="AH514">
        <v>317.74666666666599</v>
      </c>
      <c r="AI514">
        <v>351.86666666666599</v>
      </c>
      <c r="AJ514">
        <v>311.06999999999903</v>
      </c>
      <c r="AK514">
        <v>337.796666666666</v>
      </c>
      <c r="AL514">
        <v>318.75333333333299</v>
      </c>
      <c r="AM514">
        <v>310.053333333333</v>
      </c>
      <c r="AN514">
        <v>303.59333333333302</v>
      </c>
      <c r="AO514">
        <v>356.50999999999902</v>
      </c>
      <c r="AP514">
        <v>288.66000000000003</v>
      </c>
      <c r="AQ514">
        <v>337.31333333333299</v>
      </c>
      <c r="AR514">
        <v>304.27333333333303</v>
      </c>
      <c r="AS514">
        <v>286.053333333333</v>
      </c>
      <c r="AT514">
        <v>270.683333333333</v>
      </c>
      <c r="AU514">
        <v>368.88666666666597</v>
      </c>
      <c r="AV514">
        <v>315.47666666666601</v>
      </c>
      <c r="AW514">
        <v>352.43666666666599</v>
      </c>
      <c r="AX514">
        <v>328.27666666666602</v>
      </c>
      <c r="AY514">
        <v>316.14</v>
      </c>
      <c r="AZ514">
        <v>307</v>
      </c>
      <c r="BA514">
        <v>357.48333333333301</v>
      </c>
      <c r="BB514">
        <v>302.24</v>
      </c>
      <c r="BC514">
        <v>340.60999999999899</v>
      </c>
      <c r="BD514">
        <v>315.32666666666597</v>
      </c>
      <c r="BE514">
        <v>301.76333333333298</v>
      </c>
      <c r="BF514">
        <v>291.47333333333302</v>
      </c>
      <c r="BG514" s="14"/>
      <c r="BH514" s="14"/>
      <c r="BI514" s="14"/>
      <c r="BJ514" s="199"/>
      <c r="BK514" s="14"/>
      <c r="BL514" s="14"/>
      <c r="BM514" s="14"/>
      <c r="BN514" s="14"/>
      <c r="BO514" s="14"/>
      <c r="BP514" s="14"/>
      <c r="BQ514" s="14"/>
      <c r="BR514" s="14"/>
      <c r="BS514" s="14"/>
      <c r="BT514" s="14"/>
      <c r="BU514" s="14"/>
      <c r="BV514" s="14"/>
      <c r="BW514" s="14"/>
      <c r="BX514" s="14"/>
      <c r="BY514" s="170"/>
    </row>
    <row r="515" spans="9:77" x14ac:dyDescent="0.25">
      <c r="I515">
        <v>4532</v>
      </c>
      <c r="J515" s="1" t="s">
        <v>694</v>
      </c>
      <c r="K515">
        <v>309.52666666666602</v>
      </c>
      <c r="L515">
        <v>268.729999999999</v>
      </c>
      <c r="M515">
        <v>295.45666666666602</v>
      </c>
      <c r="N515">
        <v>276.41333333333301</v>
      </c>
      <c r="O515">
        <v>267.71333333333303</v>
      </c>
      <c r="P515">
        <v>261.25333333333299</v>
      </c>
      <c r="Q515">
        <v>293.363333333333</v>
      </c>
      <c r="R515">
        <v>235.076666666666</v>
      </c>
      <c r="S515">
        <v>275.13</v>
      </c>
      <c r="T515">
        <v>249.183333333333</v>
      </c>
      <c r="U515">
        <v>234.83666666666599</v>
      </c>
      <c r="V515">
        <v>223.666666666666</v>
      </c>
      <c r="W515">
        <v>296.36</v>
      </c>
      <c r="X515">
        <v>267.55666666666599</v>
      </c>
      <c r="Y515">
        <v>278.87666666666598</v>
      </c>
      <c r="Z515">
        <v>276.93</v>
      </c>
      <c r="AA515">
        <v>271.26</v>
      </c>
      <c r="AB515">
        <v>271.26</v>
      </c>
      <c r="AC515">
        <v>315.00333333333299</v>
      </c>
      <c r="AD515">
        <v>271.62</v>
      </c>
      <c r="AE515">
        <v>300.16333333333301</v>
      </c>
      <c r="AF515">
        <v>287.38333333333298</v>
      </c>
      <c r="AG515">
        <v>279.22000000000003</v>
      </c>
      <c r="AH515">
        <v>275.40666666666601</v>
      </c>
      <c r="AI515">
        <v>309.52666666666602</v>
      </c>
      <c r="AJ515">
        <v>268.729999999999</v>
      </c>
      <c r="AK515">
        <v>295.45666666666602</v>
      </c>
      <c r="AL515">
        <v>276.41333333333301</v>
      </c>
      <c r="AM515">
        <v>267.71333333333303</v>
      </c>
      <c r="AN515">
        <v>261.25333333333299</v>
      </c>
      <c r="AO515">
        <v>314.16999999999899</v>
      </c>
      <c r="AP515">
        <v>246.319999999999</v>
      </c>
      <c r="AQ515">
        <v>294.97333333333302</v>
      </c>
      <c r="AR515">
        <v>261.933333333333</v>
      </c>
      <c r="AS515">
        <v>243.713333333333</v>
      </c>
      <c r="AT515">
        <v>228.34333333333299</v>
      </c>
      <c r="AU515">
        <v>326.546666666666</v>
      </c>
      <c r="AV515">
        <v>273.13666666666597</v>
      </c>
      <c r="AW515">
        <v>310.09666666666601</v>
      </c>
      <c r="AX515">
        <v>285.93666666666599</v>
      </c>
      <c r="AY515">
        <v>273.8</v>
      </c>
      <c r="AZ515">
        <v>264.66000000000003</v>
      </c>
      <c r="BA515">
        <v>315.14333333333298</v>
      </c>
      <c r="BB515">
        <v>259.89999999999901</v>
      </c>
      <c r="BC515">
        <v>298.26999999999902</v>
      </c>
      <c r="BD515">
        <v>272.986666666666</v>
      </c>
      <c r="BE515">
        <v>259.42333333333301</v>
      </c>
      <c r="BF515">
        <v>249.13333333333301</v>
      </c>
      <c r="BG515" s="14"/>
      <c r="BH515" s="14"/>
      <c r="BI515" s="14"/>
      <c r="BJ515" s="199"/>
      <c r="BK515" s="14"/>
      <c r="BL515" s="14"/>
      <c r="BM515" s="14"/>
      <c r="BN515" s="14"/>
      <c r="BO515" s="14"/>
      <c r="BP515" s="14"/>
      <c r="BQ515" s="14"/>
      <c r="BR515" s="14"/>
      <c r="BS515" s="14"/>
      <c r="BT515" s="14"/>
      <c r="BU515" s="14"/>
      <c r="BV515" s="14"/>
      <c r="BW515" s="14"/>
      <c r="BX515" s="14"/>
      <c r="BY515" s="170"/>
    </row>
    <row r="516" spans="9:77" x14ac:dyDescent="0.25">
      <c r="I516">
        <v>4534</v>
      </c>
      <c r="J516" s="1" t="s">
        <v>695</v>
      </c>
      <c r="K516">
        <v>351.86666666666599</v>
      </c>
      <c r="L516">
        <v>311.06999999999903</v>
      </c>
      <c r="M516">
        <v>337.796666666666</v>
      </c>
      <c r="N516">
        <v>318.75333333333299</v>
      </c>
      <c r="O516">
        <v>310.053333333333</v>
      </c>
      <c r="P516">
        <v>303.59333333333302</v>
      </c>
      <c r="Q516">
        <v>335.70333333333298</v>
      </c>
      <c r="R516">
        <v>277.416666666666</v>
      </c>
      <c r="S516">
        <v>317.47000000000003</v>
      </c>
      <c r="T516">
        <v>291.52333333333303</v>
      </c>
      <c r="U516">
        <v>277.17666666666599</v>
      </c>
      <c r="V516">
        <v>266.00666666666598</v>
      </c>
      <c r="W516">
        <v>338.7</v>
      </c>
      <c r="X516">
        <v>309.89666666666602</v>
      </c>
      <c r="Y516">
        <v>321.21666666666601</v>
      </c>
      <c r="Z516">
        <v>319.27</v>
      </c>
      <c r="AA516">
        <v>313.60000000000002</v>
      </c>
      <c r="AB516">
        <v>313.60000000000002</v>
      </c>
      <c r="AC516">
        <v>357.34333333333302</v>
      </c>
      <c r="AD516">
        <v>313.95999999999998</v>
      </c>
      <c r="AE516">
        <v>342.50333333333299</v>
      </c>
      <c r="AF516">
        <v>329.72333333333302</v>
      </c>
      <c r="AG516">
        <v>321.56</v>
      </c>
      <c r="AH516">
        <v>317.74666666666599</v>
      </c>
      <c r="AI516">
        <v>351.86666666666599</v>
      </c>
      <c r="AJ516">
        <v>311.06999999999903</v>
      </c>
      <c r="AK516">
        <v>337.796666666666</v>
      </c>
      <c r="AL516">
        <v>318.75333333333299</v>
      </c>
      <c r="AM516">
        <v>310.053333333333</v>
      </c>
      <c r="AN516">
        <v>303.59333333333302</v>
      </c>
      <c r="AO516">
        <v>356.50999999999902</v>
      </c>
      <c r="AP516">
        <v>288.66000000000003</v>
      </c>
      <c r="AQ516">
        <v>337.31333333333299</v>
      </c>
      <c r="AR516">
        <v>304.27333333333303</v>
      </c>
      <c r="AS516">
        <v>286.053333333333</v>
      </c>
      <c r="AT516">
        <v>270.683333333333</v>
      </c>
      <c r="AU516">
        <v>368.88666666666597</v>
      </c>
      <c r="AV516">
        <v>315.47666666666601</v>
      </c>
      <c r="AW516">
        <v>352.43666666666599</v>
      </c>
      <c r="AX516">
        <v>328.27666666666602</v>
      </c>
      <c r="AY516">
        <v>316.14</v>
      </c>
      <c r="AZ516">
        <v>307</v>
      </c>
      <c r="BA516">
        <v>357.48333333333301</v>
      </c>
      <c r="BB516">
        <v>302.24</v>
      </c>
      <c r="BC516">
        <v>340.60999999999899</v>
      </c>
      <c r="BD516">
        <v>315.32666666666597</v>
      </c>
      <c r="BE516">
        <v>301.76333333333298</v>
      </c>
      <c r="BF516">
        <v>291.47333333333302</v>
      </c>
      <c r="BG516" s="14"/>
      <c r="BH516" s="14"/>
      <c r="BI516" s="14"/>
      <c r="BJ516" s="199"/>
      <c r="BK516" s="14"/>
      <c r="BL516" s="14"/>
      <c r="BM516" s="14"/>
      <c r="BN516" s="14"/>
      <c r="BO516" s="14"/>
      <c r="BP516" s="14"/>
      <c r="BQ516" s="14"/>
      <c r="BR516" s="14"/>
      <c r="BS516" s="14"/>
      <c r="BT516" s="14"/>
      <c r="BU516" s="14"/>
      <c r="BV516" s="14"/>
      <c r="BW516" s="14"/>
      <c r="BX516" s="14"/>
      <c r="BY516" s="170"/>
    </row>
    <row r="517" spans="9:77" x14ac:dyDescent="0.25">
      <c r="I517">
        <v>4540</v>
      </c>
      <c r="J517" s="1" t="s">
        <v>696</v>
      </c>
      <c r="K517">
        <v>310.64666666666602</v>
      </c>
      <c r="L517">
        <v>269.85000000000002</v>
      </c>
      <c r="M517">
        <v>296.57666666666597</v>
      </c>
      <c r="N517">
        <v>277.53333333333302</v>
      </c>
      <c r="O517">
        <v>268.83333333333297</v>
      </c>
      <c r="P517">
        <v>262.37333333333299</v>
      </c>
      <c r="Q517">
        <v>294.48333333333301</v>
      </c>
      <c r="R517">
        <v>236.196666666666</v>
      </c>
      <c r="S517">
        <v>276.25</v>
      </c>
      <c r="T517">
        <v>250.303333333333</v>
      </c>
      <c r="U517">
        <v>235.956666666666</v>
      </c>
      <c r="V517">
        <v>224.78666666666601</v>
      </c>
      <c r="W517">
        <v>297.48</v>
      </c>
      <c r="X517">
        <v>268.67666666666599</v>
      </c>
      <c r="Y517">
        <v>279.99666666666599</v>
      </c>
      <c r="Z517">
        <v>278.05</v>
      </c>
      <c r="AA517">
        <v>272.38</v>
      </c>
      <c r="AB517">
        <v>272.38</v>
      </c>
      <c r="AC517">
        <v>316.12333333333299</v>
      </c>
      <c r="AD517">
        <v>272.74</v>
      </c>
      <c r="AE517">
        <v>301.28333333333302</v>
      </c>
      <c r="AF517">
        <v>288.50333333333299</v>
      </c>
      <c r="AG517">
        <v>280.33999999999997</v>
      </c>
      <c r="AH517">
        <v>276.52666666666602</v>
      </c>
      <c r="AI517">
        <v>310.64666666666602</v>
      </c>
      <c r="AJ517">
        <v>269.85000000000002</v>
      </c>
      <c r="AK517">
        <v>296.57666666666597</v>
      </c>
      <c r="AL517">
        <v>277.53333333333302</v>
      </c>
      <c r="AM517">
        <v>268.83333333333297</v>
      </c>
      <c r="AN517">
        <v>262.37333333333299</v>
      </c>
      <c r="AO517">
        <v>315.29000000000002</v>
      </c>
      <c r="AP517">
        <v>247.44</v>
      </c>
      <c r="AQ517">
        <v>296.09333333333302</v>
      </c>
      <c r="AR517">
        <v>263.053333333333</v>
      </c>
      <c r="AS517">
        <v>244.833333333333</v>
      </c>
      <c r="AT517">
        <v>229.463333333333</v>
      </c>
      <c r="AU517">
        <v>327.666666666666</v>
      </c>
      <c r="AV517">
        <v>274.25666666666598</v>
      </c>
      <c r="AW517">
        <v>311.21666666666601</v>
      </c>
      <c r="AX517">
        <v>287.05666666666599</v>
      </c>
      <c r="AY517">
        <v>274.92</v>
      </c>
      <c r="AZ517">
        <v>265.77999999999997</v>
      </c>
      <c r="BA517">
        <v>316.26333333333298</v>
      </c>
      <c r="BB517">
        <v>261.02</v>
      </c>
      <c r="BC517">
        <v>299.39</v>
      </c>
      <c r="BD517">
        <v>274.106666666666</v>
      </c>
      <c r="BE517">
        <v>260.54333333333301</v>
      </c>
      <c r="BF517">
        <v>250.25333333333299</v>
      </c>
      <c r="BG517" s="14"/>
      <c r="BH517" s="14"/>
      <c r="BI517" s="14"/>
      <c r="BJ517" s="199"/>
      <c r="BK517" s="14"/>
      <c r="BL517" s="14"/>
      <c r="BM517" s="14"/>
      <c r="BN517" s="14"/>
      <c r="BO517" s="14"/>
      <c r="BP517" s="14"/>
      <c r="BQ517" s="14"/>
      <c r="BR517" s="14"/>
      <c r="BS517" s="14"/>
      <c r="BT517" s="14"/>
      <c r="BU517" s="14"/>
      <c r="BV517" s="14"/>
      <c r="BW517" s="14"/>
      <c r="BX517" s="14"/>
      <c r="BY517" s="170"/>
    </row>
    <row r="518" spans="9:77" x14ac:dyDescent="0.25">
      <c r="I518">
        <v>4550</v>
      </c>
      <c r="J518" s="1" t="s">
        <v>697</v>
      </c>
      <c r="K518">
        <v>310.64666666666602</v>
      </c>
      <c r="L518">
        <v>269.85000000000002</v>
      </c>
      <c r="M518">
        <v>296.57666666666597</v>
      </c>
      <c r="N518">
        <v>277.53333333333302</v>
      </c>
      <c r="O518">
        <v>268.83333333333297</v>
      </c>
      <c r="P518">
        <v>262.37333333333299</v>
      </c>
      <c r="Q518">
        <v>294.48333333333301</v>
      </c>
      <c r="R518">
        <v>236.196666666666</v>
      </c>
      <c r="S518">
        <v>276.25</v>
      </c>
      <c r="T518">
        <v>250.303333333333</v>
      </c>
      <c r="U518">
        <v>235.956666666666</v>
      </c>
      <c r="V518">
        <v>224.78666666666601</v>
      </c>
      <c r="W518">
        <v>297.48</v>
      </c>
      <c r="X518">
        <v>268.67666666666599</v>
      </c>
      <c r="Y518">
        <v>279.99666666666599</v>
      </c>
      <c r="Z518">
        <v>278.05</v>
      </c>
      <c r="AA518">
        <v>272.38</v>
      </c>
      <c r="AB518">
        <v>272.38</v>
      </c>
      <c r="AC518">
        <v>316.12333333333299</v>
      </c>
      <c r="AD518">
        <v>272.74</v>
      </c>
      <c r="AE518">
        <v>301.28333333333302</v>
      </c>
      <c r="AF518">
        <v>288.50333333333299</v>
      </c>
      <c r="AG518">
        <v>280.33999999999997</v>
      </c>
      <c r="AH518">
        <v>276.52666666666602</v>
      </c>
      <c r="AI518">
        <v>310.64666666666602</v>
      </c>
      <c r="AJ518">
        <v>269.85000000000002</v>
      </c>
      <c r="AK518">
        <v>296.57666666666597</v>
      </c>
      <c r="AL518">
        <v>277.53333333333302</v>
      </c>
      <c r="AM518">
        <v>268.83333333333297</v>
      </c>
      <c r="AN518">
        <v>262.37333333333299</v>
      </c>
      <c r="AO518">
        <v>315.29000000000002</v>
      </c>
      <c r="AP518">
        <v>247.44</v>
      </c>
      <c r="AQ518">
        <v>296.09333333333302</v>
      </c>
      <c r="AR518">
        <v>263.053333333333</v>
      </c>
      <c r="AS518">
        <v>244.833333333333</v>
      </c>
      <c r="AT518">
        <v>229.463333333333</v>
      </c>
      <c r="AU518">
        <v>327.666666666666</v>
      </c>
      <c r="AV518">
        <v>274.25666666666598</v>
      </c>
      <c r="AW518">
        <v>311.21666666666601</v>
      </c>
      <c r="AX518">
        <v>287.05666666666599</v>
      </c>
      <c r="AY518">
        <v>274.92</v>
      </c>
      <c r="AZ518">
        <v>265.77999999999997</v>
      </c>
      <c r="BA518">
        <v>316.26333333333298</v>
      </c>
      <c r="BB518">
        <v>261.02</v>
      </c>
      <c r="BC518">
        <v>299.39</v>
      </c>
      <c r="BD518">
        <v>274.106666666666</v>
      </c>
      <c r="BE518">
        <v>260.54333333333301</v>
      </c>
      <c r="BF518">
        <v>250.25333333333299</v>
      </c>
      <c r="BG518" s="14"/>
      <c r="BH518" s="14"/>
      <c r="BI518" s="14"/>
      <c r="BJ518" s="199"/>
      <c r="BK518" s="14"/>
      <c r="BL518" s="14"/>
      <c r="BM518" s="14"/>
      <c r="BN518" s="14"/>
      <c r="BO518" s="14"/>
      <c r="BP518" s="14"/>
      <c r="BQ518" s="14"/>
      <c r="BR518" s="14"/>
      <c r="BS518" s="14"/>
      <c r="BT518" s="14"/>
      <c r="BU518" s="14"/>
      <c r="BV518" s="14"/>
      <c r="BW518" s="14"/>
      <c r="BX518" s="14"/>
      <c r="BY518" s="170"/>
    </row>
    <row r="519" spans="9:77" x14ac:dyDescent="0.25">
      <c r="I519">
        <v>4560</v>
      </c>
      <c r="J519" s="1" t="s">
        <v>698</v>
      </c>
      <c r="K519">
        <v>293.25666666666598</v>
      </c>
      <c r="L519">
        <v>252.45999999999901</v>
      </c>
      <c r="M519">
        <v>279.18666666666599</v>
      </c>
      <c r="N519">
        <v>260.14333333333298</v>
      </c>
      <c r="O519">
        <v>251.44333333333299</v>
      </c>
      <c r="P519">
        <v>244.98333333333301</v>
      </c>
      <c r="Q519">
        <v>277.09333333333302</v>
      </c>
      <c r="R519">
        <v>218.80666666666599</v>
      </c>
      <c r="S519">
        <v>258.86</v>
      </c>
      <c r="T519">
        <v>232.91333333333299</v>
      </c>
      <c r="U519">
        <v>218.56666666666601</v>
      </c>
      <c r="V519">
        <v>207.39666666666599</v>
      </c>
      <c r="W519">
        <v>280.08999999999997</v>
      </c>
      <c r="X519">
        <v>251.28666666666601</v>
      </c>
      <c r="Y519">
        <v>262.606666666666</v>
      </c>
      <c r="Z519">
        <v>260.66000000000003</v>
      </c>
      <c r="AA519">
        <v>254.99</v>
      </c>
      <c r="AB519">
        <v>254.99</v>
      </c>
      <c r="AC519">
        <v>298.73333333333301</v>
      </c>
      <c r="AD519">
        <v>255.35</v>
      </c>
      <c r="AE519">
        <v>283.89333333333298</v>
      </c>
      <c r="AF519">
        <v>271.113333333333</v>
      </c>
      <c r="AG519">
        <v>262.95</v>
      </c>
      <c r="AH519">
        <v>259.13666666666597</v>
      </c>
      <c r="AI519">
        <v>293.25666666666598</v>
      </c>
      <c r="AJ519">
        <v>252.45999999999901</v>
      </c>
      <c r="AK519">
        <v>279.18666666666599</v>
      </c>
      <c r="AL519">
        <v>260.14333333333298</v>
      </c>
      <c r="AM519">
        <v>251.44333333333299</v>
      </c>
      <c r="AN519">
        <v>244.98333333333301</v>
      </c>
      <c r="AO519">
        <v>297.89999999999901</v>
      </c>
      <c r="AP519">
        <v>230.05</v>
      </c>
      <c r="AQ519">
        <v>278.70333333333298</v>
      </c>
      <c r="AR519">
        <v>245.66333333333299</v>
      </c>
      <c r="AS519">
        <v>227.44333333333299</v>
      </c>
      <c r="AT519">
        <v>212.07333333333301</v>
      </c>
      <c r="AU519">
        <v>310.27666666666602</v>
      </c>
      <c r="AV519">
        <v>256.86666666666599</v>
      </c>
      <c r="AW519">
        <v>293.82666666666597</v>
      </c>
      <c r="AX519">
        <v>269.666666666666</v>
      </c>
      <c r="AY519">
        <v>257.52999999999997</v>
      </c>
      <c r="AZ519">
        <v>248.39</v>
      </c>
      <c r="BA519">
        <v>298.87333333333299</v>
      </c>
      <c r="BB519">
        <v>243.63</v>
      </c>
      <c r="BC519">
        <v>281.99999999999898</v>
      </c>
      <c r="BD519">
        <v>256.71666666666601</v>
      </c>
      <c r="BE519">
        <v>243.15333333333299</v>
      </c>
      <c r="BF519">
        <v>232.863333333333</v>
      </c>
      <c r="BG519" s="14"/>
      <c r="BH519" s="14"/>
      <c r="BI519" s="14"/>
      <c r="BJ519" s="199"/>
      <c r="BK519" s="14"/>
      <c r="BL519" s="14"/>
      <c r="BM519" s="14"/>
      <c r="BN519" s="14"/>
      <c r="BO519" s="14"/>
      <c r="BP519" s="14"/>
      <c r="BQ519" s="14"/>
      <c r="BR519" s="14"/>
      <c r="BS519" s="14"/>
      <c r="BT519" s="14"/>
      <c r="BU519" s="14"/>
      <c r="BV519" s="14"/>
      <c r="BW519" s="14"/>
      <c r="BX519" s="14"/>
      <c r="BY519" s="170"/>
    </row>
    <row r="520" spans="9:77" x14ac:dyDescent="0.25">
      <c r="I520">
        <v>4571</v>
      </c>
      <c r="J520" s="1" t="s">
        <v>699</v>
      </c>
      <c r="K520">
        <v>293.25666666666598</v>
      </c>
      <c r="L520">
        <v>252.45999999999901</v>
      </c>
      <c r="M520">
        <v>279.18666666666599</v>
      </c>
      <c r="N520">
        <v>260.14333333333298</v>
      </c>
      <c r="O520">
        <v>251.44333333333299</v>
      </c>
      <c r="P520">
        <v>244.98333333333301</v>
      </c>
      <c r="Q520">
        <v>277.09333333333302</v>
      </c>
      <c r="R520">
        <v>218.80666666666599</v>
      </c>
      <c r="S520">
        <v>258.86</v>
      </c>
      <c r="T520">
        <v>232.91333333333299</v>
      </c>
      <c r="U520">
        <v>218.56666666666601</v>
      </c>
      <c r="V520">
        <v>207.39666666666599</v>
      </c>
      <c r="W520">
        <v>280.08999999999997</v>
      </c>
      <c r="X520">
        <v>251.28666666666601</v>
      </c>
      <c r="Y520">
        <v>262.606666666666</v>
      </c>
      <c r="Z520">
        <v>260.66000000000003</v>
      </c>
      <c r="AA520">
        <v>254.99</v>
      </c>
      <c r="AB520">
        <v>254.99</v>
      </c>
      <c r="AC520">
        <v>298.73333333333301</v>
      </c>
      <c r="AD520">
        <v>255.35</v>
      </c>
      <c r="AE520">
        <v>283.89333333333298</v>
      </c>
      <c r="AF520">
        <v>271.113333333333</v>
      </c>
      <c r="AG520">
        <v>262.95</v>
      </c>
      <c r="AH520">
        <v>259.13666666666597</v>
      </c>
      <c r="AI520">
        <v>293.25666666666598</v>
      </c>
      <c r="AJ520">
        <v>252.45999999999901</v>
      </c>
      <c r="AK520">
        <v>279.18666666666599</v>
      </c>
      <c r="AL520">
        <v>260.14333333333298</v>
      </c>
      <c r="AM520">
        <v>251.44333333333299</v>
      </c>
      <c r="AN520">
        <v>244.98333333333301</v>
      </c>
      <c r="AO520">
        <v>297.89999999999901</v>
      </c>
      <c r="AP520">
        <v>230.05</v>
      </c>
      <c r="AQ520">
        <v>278.70333333333298</v>
      </c>
      <c r="AR520">
        <v>245.66333333333299</v>
      </c>
      <c r="AS520">
        <v>227.44333333333299</v>
      </c>
      <c r="AT520">
        <v>212.07333333333301</v>
      </c>
      <c r="AU520">
        <v>310.27666666666602</v>
      </c>
      <c r="AV520">
        <v>256.86666666666599</v>
      </c>
      <c r="AW520">
        <v>293.82666666666597</v>
      </c>
      <c r="AX520">
        <v>269.666666666666</v>
      </c>
      <c r="AY520">
        <v>257.52999999999997</v>
      </c>
      <c r="AZ520">
        <v>248.39</v>
      </c>
      <c r="BA520">
        <v>298.87333333333299</v>
      </c>
      <c r="BB520">
        <v>243.63</v>
      </c>
      <c r="BC520">
        <v>281.99999999999898</v>
      </c>
      <c r="BD520">
        <v>256.71666666666601</v>
      </c>
      <c r="BE520">
        <v>243.15333333333299</v>
      </c>
      <c r="BF520">
        <v>232.863333333333</v>
      </c>
      <c r="BG520" s="14"/>
      <c r="BH520" s="14"/>
      <c r="BI520" s="14"/>
      <c r="BJ520" s="199"/>
      <c r="BK520" s="14"/>
      <c r="BL520" s="14"/>
      <c r="BM520" s="14"/>
      <c r="BN520" s="14"/>
      <c r="BO520" s="14"/>
      <c r="BP520" s="14"/>
      <c r="BQ520" s="14"/>
      <c r="BR520" s="14"/>
      <c r="BS520" s="14"/>
      <c r="BT520" s="14"/>
      <c r="BU520" s="14"/>
      <c r="BV520" s="14"/>
      <c r="BW520" s="14"/>
      <c r="BX520" s="14"/>
      <c r="BY520" s="170"/>
    </row>
    <row r="521" spans="9:77" x14ac:dyDescent="0.25">
      <c r="I521">
        <v>4572</v>
      </c>
      <c r="J521" s="1" t="s">
        <v>700</v>
      </c>
      <c r="K521">
        <v>291.08666666666602</v>
      </c>
      <c r="L521">
        <v>250.289999999999</v>
      </c>
      <c r="M521">
        <v>277.01666666666603</v>
      </c>
      <c r="N521">
        <v>257.97333333333302</v>
      </c>
      <c r="O521">
        <v>249.273333333333</v>
      </c>
      <c r="P521">
        <v>242.81333333333299</v>
      </c>
      <c r="Q521">
        <v>274.92333333333301</v>
      </c>
      <c r="R521">
        <v>216.636666666666</v>
      </c>
      <c r="S521">
        <v>256.68999999999897</v>
      </c>
      <c r="T521">
        <v>230.743333333333</v>
      </c>
      <c r="U521">
        <v>216.39666666666599</v>
      </c>
      <c r="V521">
        <v>205.22666666666601</v>
      </c>
      <c r="W521">
        <v>277.92</v>
      </c>
      <c r="X521">
        <v>249.11666666666599</v>
      </c>
      <c r="Y521">
        <v>260.43666666666599</v>
      </c>
      <c r="Z521">
        <v>258.48999999999899</v>
      </c>
      <c r="AA521">
        <v>252.82</v>
      </c>
      <c r="AB521">
        <v>252.82</v>
      </c>
      <c r="AC521">
        <v>296.56333333333299</v>
      </c>
      <c r="AD521">
        <v>253.18</v>
      </c>
      <c r="AE521">
        <v>281.72333333333302</v>
      </c>
      <c r="AF521">
        <v>268.94333333333299</v>
      </c>
      <c r="AG521">
        <v>260.77999999999997</v>
      </c>
      <c r="AH521">
        <v>256.96666666666601</v>
      </c>
      <c r="AI521">
        <v>291.08666666666602</v>
      </c>
      <c r="AJ521">
        <v>250.289999999999</v>
      </c>
      <c r="AK521">
        <v>277.01666666666603</v>
      </c>
      <c r="AL521">
        <v>257.97333333333302</v>
      </c>
      <c r="AM521">
        <v>249.273333333333</v>
      </c>
      <c r="AN521">
        <v>242.81333333333299</v>
      </c>
      <c r="AO521">
        <v>295.729999999999</v>
      </c>
      <c r="AP521">
        <v>227.879999999999</v>
      </c>
      <c r="AQ521">
        <v>276.53333333333302</v>
      </c>
      <c r="AR521">
        <v>243.493333333333</v>
      </c>
      <c r="AS521">
        <v>225.273333333333</v>
      </c>
      <c r="AT521">
        <v>209.90333333333299</v>
      </c>
      <c r="AU521">
        <v>308.106666666666</v>
      </c>
      <c r="AV521">
        <v>254.696666666666</v>
      </c>
      <c r="AW521">
        <v>291.65666666666601</v>
      </c>
      <c r="AX521">
        <v>267.49666666666599</v>
      </c>
      <c r="AY521">
        <v>255.36</v>
      </c>
      <c r="AZ521">
        <v>246.22</v>
      </c>
      <c r="BA521">
        <v>296.70333333333298</v>
      </c>
      <c r="BB521">
        <v>241.45999999999901</v>
      </c>
      <c r="BC521">
        <v>279.82999999999902</v>
      </c>
      <c r="BD521">
        <v>254.546666666666</v>
      </c>
      <c r="BE521">
        <v>240.98333333333301</v>
      </c>
      <c r="BF521">
        <v>230.69333333333299</v>
      </c>
      <c r="BG521" s="14"/>
      <c r="BH521" s="14"/>
      <c r="BI521" s="14"/>
      <c r="BJ521" s="199"/>
      <c r="BK521" s="14"/>
      <c r="BL521" s="14"/>
      <c r="BM521" s="14"/>
      <c r="BN521" s="14"/>
      <c r="BO521" s="14"/>
      <c r="BP521" s="14"/>
      <c r="BQ521" s="14"/>
      <c r="BR521" s="14"/>
      <c r="BS521" s="14"/>
      <c r="BT521" s="14"/>
      <c r="BU521" s="14"/>
      <c r="BV521" s="14"/>
      <c r="BW521" s="14"/>
      <c r="BX521" s="14"/>
      <c r="BY521" s="170"/>
    </row>
    <row r="522" spans="9:77" x14ac:dyDescent="0.25">
      <c r="I522">
        <v>4573</v>
      </c>
      <c r="J522" s="1" t="s">
        <v>701</v>
      </c>
      <c r="K522">
        <v>291.08666666666602</v>
      </c>
      <c r="L522">
        <v>250.289999999999</v>
      </c>
      <c r="M522">
        <v>277.01666666666603</v>
      </c>
      <c r="N522">
        <v>257.97333333333302</v>
      </c>
      <c r="O522">
        <v>249.273333333333</v>
      </c>
      <c r="P522">
        <v>242.81333333333299</v>
      </c>
      <c r="Q522">
        <v>274.92333333333301</v>
      </c>
      <c r="R522">
        <v>216.636666666666</v>
      </c>
      <c r="S522">
        <v>256.68999999999897</v>
      </c>
      <c r="T522">
        <v>230.743333333333</v>
      </c>
      <c r="U522">
        <v>216.39666666666599</v>
      </c>
      <c r="V522">
        <v>205.22666666666601</v>
      </c>
      <c r="W522">
        <v>277.92</v>
      </c>
      <c r="X522">
        <v>249.11666666666599</v>
      </c>
      <c r="Y522">
        <v>260.43666666666599</v>
      </c>
      <c r="Z522">
        <v>258.48999999999899</v>
      </c>
      <c r="AA522">
        <v>252.82</v>
      </c>
      <c r="AB522">
        <v>252.82</v>
      </c>
      <c r="AC522">
        <v>296.56333333333299</v>
      </c>
      <c r="AD522">
        <v>253.18</v>
      </c>
      <c r="AE522">
        <v>281.72333333333302</v>
      </c>
      <c r="AF522">
        <v>268.94333333333299</v>
      </c>
      <c r="AG522">
        <v>260.77999999999997</v>
      </c>
      <c r="AH522">
        <v>256.96666666666601</v>
      </c>
      <c r="AI522">
        <v>291.08666666666602</v>
      </c>
      <c r="AJ522">
        <v>250.289999999999</v>
      </c>
      <c r="AK522">
        <v>277.01666666666603</v>
      </c>
      <c r="AL522">
        <v>257.97333333333302</v>
      </c>
      <c r="AM522">
        <v>249.273333333333</v>
      </c>
      <c r="AN522">
        <v>242.81333333333299</v>
      </c>
      <c r="AO522">
        <v>295.729999999999</v>
      </c>
      <c r="AP522">
        <v>227.879999999999</v>
      </c>
      <c r="AQ522">
        <v>276.53333333333302</v>
      </c>
      <c r="AR522">
        <v>243.493333333333</v>
      </c>
      <c r="AS522">
        <v>225.273333333333</v>
      </c>
      <c r="AT522">
        <v>209.90333333333299</v>
      </c>
      <c r="AU522">
        <v>308.106666666666</v>
      </c>
      <c r="AV522">
        <v>254.696666666666</v>
      </c>
      <c r="AW522">
        <v>291.65666666666601</v>
      </c>
      <c r="AX522">
        <v>267.49666666666599</v>
      </c>
      <c r="AY522">
        <v>255.36</v>
      </c>
      <c r="AZ522">
        <v>246.22</v>
      </c>
      <c r="BA522">
        <v>296.70333333333298</v>
      </c>
      <c r="BB522">
        <v>241.45999999999901</v>
      </c>
      <c r="BC522">
        <v>279.82999999999902</v>
      </c>
      <c r="BD522">
        <v>254.546666666666</v>
      </c>
      <c r="BE522">
        <v>240.98333333333301</v>
      </c>
      <c r="BF522">
        <v>230.69333333333299</v>
      </c>
      <c r="BG522" s="14"/>
      <c r="BH522" s="14"/>
      <c r="BI522" s="14"/>
      <c r="BJ522" s="199"/>
      <c r="BK522" s="14"/>
      <c r="BL522" s="14"/>
      <c r="BM522" s="14"/>
      <c r="BN522" s="14"/>
      <c r="BO522" s="14"/>
      <c r="BP522" s="14"/>
      <c r="BQ522" s="14"/>
      <c r="BR522" s="14"/>
      <c r="BS522" s="14"/>
      <c r="BT522" s="14"/>
      <c r="BU522" s="14"/>
      <c r="BV522" s="14"/>
      <c r="BW522" s="14"/>
      <c r="BX522" s="14"/>
      <c r="BY522" s="170"/>
    </row>
    <row r="523" spans="9:77" x14ac:dyDescent="0.25">
      <c r="I523">
        <v>4581</v>
      </c>
      <c r="J523" s="1" t="s">
        <v>702</v>
      </c>
      <c r="K523">
        <v>273.15666666666601</v>
      </c>
      <c r="L523">
        <v>232.35999999999899</v>
      </c>
      <c r="M523">
        <v>259.08666666666602</v>
      </c>
      <c r="N523">
        <v>240.04333333333301</v>
      </c>
      <c r="O523">
        <v>231.34333333333299</v>
      </c>
      <c r="P523">
        <v>224.88333333333301</v>
      </c>
      <c r="Q523">
        <v>256.993333333333</v>
      </c>
      <c r="R523">
        <v>198.706666666666</v>
      </c>
      <c r="S523">
        <v>238.759999999999</v>
      </c>
      <c r="T523">
        <v>212.81333333333299</v>
      </c>
      <c r="U523">
        <v>198.46666666666599</v>
      </c>
      <c r="V523">
        <v>187.296666666666</v>
      </c>
      <c r="W523">
        <v>259.99</v>
      </c>
      <c r="X523">
        <v>231.18666666666601</v>
      </c>
      <c r="Y523">
        <v>242.50666666666601</v>
      </c>
      <c r="Z523">
        <v>240.56</v>
      </c>
      <c r="AA523">
        <v>234.89</v>
      </c>
      <c r="AB523">
        <v>234.89</v>
      </c>
      <c r="AC523">
        <v>278.63333333333298</v>
      </c>
      <c r="AD523">
        <v>235.25</v>
      </c>
      <c r="AE523">
        <v>263.79333333333301</v>
      </c>
      <c r="AF523">
        <v>251.01333333333301</v>
      </c>
      <c r="AG523">
        <v>242.85</v>
      </c>
      <c r="AH523">
        <v>239.03666666666601</v>
      </c>
      <c r="AI523">
        <v>273.15666666666601</v>
      </c>
      <c r="AJ523">
        <v>232.35999999999899</v>
      </c>
      <c r="AK523">
        <v>259.08666666666602</v>
      </c>
      <c r="AL523">
        <v>240.04333333333301</v>
      </c>
      <c r="AM523">
        <v>231.34333333333299</v>
      </c>
      <c r="AN523">
        <v>224.88333333333301</v>
      </c>
      <c r="AO523">
        <v>277.79999999999899</v>
      </c>
      <c r="AP523">
        <v>209.94999999999899</v>
      </c>
      <c r="AQ523">
        <v>258.60333333333301</v>
      </c>
      <c r="AR523">
        <v>225.56333333333299</v>
      </c>
      <c r="AS523">
        <v>207.34333333333299</v>
      </c>
      <c r="AT523">
        <v>191.97333333333299</v>
      </c>
      <c r="AU523">
        <v>290.17666666666599</v>
      </c>
      <c r="AV523">
        <v>236.766666666666</v>
      </c>
      <c r="AW523">
        <v>273.72666666666601</v>
      </c>
      <c r="AX523">
        <v>249.56666666666601</v>
      </c>
      <c r="AY523">
        <v>237.43</v>
      </c>
      <c r="AZ523">
        <v>228.29</v>
      </c>
      <c r="BA523">
        <v>278.77333333333303</v>
      </c>
      <c r="BB523">
        <v>223.52999999999901</v>
      </c>
      <c r="BC523">
        <v>261.89999999999901</v>
      </c>
      <c r="BD523">
        <v>236.61666666666599</v>
      </c>
      <c r="BE523">
        <v>223.053333333333</v>
      </c>
      <c r="BF523">
        <v>212.76333333333301</v>
      </c>
      <c r="BG523" s="14"/>
      <c r="BH523" s="14"/>
      <c r="BI523" s="14"/>
      <c r="BJ523" s="199"/>
      <c r="BK523" s="14"/>
      <c r="BL523" s="14"/>
      <c r="BM523" s="14"/>
      <c r="BN523" s="14"/>
      <c r="BO523" s="14"/>
      <c r="BP523" s="14"/>
      <c r="BQ523" s="14"/>
      <c r="BR523" s="14"/>
      <c r="BS523" s="14"/>
      <c r="BT523" s="14"/>
      <c r="BU523" s="14"/>
      <c r="BV523" s="14"/>
      <c r="BW523" s="14"/>
      <c r="BX523" s="14"/>
      <c r="BY523" s="170"/>
    </row>
    <row r="524" spans="9:77" x14ac:dyDescent="0.25">
      <c r="I524">
        <v>4583</v>
      </c>
      <c r="J524" s="1" t="s">
        <v>703</v>
      </c>
      <c r="K524">
        <v>230.576666666666</v>
      </c>
      <c r="L524">
        <v>189.77999999999901</v>
      </c>
      <c r="M524">
        <v>216.50666666666601</v>
      </c>
      <c r="N524">
        <v>197.463333333333</v>
      </c>
      <c r="O524">
        <v>188.76333333333301</v>
      </c>
      <c r="P524">
        <v>182.303333333333</v>
      </c>
      <c r="Q524">
        <v>214.41333333333299</v>
      </c>
      <c r="R524">
        <v>156.12666666666601</v>
      </c>
      <c r="S524">
        <v>196.17999999999901</v>
      </c>
      <c r="T524">
        <v>170.23333333333301</v>
      </c>
      <c r="U524">
        <v>155.886666666666</v>
      </c>
      <c r="V524">
        <v>144.71666666666599</v>
      </c>
      <c r="W524">
        <v>217.41</v>
      </c>
      <c r="X524">
        <v>188.606666666666</v>
      </c>
      <c r="Y524">
        <v>199.92666666666599</v>
      </c>
      <c r="Z524">
        <v>197.979999999999</v>
      </c>
      <c r="AA524">
        <v>192.31</v>
      </c>
      <c r="AB524">
        <v>192.31</v>
      </c>
      <c r="AC524">
        <v>236.053333333333</v>
      </c>
      <c r="AD524">
        <v>192.67</v>
      </c>
      <c r="AE524">
        <v>221.213333333333</v>
      </c>
      <c r="AF524">
        <v>208.433333333333</v>
      </c>
      <c r="AG524">
        <v>200.27</v>
      </c>
      <c r="AH524">
        <v>196.456666666666</v>
      </c>
      <c r="AI524">
        <v>230.576666666666</v>
      </c>
      <c r="AJ524">
        <v>189.77999999999901</v>
      </c>
      <c r="AK524">
        <v>216.50666666666601</v>
      </c>
      <c r="AL524">
        <v>197.463333333333</v>
      </c>
      <c r="AM524">
        <v>188.76333333333301</v>
      </c>
      <c r="AN524">
        <v>182.303333333333</v>
      </c>
      <c r="AO524">
        <v>235.219999999999</v>
      </c>
      <c r="AP524">
        <v>167.36999999999901</v>
      </c>
      <c r="AQ524">
        <v>216.023333333333</v>
      </c>
      <c r="AR524">
        <v>182.98333333333301</v>
      </c>
      <c r="AS524">
        <v>164.76333333333301</v>
      </c>
      <c r="AT524">
        <v>149.393333333333</v>
      </c>
      <c r="AU524">
        <v>247.59666666666601</v>
      </c>
      <c r="AV524">
        <v>194.18666666666601</v>
      </c>
      <c r="AW524">
        <v>231.14666666666599</v>
      </c>
      <c r="AX524">
        <v>206.986666666666</v>
      </c>
      <c r="AY524">
        <v>194.85</v>
      </c>
      <c r="AZ524">
        <v>185.71</v>
      </c>
      <c r="BA524">
        <v>236.19333333333299</v>
      </c>
      <c r="BB524">
        <v>180.94999999999899</v>
      </c>
      <c r="BC524">
        <v>219.319999999999</v>
      </c>
      <c r="BD524">
        <v>194.03666666666601</v>
      </c>
      <c r="BE524">
        <v>180.47333333333299</v>
      </c>
      <c r="BF524">
        <v>170.183333333333</v>
      </c>
      <c r="BG524" s="14"/>
      <c r="BH524" s="14"/>
      <c r="BI524" s="14"/>
      <c r="BJ524" s="199"/>
      <c r="BK524" s="14"/>
      <c r="BL524" s="14"/>
      <c r="BM524" s="14"/>
      <c r="BN524" s="14"/>
      <c r="BO524" s="14"/>
      <c r="BP524" s="14"/>
      <c r="BQ524" s="14"/>
      <c r="BR524" s="14"/>
      <c r="BS524" s="14"/>
      <c r="BT524" s="14"/>
      <c r="BU524" s="14"/>
      <c r="BV524" s="14"/>
      <c r="BW524" s="14"/>
      <c r="BX524" s="14"/>
      <c r="BY524" s="170"/>
    </row>
    <row r="525" spans="9:77" x14ac:dyDescent="0.25">
      <c r="I525">
        <v>4591</v>
      </c>
      <c r="J525" s="1" t="s">
        <v>704</v>
      </c>
      <c r="K525">
        <v>320.736666666666</v>
      </c>
      <c r="L525">
        <v>279.93999999999897</v>
      </c>
      <c r="M525">
        <v>306.666666666666</v>
      </c>
      <c r="N525">
        <v>287.62333333333299</v>
      </c>
      <c r="O525">
        <v>278.92333333333301</v>
      </c>
      <c r="P525">
        <v>272.46333333333303</v>
      </c>
      <c r="Q525">
        <v>304.57333333333298</v>
      </c>
      <c r="R525">
        <v>246.28666666666601</v>
      </c>
      <c r="S525">
        <v>286.33999999999901</v>
      </c>
      <c r="T525">
        <v>260.39333333333298</v>
      </c>
      <c r="U525">
        <v>246.046666666666</v>
      </c>
      <c r="V525">
        <v>234.87666666666601</v>
      </c>
      <c r="W525">
        <v>307.56999999999903</v>
      </c>
      <c r="X525">
        <v>278.76666666666603</v>
      </c>
      <c r="Y525">
        <v>290.08666666666602</v>
      </c>
      <c r="Z525">
        <v>288.13999999999902</v>
      </c>
      <c r="AA525">
        <v>282.47000000000003</v>
      </c>
      <c r="AB525">
        <v>282.47000000000003</v>
      </c>
      <c r="AC525">
        <v>326.21333333333303</v>
      </c>
      <c r="AD525">
        <v>282.83</v>
      </c>
      <c r="AE525">
        <v>311.37333333333299</v>
      </c>
      <c r="AF525">
        <v>298.59333333333302</v>
      </c>
      <c r="AG525">
        <v>290.43</v>
      </c>
      <c r="AH525">
        <v>286.61666666666599</v>
      </c>
      <c r="AI525">
        <v>320.736666666666</v>
      </c>
      <c r="AJ525">
        <v>279.93999999999897</v>
      </c>
      <c r="AK525">
        <v>306.666666666666</v>
      </c>
      <c r="AL525">
        <v>287.62333333333299</v>
      </c>
      <c r="AM525">
        <v>278.92333333333301</v>
      </c>
      <c r="AN525">
        <v>272.46333333333303</v>
      </c>
      <c r="AO525">
        <v>325.37999999999897</v>
      </c>
      <c r="AP525">
        <v>257.52999999999901</v>
      </c>
      <c r="AQ525">
        <v>306.183333333333</v>
      </c>
      <c r="AR525">
        <v>273.14333333333298</v>
      </c>
      <c r="AS525">
        <v>254.92333333333301</v>
      </c>
      <c r="AT525">
        <v>239.553333333333</v>
      </c>
      <c r="AU525">
        <v>337.75666666666598</v>
      </c>
      <c r="AV525">
        <v>284.34666666666601</v>
      </c>
      <c r="AW525">
        <v>321.30666666666599</v>
      </c>
      <c r="AX525">
        <v>297.14666666666602</v>
      </c>
      <c r="AY525">
        <v>285.01</v>
      </c>
      <c r="AZ525">
        <v>275.87</v>
      </c>
      <c r="BA525">
        <v>326.35333333333301</v>
      </c>
      <c r="BB525">
        <v>271.10999999999899</v>
      </c>
      <c r="BC525">
        <v>309.479999999999</v>
      </c>
      <c r="BD525">
        <v>284.19666666666598</v>
      </c>
      <c r="BE525">
        <v>270.63333333333298</v>
      </c>
      <c r="BF525">
        <v>260.34333333333302</v>
      </c>
      <c r="BG525" s="14"/>
      <c r="BH525" s="14"/>
      <c r="BI525" s="14"/>
      <c r="BJ525" s="199"/>
      <c r="BK525" s="14"/>
      <c r="BL525" s="14"/>
      <c r="BM525" s="14"/>
      <c r="BN525" s="14"/>
      <c r="BO525" s="14"/>
      <c r="BP525" s="14"/>
      <c r="BQ525" s="14"/>
      <c r="BR525" s="14"/>
      <c r="BS525" s="14"/>
      <c r="BT525" s="14"/>
      <c r="BU525" s="14"/>
      <c r="BV525" s="14"/>
      <c r="BW525" s="14"/>
      <c r="BX525" s="14"/>
      <c r="BY525" s="170"/>
    </row>
    <row r="526" spans="9:77" x14ac:dyDescent="0.25">
      <c r="I526">
        <v>4592</v>
      </c>
      <c r="J526" s="1" t="s">
        <v>705</v>
      </c>
      <c r="K526">
        <v>234.956666666666</v>
      </c>
      <c r="L526">
        <v>194.159999999999</v>
      </c>
      <c r="M526">
        <v>220.886666666666</v>
      </c>
      <c r="N526">
        <v>201.84333333333299</v>
      </c>
      <c r="O526">
        <v>193.143333333333</v>
      </c>
      <c r="P526">
        <v>186.683333333333</v>
      </c>
      <c r="Q526">
        <v>218.79333333333301</v>
      </c>
      <c r="R526">
        <v>160.50666666666601</v>
      </c>
      <c r="S526">
        <v>200.55999999999901</v>
      </c>
      <c r="T526">
        <v>174.613333333333</v>
      </c>
      <c r="U526">
        <v>160.266666666666</v>
      </c>
      <c r="V526">
        <v>149.09666666666601</v>
      </c>
      <c r="W526">
        <v>221.79</v>
      </c>
      <c r="X526">
        <v>192.986666666666</v>
      </c>
      <c r="Y526">
        <v>204.30666666666599</v>
      </c>
      <c r="Z526">
        <v>202.35999999999899</v>
      </c>
      <c r="AA526">
        <v>196.69</v>
      </c>
      <c r="AB526">
        <v>196.69</v>
      </c>
      <c r="AC526">
        <v>240.433333333333</v>
      </c>
      <c r="AD526">
        <v>197.05</v>
      </c>
      <c r="AE526">
        <v>225.59333333333299</v>
      </c>
      <c r="AF526">
        <v>212.81333333333299</v>
      </c>
      <c r="AG526">
        <v>204.65</v>
      </c>
      <c r="AH526">
        <v>200.83666666666599</v>
      </c>
      <c r="AI526">
        <v>234.956666666666</v>
      </c>
      <c r="AJ526">
        <v>194.159999999999</v>
      </c>
      <c r="AK526">
        <v>220.886666666666</v>
      </c>
      <c r="AL526">
        <v>201.84333333333299</v>
      </c>
      <c r="AM526">
        <v>193.143333333333</v>
      </c>
      <c r="AN526">
        <v>186.683333333333</v>
      </c>
      <c r="AO526">
        <v>239.599999999999</v>
      </c>
      <c r="AP526">
        <v>171.74999999999901</v>
      </c>
      <c r="AQ526">
        <v>220.40333333333299</v>
      </c>
      <c r="AR526">
        <v>187.363333333333</v>
      </c>
      <c r="AS526">
        <v>169.143333333333</v>
      </c>
      <c r="AT526">
        <v>153.773333333333</v>
      </c>
      <c r="AU526">
        <v>251.97666666666601</v>
      </c>
      <c r="AV526">
        <v>198.56666666666601</v>
      </c>
      <c r="AW526">
        <v>235.52666666666599</v>
      </c>
      <c r="AX526">
        <v>211.36666666666599</v>
      </c>
      <c r="AY526">
        <v>199.23</v>
      </c>
      <c r="AZ526">
        <v>190.09</v>
      </c>
      <c r="BA526">
        <v>240.57333333333301</v>
      </c>
      <c r="BB526">
        <v>185.32999999999899</v>
      </c>
      <c r="BC526">
        <v>223.69999999999899</v>
      </c>
      <c r="BD526">
        <v>198.416666666666</v>
      </c>
      <c r="BE526">
        <v>184.85333333333301</v>
      </c>
      <c r="BF526">
        <v>174.56333333333299</v>
      </c>
      <c r="BG526" s="14"/>
      <c r="BH526" s="14"/>
      <c r="BI526" s="14"/>
      <c r="BJ526" s="199"/>
      <c r="BK526" s="14"/>
      <c r="BL526" s="14"/>
      <c r="BM526" s="14"/>
      <c r="BN526" s="14"/>
      <c r="BO526" s="14"/>
      <c r="BP526" s="14"/>
      <c r="BQ526" s="14"/>
      <c r="BR526" s="14"/>
      <c r="BS526" s="14"/>
      <c r="BT526" s="14"/>
      <c r="BU526" s="14"/>
      <c r="BV526" s="14"/>
      <c r="BW526" s="14"/>
      <c r="BX526" s="14"/>
      <c r="BY526" s="170"/>
    </row>
    <row r="527" spans="9:77" x14ac:dyDescent="0.25">
      <c r="I527">
        <v>4593</v>
      </c>
      <c r="J527" s="1" t="s">
        <v>706</v>
      </c>
      <c r="K527">
        <v>320.736666666666</v>
      </c>
      <c r="L527">
        <v>279.93999999999897</v>
      </c>
      <c r="M527">
        <v>306.666666666666</v>
      </c>
      <c r="N527">
        <v>287.62333333333299</v>
      </c>
      <c r="O527">
        <v>278.92333333333301</v>
      </c>
      <c r="P527">
        <v>272.46333333333303</v>
      </c>
      <c r="Q527">
        <v>304.57333333333298</v>
      </c>
      <c r="R527">
        <v>246.28666666666601</v>
      </c>
      <c r="S527">
        <v>286.33999999999901</v>
      </c>
      <c r="T527">
        <v>260.39333333333298</v>
      </c>
      <c r="U527">
        <v>246.046666666666</v>
      </c>
      <c r="V527">
        <v>234.87666666666601</v>
      </c>
      <c r="W527">
        <v>307.56999999999903</v>
      </c>
      <c r="X527">
        <v>278.76666666666603</v>
      </c>
      <c r="Y527">
        <v>290.08666666666602</v>
      </c>
      <c r="Z527">
        <v>288.13999999999902</v>
      </c>
      <c r="AA527">
        <v>282.47000000000003</v>
      </c>
      <c r="AB527">
        <v>282.47000000000003</v>
      </c>
      <c r="AC527">
        <v>326.21333333333303</v>
      </c>
      <c r="AD527">
        <v>282.83</v>
      </c>
      <c r="AE527">
        <v>311.37333333333299</v>
      </c>
      <c r="AF527">
        <v>298.59333333333302</v>
      </c>
      <c r="AG527">
        <v>290.43</v>
      </c>
      <c r="AH527">
        <v>286.61666666666599</v>
      </c>
      <c r="AI527">
        <v>320.736666666666</v>
      </c>
      <c r="AJ527">
        <v>279.93999999999897</v>
      </c>
      <c r="AK527">
        <v>306.666666666666</v>
      </c>
      <c r="AL527">
        <v>287.62333333333299</v>
      </c>
      <c r="AM527">
        <v>278.92333333333301</v>
      </c>
      <c r="AN527">
        <v>272.46333333333303</v>
      </c>
      <c r="AO527">
        <v>325.37999999999897</v>
      </c>
      <c r="AP527">
        <v>257.52999999999901</v>
      </c>
      <c r="AQ527">
        <v>306.183333333333</v>
      </c>
      <c r="AR527">
        <v>273.14333333333298</v>
      </c>
      <c r="AS527">
        <v>254.92333333333301</v>
      </c>
      <c r="AT527">
        <v>239.553333333333</v>
      </c>
      <c r="AU527">
        <v>337.75666666666598</v>
      </c>
      <c r="AV527">
        <v>284.34666666666601</v>
      </c>
      <c r="AW527">
        <v>321.30666666666599</v>
      </c>
      <c r="AX527">
        <v>297.14666666666602</v>
      </c>
      <c r="AY527">
        <v>285.01</v>
      </c>
      <c r="AZ527">
        <v>275.87</v>
      </c>
      <c r="BA527">
        <v>326.35333333333301</v>
      </c>
      <c r="BB527">
        <v>271.10999999999899</v>
      </c>
      <c r="BC527">
        <v>309.479999999999</v>
      </c>
      <c r="BD527">
        <v>284.19666666666598</v>
      </c>
      <c r="BE527">
        <v>270.63333333333298</v>
      </c>
      <c r="BF527">
        <v>260.34333333333302</v>
      </c>
      <c r="BG527" s="14"/>
      <c r="BH527" s="14"/>
      <c r="BI527" s="14"/>
      <c r="BJ527" s="199"/>
      <c r="BK527" s="14"/>
      <c r="BL527" s="14"/>
      <c r="BM527" s="14"/>
      <c r="BN527" s="14"/>
      <c r="BO527" s="14"/>
      <c r="BP527" s="14"/>
      <c r="BQ527" s="14"/>
      <c r="BR527" s="14"/>
      <c r="BS527" s="14"/>
      <c r="BT527" s="14"/>
      <c r="BU527" s="14"/>
      <c r="BV527" s="14"/>
      <c r="BW527" s="14"/>
      <c r="BX527" s="14"/>
      <c r="BY527" s="170"/>
    </row>
    <row r="528" spans="9:77" x14ac:dyDescent="0.25">
      <c r="I528">
        <v>4600</v>
      </c>
      <c r="J528" s="1" t="s">
        <v>707</v>
      </c>
      <c r="K528">
        <v>310.606666666666</v>
      </c>
      <c r="L528">
        <v>269.80999999999898</v>
      </c>
      <c r="M528">
        <v>296.53666666666601</v>
      </c>
      <c r="N528">
        <v>277.493333333333</v>
      </c>
      <c r="O528">
        <v>268.79333333333301</v>
      </c>
      <c r="P528">
        <v>262.33333333333297</v>
      </c>
      <c r="Q528">
        <v>294.44333333333299</v>
      </c>
      <c r="R528">
        <v>236.15666666666601</v>
      </c>
      <c r="S528">
        <v>276.20999999999901</v>
      </c>
      <c r="T528">
        <v>250.26333333333301</v>
      </c>
      <c r="U528">
        <v>235.916666666666</v>
      </c>
      <c r="V528">
        <v>224.74666666666599</v>
      </c>
      <c r="W528">
        <v>297.44</v>
      </c>
      <c r="X528">
        <v>268.63666666666597</v>
      </c>
      <c r="Y528">
        <v>279.95666666666602</v>
      </c>
      <c r="Z528">
        <v>278.00999999999902</v>
      </c>
      <c r="AA528">
        <v>272.33999999999997</v>
      </c>
      <c r="AB528">
        <v>272.33999999999997</v>
      </c>
      <c r="AC528">
        <v>316.08333333333297</v>
      </c>
      <c r="AD528">
        <v>272.7</v>
      </c>
      <c r="AE528">
        <v>301.243333333333</v>
      </c>
      <c r="AF528">
        <v>288.46333333333303</v>
      </c>
      <c r="AG528">
        <v>280.3</v>
      </c>
      <c r="AH528">
        <v>276.486666666666</v>
      </c>
      <c r="AI528">
        <v>310.606666666666</v>
      </c>
      <c r="AJ528">
        <v>269.80999999999898</v>
      </c>
      <c r="AK528">
        <v>296.53666666666601</v>
      </c>
      <c r="AL528">
        <v>277.493333333333</v>
      </c>
      <c r="AM528">
        <v>268.79333333333301</v>
      </c>
      <c r="AN528">
        <v>262.33333333333297</v>
      </c>
      <c r="AO528">
        <v>315.24999999999898</v>
      </c>
      <c r="AP528">
        <v>247.39999999999901</v>
      </c>
      <c r="AQ528">
        <v>296.053333333333</v>
      </c>
      <c r="AR528">
        <v>263.01333333333298</v>
      </c>
      <c r="AS528">
        <v>244.79333333333301</v>
      </c>
      <c r="AT528">
        <v>229.42333333333301</v>
      </c>
      <c r="AU528">
        <v>327.62666666666598</v>
      </c>
      <c r="AV528">
        <v>274.21666666666601</v>
      </c>
      <c r="AW528">
        <v>311.17666666666599</v>
      </c>
      <c r="AX528">
        <v>287.01666666666603</v>
      </c>
      <c r="AY528">
        <v>274.88</v>
      </c>
      <c r="AZ528">
        <v>265.74</v>
      </c>
      <c r="BA528">
        <v>316.22333333333302</v>
      </c>
      <c r="BB528">
        <v>260.979999999999</v>
      </c>
      <c r="BC528">
        <v>299.349999999999</v>
      </c>
      <c r="BD528">
        <v>274.06666666666598</v>
      </c>
      <c r="BE528">
        <v>260.50333333333299</v>
      </c>
      <c r="BF528">
        <v>250.213333333333</v>
      </c>
      <c r="BG528" s="14"/>
      <c r="BH528" s="14"/>
      <c r="BI528" s="14"/>
      <c r="BJ528" s="199"/>
      <c r="BK528" s="14"/>
      <c r="BL528" s="14"/>
      <c r="BM528" s="14"/>
      <c r="BN528" s="14"/>
      <c r="BO528" s="14"/>
      <c r="BP528" s="14"/>
      <c r="BQ528" s="14"/>
      <c r="BR528" s="14"/>
      <c r="BS528" s="14"/>
      <c r="BT528" s="14"/>
      <c r="BU528" s="14"/>
      <c r="BV528" s="14"/>
      <c r="BW528" s="14"/>
      <c r="BX528" s="14"/>
      <c r="BY528" s="170"/>
    </row>
    <row r="529" spans="9:77" x14ac:dyDescent="0.25">
      <c r="I529">
        <v>4621</v>
      </c>
      <c r="J529" s="1" t="s">
        <v>708</v>
      </c>
      <c r="K529">
        <v>353.986666666666</v>
      </c>
      <c r="L529">
        <v>313.19</v>
      </c>
      <c r="M529">
        <v>339.916666666666</v>
      </c>
      <c r="N529">
        <v>320.87333333333299</v>
      </c>
      <c r="O529">
        <v>312.17333333333301</v>
      </c>
      <c r="P529">
        <v>305.71333333333303</v>
      </c>
      <c r="Q529">
        <v>337.82333333333298</v>
      </c>
      <c r="R529">
        <v>279.53666666666601</v>
      </c>
      <c r="S529">
        <v>319.58999999999997</v>
      </c>
      <c r="T529">
        <v>293.64333333333298</v>
      </c>
      <c r="U529">
        <v>279.296666666666</v>
      </c>
      <c r="V529">
        <v>268.12666666666598</v>
      </c>
      <c r="W529">
        <v>340.82</v>
      </c>
      <c r="X529">
        <v>312.01666666666603</v>
      </c>
      <c r="Y529">
        <v>323.33666666666602</v>
      </c>
      <c r="Z529">
        <v>321.39</v>
      </c>
      <c r="AA529">
        <v>315.72000000000003</v>
      </c>
      <c r="AB529">
        <v>315.72000000000003</v>
      </c>
      <c r="AC529">
        <v>359.46333333333303</v>
      </c>
      <c r="AD529">
        <v>316.08</v>
      </c>
      <c r="AE529">
        <v>344.62333333333299</v>
      </c>
      <c r="AF529">
        <v>331.84333333333302</v>
      </c>
      <c r="AG529">
        <v>323.68</v>
      </c>
      <c r="AH529">
        <v>319.86666666666599</v>
      </c>
      <c r="AI529">
        <v>353.986666666666</v>
      </c>
      <c r="AJ529">
        <v>313.19</v>
      </c>
      <c r="AK529">
        <v>339.916666666666</v>
      </c>
      <c r="AL529">
        <v>320.87333333333299</v>
      </c>
      <c r="AM529">
        <v>312.17333333333301</v>
      </c>
      <c r="AN529">
        <v>305.71333333333303</v>
      </c>
      <c r="AO529">
        <v>358.63</v>
      </c>
      <c r="AP529">
        <v>290.77999999999997</v>
      </c>
      <c r="AQ529">
        <v>339.433333333333</v>
      </c>
      <c r="AR529">
        <v>306.39333333333298</v>
      </c>
      <c r="AS529">
        <v>288.17333333333301</v>
      </c>
      <c r="AT529">
        <v>272.803333333333</v>
      </c>
      <c r="AU529">
        <v>371.00666666666598</v>
      </c>
      <c r="AV529">
        <v>317.59666666666601</v>
      </c>
      <c r="AW529">
        <v>354.55666666666599</v>
      </c>
      <c r="AX529">
        <v>330.39666666666602</v>
      </c>
      <c r="AY529">
        <v>318.26</v>
      </c>
      <c r="AZ529">
        <v>309.12</v>
      </c>
      <c r="BA529">
        <v>359.60333333333301</v>
      </c>
      <c r="BB529">
        <v>304.36</v>
      </c>
      <c r="BC529">
        <v>342.729999999999</v>
      </c>
      <c r="BD529">
        <v>317.44666666666598</v>
      </c>
      <c r="BE529">
        <v>303.88333333333298</v>
      </c>
      <c r="BF529">
        <v>293.59333333333302</v>
      </c>
      <c r="BG529" s="14"/>
      <c r="BH529" s="14"/>
      <c r="BI529" s="14"/>
      <c r="BJ529" s="199"/>
      <c r="BK529" s="14"/>
      <c r="BL529" s="14"/>
      <c r="BM529" s="14"/>
      <c r="BN529" s="14"/>
      <c r="BO529" s="14"/>
      <c r="BP529" s="14"/>
      <c r="BQ529" s="14"/>
      <c r="BR529" s="14"/>
      <c r="BS529" s="14"/>
      <c r="BT529" s="14"/>
      <c r="BU529" s="14"/>
      <c r="BV529" s="14"/>
      <c r="BW529" s="14"/>
      <c r="BX529" s="14"/>
      <c r="BY529" s="170"/>
    </row>
    <row r="530" spans="9:77" x14ac:dyDescent="0.25">
      <c r="I530">
        <v>4622</v>
      </c>
      <c r="J530" s="1" t="s">
        <v>709</v>
      </c>
      <c r="K530">
        <v>353.986666666666</v>
      </c>
      <c r="L530">
        <v>313.19</v>
      </c>
      <c r="M530">
        <v>339.916666666666</v>
      </c>
      <c r="N530">
        <v>320.87333333333299</v>
      </c>
      <c r="O530">
        <v>312.17333333333301</v>
      </c>
      <c r="P530">
        <v>305.71333333333303</v>
      </c>
      <c r="Q530">
        <v>337.82333333333298</v>
      </c>
      <c r="R530">
        <v>279.53666666666601</v>
      </c>
      <c r="S530">
        <v>319.58999999999997</v>
      </c>
      <c r="T530">
        <v>293.64333333333298</v>
      </c>
      <c r="U530">
        <v>279.296666666666</v>
      </c>
      <c r="V530">
        <v>268.12666666666598</v>
      </c>
      <c r="W530">
        <v>340.82</v>
      </c>
      <c r="X530">
        <v>312.01666666666603</v>
      </c>
      <c r="Y530">
        <v>323.33666666666602</v>
      </c>
      <c r="Z530">
        <v>321.39</v>
      </c>
      <c r="AA530">
        <v>315.72000000000003</v>
      </c>
      <c r="AB530">
        <v>315.72000000000003</v>
      </c>
      <c r="AC530">
        <v>359.46333333333303</v>
      </c>
      <c r="AD530">
        <v>316.08</v>
      </c>
      <c r="AE530">
        <v>344.62333333333299</v>
      </c>
      <c r="AF530">
        <v>331.84333333333302</v>
      </c>
      <c r="AG530">
        <v>323.68</v>
      </c>
      <c r="AH530">
        <v>319.86666666666599</v>
      </c>
      <c r="AI530">
        <v>353.986666666666</v>
      </c>
      <c r="AJ530">
        <v>313.19</v>
      </c>
      <c r="AK530">
        <v>339.916666666666</v>
      </c>
      <c r="AL530">
        <v>320.87333333333299</v>
      </c>
      <c r="AM530">
        <v>312.17333333333301</v>
      </c>
      <c r="AN530">
        <v>305.71333333333303</v>
      </c>
      <c r="AO530">
        <v>358.63</v>
      </c>
      <c r="AP530">
        <v>290.77999999999997</v>
      </c>
      <c r="AQ530">
        <v>339.433333333333</v>
      </c>
      <c r="AR530">
        <v>306.39333333333298</v>
      </c>
      <c r="AS530">
        <v>288.17333333333301</v>
      </c>
      <c r="AT530">
        <v>272.803333333333</v>
      </c>
      <c r="AU530">
        <v>371.00666666666598</v>
      </c>
      <c r="AV530">
        <v>317.59666666666601</v>
      </c>
      <c r="AW530">
        <v>354.55666666666599</v>
      </c>
      <c r="AX530">
        <v>330.39666666666602</v>
      </c>
      <c r="AY530">
        <v>318.26</v>
      </c>
      <c r="AZ530">
        <v>309.12</v>
      </c>
      <c r="BA530">
        <v>359.60333333333301</v>
      </c>
      <c r="BB530">
        <v>304.36</v>
      </c>
      <c r="BC530">
        <v>342.729999999999</v>
      </c>
      <c r="BD530">
        <v>317.44666666666598</v>
      </c>
      <c r="BE530">
        <v>303.88333333333298</v>
      </c>
      <c r="BF530">
        <v>293.59333333333302</v>
      </c>
      <c r="BG530" s="14"/>
      <c r="BH530" s="14"/>
      <c r="BI530" s="14"/>
      <c r="BJ530" s="199"/>
      <c r="BK530" s="14"/>
      <c r="BL530" s="14"/>
      <c r="BM530" s="14"/>
      <c r="BN530" s="14"/>
      <c r="BO530" s="14"/>
      <c r="BP530" s="14"/>
      <c r="BQ530" s="14"/>
      <c r="BR530" s="14"/>
      <c r="BS530" s="14"/>
      <c r="BT530" s="14"/>
      <c r="BU530" s="14"/>
      <c r="BV530" s="14"/>
      <c r="BW530" s="14"/>
      <c r="BX530" s="14"/>
      <c r="BY530" s="170"/>
    </row>
    <row r="531" spans="9:77" x14ac:dyDescent="0.25">
      <c r="I531">
        <v>4623</v>
      </c>
      <c r="J531" s="1" t="s">
        <v>710</v>
      </c>
      <c r="K531">
        <v>353.986666666666</v>
      </c>
      <c r="L531">
        <v>313.19</v>
      </c>
      <c r="M531">
        <v>339.916666666666</v>
      </c>
      <c r="N531">
        <v>320.87333333333299</v>
      </c>
      <c r="O531">
        <v>312.17333333333301</v>
      </c>
      <c r="P531">
        <v>305.71333333333303</v>
      </c>
      <c r="Q531">
        <v>337.82333333333298</v>
      </c>
      <c r="R531">
        <v>279.53666666666601</v>
      </c>
      <c r="S531">
        <v>319.58999999999997</v>
      </c>
      <c r="T531">
        <v>293.64333333333298</v>
      </c>
      <c r="U531">
        <v>279.296666666666</v>
      </c>
      <c r="V531">
        <v>268.12666666666598</v>
      </c>
      <c r="W531">
        <v>340.82</v>
      </c>
      <c r="X531">
        <v>312.01666666666603</v>
      </c>
      <c r="Y531">
        <v>323.33666666666602</v>
      </c>
      <c r="Z531">
        <v>321.39</v>
      </c>
      <c r="AA531">
        <v>315.72000000000003</v>
      </c>
      <c r="AB531">
        <v>315.72000000000003</v>
      </c>
      <c r="AC531">
        <v>359.46333333333303</v>
      </c>
      <c r="AD531">
        <v>316.08</v>
      </c>
      <c r="AE531">
        <v>344.62333333333299</v>
      </c>
      <c r="AF531">
        <v>331.84333333333302</v>
      </c>
      <c r="AG531">
        <v>323.68</v>
      </c>
      <c r="AH531">
        <v>319.86666666666599</v>
      </c>
      <c r="AI531">
        <v>353.986666666666</v>
      </c>
      <c r="AJ531">
        <v>313.19</v>
      </c>
      <c r="AK531">
        <v>339.916666666666</v>
      </c>
      <c r="AL531">
        <v>320.87333333333299</v>
      </c>
      <c r="AM531">
        <v>312.17333333333301</v>
      </c>
      <c r="AN531">
        <v>305.71333333333303</v>
      </c>
      <c r="AO531">
        <v>358.63</v>
      </c>
      <c r="AP531">
        <v>290.77999999999997</v>
      </c>
      <c r="AQ531">
        <v>339.433333333333</v>
      </c>
      <c r="AR531">
        <v>306.39333333333298</v>
      </c>
      <c r="AS531">
        <v>288.17333333333301</v>
      </c>
      <c r="AT531">
        <v>272.803333333333</v>
      </c>
      <c r="AU531">
        <v>371.00666666666598</v>
      </c>
      <c r="AV531">
        <v>317.59666666666601</v>
      </c>
      <c r="AW531">
        <v>354.55666666666599</v>
      </c>
      <c r="AX531">
        <v>330.39666666666602</v>
      </c>
      <c r="AY531">
        <v>318.26</v>
      </c>
      <c r="AZ531">
        <v>309.12</v>
      </c>
      <c r="BA531">
        <v>359.60333333333301</v>
      </c>
      <c r="BB531">
        <v>304.36</v>
      </c>
      <c r="BC531">
        <v>342.729999999999</v>
      </c>
      <c r="BD531">
        <v>317.44666666666598</v>
      </c>
      <c r="BE531">
        <v>303.88333333333298</v>
      </c>
      <c r="BF531">
        <v>293.59333333333302</v>
      </c>
      <c r="BG531" s="14"/>
      <c r="BH531" s="14"/>
      <c r="BI531" s="14"/>
      <c r="BJ531" s="199"/>
      <c r="BK531" s="14"/>
      <c r="BL531" s="14"/>
      <c r="BM531" s="14"/>
      <c r="BN531" s="14"/>
      <c r="BO531" s="14"/>
      <c r="BP531" s="14"/>
      <c r="BQ531" s="14"/>
      <c r="BR531" s="14"/>
      <c r="BS531" s="14"/>
      <c r="BT531" s="14"/>
      <c r="BU531" s="14"/>
      <c r="BV531" s="14"/>
      <c r="BW531" s="14"/>
      <c r="BX531" s="14"/>
      <c r="BY531" s="170"/>
    </row>
    <row r="532" spans="9:77" x14ac:dyDescent="0.25">
      <c r="I532">
        <v>4632</v>
      </c>
      <c r="J532" s="1" t="s">
        <v>711</v>
      </c>
      <c r="K532">
        <v>362.21666666666601</v>
      </c>
      <c r="L532">
        <v>321.42</v>
      </c>
      <c r="M532">
        <v>348.14666666666602</v>
      </c>
      <c r="N532">
        <v>329.10333333333301</v>
      </c>
      <c r="O532">
        <v>320.40333333333302</v>
      </c>
      <c r="P532">
        <v>313.94333333333299</v>
      </c>
      <c r="Q532">
        <v>346.053333333333</v>
      </c>
      <c r="R532">
        <v>287.76666666666603</v>
      </c>
      <c r="S532">
        <v>327.82</v>
      </c>
      <c r="T532">
        <v>301.87333333333299</v>
      </c>
      <c r="U532">
        <v>287.52666666666602</v>
      </c>
      <c r="V532">
        <v>276.356666666666</v>
      </c>
      <c r="W532">
        <v>349.05</v>
      </c>
      <c r="X532">
        <v>320.24666666666599</v>
      </c>
      <c r="Y532">
        <v>331.56666666666598</v>
      </c>
      <c r="Z532">
        <v>329.62</v>
      </c>
      <c r="AA532">
        <v>323.95</v>
      </c>
      <c r="AB532">
        <v>323.95</v>
      </c>
      <c r="AC532">
        <v>367.69333333333299</v>
      </c>
      <c r="AD532">
        <v>324.31</v>
      </c>
      <c r="AE532">
        <v>352.85333333333301</v>
      </c>
      <c r="AF532">
        <v>340.07333333333298</v>
      </c>
      <c r="AG532">
        <v>331.91</v>
      </c>
      <c r="AH532">
        <v>328.09666666666601</v>
      </c>
      <c r="AI532">
        <v>362.21666666666601</v>
      </c>
      <c r="AJ532">
        <v>321.42</v>
      </c>
      <c r="AK532">
        <v>348.14666666666602</v>
      </c>
      <c r="AL532">
        <v>329.10333333333301</v>
      </c>
      <c r="AM532">
        <v>320.40333333333302</v>
      </c>
      <c r="AN532">
        <v>313.94333333333299</v>
      </c>
      <c r="AO532">
        <v>366.86</v>
      </c>
      <c r="AP532">
        <v>299.01</v>
      </c>
      <c r="AQ532">
        <v>347.66333333333301</v>
      </c>
      <c r="AR532">
        <v>314.62333333333299</v>
      </c>
      <c r="AS532">
        <v>296.40333333333302</v>
      </c>
      <c r="AT532">
        <v>281.03333333333302</v>
      </c>
      <c r="AU532">
        <v>379.236666666666</v>
      </c>
      <c r="AV532">
        <v>325.82666666666597</v>
      </c>
      <c r="AW532">
        <v>362.78666666666601</v>
      </c>
      <c r="AX532">
        <v>338.62666666666598</v>
      </c>
      <c r="AY532">
        <v>326.49</v>
      </c>
      <c r="AZ532">
        <v>317.35000000000002</v>
      </c>
      <c r="BA532">
        <v>367.83333333333297</v>
      </c>
      <c r="BB532">
        <v>312.58999999999997</v>
      </c>
      <c r="BC532">
        <v>350.95999999999901</v>
      </c>
      <c r="BD532">
        <v>325.67666666666599</v>
      </c>
      <c r="BE532">
        <v>312.113333333333</v>
      </c>
      <c r="BF532">
        <v>301.82333333333298</v>
      </c>
      <c r="BG532" s="14"/>
      <c r="BH532" s="14"/>
      <c r="BI532" s="14"/>
      <c r="BJ532" s="199"/>
      <c r="BK532" s="14"/>
      <c r="BL532" s="14"/>
      <c r="BM532" s="14"/>
      <c r="BN532" s="14"/>
      <c r="BO532" s="14"/>
      <c r="BP532" s="14"/>
      <c r="BQ532" s="14"/>
      <c r="BR532" s="14"/>
      <c r="BS532" s="14"/>
      <c r="BT532" s="14"/>
      <c r="BU532" s="14"/>
      <c r="BV532" s="14"/>
      <c r="BW532" s="14"/>
      <c r="BX532" s="14"/>
      <c r="BY532" s="170"/>
    </row>
    <row r="533" spans="9:77" x14ac:dyDescent="0.25">
      <c r="I533">
        <v>4640</v>
      </c>
      <c r="J533" s="1" t="s">
        <v>712</v>
      </c>
      <c r="K533">
        <v>308.45666666666602</v>
      </c>
      <c r="L533">
        <v>267.659999999999</v>
      </c>
      <c r="M533">
        <v>294.38666666666597</v>
      </c>
      <c r="N533">
        <v>275.34333333333302</v>
      </c>
      <c r="O533">
        <v>266.64333333333298</v>
      </c>
      <c r="P533">
        <v>260.183333333333</v>
      </c>
      <c r="Q533">
        <v>292.29333333333301</v>
      </c>
      <c r="R533">
        <v>234.00666666666601</v>
      </c>
      <c r="S533">
        <v>274.05999999999898</v>
      </c>
      <c r="T533">
        <v>248.113333333333</v>
      </c>
      <c r="U533">
        <v>233.766666666666</v>
      </c>
      <c r="V533">
        <v>222.59666666666601</v>
      </c>
      <c r="W533">
        <v>295.29000000000002</v>
      </c>
      <c r="X533">
        <v>266.486666666666</v>
      </c>
      <c r="Y533">
        <v>277.80666666666599</v>
      </c>
      <c r="Z533">
        <v>275.85999999999899</v>
      </c>
      <c r="AA533">
        <v>270.19</v>
      </c>
      <c r="AB533">
        <v>270.19</v>
      </c>
      <c r="AC533">
        <v>313.933333333333</v>
      </c>
      <c r="AD533">
        <v>270.55</v>
      </c>
      <c r="AE533">
        <v>299.09333333333302</v>
      </c>
      <c r="AF533">
        <v>286.31333333333299</v>
      </c>
      <c r="AG533">
        <v>278.14999999999998</v>
      </c>
      <c r="AH533">
        <v>274.33666666666602</v>
      </c>
      <c r="AI533">
        <v>308.45666666666602</v>
      </c>
      <c r="AJ533">
        <v>267.659999999999</v>
      </c>
      <c r="AK533">
        <v>294.38666666666597</v>
      </c>
      <c r="AL533">
        <v>275.34333333333302</v>
      </c>
      <c r="AM533">
        <v>266.64333333333298</v>
      </c>
      <c r="AN533">
        <v>260.183333333333</v>
      </c>
      <c r="AO533">
        <v>313.099999999999</v>
      </c>
      <c r="AP533">
        <v>245.24999999999901</v>
      </c>
      <c r="AQ533">
        <v>293.90333333333302</v>
      </c>
      <c r="AR533">
        <v>260.863333333333</v>
      </c>
      <c r="AS533">
        <v>242.643333333333</v>
      </c>
      <c r="AT533">
        <v>227.273333333333</v>
      </c>
      <c r="AU533">
        <v>325.47666666666601</v>
      </c>
      <c r="AV533">
        <v>272.06666666666598</v>
      </c>
      <c r="AW533">
        <v>309.02666666666602</v>
      </c>
      <c r="AX533">
        <v>284.86666666666599</v>
      </c>
      <c r="AY533">
        <v>272.73</v>
      </c>
      <c r="AZ533">
        <v>263.58999999999997</v>
      </c>
      <c r="BA533">
        <v>314.07333333333298</v>
      </c>
      <c r="BB533">
        <v>258.82999999999902</v>
      </c>
      <c r="BC533">
        <v>297.19999999999902</v>
      </c>
      <c r="BD533">
        <v>271.916666666666</v>
      </c>
      <c r="BE533">
        <v>258.35333333333301</v>
      </c>
      <c r="BF533">
        <v>248.06333333333299</v>
      </c>
      <c r="BG533" s="14"/>
      <c r="BH533" s="14"/>
      <c r="BI533" s="14"/>
      <c r="BJ533" s="199"/>
      <c r="BK533" s="14"/>
      <c r="BL533" s="14"/>
      <c r="BM533" s="14"/>
      <c r="BN533" s="14"/>
      <c r="BO533" s="14"/>
      <c r="BP533" s="14"/>
      <c r="BQ533" s="14"/>
      <c r="BR533" s="14"/>
      <c r="BS533" s="14"/>
      <c r="BT533" s="14"/>
      <c r="BU533" s="14"/>
      <c r="BV533" s="14"/>
      <c r="BW533" s="14"/>
      <c r="BX533" s="14"/>
      <c r="BY533" s="170"/>
    </row>
    <row r="534" spans="9:77" x14ac:dyDescent="0.25">
      <c r="I534">
        <v>4652</v>
      </c>
      <c r="J534" s="1" t="s">
        <v>713</v>
      </c>
      <c r="K534">
        <v>333.77666666666602</v>
      </c>
      <c r="L534">
        <v>292.979999999999</v>
      </c>
      <c r="M534">
        <v>319.70666666666602</v>
      </c>
      <c r="N534">
        <v>300.66333333333301</v>
      </c>
      <c r="O534">
        <v>291.96333333333303</v>
      </c>
      <c r="P534">
        <v>285.50333333333299</v>
      </c>
      <c r="Q534">
        <v>317.613333333333</v>
      </c>
      <c r="R534">
        <v>259.32666666666597</v>
      </c>
      <c r="S534">
        <v>299.37999999999897</v>
      </c>
      <c r="T534">
        <v>273.433333333333</v>
      </c>
      <c r="U534">
        <v>259.08666666666602</v>
      </c>
      <c r="V534">
        <v>247.916666666666</v>
      </c>
      <c r="W534">
        <v>320.60999999999899</v>
      </c>
      <c r="X534">
        <v>291.80666666666599</v>
      </c>
      <c r="Y534">
        <v>303.12666666666598</v>
      </c>
      <c r="Z534">
        <v>301.17999999999898</v>
      </c>
      <c r="AA534">
        <v>295.50999999999902</v>
      </c>
      <c r="AB534">
        <v>295.50999999999902</v>
      </c>
      <c r="AC534">
        <v>339.25333333333299</v>
      </c>
      <c r="AD534">
        <v>295.87</v>
      </c>
      <c r="AE534">
        <v>324.41333333333301</v>
      </c>
      <c r="AF534">
        <v>311.63333333333298</v>
      </c>
      <c r="AG534">
        <v>303.47000000000003</v>
      </c>
      <c r="AH534">
        <v>299.65666666666601</v>
      </c>
      <c r="AI534">
        <v>333.77666666666602</v>
      </c>
      <c r="AJ534">
        <v>292.979999999999</v>
      </c>
      <c r="AK534">
        <v>319.70666666666602</v>
      </c>
      <c r="AL534">
        <v>300.66333333333301</v>
      </c>
      <c r="AM534">
        <v>291.96333333333303</v>
      </c>
      <c r="AN534">
        <v>285.50333333333299</v>
      </c>
      <c r="AO534">
        <v>338.41999999999899</v>
      </c>
      <c r="AP534">
        <v>270.56999999999903</v>
      </c>
      <c r="AQ534">
        <v>319.22333333333302</v>
      </c>
      <c r="AR534">
        <v>286.183333333333</v>
      </c>
      <c r="AS534">
        <v>267.96333333333303</v>
      </c>
      <c r="AT534">
        <v>252.59333333333299</v>
      </c>
      <c r="AU534">
        <v>350.796666666666</v>
      </c>
      <c r="AV534">
        <v>297.38666666666597</v>
      </c>
      <c r="AW534">
        <v>334.34666666666601</v>
      </c>
      <c r="AX534">
        <v>310.18666666666599</v>
      </c>
      <c r="AY534">
        <v>298.05</v>
      </c>
      <c r="AZ534">
        <v>288.909999999999</v>
      </c>
      <c r="BA534">
        <v>339.39333333333298</v>
      </c>
      <c r="BB534">
        <v>284.14999999999901</v>
      </c>
      <c r="BC534">
        <v>322.51999999999902</v>
      </c>
      <c r="BD534">
        <v>297.236666666666</v>
      </c>
      <c r="BE534">
        <v>283.67333333333301</v>
      </c>
      <c r="BF534">
        <v>273.38333333333298</v>
      </c>
      <c r="BG534" s="14"/>
      <c r="BH534" s="14"/>
      <c r="BI534" s="14"/>
      <c r="BJ534" s="199"/>
      <c r="BK534" s="14"/>
      <c r="BL534" s="14"/>
      <c r="BM534" s="14"/>
      <c r="BN534" s="14"/>
      <c r="BO534" s="14"/>
      <c r="BP534" s="14"/>
      <c r="BQ534" s="14"/>
      <c r="BR534" s="14"/>
      <c r="BS534" s="14"/>
      <c r="BT534" s="14"/>
      <c r="BU534" s="14"/>
      <c r="BV534" s="14"/>
      <c r="BW534" s="14"/>
      <c r="BX534" s="14"/>
      <c r="BY534" s="170"/>
    </row>
    <row r="535" spans="9:77" x14ac:dyDescent="0.25">
      <c r="I535">
        <v>4653</v>
      </c>
      <c r="J535" s="1" t="s">
        <v>714</v>
      </c>
      <c r="K535">
        <v>333.77666666666602</v>
      </c>
      <c r="L535">
        <v>292.979999999999</v>
      </c>
      <c r="M535">
        <v>319.70666666666602</v>
      </c>
      <c r="N535">
        <v>300.66333333333301</v>
      </c>
      <c r="O535">
        <v>291.96333333333303</v>
      </c>
      <c r="P535">
        <v>285.50333333333299</v>
      </c>
      <c r="Q535">
        <v>317.613333333333</v>
      </c>
      <c r="R535">
        <v>259.32666666666597</v>
      </c>
      <c r="S535">
        <v>299.37999999999897</v>
      </c>
      <c r="T535">
        <v>273.433333333333</v>
      </c>
      <c r="U535">
        <v>259.08666666666602</v>
      </c>
      <c r="V535">
        <v>247.916666666666</v>
      </c>
      <c r="W535">
        <v>320.60999999999899</v>
      </c>
      <c r="X535">
        <v>291.80666666666599</v>
      </c>
      <c r="Y535">
        <v>303.12666666666598</v>
      </c>
      <c r="Z535">
        <v>301.17999999999898</v>
      </c>
      <c r="AA535">
        <v>295.50999999999902</v>
      </c>
      <c r="AB535">
        <v>295.50999999999902</v>
      </c>
      <c r="AC535">
        <v>339.25333333333299</v>
      </c>
      <c r="AD535">
        <v>295.87</v>
      </c>
      <c r="AE535">
        <v>324.41333333333301</v>
      </c>
      <c r="AF535">
        <v>311.63333333333298</v>
      </c>
      <c r="AG535">
        <v>303.47000000000003</v>
      </c>
      <c r="AH535">
        <v>299.65666666666601</v>
      </c>
      <c r="AI535">
        <v>333.77666666666602</v>
      </c>
      <c r="AJ535">
        <v>292.979999999999</v>
      </c>
      <c r="AK535">
        <v>319.70666666666602</v>
      </c>
      <c r="AL535">
        <v>300.66333333333301</v>
      </c>
      <c r="AM535">
        <v>291.96333333333303</v>
      </c>
      <c r="AN535">
        <v>285.50333333333299</v>
      </c>
      <c r="AO535">
        <v>338.41999999999899</v>
      </c>
      <c r="AP535">
        <v>270.56999999999903</v>
      </c>
      <c r="AQ535">
        <v>319.22333333333302</v>
      </c>
      <c r="AR535">
        <v>286.183333333333</v>
      </c>
      <c r="AS535">
        <v>267.96333333333303</v>
      </c>
      <c r="AT535">
        <v>252.59333333333299</v>
      </c>
      <c r="AU535">
        <v>350.796666666666</v>
      </c>
      <c r="AV535">
        <v>297.38666666666597</v>
      </c>
      <c r="AW535">
        <v>334.34666666666601</v>
      </c>
      <c r="AX535">
        <v>310.18666666666599</v>
      </c>
      <c r="AY535">
        <v>298.05</v>
      </c>
      <c r="AZ535">
        <v>288.909999999999</v>
      </c>
      <c r="BA535">
        <v>339.39333333333298</v>
      </c>
      <c r="BB535">
        <v>284.14999999999901</v>
      </c>
      <c r="BC535">
        <v>322.51999999999902</v>
      </c>
      <c r="BD535">
        <v>297.236666666666</v>
      </c>
      <c r="BE535">
        <v>283.67333333333301</v>
      </c>
      <c r="BF535">
        <v>273.38333333333298</v>
      </c>
      <c r="BG535" s="14"/>
      <c r="BH535" s="14"/>
      <c r="BI535" s="14"/>
      <c r="BJ535" s="199"/>
      <c r="BK535" s="14"/>
      <c r="BL535" s="14"/>
      <c r="BM535" s="14"/>
      <c r="BN535" s="14"/>
      <c r="BO535" s="14"/>
      <c r="BP535" s="14"/>
      <c r="BQ535" s="14"/>
      <c r="BR535" s="14"/>
      <c r="BS535" s="14"/>
      <c r="BT535" s="14"/>
      <c r="BU535" s="14"/>
      <c r="BV535" s="14"/>
      <c r="BW535" s="14"/>
      <c r="BX535" s="14"/>
      <c r="BY535" s="170"/>
    </row>
    <row r="536" spans="9:77" x14ac:dyDescent="0.25">
      <c r="I536">
        <v>4654</v>
      </c>
      <c r="J536" s="1" t="s">
        <v>715</v>
      </c>
      <c r="K536">
        <v>308.45666666666602</v>
      </c>
      <c r="L536">
        <v>267.659999999999</v>
      </c>
      <c r="M536">
        <v>294.38666666666597</v>
      </c>
      <c r="N536">
        <v>275.34333333333302</v>
      </c>
      <c r="O536">
        <v>266.64333333333298</v>
      </c>
      <c r="P536">
        <v>260.183333333333</v>
      </c>
      <c r="Q536">
        <v>292.29333333333301</v>
      </c>
      <c r="R536">
        <v>234.00666666666601</v>
      </c>
      <c r="S536">
        <v>274.05999999999898</v>
      </c>
      <c r="T536">
        <v>248.113333333333</v>
      </c>
      <c r="U536">
        <v>233.766666666666</v>
      </c>
      <c r="V536">
        <v>222.59666666666601</v>
      </c>
      <c r="W536">
        <v>295.29000000000002</v>
      </c>
      <c r="X536">
        <v>266.486666666666</v>
      </c>
      <c r="Y536">
        <v>277.80666666666599</v>
      </c>
      <c r="Z536">
        <v>275.85999999999899</v>
      </c>
      <c r="AA536">
        <v>270.19</v>
      </c>
      <c r="AB536">
        <v>270.19</v>
      </c>
      <c r="AC536">
        <v>313.933333333333</v>
      </c>
      <c r="AD536">
        <v>270.55</v>
      </c>
      <c r="AE536">
        <v>299.09333333333302</v>
      </c>
      <c r="AF536">
        <v>286.31333333333299</v>
      </c>
      <c r="AG536">
        <v>278.14999999999998</v>
      </c>
      <c r="AH536">
        <v>274.33666666666602</v>
      </c>
      <c r="AI536">
        <v>308.45666666666602</v>
      </c>
      <c r="AJ536">
        <v>267.659999999999</v>
      </c>
      <c r="AK536">
        <v>294.38666666666597</v>
      </c>
      <c r="AL536">
        <v>275.34333333333302</v>
      </c>
      <c r="AM536">
        <v>266.64333333333298</v>
      </c>
      <c r="AN536">
        <v>260.183333333333</v>
      </c>
      <c r="AO536">
        <v>313.099999999999</v>
      </c>
      <c r="AP536">
        <v>245.24999999999901</v>
      </c>
      <c r="AQ536">
        <v>293.90333333333302</v>
      </c>
      <c r="AR536">
        <v>260.863333333333</v>
      </c>
      <c r="AS536">
        <v>242.643333333333</v>
      </c>
      <c r="AT536">
        <v>227.273333333333</v>
      </c>
      <c r="AU536">
        <v>325.47666666666601</v>
      </c>
      <c r="AV536">
        <v>272.06666666666598</v>
      </c>
      <c r="AW536">
        <v>309.02666666666602</v>
      </c>
      <c r="AX536">
        <v>284.86666666666599</v>
      </c>
      <c r="AY536">
        <v>272.73</v>
      </c>
      <c r="AZ536">
        <v>263.58999999999997</v>
      </c>
      <c r="BA536">
        <v>314.07333333333298</v>
      </c>
      <c r="BB536">
        <v>258.82999999999902</v>
      </c>
      <c r="BC536">
        <v>297.19999999999902</v>
      </c>
      <c r="BD536">
        <v>271.916666666666</v>
      </c>
      <c r="BE536">
        <v>258.35333333333301</v>
      </c>
      <c r="BF536">
        <v>248.06333333333299</v>
      </c>
      <c r="BG536" s="14"/>
      <c r="BH536" s="14"/>
      <c r="BI536" s="14"/>
      <c r="BJ536" s="199"/>
      <c r="BK536" s="14"/>
      <c r="BL536" s="14"/>
      <c r="BM536" s="14"/>
      <c r="BN536" s="14"/>
      <c r="BO536" s="14"/>
      <c r="BP536" s="14"/>
      <c r="BQ536" s="14"/>
      <c r="BR536" s="14"/>
      <c r="BS536" s="14"/>
      <c r="BT536" s="14"/>
      <c r="BU536" s="14"/>
      <c r="BV536" s="14"/>
      <c r="BW536" s="14"/>
      <c r="BX536" s="14"/>
      <c r="BY536" s="170"/>
    </row>
    <row r="537" spans="9:77" x14ac:dyDescent="0.25">
      <c r="I537">
        <v>4660</v>
      </c>
      <c r="J537" s="1" t="s">
        <v>716</v>
      </c>
      <c r="K537">
        <v>271.87666666666598</v>
      </c>
      <c r="L537">
        <v>231.07999999999899</v>
      </c>
      <c r="M537">
        <v>257.80666666666599</v>
      </c>
      <c r="N537">
        <v>238.76333333333301</v>
      </c>
      <c r="O537">
        <v>230.06333333333299</v>
      </c>
      <c r="P537">
        <v>223.60333333333301</v>
      </c>
      <c r="Q537">
        <v>255.713333333333</v>
      </c>
      <c r="R537">
        <v>197.42666666666599</v>
      </c>
      <c r="S537">
        <v>237.48</v>
      </c>
      <c r="T537">
        <v>211.53333333333299</v>
      </c>
      <c r="U537">
        <v>197.18666666666601</v>
      </c>
      <c r="V537">
        <v>186.016666666666</v>
      </c>
      <c r="W537">
        <v>258.70999999999998</v>
      </c>
      <c r="X537">
        <v>229.90666666666601</v>
      </c>
      <c r="Y537">
        <v>241.22666666666601</v>
      </c>
      <c r="Z537">
        <v>239.28</v>
      </c>
      <c r="AA537">
        <v>233.61</v>
      </c>
      <c r="AB537">
        <v>233.61</v>
      </c>
      <c r="AC537">
        <v>277.35333333333301</v>
      </c>
      <c r="AD537">
        <v>233.97</v>
      </c>
      <c r="AE537">
        <v>262.51333333333298</v>
      </c>
      <c r="AF537">
        <v>249.73333333333301</v>
      </c>
      <c r="AG537">
        <v>241.57</v>
      </c>
      <c r="AH537">
        <v>237.75666666666601</v>
      </c>
      <c r="AI537">
        <v>271.87666666666598</v>
      </c>
      <c r="AJ537">
        <v>231.07999999999899</v>
      </c>
      <c r="AK537">
        <v>257.80666666666599</v>
      </c>
      <c r="AL537">
        <v>238.76333333333301</v>
      </c>
      <c r="AM537">
        <v>230.06333333333299</v>
      </c>
      <c r="AN537">
        <v>223.60333333333301</v>
      </c>
      <c r="AO537">
        <v>276.51999999999902</v>
      </c>
      <c r="AP537">
        <v>208.67</v>
      </c>
      <c r="AQ537">
        <v>257.32333333333298</v>
      </c>
      <c r="AR537">
        <v>224.28333333333299</v>
      </c>
      <c r="AS537">
        <v>206.06333333333299</v>
      </c>
      <c r="AT537">
        <v>190.69333333333299</v>
      </c>
      <c r="AU537">
        <v>288.89666666666602</v>
      </c>
      <c r="AV537">
        <v>235.486666666666</v>
      </c>
      <c r="AW537">
        <v>272.44666666666598</v>
      </c>
      <c r="AX537">
        <v>248.28666666666601</v>
      </c>
      <c r="AY537">
        <v>236.15</v>
      </c>
      <c r="AZ537">
        <v>227.01</v>
      </c>
      <c r="BA537">
        <v>277.493333333333</v>
      </c>
      <c r="BB537">
        <v>222.25</v>
      </c>
      <c r="BC537">
        <v>260.61999999999898</v>
      </c>
      <c r="BD537">
        <v>235.33666666666599</v>
      </c>
      <c r="BE537">
        <v>221.773333333333</v>
      </c>
      <c r="BF537">
        <v>211.48333333333301</v>
      </c>
      <c r="BG537" s="14"/>
      <c r="BH537" s="14"/>
      <c r="BI537" s="14"/>
      <c r="BJ537" s="199"/>
      <c r="BK537" s="14"/>
      <c r="BL537" s="14"/>
      <c r="BM537" s="14"/>
      <c r="BN537" s="14"/>
      <c r="BO537" s="14"/>
      <c r="BP537" s="14"/>
      <c r="BQ537" s="14"/>
      <c r="BR537" s="14"/>
      <c r="BS537" s="14"/>
      <c r="BT537" s="14"/>
      <c r="BU537" s="14"/>
      <c r="BV537" s="14"/>
      <c r="BW537" s="14"/>
      <c r="BX537" s="14"/>
      <c r="BY537" s="170"/>
    </row>
    <row r="538" spans="9:77" x14ac:dyDescent="0.25">
      <c r="I538">
        <v>4671</v>
      </c>
      <c r="J538" s="1" t="s">
        <v>717</v>
      </c>
      <c r="K538">
        <v>333.77666666666602</v>
      </c>
      <c r="L538">
        <v>292.979999999999</v>
      </c>
      <c r="M538">
        <v>319.70666666666602</v>
      </c>
      <c r="N538">
        <v>300.66333333333301</v>
      </c>
      <c r="O538">
        <v>291.96333333333303</v>
      </c>
      <c r="P538">
        <v>285.50333333333299</v>
      </c>
      <c r="Q538">
        <v>317.613333333333</v>
      </c>
      <c r="R538">
        <v>259.32666666666597</v>
      </c>
      <c r="S538">
        <v>299.37999999999897</v>
      </c>
      <c r="T538">
        <v>273.433333333333</v>
      </c>
      <c r="U538">
        <v>259.08666666666602</v>
      </c>
      <c r="V538">
        <v>247.916666666666</v>
      </c>
      <c r="W538">
        <v>320.60999999999899</v>
      </c>
      <c r="X538">
        <v>291.80666666666599</v>
      </c>
      <c r="Y538">
        <v>303.12666666666598</v>
      </c>
      <c r="Z538">
        <v>301.17999999999898</v>
      </c>
      <c r="AA538">
        <v>295.50999999999902</v>
      </c>
      <c r="AB538">
        <v>295.50999999999902</v>
      </c>
      <c r="AC538">
        <v>339.25333333333299</v>
      </c>
      <c r="AD538">
        <v>295.87</v>
      </c>
      <c r="AE538">
        <v>324.41333333333301</v>
      </c>
      <c r="AF538">
        <v>311.63333333333298</v>
      </c>
      <c r="AG538">
        <v>303.47000000000003</v>
      </c>
      <c r="AH538">
        <v>299.65666666666601</v>
      </c>
      <c r="AI538">
        <v>333.77666666666602</v>
      </c>
      <c r="AJ538">
        <v>292.979999999999</v>
      </c>
      <c r="AK538">
        <v>319.70666666666602</v>
      </c>
      <c r="AL538">
        <v>300.66333333333301</v>
      </c>
      <c r="AM538">
        <v>291.96333333333303</v>
      </c>
      <c r="AN538">
        <v>285.50333333333299</v>
      </c>
      <c r="AO538">
        <v>338.41999999999899</v>
      </c>
      <c r="AP538">
        <v>270.56999999999903</v>
      </c>
      <c r="AQ538">
        <v>319.22333333333302</v>
      </c>
      <c r="AR538">
        <v>286.183333333333</v>
      </c>
      <c r="AS538">
        <v>267.96333333333303</v>
      </c>
      <c r="AT538">
        <v>252.59333333333299</v>
      </c>
      <c r="AU538">
        <v>350.796666666666</v>
      </c>
      <c r="AV538">
        <v>297.38666666666597</v>
      </c>
      <c r="AW538">
        <v>334.34666666666601</v>
      </c>
      <c r="AX538">
        <v>310.18666666666599</v>
      </c>
      <c r="AY538">
        <v>298.05</v>
      </c>
      <c r="AZ538">
        <v>288.909999999999</v>
      </c>
      <c r="BA538">
        <v>339.39333333333298</v>
      </c>
      <c r="BB538">
        <v>284.14999999999901</v>
      </c>
      <c r="BC538">
        <v>322.51999999999902</v>
      </c>
      <c r="BD538">
        <v>297.236666666666</v>
      </c>
      <c r="BE538">
        <v>283.67333333333301</v>
      </c>
      <c r="BF538">
        <v>273.38333333333298</v>
      </c>
      <c r="BG538" s="14"/>
      <c r="BH538" s="14"/>
      <c r="BI538" s="14"/>
      <c r="BJ538" s="199"/>
      <c r="BK538" s="14"/>
      <c r="BL538" s="14"/>
      <c r="BM538" s="14"/>
      <c r="BN538" s="14"/>
      <c r="BO538" s="14"/>
      <c r="BP538" s="14"/>
      <c r="BQ538" s="14"/>
      <c r="BR538" s="14"/>
      <c r="BS538" s="14"/>
      <c r="BT538" s="14"/>
      <c r="BU538" s="14"/>
      <c r="BV538" s="14"/>
      <c r="BW538" s="14"/>
      <c r="BX538" s="14"/>
      <c r="BY538" s="170"/>
    </row>
    <row r="539" spans="9:77" x14ac:dyDescent="0.25">
      <c r="I539">
        <v>4672</v>
      </c>
      <c r="J539" s="1" t="s">
        <v>718</v>
      </c>
      <c r="K539">
        <v>271.87666666666598</v>
      </c>
      <c r="L539">
        <v>231.07999999999899</v>
      </c>
      <c r="M539">
        <v>257.80666666666599</v>
      </c>
      <c r="N539">
        <v>238.76333333333301</v>
      </c>
      <c r="O539">
        <v>230.06333333333299</v>
      </c>
      <c r="P539">
        <v>223.60333333333301</v>
      </c>
      <c r="Q539">
        <v>255.713333333333</v>
      </c>
      <c r="R539">
        <v>197.42666666666599</v>
      </c>
      <c r="S539">
        <v>237.48</v>
      </c>
      <c r="T539">
        <v>211.53333333333299</v>
      </c>
      <c r="U539">
        <v>197.18666666666601</v>
      </c>
      <c r="V539">
        <v>186.016666666666</v>
      </c>
      <c r="W539">
        <v>258.70999999999998</v>
      </c>
      <c r="X539">
        <v>229.90666666666601</v>
      </c>
      <c r="Y539">
        <v>241.22666666666601</v>
      </c>
      <c r="Z539">
        <v>239.28</v>
      </c>
      <c r="AA539">
        <v>233.61</v>
      </c>
      <c r="AB539">
        <v>233.61</v>
      </c>
      <c r="AC539">
        <v>277.35333333333301</v>
      </c>
      <c r="AD539">
        <v>233.97</v>
      </c>
      <c r="AE539">
        <v>262.51333333333298</v>
      </c>
      <c r="AF539">
        <v>249.73333333333301</v>
      </c>
      <c r="AG539">
        <v>241.57</v>
      </c>
      <c r="AH539">
        <v>237.75666666666601</v>
      </c>
      <c r="AI539">
        <v>271.87666666666598</v>
      </c>
      <c r="AJ539">
        <v>231.07999999999899</v>
      </c>
      <c r="AK539">
        <v>257.80666666666599</v>
      </c>
      <c r="AL539">
        <v>238.76333333333301</v>
      </c>
      <c r="AM539">
        <v>230.06333333333299</v>
      </c>
      <c r="AN539">
        <v>223.60333333333301</v>
      </c>
      <c r="AO539">
        <v>276.51999999999902</v>
      </c>
      <c r="AP539">
        <v>208.67</v>
      </c>
      <c r="AQ539">
        <v>257.32333333333298</v>
      </c>
      <c r="AR539">
        <v>224.28333333333299</v>
      </c>
      <c r="AS539">
        <v>206.06333333333299</v>
      </c>
      <c r="AT539">
        <v>190.69333333333299</v>
      </c>
      <c r="AU539">
        <v>288.89666666666602</v>
      </c>
      <c r="AV539">
        <v>235.486666666666</v>
      </c>
      <c r="AW539">
        <v>272.44666666666598</v>
      </c>
      <c r="AX539">
        <v>248.28666666666601</v>
      </c>
      <c r="AY539">
        <v>236.15</v>
      </c>
      <c r="AZ539">
        <v>227.01</v>
      </c>
      <c r="BA539">
        <v>277.493333333333</v>
      </c>
      <c r="BB539">
        <v>222.25</v>
      </c>
      <c r="BC539">
        <v>260.61999999999898</v>
      </c>
      <c r="BD539">
        <v>235.33666666666599</v>
      </c>
      <c r="BE539">
        <v>221.773333333333</v>
      </c>
      <c r="BF539">
        <v>211.48333333333301</v>
      </c>
      <c r="BG539" s="14"/>
      <c r="BH539" s="14"/>
      <c r="BI539" s="14"/>
      <c r="BJ539" s="199"/>
      <c r="BK539" s="14"/>
      <c r="BL539" s="14"/>
      <c r="BM539" s="14"/>
      <c r="BN539" s="14"/>
      <c r="BO539" s="14"/>
      <c r="BP539" s="14"/>
      <c r="BQ539" s="14"/>
      <c r="BR539" s="14"/>
      <c r="BS539" s="14"/>
      <c r="BT539" s="14"/>
      <c r="BU539" s="14"/>
      <c r="BV539" s="14"/>
      <c r="BW539" s="14"/>
      <c r="BX539" s="14"/>
      <c r="BY539" s="170"/>
    </row>
    <row r="540" spans="9:77" x14ac:dyDescent="0.25">
      <c r="I540">
        <v>4673</v>
      </c>
      <c r="J540" s="1" t="s">
        <v>719</v>
      </c>
      <c r="K540">
        <v>261.45666666666602</v>
      </c>
      <c r="L540">
        <v>220.659999999999</v>
      </c>
      <c r="M540">
        <v>247.386666666666</v>
      </c>
      <c r="N540">
        <v>228.34333333333299</v>
      </c>
      <c r="O540">
        <v>219.643333333333</v>
      </c>
      <c r="P540">
        <v>213.183333333333</v>
      </c>
      <c r="Q540">
        <v>245.29333333333301</v>
      </c>
      <c r="R540">
        <v>187.00666666666601</v>
      </c>
      <c r="S540">
        <v>227.05999999999901</v>
      </c>
      <c r="T540">
        <v>201.113333333333</v>
      </c>
      <c r="U540">
        <v>186.766666666666</v>
      </c>
      <c r="V540">
        <v>175.59666666666601</v>
      </c>
      <c r="W540">
        <v>248.29</v>
      </c>
      <c r="X540">
        <v>219.486666666666</v>
      </c>
      <c r="Y540">
        <v>230.80666666666599</v>
      </c>
      <c r="Z540">
        <v>228.85999999999899</v>
      </c>
      <c r="AA540">
        <v>223.19</v>
      </c>
      <c r="AB540">
        <v>223.19</v>
      </c>
      <c r="AC540">
        <v>266.933333333333</v>
      </c>
      <c r="AD540">
        <v>223.55</v>
      </c>
      <c r="AE540">
        <v>252.09333333333299</v>
      </c>
      <c r="AF540">
        <v>239.31333333333299</v>
      </c>
      <c r="AG540">
        <v>231.15</v>
      </c>
      <c r="AH540">
        <v>227.33666666666599</v>
      </c>
      <c r="AI540">
        <v>261.45666666666602</v>
      </c>
      <c r="AJ540">
        <v>220.659999999999</v>
      </c>
      <c r="AK540">
        <v>247.386666666666</v>
      </c>
      <c r="AL540">
        <v>228.34333333333299</v>
      </c>
      <c r="AM540">
        <v>219.643333333333</v>
      </c>
      <c r="AN540">
        <v>213.183333333333</v>
      </c>
      <c r="AO540">
        <v>266.099999999999</v>
      </c>
      <c r="AP540">
        <v>198.24999999999901</v>
      </c>
      <c r="AQ540">
        <v>246.90333333333299</v>
      </c>
      <c r="AR540">
        <v>213.863333333333</v>
      </c>
      <c r="AS540">
        <v>195.643333333333</v>
      </c>
      <c r="AT540">
        <v>180.273333333333</v>
      </c>
      <c r="AU540">
        <v>278.47666666666601</v>
      </c>
      <c r="AV540">
        <v>225.06666666666601</v>
      </c>
      <c r="AW540">
        <v>262.02666666666602</v>
      </c>
      <c r="AX540">
        <v>237.86666666666599</v>
      </c>
      <c r="AY540">
        <v>225.73</v>
      </c>
      <c r="AZ540">
        <v>216.59</v>
      </c>
      <c r="BA540">
        <v>267.07333333333298</v>
      </c>
      <c r="BB540">
        <v>211.82999999999899</v>
      </c>
      <c r="BC540">
        <v>250.19999999999899</v>
      </c>
      <c r="BD540">
        <v>224.916666666666</v>
      </c>
      <c r="BE540">
        <v>211.35333333333301</v>
      </c>
      <c r="BF540">
        <v>201.06333333333299</v>
      </c>
      <c r="BG540" s="14"/>
      <c r="BH540" s="14"/>
      <c r="BI540" s="14"/>
      <c r="BJ540" s="199"/>
      <c r="BK540" s="14"/>
      <c r="BL540" s="14"/>
      <c r="BM540" s="14"/>
      <c r="BN540" s="14"/>
      <c r="BO540" s="14"/>
      <c r="BP540" s="14"/>
      <c r="BQ540" s="14"/>
      <c r="BR540" s="14"/>
      <c r="BS540" s="14"/>
      <c r="BT540" s="14"/>
      <c r="BU540" s="14"/>
      <c r="BV540" s="14"/>
      <c r="BW540" s="14"/>
      <c r="BX540" s="14"/>
      <c r="BY540" s="170"/>
    </row>
    <row r="541" spans="9:77" x14ac:dyDescent="0.25">
      <c r="I541">
        <v>4681</v>
      </c>
      <c r="J541" s="1" t="s">
        <v>720</v>
      </c>
      <c r="K541">
        <v>362.21666666666601</v>
      </c>
      <c r="L541">
        <v>321.42</v>
      </c>
      <c r="M541">
        <v>348.14666666666602</v>
      </c>
      <c r="N541">
        <v>329.10333333333301</v>
      </c>
      <c r="O541">
        <v>320.40333333333302</v>
      </c>
      <c r="P541">
        <v>313.94333333333299</v>
      </c>
      <c r="Q541">
        <v>346.053333333333</v>
      </c>
      <c r="R541">
        <v>287.76666666666603</v>
      </c>
      <c r="S541">
        <v>327.82</v>
      </c>
      <c r="T541">
        <v>301.87333333333299</v>
      </c>
      <c r="U541">
        <v>287.52666666666602</v>
      </c>
      <c r="V541">
        <v>276.356666666666</v>
      </c>
      <c r="W541">
        <v>349.05</v>
      </c>
      <c r="X541">
        <v>320.24666666666599</v>
      </c>
      <c r="Y541">
        <v>331.56666666666598</v>
      </c>
      <c r="Z541">
        <v>329.62</v>
      </c>
      <c r="AA541">
        <v>323.95</v>
      </c>
      <c r="AB541">
        <v>323.95</v>
      </c>
      <c r="AC541">
        <v>367.69333333333299</v>
      </c>
      <c r="AD541">
        <v>324.31</v>
      </c>
      <c r="AE541">
        <v>352.85333333333301</v>
      </c>
      <c r="AF541">
        <v>340.07333333333298</v>
      </c>
      <c r="AG541">
        <v>331.91</v>
      </c>
      <c r="AH541">
        <v>328.09666666666601</v>
      </c>
      <c r="AI541">
        <v>362.21666666666601</v>
      </c>
      <c r="AJ541">
        <v>321.42</v>
      </c>
      <c r="AK541">
        <v>348.14666666666602</v>
      </c>
      <c r="AL541">
        <v>329.10333333333301</v>
      </c>
      <c r="AM541">
        <v>320.40333333333302</v>
      </c>
      <c r="AN541">
        <v>313.94333333333299</v>
      </c>
      <c r="AO541">
        <v>366.86</v>
      </c>
      <c r="AP541">
        <v>299.01</v>
      </c>
      <c r="AQ541">
        <v>347.66333333333301</v>
      </c>
      <c r="AR541">
        <v>314.62333333333299</v>
      </c>
      <c r="AS541">
        <v>296.40333333333302</v>
      </c>
      <c r="AT541">
        <v>281.03333333333302</v>
      </c>
      <c r="AU541">
        <v>379.236666666666</v>
      </c>
      <c r="AV541">
        <v>325.82666666666597</v>
      </c>
      <c r="AW541">
        <v>362.78666666666601</v>
      </c>
      <c r="AX541">
        <v>338.62666666666598</v>
      </c>
      <c r="AY541">
        <v>326.49</v>
      </c>
      <c r="AZ541">
        <v>317.35000000000002</v>
      </c>
      <c r="BA541">
        <v>367.83333333333297</v>
      </c>
      <c r="BB541">
        <v>312.58999999999997</v>
      </c>
      <c r="BC541">
        <v>350.95999999999901</v>
      </c>
      <c r="BD541">
        <v>325.67666666666599</v>
      </c>
      <c r="BE541">
        <v>312.113333333333</v>
      </c>
      <c r="BF541">
        <v>301.82333333333298</v>
      </c>
      <c r="BG541" s="14"/>
      <c r="BH541" s="14"/>
      <c r="BI541" s="14"/>
      <c r="BJ541" s="199"/>
      <c r="BK541" s="14"/>
      <c r="BL541" s="14"/>
      <c r="BM541" s="14"/>
      <c r="BN541" s="14"/>
      <c r="BO541" s="14"/>
      <c r="BP541" s="14"/>
      <c r="BQ541" s="14"/>
      <c r="BR541" s="14"/>
      <c r="BS541" s="14"/>
      <c r="BT541" s="14"/>
      <c r="BU541" s="14"/>
      <c r="BV541" s="14"/>
      <c r="BW541" s="14"/>
      <c r="BX541" s="14"/>
      <c r="BY541" s="170"/>
    </row>
    <row r="542" spans="9:77" x14ac:dyDescent="0.25">
      <c r="I542">
        <v>4682</v>
      </c>
      <c r="J542" s="1" t="s">
        <v>721</v>
      </c>
      <c r="K542">
        <v>387.07666666666597</v>
      </c>
      <c r="L542">
        <v>346.28</v>
      </c>
      <c r="M542">
        <v>373.00666666666598</v>
      </c>
      <c r="N542">
        <v>353.96333333333303</v>
      </c>
      <c r="O542">
        <v>345.26333333333298</v>
      </c>
      <c r="P542">
        <v>338.803333333333</v>
      </c>
      <c r="Q542">
        <v>370.91333333333301</v>
      </c>
      <c r="R542">
        <v>312.62666666666598</v>
      </c>
      <c r="S542">
        <v>352.68</v>
      </c>
      <c r="T542">
        <v>326.73333333333301</v>
      </c>
      <c r="U542">
        <v>312.38666666666597</v>
      </c>
      <c r="V542">
        <v>301.21666666666601</v>
      </c>
      <c r="W542">
        <v>373.91</v>
      </c>
      <c r="X542">
        <v>345.106666666666</v>
      </c>
      <c r="Y542">
        <v>356.42666666666599</v>
      </c>
      <c r="Z542">
        <v>354.48</v>
      </c>
      <c r="AA542">
        <v>348.81</v>
      </c>
      <c r="AB542">
        <v>348.81</v>
      </c>
      <c r="AC542">
        <v>392.553333333333</v>
      </c>
      <c r="AD542">
        <v>349.17</v>
      </c>
      <c r="AE542">
        <v>377.71333333333303</v>
      </c>
      <c r="AF542">
        <v>364.933333333333</v>
      </c>
      <c r="AG542">
        <v>356.77</v>
      </c>
      <c r="AH542">
        <v>352.95666666666602</v>
      </c>
      <c r="AI542">
        <v>387.07666666666597</v>
      </c>
      <c r="AJ542">
        <v>346.28</v>
      </c>
      <c r="AK542">
        <v>373.00666666666598</v>
      </c>
      <c r="AL542">
        <v>353.96333333333303</v>
      </c>
      <c r="AM542">
        <v>345.26333333333298</v>
      </c>
      <c r="AN542">
        <v>338.803333333333</v>
      </c>
      <c r="AO542">
        <v>391.72</v>
      </c>
      <c r="AP542">
        <v>323.87</v>
      </c>
      <c r="AQ542">
        <v>372.52333333333303</v>
      </c>
      <c r="AR542">
        <v>339.48333333333301</v>
      </c>
      <c r="AS542">
        <v>321.26333333333298</v>
      </c>
      <c r="AT542">
        <v>305.89333333333298</v>
      </c>
      <c r="AU542">
        <v>404.09666666666601</v>
      </c>
      <c r="AV542">
        <v>350.68666666666599</v>
      </c>
      <c r="AW542">
        <v>387.64666666666602</v>
      </c>
      <c r="AX542">
        <v>363.486666666666</v>
      </c>
      <c r="AY542">
        <v>351.35</v>
      </c>
      <c r="AZ542">
        <v>342.21</v>
      </c>
      <c r="BA542">
        <v>392.69333333333299</v>
      </c>
      <c r="BB542">
        <v>337.45</v>
      </c>
      <c r="BC542">
        <v>375.81999999999903</v>
      </c>
      <c r="BD542">
        <v>350.53666666666601</v>
      </c>
      <c r="BE542">
        <v>336.97333333333302</v>
      </c>
      <c r="BF542">
        <v>326.683333333333</v>
      </c>
      <c r="BG542" s="14"/>
      <c r="BH542" s="14"/>
      <c r="BI542" s="14"/>
      <c r="BJ542" s="199"/>
      <c r="BK542" s="14"/>
      <c r="BL542" s="14"/>
      <c r="BM542" s="14"/>
      <c r="BN542" s="14"/>
      <c r="BO542" s="14"/>
      <c r="BP542" s="14"/>
      <c r="BQ542" s="14"/>
      <c r="BR542" s="14"/>
      <c r="BS542" s="14"/>
      <c r="BT542" s="14"/>
      <c r="BU542" s="14"/>
      <c r="BV542" s="14"/>
      <c r="BW542" s="14"/>
      <c r="BX542" s="14"/>
      <c r="BY542" s="170"/>
    </row>
    <row r="543" spans="9:77" x14ac:dyDescent="0.25">
      <c r="I543">
        <v>4683</v>
      </c>
      <c r="J543" s="1" t="s">
        <v>722</v>
      </c>
      <c r="K543">
        <v>363.50666666666598</v>
      </c>
      <c r="L543">
        <v>322.70999999999901</v>
      </c>
      <c r="M543">
        <v>349.43666666666599</v>
      </c>
      <c r="N543">
        <v>330.39333333333298</v>
      </c>
      <c r="O543">
        <v>321.69333333333299</v>
      </c>
      <c r="P543">
        <v>315.23333333333301</v>
      </c>
      <c r="Q543">
        <v>347.34333333333302</v>
      </c>
      <c r="R543">
        <v>289.05666666666599</v>
      </c>
      <c r="S543">
        <v>329.11</v>
      </c>
      <c r="T543">
        <v>303.16333333333301</v>
      </c>
      <c r="U543">
        <v>288.81666666666598</v>
      </c>
      <c r="V543">
        <v>277.64666666666602</v>
      </c>
      <c r="W543">
        <v>350.34</v>
      </c>
      <c r="X543">
        <v>321.53666666666601</v>
      </c>
      <c r="Y543">
        <v>332.856666666666</v>
      </c>
      <c r="Z543">
        <v>330.91</v>
      </c>
      <c r="AA543">
        <v>325.24</v>
      </c>
      <c r="AB543">
        <v>325.24</v>
      </c>
      <c r="AC543">
        <v>368.98333333333301</v>
      </c>
      <c r="AD543">
        <v>325.60000000000002</v>
      </c>
      <c r="AE543">
        <v>354.14333333333298</v>
      </c>
      <c r="AF543">
        <v>341.363333333333</v>
      </c>
      <c r="AG543">
        <v>333.2</v>
      </c>
      <c r="AH543">
        <v>329.38666666666597</v>
      </c>
      <c r="AI543">
        <v>363.50666666666598</v>
      </c>
      <c r="AJ543">
        <v>322.70999999999901</v>
      </c>
      <c r="AK543">
        <v>349.43666666666599</v>
      </c>
      <c r="AL543">
        <v>330.39333333333298</v>
      </c>
      <c r="AM543">
        <v>321.69333333333299</v>
      </c>
      <c r="AN543">
        <v>315.23333333333301</v>
      </c>
      <c r="AO543">
        <v>368.14999999999901</v>
      </c>
      <c r="AP543">
        <v>300.3</v>
      </c>
      <c r="AQ543">
        <v>348.95333333333298</v>
      </c>
      <c r="AR543">
        <v>315.91333333333301</v>
      </c>
      <c r="AS543">
        <v>297.69333333333299</v>
      </c>
      <c r="AT543">
        <v>282.32333333333298</v>
      </c>
      <c r="AU543">
        <v>380.52666666666602</v>
      </c>
      <c r="AV543">
        <v>327.11666666666599</v>
      </c>
      <c r="AW543">
        <v>364.07666666666597</v>
      </c>
      <c r="AX543">
        <v>339.916666666666</v>
      </c>
      <c r="AY543">
        <v>327.78</v>
      </c>
      <c r="AZ543">
        <v>318.64</v>
      </c>
      <c r="BA543">
        <v>369.12333333333299</v>
      </c>
      <c r="BB543">
        <v>313.88</v>
      </c>
      <c r="BC543">
        <v>352.24999999999898</v>
      </c>
      <c r="BD543">
        <v>326.96666666666601</v>
      </c>
      <c r="BE543">
        <v>313.40333333333302</v>
      </c>
      <c r="BF543">
        <v>303.113333333333</v>
      </c>
      <c r="BG543" s="14"/>
      <c r="BH543" s="14"/>
      <c r="BI543" s="14"/>
      <c r="BJ543" s="199"/>
      <c r="BK543" s="14"/>
      <c r="BL543" s="14"/>
      <c r="BM543" s="14"/>
      <c r="BN543" s="14"/>
      <c r="BO543" s="14"/>
      <c r="BP543" s="14"/>
      <c r="BQ543" s="14"/>
      <c r="BR543" s="14"/>
      <c r="BS543" s="14"/>
      <c r="BT543" s="14"/>
      <c r="BU543" s="14"/>
      <c r="BV543" s="14"/>
      <c r="BW543" s="14"/>
      <c r="BX543" s="14"/>
      <c r="BY543" s="170"/>
    </row>
    <row r="544" spans="9:77" x14ac:dyDescent="0.25">
      <c r="I544">
        <v>4684</v>
      </c>
      <c r="J544" s="1" t="s">
        <v>723</v>
      </c>
      <c r="K544">
        <v>384.493333333333</v>
      </c>
      <c r="L544">
        <v>335.38999999999902</v>
      </c>
      <c r="M544">
        <v>368.363333333333</v>
      </c>
      <c r="N544">
        <v>345.046666666666</v>
      </c>
      <c r="O544">
        <v>334.17666666666599</v>
      </c>
      <c r="P544">
        <v>325.54999999999899</v>
      </c>
      <c r="Q544">
        <v>367.87666666666598</v>
      </c>
      <c r="R544">
        <v>305.88666666666597</v>
      </c>
      <c r="S544">
        <v>349.94333333333299</v>
      </c>
      <c r="T544">
        <v>320.60333333333301</v>
      </c>
      <c r="U544">
        <v>304.29000000000002</v>
      </c>
      <c r="V544">
        <v>290.63</v>
      </c>
      <c r="W544">
        <v>369.86</v>
      </c>
      <c r="X544">
        <v>339.92</v>
      </c>
      <c r="Y544">
        <v>352.053333333333</v>
      </c>
      <c r="Z544">
        <v>350.00666666666598</v>
      </c>
      <c r="AA544">
        <v>343.91999999999899</v>
      </c>
      <c r="AB544">
        <v>343.91999999999899</v>
      </c>
      <c r="AC544">
        <v>394.62666666666598</v>
      </c>
      <c r="AD544">
        <v>344.62666666666598</v>
      </c>
      <c r="AE544">
        <v>378.66</v>
      </c>
      <c r="AF544">
        <v>363.57</v>
      </c>
      <c r="AG544">
        <v>354.046666666666</v>
      </c>
      <c r="AH544">
        <v>349.25333333333299</v>
      </c>
      <c r="AI544">
        <v>384.493333333333</v>
      </c>
      <c r="AJ544">
        <v>335.38999999999902</v>
      </c>
      <c r="AK544">
        <v>368.363333333333</v>
      </c>
      <c r="AL544">
        <v>345.046666666666</v>
      </c>
      <c r="AM544">
        <v>334.17666666666599</v>
      </c>
      <c r="AN544">
        <v>325.54999999999899</v>
      </c>
      <c r="AO544">
        <v>389.01333333333298</v>
      </c>
      <c r="AP544">
        <v>318.15333333333302</v>
      </c>
      <c r="AQ544">
        <v>369.92999999999898</v>
      </c>
      <c r="AR544">
        <v>334.666666666666</v>
      </c>
      <c r="AS544">
        <v>315.099999999999</v>
      </c>
      <c r="AT544">
        <v>298.27999999999997</v>
      </c>
      <c r="AU544">
        <v>400.22333333333302</v>
      </c>
      <c r="AV544">
        <v>344.62</v>
      </c>
      <c r="AW544">
        <v>382.88999999999902</v>
      </c>
      <c r="AX544">
        <v>357.56333333333299</v>
      </c>
      <c r="AY544">
        <v>344.363333333333</v>
      </c>
      <c r="AZ544">
        <v>334.34</v>
      </c>
      <c r="BA544">
        <v>393.363333333333</v>
      </c>
      <c r="BB544">
        <v>333.86999999999898</v>
      </c>
      <c r="BC544">
        <v>375.66</v>
      </c>
      <c r="BD544">
        <v>347.99666666666599</v>
      </c>
      <c r="BE544">
        <v>332.736666666666</v>
      </c>
      <c r="BF544">
        <v>320.88333333333298</v>
      </c>
      <c r="BG544" s="14"/>
      <c r="BH544" s="14"/>
      <c r="BI544" s="14"/>
      <c r="BJ544" s="199"/>
      <c r="BK544" s="14"/>
      <c r="BL544" s="14"/>
      <c r="BM544" s="14"/>
      <c r="BN544" s="14"/>
      <c r="BO544" s="14"/>
      <c r="BP544" s="14"/>
      <c r="BQ544" s="14"/>
      <c r="BR544" s="14"/>
      <c r="BS544" s="14"/>
      <c r="BT544" s="14"/>
      <c r="BU544" s="14"/>
      <c r="BV544" s="14"/>
      <c r="BW544" s="14"/>
      <c r="BX544" s="14"/>
      <c r="BY544" s="170"/>
    </row>
    <row r="545" spans="9:77" x14ac:dyDescent="0.25">
      <c r="I545">
        <v>4690</v>
      </c>
      <c r="J545" s="1" t="s">
        <v>724</v>
      </c>
      <c r="K545">
        <v>397.62666666666598</v>
      </c>
      <c r="L545">
        <v>356.82999999999902</v>
      </c>
      <c r="M545">
        <v>383.55666666666599</v>
      </c>
      <c r="N545">
        <v>364.51333333333298</v>
      </c>
      <c r="O545">
        <v>355.81333333333299</v>
      </c>
      <c r="P545">
        <v>349.35333333333301</v>
      </c>
      <c r="Q545">
        <v>381.46333333333303</v>
      </c>
      <c r="R545">
        <v>323.17666666666599</v>
      </c>
      <c r="S545">
        <v>363.229999999999</v>
      </c>
      <c r="T545">
        <v>337.28333333333302</v>
      </c>
      <c r="U545">
        <v>322.93666666666599</v>
      </c>
      <c r="V545">
        <v>311.76666666666603</v>
      </c>
      <c r="W545">
        <v>384.45999999999901</v>
      </c>
      <c r="X545">
        <v>355.65666666666601</v>
      </c>
      <c r="Y545">
        <v>366.97666666666601</v>
      </c>
      <c r="Z545">
        <v>365.02999999999901</v>
      </c>
      <c r="AA545">
        <v>359.36</v>
      </c>
      <c r="AB545">
        <v>359.36</v>
      </c>
      <c r="AC545">
        <v>403.10333333333301</v>
      </c>
      <c r="AD545">
        <v>359.72</v>
      </c>
      <c r="AE545">
        <v>388.26333333333298</v>
      </c>
      <c r="AF545">
        <v>375.48333333333301</v>
      </c>
      <c r="AG545">
        <v>367.32</v>
      </c>
      <c r="AH545">
        <v>363.50666666666598</v>
      </c>
      <c r="AI545">
        <v>397.62666666666598</v>
      </c>
      <c r="AJ545">
        <v>356.82999999999902</v>
      </c>
      <c r="AK545">
        <v>383.55666666666599</v>
      </c>
      <c r="AL545">
        <v>364.51333333333298</v>
      </c>
      <c r="AM545">
        <v>355.81333333333299</v>
      </c>
      <c r="AN545">
        <v>349.35333333333301</v>
      </c>
      <c r="AO545">
        <v>402.26999999999902</v>
      </c>
      <c r="AP545">
        <v>334.41999999999899</v>
      </c>
      <c r="AQ545">
        <v>383.07333333333298</v>
      </c>
      <c r="AR545">
        <v>350.03333333333302</v>
      </c>
      <c r="AS545">
        <v>331.81333333333299</v>
      </c>
      <c r="AT545">
        <v>316.44333333333299</v>
      </c>
      <c r="AU545">
        <v>414.64666666666602</v>
      </c>
      <c r="AV545">
        <v>361.236666666666</v>
      </c>
      <c r="AW545">
        <v>398.19666666666598</v>
      </c>
      <c r="AX545">
        <v>374.03666666666601</v>
      </c>
      <c r="AY545">
        <v>361.9</v>
      </c>
      <c r="AZ545">
        <v>352.75999999999902</v>
      </c>
      <c r="BA545">
        <v>403.243333333333</v>
      </c>
      <c r="BB545">
        <v>347.99999999999898</v>
      </c>
      <c r="BC545">
        <v>386.36999999999898</v>
      </c>
      <c r="BD545">
        <v>361.08666666666602</v>
      </c>
      <c r="BE545">
        <v>347.52333333333303</v>
      </c>
      <c r="BF545">
        <v>337.23333333333301</v>
      </c>
      <c r="BG545" s="14"/>
      <c r="BH545" s="14"/>
      <c r="BI545" s="14"/>
      <c r="BJ545" s="199"/>
      <c r="BK545" s="14"/>
      <c r="BL545" s="14"/>
      <c r="BM545" s="14"/>
      <c r="BN545" s="14"/>
      <c r="BO545" s="14"/>
      <c r="BP545" s="14"/>
      <c r="BQ545" s="14"/>
      <c r="BR545" s="14"/>
      <c r="BS545" s="14"/>
      <c r="BT545" s="14"/>
      <c r="BU545" s="14"/>
      <c r="BV545" s="14"/>
      <c r="BW545" s="14"/>
      <c r="BX545" s="14"/>
      <c r="BY545" s="170"/>
    </row>
    <row r="546" spans="9:77" x14ac:dyDescent="0.25">
      <c r="I546">
        <v>4700</v>
      </c>
      <c r="J546" s="1" t="s">
        <v>725</v>
      </c>
      <c r="K546">
        <v>330.57333333333298</v>
      </c>
      <c r="L546">
        <v>281.469999999999</v>
      </c>
      <c r="M546">
        <v>314.44333333333299</v>
      </c>
      <c r="N546">
        <v>291.12666666666598</v>
      </c>
      <c r="O546">
        <v>280.25666666666598</v>
      </c>
      <c r="P546">
        <v>271.62999999999897</v>
      </c>
      <c r="Q546">
        <v>313.95666666666602</v>
      </c>
      <c r="R546">
        <v>251.96666666666599</v>
      </c>
      <c r="S546">
        <v>296.02333333333303</v>
      </c>
      <c r="T546">
        <v>266.683333333333</v>
      </c>
      <c r="U546">
        <v>250.37</v>
      </c>
      <c r="V546">
        <v>236.71</v>
      </c>
      <c r="W546">
        <v>315.93999999999897</v>
      </c>
      <c r="X546">
        <v>285.99999999999898</v>
      </c>
      <c r="Y546">
        <v>298.13333333333298</v>
      </c>
      <c r="Z546">
        <v>296.08666666666602</v>
      </c>
      <c r="AA546">
        <v>289.99999999999898</v>
      </c>
      <c r="AB546">
        <v>289.99999999999898</v>
      </c>
      <c r="AC546">
        <v>340.70666666666602</v>
      </c>
      <c r="AD546">
        <v>290.70666666666602</v>
      </c>
      <c r="AE546">
        <v>324.73999999999899</v>
      </c>
      <c r="AF546">
        <v>309.64999999999901</v>
      </c>
      <c r="AG546">
        <v>300.12666666666598</v>
      </c>
      <c r="AH546">
        <v>295.33333333333297</v>
      </c>
      <c r="AI546">
        <v>330.57333333333298</v>
      </c>
      <c r="AJ546">
        <v>281.469999999999</v>
      </c>
      <c r="AK546">
        <v>314.44333333333299</v>
      </c>
      <c r="AL546">
        <v>291.12666666666598</v>
      </c>
      <c r="AM546">
        <v>280.25666666666598</v>
      </c>
      <c r="AN546">
        <v>271.62999999999897</v>
      </c>
      <c r="AO546">
        <v>335.09333333333302</v>
      </c>
      <c r="AP546">
        <v>264.23333333333301</v>
      </c>
      <c r="AQ546">
        <v>316.00999999999902</v>
      </c>
      <c r="AR546">
        <v>280.74666666666599</v>
      </c>
      <c r="AS546">
        <v>261.17999999999898</v>
      </c>
      <c r="AT546">
        <v>244.36</v>
      </c>
      <c r="AU546">
        <v>346.303333333333</v>
      </c>
      <c r="AV546">
        <v>290.69999999999902</v>
      </c>
      <c r="AW546">
        <v>328.969999999999</v>
      </c>
      <c r="AX546">
        <v>303.64333333333298</v>
      </c>
      <c r="AY546">
        <v>290.44333333333299</v>
      </c>
      <c r="AZ546">
        <v>280.42</v>
      </c>
      <c r="BA546">
        <v>339.44333333333299</v>
      </c>
      <c r="BB546">
        <v>279.94999999999902</v>
      </c>
      <c r="BC546">
        <v>321.73999999999899</v>
      </c>
      <c r="BD546">
        <v>294.07666666666597</v>
      </c>
      <c r="BE546">
        <v>278.81666666666598</v>
      </c>
      <c r="BF546">
        <v>266.96333333333303</v>
      </c>
      <c r="BG546" s="14"/>
      <c r="BH546" s="14"/>
      <c r="BI546" s="14"/>
      <c r="BJ546" s="199"/>
      <c r="BK546" s="14"/>
      <c r="BL546" s="14"/>
      <c r="BM546" s="14"/>
      <c r="BN546" s="14"/>
      <c r="BO546" s="14"/>
      <c r="BP546" s="14"/>
      <c r="BQ546" s="14"/>
      <c r="BR546" s="14"/>
      <c r="BS546" s="14"/>
      <c r="BT546" s="14"/>
      <c r="BU546" s="14"/>
      <c r="BV546" s="14"/>
      <c r="BW546" s="14"/>
      <c r="BX546" s="14"/>
      <c r="BY546" s="170"/>
    </row>
    <row r="547" spans="9:77" x14ac:dyDescent="0.25">
      <c r="I547">
        <v>4720</v>
      </c>
      <c r="J547" s="1" t="s">
        <v>726</v>
      </c>
      <c r="K547">
        <v>352.21333333333303</v>
      </c>
      <c r="L547">
        <v>303.11</v>
      </c>
      <c r="M547">
        <v>336.08333333333297</v>
      </c>
      <c r="N547">
        <v>312.76666666666603</v>
      </c>
      <c r="O547">
        <v>301.89666666666602</v>
      </c>
      <c r="P547">
        <v>293.26999999999902</v>
      </c>
      <c r="Q547">
        <v>335.59666666666601</v>
      </c>
      <c r="R547">
        <v>273.606666666666</v>
      </c>
      <c r="S547">
        <v>317.66333333333301</v>
      </c>
      <c r="T547">
        <v>288.32333333333298</v>
      </c>
      <c r="U547">
        <v>272.01</v>
      </c>
      <c r="V547">
        <v>258.35000000000002</v>
      </c>
      <c r="W547">
        <v>337.58</v>
      </c>
      <c r="X547">
        <v>307.64</v>
      </c>
      <c r="Y547">
        <v>319.77333333333303</v>
      </c>
      <c r="Z547">
        <v>317.72666666666601</v>
      </c>
      <c r="AA547">
        <v>311.63999999999902</v>
      </c>
      <c r="AB547">
        <v>311.63999999999902</v>
      </c>
      <c r="AC547">
        <v>362.34666666666601</v>
      </c>
      <c r="AD547">
        <v>312.34666666666601</v>
      </c>
      <c r="AE547">
        <v>346.38</v>
      </c>
      <c r="AF547">
        <v>331.29</v>
      </c>
      <c r="AG547">
        <v>321.76666666666603</v>
      </c>
      <c r="AH547">
        <v>316.97333333333302</v>
      </c>
      <c r="AI547">
        <v>352.21333333333303</v>
      </c>
      <c r="AJ547">
        <v>303.11</v>
      </c>
      <c r="AK547">
        <v>336.08333333333297</v>
      </c>
      <c r="AL547">
        <v>312.76666666666603</v>
      </c>
      <c r="AM547">
        <v>301.89666666666602</v>
      </c>
      <c r="AN547">
        <v>293.26999999999902</v>
      </c>
      <c r="AO547">
        <v>356.73333333333301</v>
      </c>
      <c r="AP547">
        <v>285.87333333333299</v>
      </c>
      <c r="AQ547">
        <v>337.64999999999901</v>
      </c>
      <c r="AR547">
        <v>302.38666666666597</v>
      </c>
      <c r="AS547">
        <v>282.81999999999903</v>
      </c>
      <c r="AT547">
        <v>266</v>
      </c>
      <c r="AU547">
        <v>367.94333333333299</v>
      </c>
      <c r="AV547">
        <v>312.33999999999997</v>
      </c>
      <c r="AW547">
        <v>350.61</v>
      </c>
      <c r="AX547">
        <v>325.28333333333302</v>
      </c>
      <c r="AY547">
        <v>312.08333333333297</v>
      </c>
      <c r="AZ547">
        <v>302.06</v>
      </c>
      <c r="BA547">
        <v>361.08333333333297</v>
      </c>
      <c r="BB547">
        <v>301.58999999999901</v>
      </c>
      <c r="BC547">
        <v>343.38</v>
      </c>
      <c r="BD547">
        <v>315.71666666666601</v>
      </c>
      <c r="BE547">
        <v>300.45666666666602</v>
      </c>
      <c r="BF547">
        <v>288.60333333333301</v>
      </c>
      <c r="BG547" s="14"/>
      <c r="BH547" s="14"/>
      <c r="BI547" s="14"/>
      <c r="BJ547" s="199"/>
      <c r="BK547" s="14"/>
      <c r="BL547" s="14"/>
      <c r="BM547" s="14"/>
      <c r="BN547" s="14"/>
      <c r="BO547" s="14"/>
      <c r="BP547" s="14"/>
      <c r="BQ547" s="14"/>
      <c r="BR547" s="14"/>
      <c r="BS547" s="14"/>
      <c r="BT547" s="14"/>
      <c r="BU547" s="14"/>
      <c r="BV547" s="14"/>
      <c r="BW547" s="14"/>
      <c r="BX547" s="14"/>
      <c r="BY547" s="170"/>
    </row>
    <row r="548" spans="9:77" x14ac:dyDescent="0.25">
      <c r="I548">
        <v>4731</v>
      </c>
      <c r="J548" s="1"/>
      <c r="K548">
        <v>361.113333333333</v>
      </c>
      <c r="L548">
        <v>312.00999999999902</v>
      </c>
      <c r="M548">
        <v>344.98333333333301</v>
      </c>
      <c r="N548">
        <v>321.666666666666</v>
      </c>
      <c r="O548">
        <v>310.796666666666</v>
      </c>
      <c r="P548">
        <v>302.16999999999899</v>
      </c>
      <c r="Q548">
        <v>344.49666666666599</v>
      </c>
      <c r="R548">
        <v>282.50666666666598</v>
      </c>
      <c r="S548">
        <v>326.56333333333299</v>
      </c>
      <c r="T548">
        <v>297.22333333333302</v>
      </c>
      <c r="U548">
        <v>280.91000000000003</v>
      </c>
      <c r="V548">
        <v>267.25</v>
      </c>
      <c r="W548">
        <v>346.48</v>
      </c>
      <c r="X548">
        <v>316.54000000000002</v>
      </c>
      <c r="Y548">
        <v>328.67333333333301</v>
      </c>
      <c r="Z548">
        <v>326.62666666666598</v>
      </c>
      <c r="AA548">
        <v>320.539999999999</v>
      </c>
      <c r="AB548">
        <v>320.539999999999</v>
      </c>
      <c r="AC548">
        <v>371.24666666666599</v>
      </c>
      <c r="AD548">
        <v>321.24666666666599</v>
      </c>
      <c r="AE548">
        <v>355.28</v>
      </c>
      <c r="AF548">
        <v>340.19</v>
      </c>
      <c r="AG548">
        <v>330.666666666666</v>
      </c>
      <c r="AH548">
        <v>325.87333333333299</v>
      </c>
      <c r="AI548">
        <v>361.113333333333</v>
      </c>
      <c r="AJ548">
        <v>312.00999999999902</v>
      </c>
      <c r="AK548">
        <v>344.98333333333301</v>
      </c>
      <c r="AL548">
        <v>321.666666666666</v>
      </c>
      <c r="AM548">
        <v>310.796666666666</v>
      </c>
      <c r="AN548">
        <v>302.16999999999899</v>
      </c>
      <c r="AO548">
        <v>365.63333333333298</v>
      </c>
      <c r="AP548">
        <v>294.77333333333303</v>
      </c>
      <c r="AQ548">
        <v>346.54999999999899</v>
      </c>
      <c r="AR548">
        <v>311.28666666666601</v>
      </c>
      <c r="AS548">
        <v>291.719999999999</v>
      </c>
      <c r="AT548">
        <v>274.89999999999998</v>
      </c>
      <c r="AU548">
        <v>376.84333333333302</v>
      </c>
      <c r="AV548">
        <v>321.24</v>
      </c>
      <c r="AW548">
        <v>359.50999999999902</v>
      </c>
      <c r="AX548">
        <v>334.183333333333</v>
      </c>
      <c r="AY548">
        <v>320.98333333333301</v>
      </c>
      <c r="AZ548">
        <v>310.95999999999998</v>
      </c>
      <c r="BA548">
        <v>369.98333333333301</v>
      </c>
      <c r="BB548">
        <v>310.48999999999899</v>
      </c>
      <c r="BC548">
        <v>352.28</v>
      </c>
      <c r="BD548">
        <v>324.61666666666599</v>
      </c>
      <c r="BE548">
        <v>309.356666666666</v>
      </c>
      <c r="BF548">
        <v>297.50333333333299</v>
      </c>
      <c r="BG548" s="14"/>
      <c r="BH548" s="14"/>
      <c r="BI548" s="14"/>
      <c r="BJ548" s="199"/>
      <c r="BK548" s="14"/>
      <c r="BL548" s="14"/>
      <c r="BM548" s="14"/>
      <c r="BN548" s="14"/>
      <c r="BO548" s="14"/>
      <c r="BP548" s="14"/>
      <c r="BQ548" s="14"/>
      <c r="BR548" s="14"/>
      <c r="BS548" s="14"/>
      <c r="BT548" s="14"/>
      <c r="BU548" s="14"/>
      <c r="BV548" s="14"/>
      <c r="BW548" s="14"/>
      <c r="BX548" s="14"/>
      <c r="BY548" s="170"/>
    </row>
    <row r="549" spans="9:77" x14ac:dyDescent="0.25">
      <c r="I549">
        <v>4733</v>
      </c>
      <c r="J549" s="1" t="s">
        <v>727</v>
      </c>
      <c r="K549">
        <v>361.113333333333</v>
      </c>
      <c r="L549">
        <v>312.00999999999902</v>
      </c>
      <c r="M549">
        <v>344.98333333333301</v>
      </c>
      <c r="N549">
        <v>321.666666666666</v>
      </c>
      <c r="O549">
        <v>310.796666666666</v>
      </c>
      <c r="P549">
        <v>302.16999999999899</v>
      </c>
      <c r="Q549">
        <v>344.49666666666599</v>
      </c>
      <c r="R549">
        <v>282.50666666666598</v>
      </c>
      <c r="S549">
        <v>326.56333333333299</v>
      </c>
      <c r="T549">
        <v>297.22333333333302</v>
      </c>
      <c r="U549">
        <v>280.91000000000003</v>
      </c>
      <c r="V549">
        <v>267.25</v>
      </c>
      <c r="W549">
        <v>346.48</v>
      </c>
      <c r="X549">
        <v>316.54000000000002</v>
      </c>
      <c r="Y549">
        <v>328.67333333333301</v>
      </c>
      <c r="Z549">
        <v>326.62666666666598</v>
      </c>
      <c r="AA549">
        <v>320.539999999999</v>
      </c>
      <c r="AB549">
        <v>320.539999999999</v>
      </c>
      <c r="AC549">
        <v>371.24666666666599</v>
      </c>
      <c r="AD549">
        <v>321.24666666666599</v>
      </c>
      <c r="AE549">
        <v>355.28</v>
      </c>
      <c r="AF549">
        <v>340.19</v>
      </c>
      <c r="AG549">
        <v>330.666666666666</v>
      </c>
      <c r="AH549">
        <v>325.87333333333299</v>
      </c>
      <c r="AI549">
        <v>361.113333333333</v>
      </c>
      <c r="AJ549">
        <v>312.00999999999902</v>
      </c>
      <c r="AK549">
        <v>344.98333333333301</v>
      </c>
      <c r="AL549">
        <v>321.666666666666</v>
      </c>
      <c r="AM549">
        <v>310.796666666666</v>
      </c>
      <c r="AN549">
        <v>302.16999999999899</v>
      </c>
      <c r="AO549">
        <v>365.63333333333298</v>
      </c>
      <c r="AP549">
        <v>294.77333333333303</v>
      </c>
      <c r="AQ549">
        <v>346.54999999999899</v>
      </c>
      <c r="AR549">
        <v>311.28666666666601</v>
      </c>
      <c r="AS549">
        <v>291.719999999999</v>
      </c>
      <c r="AT549">
        <v>274.89999999999998</v>
      </c>
      <c r="AU549">
        <v>376.84333333333302</v>
      </c>
      <c r="AV549">
        <v>321.24</v>
      </c>
      <c r="AW549">
        <v>359.50999999999902</v>
      </c>
      <c r="AX549">
        <v>334.183333333333</v>
      </c>
      <c r="AY549">
        <v>320.98333333333301</v>
      </c>
      <c r="AZ549">
        <v>310.95999999999998</v>
      </c>
      <c r="BA549">
        <v>369.98333333333301</v>
      </c>
      <c r="BB549">
        <v>310.48999999999899</v>
      </c>
      <c r="BC549">
        <v>352.28</v>
      </c>
      <c r="BD549">
        <v>324.61666666666599</v>
      </c>
      <c r="BE549">
        <v>309.356666666666</v>
      </c>
      <c r="BF549">
        <v>297.50333333333299</v>
      </c>
      <c r="BG549" s="14"/>
      <c r="BH549" s="14"/>
      <c r="BI549" s="14"/>
      <c r="BJ549" s="199"/>
      <c r="BK549" s="14"/>
      <c r="BL549" s="14"/>
      <c r="BM549" s="14"/>
      <c r="BN549" s="14"/>
      <c r="BO549" s="14"/>
      <c r="BP549" s="14"/>
      <c r="BQ549" s="14"/>
      <c r="BR549" s="14"/>
      <c r="BS549" s="14"/>
      <c r="BT549" s="14"/>
      <c r="BU549" s="14"/>
      <c r="BV549" s="14"/>
      <c r="BW549" s="14"/>
      <c r="BX549" s="14"/>
      <c r="BY549" s="170"/>
    </row>
    <row r="550" spans="9:77" x14ac:dyDescent="0.25">
      <c r="I550">
        <v>4734</v>
      </c>
      <c r="J550" s="1"/>
      <c r="K550">
        <v>352.21333333333303</v>
      </c>
      <c r="L550">
        <v>303.11</v>
      </c>
      <c r="M550">
        <v>336.08333333333297</v>
      </c>
      <c r="N550">
        <v>312.76666666666603</v>
      </c>
      <c r="O550">
        <v>301.89666666666602</v>
      </c>
      <c r="P550">
        <v>293.26999999999902</v>
      </c>
      <c r="Q550">
        <v>335.59666666666601</v>
      </c>
      <c r="R550">
        <v>273.606666666666</v>
      </c>
      <c r="S550">
        <v>317.66333333333301</v>
      </c>
      <c r="T550">
        <v>288.32333333333298</v>
      </c>
      <c r="U550">
        <v>272.01</v>
      </c>
      <c r="V550">
        <v>258.35000000000002</v>
      </c>
      <c r="W550">
        <v>337.58</v>
      </c>
      <c r="X550">
        <v>307.64</v>
      </c>
      <c r="Y550">
        <v>319.77333333333303</v>
      </c>
      <c r="Z550">
        <v>317.72666666666601</v>
      </c>
      <c r="AA550">
        <v>311.63999999999902</v>
      </c>
      <c r="AB550">
        <v>311.63999999999902</v>
      </c>
      <c r="AC550">
        <v>362.34666666666601</v>
      </c>
      <c r="AD550">
        <v>312.34666666666601</v>
      </c>
      <c r="AE550">
        <v>346.38</v>
      </c>
      <c r="AF550">
        <v>331.29</v>
      </c>
      <c r="AG550">
        <v>321.76666666666603</v>
      </c>
      <c r="AH550">
        <v>316.97333333333302</v>
      </c>
      <c r="AI550">
        <v>352.21333333333303</v>
      </c>
      <c r="AJ550">
        <v>303.11</v>
      </c>
      <c r="AK550">
        <v>336.08333333333297</v>
      </c>
      <c r="AL550">
        <v>312.76666666666603</v>
      </c>
      <c r="AM550">
        <v>301.89666666666602</v>
      </c>
      <c r="AN550">
        <v>293.26999999999902</v>
      </c>
      <c r="AO550">
        <v>356.73333333333301</v>
      </c>
      <c r="AP550">
        <v>285.87333333333299</v>
      </c>
      <c r="AQ550">
        <v>337.64999999999901</v>
      </c>
      <c r="AR550">
        <v>302.38666666666597</v>
      </c>
      <c r="AS550">
        <v>282.81999999999903</v>
      </c>
      <c r="AT550">
        <v>266</v>
      </c>
      <c r="AU550">
        <v>367.94333333333299</v>
      </c>
      <c r="AV550">
        <v>312.33999999999997</v>
      </c>
      <c r="AW550">
        <v>350.61</v>
      </c>
      <c r="AX550">
        <v>325.28333333333302</v>
      </c>
      <c r="AY550">
        <v>312.08333333333297</v>
      </c>
      <c r="AZ550">
        <v>302.06</v>
      </c>
      <c r="BA550">
        <v>361.08333333333297</v>
      </c>
      <c r="BB550">
        <v>301.58999999999901</v>
      </c>
      <c r="BC550">
        <v>343.38</v>
      </c>
      <c r="BD550">
        <v>315.71666666666601</v>
      </c>
      <c r="BE550">
        <v>300.45666666666602</v>
      </c>
      <c r="BF550">
        <v>288.60333333333301</v>
      </c>
      <c r="BG550" s="14"/>
      <c r="BH550" s="14"/>
      <c r="BI550" s="14"/>
      <c r="BJ550" s="199"/>
      <c r="BK550" s="14"/>
      <c r="BL550" s="14"/>
      <c r="BM550" s="14"/>
      <c r="BN550" s="14"/>
      <c r="BO550" s="14"/>
      <c r="BP550" s="14"/>
      <c r="BQ550" s="14"/>
      <c r="BR550" s="14"/>
      <c r="BS550" s="14"/>
      <c r="BT550" s="14"/>
      <c r="BU550" s="14"/>
      <c r="BV550" s="14"/>
      <c r="BW550" s="14"/>
      <c r="BX550" s="14"/>
      <c r="BY550" s="170"/>
    </row>
    <row r="551" spans="9:77" x14ac:dyDescent="0.25">
      <c r="I551">
        <v>4735</v>
      </c>
      <c r="J551" s="1" t="s">
        <v>728</v>
      </c>
      <c r="K551">
        <v>352.21333333333303</v>
      </c>
      <c r="L551">
        <v>303.11</v>
      </c>
      <c r="M551">
        <v>336.08333333333297</v>
      </c>
      <c r="N551">
        <v>312.76666666666603</v>
      </c>
      <c r="O551">
        <v>301.89666666666602</v>
      </c>
      <c r="P551">
        <v>293.26999999999902</v>
      </c>
      <c r="Q551">
        <v>335.59666666666601</v>
      </c>
      <c r="R551">
        <v>273.606666666666</v>
      </c>
      <c r="S551">
        <v>317.66333333333301</v>
      </c>
      <c r="T551">
        <v>288.32333333333298</v>
      </c>
      <c r="U551">
        <v>272.01</v>
      </c>
      <c r="V551">
        <v>258.35000000000002</v>
      </c>
      <c r="W551">
        <v>337.58</v>
      </c>
      <c r="X551">
        <v>307.64</v>
      </c>
      <c r="Y551">
        <v>319.77333333333303</v>
      </c>
      <c r="Z551">
        <v>317.72666666666601</v>
      </c>
      <c r="AA551">
        <v>311.63999999999902</v>
      </c>
      <c r="AB551">
        <v>311.63999999999902</v>
      </c>
      <c r="AC551">
        <v>362.34666666666601</v>
      </c>
      <c r="AD551">
        <v>312.34666666666601</v>
      </c>
      <c r="AE551">
        <v>346.38</v>
      </c>
      <c r="AF551">
        <v>331.29</v>
      </c>
      <c r="AG551">
        <v>321.76666666666603</v>
      </c>
      <c r="AH551">
        <v>316.97333333333302</v>
      </c>
      <c r="AI551">
        <v>352.21333333333303</v>
      </c>
      <c r="AJ551">
        <v>303.11</v>
      </c>
      <c r="AK551">
        <v>336.08333333333297</v>
      </c>
      <c r="AL551">
        <v>312.76666666666603</v>
      </c>
      <c r="AM551">
        <v>301.89666666666602</v>
      </c>
      <c r="AN551">
        <v>293.26999999999902</v>
      </c>
      <c r="AO551">
        <v>356.73333333333301</v>
      </c>
      <c r="AP551">
        <v>285.87333333333299</v>
      </c>
      <c r="AQ551">
        <v>337.64999999999901</v>
      </c>
      <c r="AR551">
        <v>302.38666666666597</v>
      </c>
      <c r="AS551">
        <v>282.81999999999903</v>
      </c>
      <c r="AT551">
        <v>266</v>
      </c>
      <c r="AU551">
        <v>367.94333333333299</v>
      </c>
      <c r="AV551">
        <v>312.33999999999997</v>
      </c>
      <c r="AW551">
        <v>350.61</v>
      </c>
      <c r="AX551">
        <v>325.28333333333302</v>
      </c>
      <c r="AY551">
        <v>312.08333333333297</v>
      </c>
      <c r="AZ551">
        <v>302.06</v>
      </c>
      <c r="BA551">
        <v>361.08333333333297</v>
      </c>
      <c r="BB551">
        <v>301.58999999999901</v>
      </c>
      <c r="BC551">
        <v>343.38</v>
      </c>
      <c r="BD551">
        <v>315.71666666666601</v>
      </c>
      <c r="BE551">
        <v>300.45666666666602</v>
      </c>
      <c r="BF551">
        <v>288.60333333333301</v>
      </c>
      <c r="BG551" s="14"/>
      <c r="BH551" s="14"/>
      <c r="BI551" s="14"/>
      <c r="BJ551" s="199"/>
      <c r="BK551" s="14"/>
      <c r="BL551" s="14"/>
      <c r="BM551" s="14"/>
      <c r="BN551" s="14"/>
      <c r="BO551" s="14"/>
      <c r="BP551" s="14"/>
      <c r="BQ551" s="14"/>
      <c r="BR551" s="14"/>
      <c r="BS551" s="14"/>
      <c r="BT551" s="14"/>
      <c r="BU551" s="14"/>
      <c r="BV551" s="14"/>
      <c r="BW551" s="14"/>
      <c r="BX551" s="14"/>
      <c r="BY551" s="170"/>
    </row>
    <row r="552" spans="9:77" x14ac:dyDescent="0.25">
      <c r="I552">
        <v>4736</v>
      </c>
      <c r="J552" s="1" t="s">
        <v>729</v>
      </c>
      <c r="K552">
        <v>263.25333333333299</v>
      </c>
      <c r="L552">
        <v>214.14999999999901</v>
      </c>
      <c r="M552">
        <v>247.12333333333299</v>
      </c>
      <c r="N552">
        <v>223.80666666666599</v>
      </c>
      <c r="O552">
        <v>212.93666666666601</v>
      </c>
      <c r="P552">
        <v>204.30999999999901</v>
      </c>
      <c r="Q552">
        <v>246.636666666666</v>
      </c>
      <c r="R552">
        <v>184.64666666666599</v>
      </c>
      <c r="S552">
        <v>228.70333333333301</v>
      </c>
      <c r="T552">
        <v>199.363333333333</v>
      </c>
      <c r="U552">
        <v>183.05</v>
      </c>
      <c r="V552">
        <v>169.39</v>
      </c>
      <c r="W552">
        <v>248.62</v>
      </c>
      <c r="X552">
        <v>218.68</v>
      </c>
      <c r="Y552">
        <v>230.81333333333299</v>
      </c>
      <c r="Z552">
        <v>228.766666666666</v>
      </c>
      <c r="AA552">
        <v>222.67999999999901</v>
      </c>
      <c r="AB552">
        <v>222.67999999999901</v>
      </c>
      <c r="AC552">
        <v>273.38666666666597</v>
      </c>
      <c r="AD552">
        <v>223.386666666666</v>
      </c>
      <c r="AE552">
        <v>257.42</v>
      </c>
      <c r="AF552">
        <v>242.33</v>
      </c>
      <c r="AG552">
        <v>232.80666666666599</v>
      </c>
      <c r="AH552">
        <v>228.01333333333301</v>
      </c>
      <c r="AI552">
        <v>263.25333333333299</v>
      </c>
      <c r="AJ552">
        <v>214.14999999999901</v>
      </c>
      <c r="AK552">
        <v>247.12333333333299</v>
      </c>
      <c r="AL552">
        <v>223.80666666666599</v>
      </c>
      <c r="AM552">
        <v>212.93666666666601</v>
      </c>
      <c r="AN552">
        <v>204.30999999999901</v>
      </c>
      <c r="AO552">
        <v>267.77333333333303</v>
      </c>
      <c r="AP552">
        <v>196.91333333333299</v>
      </c>
      <c r="AQ552">
        <v>248.689999999999</v>
      </c>
      <c r="AR552">
        <v>213.42666666666599</v>
      </c>
      <c r="AS552">
        <v>193.85999999999899</v>
      </c>
      <c r="AT552">
        <v>177.04</v>
      </c>
      <c r="AU552">
        <v>278.98333333333301</v>
      </c>
      <c r="AV552">
        <v>223.38</v>
      </c>
      <c r="AW552">
        <v>261.64999999999901</v>
      </c>
      <c r="AX552">
        <v>236.32333333333301</v>
      </c>
      <c r="AY552">
        <v>223.12333333333299</v>
      </c>
      <c r="AZ552">
        <v>213.1</v>
      </c>
      <c r="BA552">
        <v>272.12333333333299</v>
      </c>
      <c r="BB552">
        <v>212.629999999999</v>
      </c>
      <c r="BC552">
        <v>254.42</v>
      </c>
      <c r="BD552">
        <v>226.75666666666601</v>
      </c>
      <c r="BE552">
        <v>211.49666666666599</v>
      </c>
      <c r="BF552">
        <v>199.643333333333</v>
      </c>
      <c r="BG552" s="14"/>
      <c r="BH552" s="14"/>
      <c r="BI552" s="14"/>
      <c r="BJ552" s="199"/>
      <c r="BK552" s="14"/>
      <c r="BL552" s="14"/>
      <c r="BM552" s="14"/>
      <c r="BN552" s="14"/>
      <c r="BO552" s="14"/>
      <c r="BP552" s="14"/>
      <c r="BQ552" s="14"/>
      <c r="BR552" s="14"/>
      <c r="BS552" s="14"/>
      <c r="BT552" s="14"/>
      <c r="BU552" s="14"/>
      <c r="BV552" s="14"/>
      <c r="BW552" s="14"/>
      <c r="BX552" s="14"/>
      <c r="BY552" s="170"/>
    </row>
    <row r="553" spans="9:77" x14ac:dyDescent="0.25">
      <c r="I553">
        <v>4747</v>
      </c>
      <c r="J553" s="1"/>
      <c r="K553">
        <v>299.38333333333298</v>
      </c>
      <c r="L553">
        <v>250.27999999999901</v>
      </c>
      <c r="M553">
        <v>283.25333333333299</v>
      </c>
      <c r="N553">
        <v>259.93666666666599</v>
      </c>
      <c r="O553">
        <v>249.06666666666601</v>
      </c>
      <c r="P553">
        <v>240.439999999999</v>
      </c>
      <c r="Q553">
        <v>282.76666666666603</v>
      </c>
      <c r="R553">
        <v>220.77666666666599</v>
      </c>
      <c r="S553">
        <v>264.83333333333297</v>
      </c>
      <c r="T553">
        <v>235.493333333333</v>
      </c>
      <c r="U553">
        <v>219.18</v>
      </c>
      <c r="V553">
        <v>205.52</v>
      </c>
      <c r="W553">
        <v>284.75</v>
      </c>
      <c r="X553">
        <v>254.81</v>
      </c>
      <c r="Y553">
        <v>266.94333333333299</v>
      </c>
      <c r="Z553">
        <v>264.89666666666602</v>
      </c>
      <c r="AA553">
        <v>258.80999999999898</v>
      </c>
      <c r="AB553">
        <v>258.80999999999898</v>
      </c>
      <c r="AC553">
        <v>309.51666666666603</v>
      </c>
      <c r="AD553">
        <v>259.51666666666603</v>
      </c>
      <c r="AE553">
        <v>293.55</v>
      </c>
      <c r="AF553">
        <v>278.45999999999998</v>
      </c>
      <c r="AG553">
        <v>268.93666666666599</v>
      </c>
      <c r="AH553">
        <v>264.14333333333298</v>
      </c>
      <c r="AI553">
        <v>299.38333333333298</v>
      </c>
      <c r="AJ553">
        <v>250.27999999999901</v>
      </c>
      <c r="AK553">
        <v>283.25333333333299</v>
      </c>
      <c r="AL553">
        <v>259.93666666666599</v>
      </c>
      <c r="AM553">
        <v>249.06666666666601</v>
      </c>
      <c r="AN553">
        <v>240.439999999999</v>
      </c>
      <c r="AO553">
        <v>303.90333333333302</v>
      </c>
      <c r="AP553">
        <v>233.04333333333301</v>
      </c>
      <c r="AQ553">
        <v>284.81999999999903</v>
      </c>
      <c r="AR553">
        <v>249.55666666666599</v>
      </c>
      <c r="AS553">
        <v>229.98999999999899</v>
      </c>
      <c r="AT553">
        <v>213.17</v>
      </c>
      <c r="AU553">
        <v>315.113333333333</v>
      </c>
      <c r="AV553">
        <v>259.50999999999902</v>
      </c>
      <c r="AW553">
        <v>297.77999999999901</v>
      </c>
      <c r="AX553">
        <v>272.45333333333298</v>
      </c>
      <c r="AY553">
        <v>259.25333333333299</v>
      </c>
      <c r="AZ553">
        <v>249.23</v>
      </c>
      <c r="BA553">
        <v>308.25333333333299</v>
      </c>
      <c r="BB553">
        <v>248.759999999999</v>
      </c>
      <c r="BC553">
        <v>290.55</v>
      </c>
      <c r="BD553">
        <v>262.88666666666597</v>
      </c>
      <c r="BE553">
        <v>247.62666666666601</v>
      </c>
      <c r="BF553">
        <v>235.773333333333</v>
      </c>
      <c r="BG553" s="14"/>
      <c r="BH553" s="14"/>
      <c r="BI553" s="14"/>
      <c r="BJ553" s="199"/>
      <c r="BK553" s="14"/>
      <c r="BL553" s="14"/>
      <c r="BM553" s="14"/>
      <c r="BN553" s="14"/>
      <c r="BO553" s="14"/>
      <c r="BP553" s="14"/>
      <c r="BQ553" s="14"/>
      <c r="BR553" s="14"/>
      <c r="BS553" s="14"/>
      <c r="BT553" s="14"/>
      <c r="BU553" s="14"/>
      <c r="BV553" s="14"/>
      <c r="BW553" s="14"/>
      <c r="BX553" s="14"/>
      <c r="BY553" s="170"/>
    </row>
    <row r="554" spans="9:77" x14ac:dyDescent="0.25">
      <c r="I554">
        <v>4750</v>
      </c>
      <c r="J554" s="1" t="s">
        <v>730</v>
      </c>
      <c r="K554">
        <v>340.06333333333299</v>
      </c>
      <c r="L554">
        <v>290.95999999999901</v>
      </c>
      <c r="M554">
        <v>323.933333333333</v>
      </c>
      <c r="N554">
        <v>300.61666666666599</v>
      </c>
      <c r="O554">
        <v>289.74666666666599</v>
      </c>
      <c r="P554">
        <v>281.11999999999898</v>
      </c>
      <c r="Q554">
        <v>323.44666666666598</v>
      </c>
      <c r="R554">
        <v>261.45666666666602</v>
      </c>
      <c r="S554">
        <v>305.51333333333298</v>
      </c>
      <c r="T554">
        <v>276.17333333333301</v>
      </c>
      <c r="U554">
        <v>259.86</v>
      </c>
      <c r="V554">
        <v>246.2</v>
      </c>
      <c r="W554">
        <v>325.42999999999898</v>
      </c>
      <c r="X554">
        <v>295.48999999999899</v>
      </c>
      <c r="Y554">
        <v>307.62333333333299</v>
      </c>
      <c r="Z554">
        <v>305.57666666666597</v>
      </c>
      <c r="AA554">
        <v>299.48999999999899</v>
      </c>
      <c r="AB554">
        <v>299.48999999999899</v>
      </c>
      <c r="AC554">
        <v>350.19666666666598</v>
      </c>
      <c r="AD554">
        <v>300.19666666666598</v>
      </c>
      <c r="AE554">
        <v>334.229999999999</v>
      </c>
      <c r="AF554">
        <v>319.13999999999902</v>
      </c>
      <c r="AG554">
        <v>309.61666666666599</v>
      </c>
      <c r="AH554">
        <v>304.82333333333298</v>
      </c>
      <c r="AI554">
        <v>340.06333333333299</v>
      </c>
      <c r="AJ554">
        <v>290.95999999999901</v>
      </c>
      <c r="AK554">
        <v>323.933333333333</v>
      </c>
      <c r="AL554">
        <v>300.61666666666599</v>
      </c>
      <c r="AM554">
        <v>289.74666666666599</v>
      </c>
      <c r="AN554">
        <v>281.11999999999898</v>
      </c>
      <c r="AO554">
        <v>344.58333333333297</v>
      </c>
      <c r="AP554">
        <v>273.72333333333302</v>
      </c>
      <c r="AQ554">
        <v>325.49999999999898</v>
      </c>
      <c r="AR554">
        <v>290.236666666666</v>
      </c>
      <c r="AS554">
        <v>270.66999999999899</v>
      </c>
      <c r="AT554">
        <v>253.85</v>
      </c>
      <c r="AU554">
        <v>355.79333333333301</v>
      </c>
      <c r="AV554">
        <v>300.18999999999897</v>
      </c>
      <c r="AW554">
        <v>338.45999999999901</v>
      </c>
      <c r="AX554">
        <v>313.13333333333298</v>
      </c>
      <c r="AY554">
        <v>299.933333333333</v>
      </c>
      <c r="AZ554">
        <v>289.91000000000003</v>
      </c>
      <c r="BA554">
        <v>348.933333333333</v>
      </c>
      <c r="BB554">
        <v>289.43999999999897</v>
      </c>
      <c r="BC554">
        <v>331.229999999999</v>
      </c>
      <c r="BD554">
        <v>303.56666666666598</v>
      </c>
      <c r="BE554">
        <v>288.30666666666599</v>
      </c>
      <c r="BF554">
        <v>276.45333333333298</v>
      </c>
      <c r="BG554" s="14"/>
      <c r="BH554" s="14"/>
      <c r="BI554" s="14"/>
      <c r="BJ554" s="199"/>
      <c r="BK554" s="14"/>
      <c r="BL554" s="14"/>
      <c r="BM554" s="14"/>
      <c r="BN554" s="14"/>
      <c r="BO554" s="14"/>
      <c r="BP554" s="14"/>
      <c r="BQ554" s="14"/>
      <c r="BR554" s="14"/>
      <c r="BS554" s="14"/>
      <c r="BT554" s="14"/>
      <c r="BU554" s="14"/>
      <c r="BV554" s="14"/>
      <c r="BW554" s="14"/>
      <c r="BX554" s="14"/>
      <c r="BY554" s="170"/>
    </row>
    <row r="555" spans="9:77" x14ac:dyDescent="0.25">
      <c r="I555">
        <v>4760</v>
      </c>
      <c r="J555" s="1" t="s">
        <v>731</v>
      </c>
      <c r="K555">
        <v>293.00333333333299</v>
      </c>
      <c r="L555">
        <v>243.89999999999901</v>
      </c>
      <c r="M555">
        <v>276.87333333333299</v>
      </c>
      <c r="N555">
        <v>253.55666666666599</v>
      </c>
      <c r="O555">
        <v>242.68666666666601</v>
      </c>
      <c r="P555">
        <v>234.05999999999901</v>
      </c>
      <c r="Q555">
        <v>276.38666666666597</v>
      </c>
      <c r="R555">
        <v>214.39666666666599</v>
      </c>
      <c r="S555">
        <v>258.45333333333298</v>
      </c>
      <c r="T555">
        <v>229.113333333333</v>
      </c>
      <c r="U555">
        <v>212.79999999999899</v>
      </c>
      <c r="V555">
        <v>199.14</v>
      </c>
      <c r="W555">
        <v>278.36999999999898</v>
      </c>
      <c r="X555">
        <v>248.42999999999901</v>
      </c>
      <c r="Y555">
        <v>260.56333333333299</v>
      </c>
      <c r="Z555">
        <v>258.51666666666603</v>
      </c>
      <c r="AA555">
        <v>252.42999999999901</v>
      </c>
      <c r="AB555">
        <v>252.42999999999901</v>
      </c>
      <c r="AC555">
        <v>303.13666666666597</v>
      </c>
      <c r="AD555">
        <v>253.136666666666</v>
      </c>
      <c r="AE555">
        <v>287.16999999999899</v>
      </c>
      <c r="AF555">
        <v>272.07999999999902</v>
      </c>
      <c r="AG555">
        <v>262.55666666666599</v>
      </c>
      <c r="AH555">
        <v>257.76333333333298</v>
      </c>
      <c r="AI555">
        <v>293.00333333333299</v>
      </c>
      <c r="AJ555">
        <v>243.89999999999901</v>
      </c>
      <c r="AK555">
        <v>276.87333333333299</v>
      </c>
      <c r="AL555">
        <v>253.55666666666599</v>
      </c>
      <c r="AM555">
        <v>242.68666666666601</v>
      </c>
      <c r="AN555">
        <v>234.05999999999901</v>
      </c>
      <c r="AO555">
        <v>297.52333333333303</v>
      </c>
      <c r="AP555">
        <v>226.66333333333299</v>
      </c>
      <c r="AQ555">
        <v>278.43999999999897</v>
      </c>
      <c r="AR555">
        <v>243.17666666666599</v>
      </c>
      <c r="AS555">
        <v>223.60999999999899</v>
      </c>
      <c r="AT555">
        <v>206.789999999999</v>
      </c>
      <c r="AU555">
        <v>308.73333333333301</v>
      </c>
      <c r="AV555">
        <v>253.129999999999</v>
      </c>
      <c r="AW555">
        <v>291.39999999999901</v>
      </c>
      <c r="AX555">
        <v>266.07333333333298</v>
      </c>
      <c r="AY555">
        <v>252.87333333333299</v>
      </c>
      <c r="AZ555">
        <v>242.849999999999</v>
      </c>
      <c r="BA555">
        <v>301.87333333333299</v>
      </c>
      <c r="BB555">
        <v>242.379999999999</v>
      </c>
      <c r="BC555">
        <v>284.16999999999899</v>
      </c>
      <c r="BD555">
        <v>256.50666666666598</v>
      </c>
      <c r="BE555">
        <v>241.24666666666599</v>
      </c>
      <c r="BF555">
        <v>229.393333333333</v>
      </c>
      <c r="BG555" s="14"/>
      <c r="BH555" s="14"/>
      <c r="BI555" s="14"/>
      <c r="BJ555" s="199"/>
      <c r="BK555" s="14"/>
      <c r="BL555" s="14"/>
      <c r="BM555" s="14"/>
      <c r="BN555" s="14"/>
      <c r="BO555" s="14"/>
      <c r="BP555" s="14"/>
      <c r="BQ555" s="14"/>
      <c r="BR555" s="14"/>
      <c r="BS555" s="14"/>
      <c r="BT555" s="14"/>
      <c r="BU555" s="14"/>
      <c r="BV555" s="14"/>
      <c r="BW555" s="14"/>
      <c r="BX555" s="14"/>
      <c r="BY555" s="170"/>
    </row>
    <row r="556" spans="9:77" x14ac:dyDescent="0.25">
      <c r="I556">
        <v>4771</v>
      </c>
      <c r="J556" s="1" t="s">
        <v>732</v>
      </c>
      <c r="K556">
        <v>311.72333333333302</v>
      </c>
      <c r="L556">
        <v>262.62</v>
      </c>
      <c r="M556">
        <v>295.59333333333302</v>
      </c>
      <c r="N556">
        <v>272.27666666666602</v>
      </c>
      <c r="O556">
        <v>261.40666666666601</v>
      </c>
      <c r="P556">
        <v>252.77999999999901</v>
      </c>
      <c r="Q556">
        <v>295.106666666666</v>
      </c>
      <c r="R556">
        <v>233.11666666666599</v>
      </c>
      <c r="S556">
        <v>277.17333333333301</v>
      </c>
      <c r="T556">
        <v>247.833333333333</v>
      </c>
      <c r="U556">
        <v>231.52</v>
      </c>
      <c r="V556">
        <v>217.86</v>
      </c>
      <c r="W556">
        <v>297.08999999999997</v>
      </c>
      <c r="X556">
        <v>267.14999999999998</v>
      </c>
      <c r="Y556">
        <v>279.28333333333302</v>
      </c>
      <c r="Z556">
        <v>277.236666666666</v>
      </c>
      <c r="AA556">
        <v>271.14999999999901</v>
      </c>
      <c r="AB556">
        <v>271.14999999999901</v>
      </c>
      <c r="AC556">
        <v>321.856666666666</v>
      </c>
      <c r="AD556">
        <v>271.856666666666</v>
      </c>
      <c r="AE556">
        <v>305.89</v>
      </c>
      <c r="AF556">
        <v>290.8</v>
      </c>
      <c r="AG556">
        <v>281.27666666666602</v>
      </c>
      <c r="AH556">
        <v>276.48333333333301</v>
      </c>
      <c r="AI556">
        <v>311.72333333333302</v>
      </c>
      <c r="AJ556">
        <v>262.62</v>
      </c>
      <c r="AK556">
        <v>295.59333333333302</v>
      </c>
      <c r="AL556">
        <v>272.27666666666602</v>
      </c>
      <c r="AM556">
        <v>261.40666666666601</v>
      </c>
      <c r="AN556">
        <v>252.77999999999901</v>
      </c>
      <c r="AO556">
        <v>316.243333333333</v>
      </c>
      <c r="AP556">
        <v>245.38333333333301</v>
      </c>
      <c r="AQ556">
        <v>297.159999999999</v>
      </c>
      <c r="AR556">
        <v>261.89666666666602</v>
      </c>
      <c r="AS556">
        <v>242.32999999999899</v>
      </c>
      <c r="AT556">
        <v>225.51</v>
      </c>
      <c r="AU556">
        <v>327.45333333333298</v>
      </c>
      <c r="AV556">
        <v>271.85000000000002</v>
      </c>
      <c r="AW556">
        <v>310.12</v>
      </c>
      <c r="AX556">
        <v>284.79333333333301</v>
      </c>
      <c r="AY556">
        <v>271.59333333333302</v>
      </c>
      <c r="AZ556">
        <v>261.57</v>
      </c>
      <c r="BA556">
        <v>320.59333333333302</v>
      </c>
      <c r="BB556">
        <v>261.099999999999</v>
      </c>
      <c r="BC556">
        <v>302.89</v>
      </c>
      <c r="BD556">
        <v>275.22666666666601</v>
      </c>
      <c r="BE556">
        <v>259.96666666666601</v>
      </c>
      <c r="BF556">
        <v>248.113333333333</v>
      </c>
      <c r="BG556" s="14"/>
      <c r="BH556" s="14"/>
      <c r="BI556" s="14"/>
      <c r="BJ556" s="199"/>
      <c r="BK556" s="14"/>
      <c r="BL556" s="14"/>
      <c r="BM556" s="14"/>
      <c r="BN556" s="14"/>
      <c r="BO556" s="14"/>
      <c r="BP556" s="14"/>
      <c r="BQ556" s="14"/>
      <c r="BR556" s="14"/>
      <c r="BS556" s="14"/>
      <c r="BT556" s="14"/>
      <c r="BU556" s="14"/>
      <c r="BV556" s="14"/>
      <c r="BW556" s="14"/>
      <c r="BX556" s="14"/>
      <c r="BY556" s="170"/>
    </row>
    <row r="557" spans="9:77" x14ac:dyDescent="0.25">
      <c r="I557">
        <v>4772</v>
      </c>
      <c r="J557" s="1" t="s">
        <v>733</v>
      </c>
      <c r="K557">
        <v>338.01333333333298</v>
      </c>
      <c r="L557">
        <v>288.91000000000003</v>
      </c>
      <c r="M557">
        <v>321.88333333333298</v>
      </c>
      <c r="N557">
        <v>298.56666666666598</v>
      </c>
      <c r="O557">
        <v>287.69666666666598</v>
      </c>
      <c r="P557">
        <v>279.07</v>
      </c>
      <c r="Q557">
        <v>321.39666666666602</v>
      </c>
      <c r="R557">
        <v>259.40666666666601</v>
      </c>
      <c r="S557">
        <v>303.46333333333303</v>
      </c>
      <c r="T557">
        <v>274.12333333333299</v>
      </c>
      <c r="U557">
        <v>257.81</v>
      </c>
      <c r="V557">
        <v>244.15</v>
      </c>
      <c r="W557">
        <v>323.38</v>
      </c>
      <c r="X557">
        <v>293.44</v>
      </c>
      <c r="Y557">
        <v>305.57333333333298</v>
      </c>
      <c r="Z557">
        <v>303.52666666666602</v>
      </c>
      <c r="AA557">
        <v>297.44</v>
      </c>
      <c r="AB557">
        <v>297.44</v>
      </c>
      <c r="AC557">
        <v>348.14666666666602</v>
      </c>
      <c r="AD557">
        <v>298.14666666666602</v>
      </c>
      <c r="AE557">
        <v>332.18</v>
      </c>
      <c r="AF557">
        <v>317.08999999999997</v>
      </c>
      <c r="AG557">
        <v>307.56666666666598</v>
      </c>
      <c r="AH557">
        <v>302.77333333333303</v>
      </c>
      <c r="AI557">
        <v>338.01333333333298</v>
      </c>
      <c r="AJ557">
        <v>288.91000000000003</v>
      </c>
      <c r="AK557">
        <v>321.88333333333298</v>
      </c>
      <c r="AL557">
        <v>298.56666666666598</v>
      </c>
      <c r="AM557">
        <v>287.69666666666598</v>
      </c>
      <c r="AN557">
        <v>279.07</v>
      </c>
      <c r="AO557">
        <v>342.53333333333302</v>
      </c>
      <c r="AP557">
        <v>271.67333333333301</v>
      </c>
      <c r="AQ557">
        <v>323.45</v>
      </c>
      <c r="AR557">
        <v>288.18666666666599</v>
      </c>
      <c r="AS557">
        <v>268.62</v>
      </c>
      <c r="AT557">
        <v>251.8</v>
      </c>
      <c r="AU557">
        <v>353.743333333333</v>
      </c>
      <c r="AV557">
        <v>298.14</v>
      </c>
      <c r="AW557">
        <v>336.41</v>
      </c>
      <c r="AX557">
        <v>311.08333333333297</v>
      </c>
      <c r="AY557">
        <v>297.88333333333298</v>
      </c>
      <c r="AZ557">
        <v>287.86</v>
      </c>
      <c r="BA557">
        <v>346.88333333333298</v>
      </c>
      <c r="BB557">
        <v>287.39</v>
      </c>
      <c r="BC557">
        <v>329.18</v>
      </c>
      <c r="BD557">
        <v>301.51666666666603</v>
      </c>
      <c r="BE557">
        <v>286.25666666666598</v>
      </c>
      <c r="BF557">
        <v>274.40333333333302</v>
      </c>
      <c r="BG557" s="14"/>
      <c r="BH557" s="14"/>
      <c r="BI557" s="14"/>
      <c r="BJ557" s="199"/>
      <c r="BK557" s="14"/>
      <c r="BL557" s="14"/>
      <c r="BM557" s="14"/>
      <c r="BN557" s="14"/>
      <c r="BO557" s="14"/>
      <c r="BP557" s="14"/>
      <c r="BQ557" s="14"/>
      <c r="BR557" s="14"/>
      <c r="BS557" s="14"/>
      <c r="BT557" s="14"/>
      <c r="BU557" s="14"/>
      <c r="BV557" s="14"/>
      <c r="BW557" s="14"/>
      <c r="BX557" s="14"/>
      <c r="BY557" s="170"/>
    </row>
    <row r="558" spans="9:77" x14ac:dyDescent="0.25">
      <c r="I558">
        <v>4773</v>
      </c>
      <c r="J558" s="1" t="s">
        <v>734</v>
      </c>
      <c r="K558">
        <v>338.01333333333298</v>
      </c>
      <c r="L558">
        <v>288.91000000000003</v>
      </c>
      <c r="M558">
        <v>321.88333333333298</v>
      </c>
      <c r="N558">
        <v>298.56666666666598</v>
      </c>
      <c r="O558">
        <v>287.69666666666598</v>
      </c>
      <c r="P558">
        <v>279.07</v>
      </c>
      <c r="Q558">
        <v>321.39666666666602</v>
      </c>
      <c r="R558">
        <v>259.40666666666601</v>
      </c>
      <c r="S558">
        <v>303.46333333333303</v>
      </c>
      <c r="T558">
        <v>274.12333333333299</v>
      </c>
      <c r="U558">
        <v>257.81</v>
      </c>
      <c r="V558">
        <v>244.15</v>
      </c>
      <c r="W558">
        <v>323.38</v>
      </c>
      <c r="X558">
        <v>293.44</v>
      </c>
      <c r="Y558">
        <v>305.57333333333298</v>
      </c>
      <c r="Z558">
        <v>303.52666666666602</v>
      </c>
      <c r="AA558">
        <v>297.44</v>
      </c>
      <c r="AB558">
        <v>297.44</v>
      </c>
      <c r="AC558">
        <v>348.14666666666602</v>
      </c>
      <c r="AD558">
        <v>298.14666666666602</v>
      </c>
      <c r="AE558">
        <v>332.18</v>
      </c>
      <c r="AF558">
        <v>317.08999999999997</v>
      </c>
      <c r="AG558">
        <v>307.56666666666598</v>
      </c>
      <c r="AH558">
        <v>302.77333333333303</v>
      </c>
      <c r="AI558">
        <v>338.01333333333298</v>
      </c>
      <c r="AJ558">
        <v>288.91000000000003</v>
      </c>
      <c r="AK558">
        <v>321.88333333333298</v>
      </c>
      <c r="AL558">
        <v>298.56666666666598</v>
      </c>
      <c r="AM558">
        <v>287.69666666666598</v>
      </c>
      <c r="AN558">
        <v>279.07</v>
      </c>
      <c r="AO558">
        <v>342.53333333333302</v>
      </c>
      <c r="AP558">
        <v>271.67333333333301</v>
      </c>
      <c r="AQ558">
        <v>323.45</v>
      </c>
      <c r="AR558">
        <v>288.18666666666599</v>
      </c>
      <c r="AS558">
        <v>268.62</v>
      </c>
      <c r="AT558">
        <v>251.8</v>
      </c>
      <c r="AU558">
        <v>353.743333333333</v>
      </c>
      <c r="AV558">
        <v>298.14</v>
      </c>
      <c r="AW558">
        <v>336.41</v>
      </c>
      <c r="AX558">
        <v>311.08333333333297</v>
      </c>
      <c r="AY558">
        <v>297.88333333333298</v>
      </c>
      <c r="AZ558">
        <v>287.86</v>
      </c>
      <c r="BA558">
        <v>346.88333333333298</v>
      </c>
      <c r="BB558">
        <v>287.39</v>
      </c>
      <c r="BC558">
        <v>329.18</v>
      </c>
      <c r="BD558">
        <v>301.51666666666603</v>
      </c>
      <c r="BE558">
        <v>286.25666666666598</v>
      </c>
      <c r="BF558">
        <v>274.40333333333302</v>
      </c>
      <c r="BG558" s="14"/>
      <c r="BH558" s="14"/>
      <c r="BI558" s="14"/>
      <c r="BJ558" s="199"/>
      <c r="BK558" s="14"/>
      <c r="BL558" s="14"/>
      <c r="BM558" s="14"/>
      <c r="BN558" s="14"/>
      <c r="BO558" s="14"/>
      <c r="BP558" s="14"/>
      <c r="BQ558" s="14"/>
      <c r="BR558" s="14"/>
      <c r="BS558" s="14"/>
      <c r="BT558" s="14"/>
      <c r="BU558" s="14"/>
      <c r="BV558" s="14"/>
      <c r="BW558" s="14"/>
      <c r="BX558" s="14"/>
      <c r="BY558" s="170"/>
    </row>
    <row r="559" spans="9:77" x14ac:dyDescent="0.25">
      <c r="I559">
        <v>4780</v>
      </c>
      <c r="J559" s="1" t="s">
        <v>735</v>
      </c>
      <c r="K559">
        <v>311.72333333333302</v>
      </c>
      <c r="L559">
        <v>262.62</v>
      </c>
      <c r="M559">
        <v>295.59333333333302</v>
      </c>
      <c r="N559">
        <v>272.27666666666602</v>
      </c>
      <c r="O559">
        <v>261.40666666666601</v>
      </c>
      <c r="P559">
        <v>252.77999999999901</v>
      </c>
      <c r="Q559">
        <v>295.106666666666</v>
      </c>
      <c r="R559">
        <v>233.11666666666599</v>
      </c>
      <c r="S559">
        <v>277.17333333333301</v>
      </c>
      <c r="T559">
        <v>247.833333333333</v>
      </c>
      <c r="U559">
        <v>231.52</v>
      </c>
      <c r="V559">
        <v>217.86</v>
      </c>
      <c r="W559">
        <v>297.08999999999997</v>
      </c>
      <c r="X559">
        <v>267.14999999999998</v>
      </c>
      <c r="Y559">
        <v>279.28333333333302</v>
      </c>
      <c r="Z559">
        <v>277.236666666666</v>
      </c>
      <c r="AA559">
        <v>271.14999999999901</v>
      </c>
      <c r="AB559">
        <v>271.14999999999901</v>
      </c>
      <c r="AC559">
        <v>321.856666666666</v>
      </c>
      <c r="AD559">
        <v>271.856666666666</v>
      </c>
      <c r="AE559">
        <v>305.89</v>
      </c>
      <c r="AF559">
        <v>290.8</v>
      </c>
      <c r="AG559">
        <v>281.27666666666602</v>
      </c>
      <c r="AH559">
        <v>276.48333333333301</v>
      </c>
      <c r="AI559">
        <v>311.72333333333302</v>
      </c>
      <c r="AJ559">
        <v>262.62</v>
      </c>
      <c r="AK559">
        <v>295.59333333333302</v>
      </c>
      <c r="AL559">
        <v>272.27666666666602</v>
      </c>
      <c r="AM559">
        <v>261.40666666666601</v>
      </c>
      <c r="AN559">
        <v>252.77999999999901</v>
      </c>
      <c r="AO559">
        <v>316.243333333333</v>
      </c>
      <c r="AP559">
        <v>245.38333333333301</v>
      </c>
      <c r="AQ559">
        <v>297.159999999999</v>
      </c>
      <c r="AR559">
        <v>261.89666666666602</v>
      </c>
      <c r="AS559">
        <v>242.32999999999899</v>
      </c>
      <c r="AT559">
        <v>225.51</v>
      </c>
      <c r="AU559">
        <v>327.45333333333298</v>
      </c>
      <c r="AV559">
        <v>271.85000000000002</v>
      </c>
      <c r="AW559">
        <v>310.12</v>
      </c>
      <c r="AX559">
        <v>284.79333333333301</v>
      </c>
      <c r="AY559">
        <v>271.59333333333302</v>
      </c>
      <c r="AZ559">
        <v>261.57</v>
      </c>
      <c r="BA559">
        <v>320.59333333333302</v>
      </c>
      <c r="BB559">
        <v>261.099999999999</v>
      </c>
      <c r="BC559">
        <v>302.89</v>
      </c>
      <c r="BD559">
        <v>275.22666666666601</v>
      </c>
      <c r="BE559">
        <v>259.96666666666601</v>
      </c>
      <c r="BF559">
        <v>248.113333333333</v>
      </c>
      <c r="BG559" s="14"/>
      <c r="BH559" s="14"/>
      <c r="BI559" s="14"/>
      <c r="BJ559" s="199"/>
      <c r="BK559" s="14"/>
      <c r="BL559" s="14"/>
      <c r="BM559" s="14"/>
      <c r="BN559" s="14"/>
      <c r="BO559" s="14"/>
      <c r="BP559" s="14"/>
      <c r="BQ559" s="14"/>
      <c r="BR559" s="14"/>
      <c r="BS559" s="14"/>
      <c r="BT559" s="14"/>
      <c r="BU559" s="14"/>
      <c r="BV559" s="14"/>
      <c r="BW559" s="14"/>
      <c r="BX559" s="14"/>
      <c r="BY559" s="170"/>
    </row>
    <row r="560" spans="9:77" x14ac:dyDescent="0.25">
      <c r="I560">
        <v>4791</v>
      </c>
      <c r="J560" s="1" t="s">
        <v>736</v>
      </c>
      <c r="K560">
        <v>249.11666666666599</v>
      </c>
      <c r="L560">
        <v>208.319999999999</v>
      </c>
      <c r="M560">
        <v>235.046666666666</v>
      </c>
      <c r="N560">
        <v>216.00333333333299</v>
      </c>
      <c r="O560">
        <v>207.303333333333</v>
      </c>
      <c r="P560">
        <v>200.84333333333299</v>
      </c>
      <c r="Q560">
        <v>232.95333333333301</v>
      </c>
      <c r="R560">
        <v>174.666666666666</v>
      </c>
      <c r="S560">
        <v>214.719999999999</v>
      </c>
      <c r="T560">
        <v>188.773333333333</v>
      </c>
      <c r="U560">
        <v>174.42666666666599</v>
      </c>
      <c r="V560">
        <v>163.25666666666601</v>
      </c>
      <c r="W560">
        <v>235.94999999999899</v>
      </c>
      <c r="X560">
        <v>207.14666666666599</v>
      </c>
      <c r="Y560">
        <v>218.46666666666599</v>
      </c>
      <c r="Z560">
        <v>216.51999999999899</v>
      </c>
      <c r="AA560">
        <v>210.85</v>
      </c>
      <c r="AB560">
        <v>210.85</v>
      </c>
      <c r="AC560">
        <v>254.59333333333299</v>
      </c>
      <c r="AD560">
        <v>211.21</v>
      </c>
      <c r="AE560">
        <v>239.75333333333299</v>
      </c>
      <c r="AF560">
        <v>226.97333333333299</v>
      </c>
      <c r="AG560">
        <v>218.81</v>
      </c>
      <c r="AH560">
        <v>214.99666666666599</v>
      </c>
      <c r="AI560">
        <v>249.11666666666599</v>
      </c>
      <c r="AJ560">
        <v>208.319999999999</v>
      </c>
      <c r="AK560">
        <v>235.046666666666</v>
      </c>
      <c r="AL560">
        <v>216.00333333333299</v>
      </c>
      <c r="AM560">
        <v>207.303333333333</v>
      </c>
      <c r="AN560">
        <v>200.84333333333299</v>
      </c>
      <c r="AO560">
        <v>253.759999999999</v>
      </c>
      <c r="AP560">
        <v>185.909999999999</v>
      </c>
      <c r="AQ560">
        <v>234.56333333333299</v>
      </c>
      <c r="AR560">
        <v>201.523333333333</v>
      </c>
      <c r="AS560">
        <v>183.303333333333</v>
      </c>
      <c r="AT560">
        <v>167.933333333333</v>
      </c>
      <c r="AU560">
        <v>266.13666666666597</v>
      </c>
      <c r="AV560">
        <v>212.72666666666601</v>
      </c>
      <c r="AW560">
        <v>249.68666666666601</v>
      </c>
      <c r="AX560">
        <v>225.52666666666599</v>
      </c>
      <c r="AY560">
        <v>213.39</v>
      </c>
      <c r="AZ560">
        <v>204.25</v>
      </c>
      <c r="BA560">
        <v>254.73333333333301</v>
      </c>
      <c r="BB560">
        <v>199.48999999999899</v>
      </c>
      <c r="BC560">
        <v>237.85999999999899</v>
      </c>
      <c r="BD560">
        <v>212.576666666666</v>
      </c>
      <c r="BE560">
        <v>199.01333333333301</v>
      </c>
      <c r="BF560">
        <v>188.72333333333299</v>
      </c>
      <c r="BG560" s="14"/>
      <c r="BH560" s="14"/>
      <c r="BI560" s="14"/>
      <c r="BJ560" s="199"/>
      <c r="BK560" s="14"/>
      <c r="BL560" s="14"/>
      <c r="BM560" s="14"/>
      <c r="BN560" s="14"/>
      <c r="BO560" s="14"/>
      <c r="BP560" s="14"/>
      <c r="BQ560" s="14"/>
      <c r="BR560" s="14"/>
      <c r="BS560" s="14"/>
      <c r="BT560" s="14"/>
      <c r="BU560" s="14"/>
      <c r="BV560" s="14"/>
      <c r="BW560" s="14"/>
      <c r="BX560" s="14"/>
      <c r="BY560" s="170"/>
    </row>
    <row r="561" spans="9:77" x14ac:dyDescent="0.25">
      <c r="I561">
        <v>4792</v>
      </c>
      <c r="J561" s="1" t="s">
        <v>737</v>
      </c>
      <c r="K561">
        <v>294.09333333333302</v>
      </c>
      <c r="L561">
        <v>244.98999999999899</v>
      </c>
      <c r="M561">
        <v>277.96333333333303</v>
      </c>
      <c r="N561">
        <v>254.64666666666599</v>
      </c>
      <c r="O561">
        <v>243.77666666666599</v>
      </c>
      <c r="P561">
        <v>235.14999999999901</v>
      </c>
      <c r="Q561">
        <v>277.47666666666601</v>
      </c>
      <c r="R561">
        <v>215.486666666666</v>
      </c>
      <c r="S561">
        <v>259.54333333333301</v>
      </c>
      <c r="T561">
        <v>230.20333333333301</v>
      </c>
      <c r="U561">
        <v>213.88999999999899</v>
      </c>
      <c r="V561">
        <v>200.23</v>
      </c>
      <c r="W561">
        <v>279.45999999999901</v>
      </c>
      <c r="X561">
        <v>249.51999999999899</v>
      </c>
      <c r="Y561">
        <v>261.65333333333302</v>
      </c>
      <c r="Z561">
        <v>259.606666666666</v>
      </c>
      <c r="AA561">
        <v>253.51999999999899</v>
      </c>
      <c r="AB561">
        <v>253.51999999999899</v>
      </c>
      <c r="AC561">
        <v>304.22666666666601</v>
      </c>
      <c r="AD561">
        <v>254.22666666666601</v>
      </c>
      <c r="AE561">
        <v>288.25999999999902</v>
      </c>
      <c r="AF561">
        <v>273.16999999999899</v>
      </c>
      <c r="AG561">
        <v>263.64666666666602</v>
      </c>
      <c r="AH561">
        <v>258.85333333333301</v>
      </c>
      <c r="AI561">
        <v>294.09333333333302</v>
      </c>
      <c r="AJ561">
        <v>244.98999999999899</v>
      </c>
      <c r="AK561">
        <v>277.96333333333303</v>
      </c>
      <c r="AL561">
        <v>254.64666666666599</v>
      </c>
      <c r="AM561">
        <v>243.77666666666599</v>
      </c>
      <c r="AN561">
        <v>235.14999999999901</v>
      </c>
      <c r="AO561">
        <v>298.613333333333</v>
      </c>
      <c r="AP561">
        <v>227.75333333333299</v>
      </c>
      <c r="AQ561">
        <v>279.52999999999901</v>
      </c>
      <c r="AR561">
        <v>244.266666666666</v>
      </c>
      <c r="AS561">
        <v>224.69999999999899</v>
      </c>
      <c r="AT561">
        <v>207.88</v>
      </c>
      <c r="AU561">
        <v>309.82333333333298</v>
      </c>
      <c r="AV561">
        <v>254.219999999999</v>
      </c>
      <c r="AW561">
        <v>292.48999999999899</v>
      </c>
      <c r="AX561">
        <v>267.16333333333301</v>
      </c>
      <c r="AY561">
        <v>253.963333333333</v>
      </c>
      <c r="AZ561">
        <v>243.94</v>
      </c>
      <c r="BA561">
        <v>302.96333333333303</v>
      </c>
      <c r="BB561">
        <v>243.469999999999</v>
      </c>
      <c r="BC561">
        <v>285.25999999999902</v>
      </c>
      <c r="BD561">
        <v>257.59666666666601</v>
      </c>
      <c r="BE561">
        <v>242.33666666666599</v>
      </c>
      <c r="BF561">
        <v>230.48333333333301</v>
      </c>
      <c r="BG561" s="14"/>
      <c r="BH561" s="14"/>
      <c r="BI561" s="14"/>
      <c r="BJ561" s="199"/>
      <c r="BK561" s="14"/>
      <c r="BL561" s="14"/>
      <c r="BM561" s="14"/>
      <c r="BN561" s="14"/>
      <c r="BO561" s="14"/>
      <c r="BP561" s="14"/>
      <c r="BQ561" s="14"/>
      <c r="BR561" s="14"/>
      <c r="BS561" s="14"/>
      <c r="BT561" s="14"/>
      <c r="BU561" s="14"/>
      <c r="BV561" s="14"/>
      <c r="BW561" s="14"/>
      <c r="BX561" s="14"/>
      <c r="BY561" s="170"/>
    </row>
    <row r="562" spans="9:77" x14ac:dyDescent="0.25">
      <c r="I562">
        <v>4793</v>
      </c>
      <c r="J562" s="1" t="s">
        <v>738</v>
      </c>
      <c r="K562">
        <v>334.77333333333303</v>
      </c>
      <c r="L562">
        <v>285.67</v>
      </c>
      <c r="M562">
        <v>318.64333333333298</v>
      </c>
      <c r="N562">
        <v>295.32666666666597</v>
      </c>
      <c r="O562">
        <v>284.45666666666602</v>
      </c>
      <c r="P562">
        <v>275.83</v>
      </c>
      <c r="Q562">
        <v>318.15666666666601</v>
      </c>
      <c r="R562">
        <v>256.166666666666</v>
      </c>
      <c r="S562">
        <v>300.22333333333302</v>
      </c>
      <c r="T562">
        <v>270.88333333333298</v>
      </c>
      <c r="U562">
        <v>254.57</v>
      </c>
      <c r="V562">
        <v>240.91</v>
      </c>
      <c r="W562">
        <v>320.14</v>
      </c>
      <c r="X562">
        <v>290.2</v>
      </c>
      <c r="Y562">
        <v>302.33333333333297</v>
      </c>
      <c r="Z562">
        <v>300.28666666666601</v>
      </c>
      <c r="AA562">
        <v>294.2</v>
      </c>
      <c r="AB562">
        <v>294.2</v>
      </c>
      <c r="AC562">
        <v>344.90666666666601</v>
      </c>
      <c r="AD562">
        <v>294.90666666666601</v>
      </c>
      <c r="AE562">
        <v>328.94</v>
      </c>
      <c r="AF562">
        <v>313.85000000000002</v>
      </c>
      <c r="AG562">
        <v>304.32666666666597</v>
      </c>
      <c r="AH562">
        <v>299.53333333333302</v>
      </c>
      <c r="AI562">
        <v>334.77333333333303</v>
      </c>
      <c r="AJ562">
        <v>285.67</v>
      </c>
      <c r="AK562">
        <v>318.64333333333298</v>
      </c>
      <c r="AL562">
        <v>295.32666666666597</v>
      </c>
      <c r="AM562">
        <v>284.45666666666602</v>
      </c>
      <c r="AN562">
        <v>275.83</v>
      </c>
      <c r="AO562">
        <v>339.29333333333301</v>
      </c>
      <c r="AP562">
        <v>268.433333333333</v>
      </c>
      <c r="AQ562">
        <v>320.20999999999998</v>
      </c>
      <c r="AR562">
        <v>284.94666666666598</v>
      </c>
      <c r="AS562">
        <v>265.38</v>
      </c>
      <c r="AT562">
        <v>248.56</v>
      </c>
      <c r="AU562">
        <v>350.50333333333299</v>
      </c>
      <c r="AV562">
        <v>294.89999999999998</v>
      </c>
      <c r="AW562">
        <v>333.17</v>
      </c>
      <c r="AX562">
        <v>307.84333333333302</v>
      </c>
      <c r="AY562">
        <v>294.64333333333298</v>
      </c>
      <c r="AZ562">
        <v>284.62</v>
      </c>
      <c r="BA562">
        <v>343.64333333333298</v>
      </c>
      <c r="BB562">
        <v>284.14999999999998</v>
      </c>
      <c r="BC562">
        <v>325.94</v>
      </c>
      <c r="BD562">
        <v>298.27666666666602</v>
      </c>
      <c r="BE562">
        <v>283.01666666666603</v>
      </c>
      <c r="BF562">
        <v>271.16333333333301</v>
      </c>
      <c r="BG562" s="14"/>
      <c r="BH562" s="14"/>
      <c r="BI562" s="14"/>
      <c r="BJ562" s="199"/>
      <c r="BK562" s="14"/>
      <c r="BL562" s="14"/>
      <c r="BM562" s="14"/>
      <c r="BN562" s="14"/>
      <c r="BO562" s="14"/>
      <c r="BP562" s="14"/>
      <c r="BQ562" s="14"/>
      <c r="BR562" s="14"/>
      <c r="BS562" s="14"/>
      <c r="BT562" s="14"/>
      <c r="BU562" s="14"/>
      <c r="BV562" s="14"/>
      <c r="BW562" s="14"/>
      <c r="BX562" s="14"/>
      <c r="BY562" s="170"/>
    </row>
    <row r="563" spans="9:77" x14ac:dyDescent="0.25">
      <c r="I563">
        <v>4800</v>
      </c>
      <c r="J563" s="1" t="s">
        <v>739</v>
      </c>
      <c r="K563">
        <v>346.62333333333299</v>
      </c>
      <c r="L563">
        <v>297.51999999999902</v>
      </c>
      <c r="M563">
        <v>330.493333333333</v>
      </c>
      <c r="N563">
        <v>307.17666666666599</v>
      </c>
      <c r="O563">
        <v>296.30666666666599</v>
      </c>
      <c r="P563">
        <v>287.67999999999898</v>
      </c>
      <c r="Q563">
        <v>330.00666666666598</v>
      </c>
      <c r="R563">
        <v>268.01666666666603</v>
      </c>
      <c r="S563">
        <v>312.07333333333298</v>
      </c>
      <c r="T563">
        <v>282.73333333333301</v>
      </c>
      <c r="U563">
        <v>266.42</v>
      </c>
      <c r="V563">
        <v>252.76</v>
      </c>
      <c r="W563">
        <v>331.99</v>
      </c>
      <c r="X563">
        <v>302.05</v>
      </c>
      <c r="Y563">
        <v>314.183333333333</v>
      </c>
      <c r="Z563">
        <v>312.13666666666597</v>
      </c>
      <c r="AA563">
        <v>306.04999999999899</v>
      </c>
      <c r="AB563">
        <v>306.04999999999899</v>
      </c>
      <c r="AC563">
        <v>356.75666666666598</v>
      </c>
      <c r="AD563">
        <v>306.75666666666598</v>
      </c>
      <c r="AE563">
        <v>340.79</v>
      </c>
      <c r="AF563">
        <v>325.7</v>
      </c>
      <c r="AG563">
        <v>316.17666666666599</v>
      </c>
      <c r="AH563">
        <v>311.38333333333298</v>
      </c>
      <c r="AI563">
        <v>346.62333333333299</v>
      </c>
      <c r="AJ563">
        <v>297.51999999999902</v>
      </c>
      <c r="AK563">
        <v>330.493333333333</v>
      </c>
      <c r="AL563">
        <v>307.17666666666599</v>
      </c>
      <c r="AM563">
        <v>296.30666666666599</v>
      </c>
      <c r="AN563">
        <v>287.67999999999898</v>
      </c>
      <c r="AO563">
        <v>351.14333333333298</v>
      </c>
      <c r="AP563">
        <v>280.28333333333302</v>
      </c>
      <c r="AQ563">
        <v>332.05999999999898</v>
      </c>
      <c r="AR563">
        <v>296.796666666666</v>
      </c>
      <c r="AS563">
        <v>277.229999999999</v>
      </c>
      <c r="AT563">
        <v>260.41000000000003</v>
      </c>
      <c r="AU563">
        <v>362.35333333333301</v>
      </c>
      <c r="AV563">
        <v>306.75</v>
      </c>
      <c r="AW563">
        <v>345.01999999999902</v>
      </c>
      <c r="AX563">
        <v>319.69333333333299</v>
      </c>
      <c r="AY563">
        <v>306.493333333333</v>
      </c>
      <c r="AZ563">
        <v>296.47000000000003</v>
      </c>
      <c r="BA563">
        <v>355.493333333333</v>
      </c>
      <c r="BB563">
        <v>295.99999999999898</v>
      </c>
      <c r="BC563">
        <v>337.79</v>
      </c>
      <c r="BD563">
        <v>310.12666666666598</v>
      </c>
      <c r="BE563">
        <v>294.86666666666599</v>
      </c>
      <c r="BF563">
        <v>283.01333333333298</v>
      </c>
      <c r="BG563" s="14"/>
      <c r="BH563" s="14"/>
      <c r="BI563" s="14"/>
      <c r="BJ563" s="199"/>
      <c r="BK563" s="14"/>
      <c r="BL563" s="14"/>
      <c r="BM563" s="14"/>
      <c r="BN563" s="14"/>
      <c r="BO563" s="14"/>
      <c r="BP563" s="14"/>
      <c r="BQ563" s="14"/>
      <c r="BR563" s="14"/>
      <c r="BS563" s="14"/>
      <c r="BT563" s="14"/>
      <c r="BU563" s="14"/>
      <c r="BV563" s="14"/>
      <c r="BW563" s="14"/>
      <c r="BX563" s="14"/>
      <c r="BY563" s="170"/>
    </row>
    <row r="564" spans="9:77" x14ac:dyDescent="0.25">
      <c r="I564">
        <v>4840</v>
      </c>
      <c r="J564" s="1" t="s">
        <v>740</v>
      </c>
      <c r="K564">
        <v>343.54333333333301</v>
      </c>
      <c r="L564">
        <v>294.43999999999897</v>
      </c>
      <c r="M564">
        <v>327.41333333333301</v>
      </c>
      <c r="N564">
        <v>304.09666666666601</v>
      </c>
      <c r="O564">
        <v>293.22666666666601</v>
      </c>
      <c r="P564">
        <v>284.599999999999</v>
      </c>
      <c r="Q564">
        <v>326.92666666666599</v>
      </c>
      <c r="R564">
        <v>264.93666666666599</v>
      </c>
      <c r="S564">
        <v>308.993333333333</v>
      </c>
      <c r="T564">
        <v>279.65333333333302</v>
      </c>
      <c r="U564">
        <v>263.33999999999997</v>
      </c>
      <c r="V564">
        <v>249.68</v>
      </c>
      <c r="W564">
        <v>328.909999999999</v>
      </c>
      <c r="X564">
        <v>298.969999999999</v>
      </c>
      <c r="Y564">
        <v>311.10333333333301</v>
      </c>
      <c r="Z564">
        <v>309.05666666666599</v>
      </c>
      <c r="AA564">
        <v>302.969999999999</v>
      </c>
      <c r="AB564">
        <v>302.969999999999</v>
      </c>
      <c r="AC564">
        <v>353.67666666666599</v>
      </c>
      <c r="AD564">
        <v>303.67666666666599</v>
      </c>
      <c r="AE564">
        <v>337.70999999999901</v>
      </c>
      <c r="AF564">
        <v>322.62</v>
      </c>
      <c r="AG564">
        <v>313.09666666666601</v>
      </c>
      <c r="AH564">
        <v>308.303333333333</v>
      </c>
      <c r="AI564">
        <v>343.54333333333301</v>
      </c>
      <c r="AJ564">
        <v>294.43999999999897</v>
      </c>
      <c r="AK564">
        <v>327.41333333333301</v>
      </c>
      <c r="AL564">
        <v>304.09666666666601</v>
      </c>
      <c r="AM564">
        <v>293.22666666666601</v>
      </c>
      <c r="AN564">
        <v>284.599999999999</v>
      </c>
      <c r="AO564">
        <v>348.06333333333299</v>
      </c>
      <c r="AP564">
        <v>277.20333333333298</v>
      </c>
      <c r="AQ564">
        <v>328.979999999999</v>
      </c>
      <c r="AR564">
        <v>293.71666666666601</v>
      </c>
      <c r="AS564">
        <v>274.14999999999901</v>
      </c>
      <c r="AT564">
        <v>257.33</v>
      </c>
      <c r="AU564">
        <v>359.27333333333303</v>
      </c>
      <c r="AV564">
        <v>303.66999999999899</v>
      </c>
      <c r="AW564">
        <v>341.93999999999897</v>
      </c>
      <c r="AX564">
        <v>316.613333333333</v>
      </c>
      <c r="AY564">
        <v>303.41333333333301</v>
      </c>
      <c r="AZ564">
        <v>293.39</v>
      </c>
      <c r="BA564">
        <v>352.41333333333301</v>
      </c>
      <c r="BB564">
        <v>292.91999999999899</v>
      </c>
      <c r="BC564">
        <v>334.70999999999901</v>
      </c>
      <c r="BD564">
        <v>307.046666666666</v>
      </c>
      <c r="BE564">
        <v>291.78666666666601</v>
      </c>
      <c r="BF564">
        <v>279.933333333333</v>
      </c>
      <c r="BG564" s="14"/>
      <c r="BH564" s="14"/>
      <c r="BI564" s="14"/>
      <c r="BJ564" s="199"/>
      <c r="BK564" s="14"/>
      <c r="BL564" s="14"/>
      <c r="BM564" s="14"/>
      <c r="BN564" s="14"/>
      <c r="BO564" s="14"/>
      <c r="BP564" s="14"/>
      <c r="BQ564" s="14"/>
      <c r="BR564" s="14"/>
      <c r="BS564" s="14"/>
      <c r="BT564" s="14"/>
      <c r="BU564" s="14"/>
      <c r="BV564" s="14"/>
      <c r="BW564" s="14"/>
      <c r="BX564" s="14"/>
      <c r="BY564" s="170"/>
    </row>
    <row r="565" spans="9:77" x14ac:dyDescent="0.25">
      <c r="I565">
        <v>4850</v>
      </c>
      <c r="J565" s="1" t="s">
        <v>741</v>
      </c>
      <c r="K565">
        <v>334.77333333333303</v>
      </c>
      <c r="L565">
        <v>285.67</v>
      </c>
      <c r="M565">
        <v>318.64333333333298</v>
      </c>
      <c r="N565">
        <v>295.32666666666597</v>
      </c>
      <c r="O565">
        <v>284.45666666666602</v>
      </c>
      <c r="P565">
        <v>275.83</v>
      </c>
      <c r="Q565">
        <v>318.15666666666601</v>
      </c>
      <c r="R565">
        <v>256.166666666666</v>
      </c>
      <c r="S565">
        <v>300.22333333333302</v>
      </c>
      <c r="T565">
        <v>270.88333333333298</v>
      </c>
      <c r="U565">
        <v>254.57</v>
      </c>
      <c r="V565">
        <v>240.91</v>
      </c>
      <c r="W565">
        <v>320.14</v>
      </c>
      <c r="X565">
        <v>290.2</v>
      </c>
      <c r="Y565">
        <v>302.33333333333297</v>
      </c>
      <c r="Z565">
        <v>300.28666666666601</v>
      </c>
      <c r="AA565">
        <v>294.2</v>
      </c>
      <c r="AB565">
        <v>294.2</v>
      </c>
      <c r="AC565">
        <v>344.90666666666601</v>
      </c>
      <c r="AD565">
        <v>294.90666666666601</v>
      </c>
      <c r="AE565">
        <v>328.94</v>
      </c>
      <c r="AF565">
        <v>313.85000000000002</v>
      </c>
      <c r="AG565">
        <v>304.32666666666597</v>
      </c>
      <c r="AH565">
        <v>299.53333333333302</v>
      </c>
      <c r="AI565">
        <v>334.77333333333303</v>
      </c>
      <c r="AJ565">
        <v>285.67</v>
      </c>
      <c r="AK565">
        <v>318.64333333333298</v>
      </c>
      <c r="AL565">
        <v>295.32666666666597</v>
      </c>
      <c r="AM565">
        <v>284.45666666666602</v>
      </c>
      <c r="AN565">
        <v>275.83</v>
      </c>
      <c r="AO565">
        <v>339.29333333333301</v>
      </c>
      <c r="AP565">
        <v>268.433333333333</v>
      </c>
      <c r="AQ565">
        <v>320.20999999999998</v>
      </c>
      <c r="AR565">
        <v>284.94666666666598</v>
      </c>
      <c r="AS565">
        <v>265.38</v>
      </c>
      <c r="AT565">
        <v>248.56</v>
      </c>
      <c r="AU565">
        <v>350.50333333333299</v>
      </c>
      <c r="AV565">
        <v>294.89999999999998</v>
      </c>
      <c r="AW565">
        <v>333.17</v>
      </c>
      <c r="AX565">
        <v>307.84333333333302</v>
      </c>
      <c r="AY565">
        <v>294.64333333333298</v>
      </c>
      <c r="AZ565">
        <v>284.62</v>
      </c>
      <c r="BA565">
        <v>343.64333333333298</v>
      </c>
      <c r="BB565">
        <v>284.14999999999998</v>
      </c>
      <c r="BC565">
        <v>325.94</v>
      </c>
      <c r="BD565">
        <v>298.27666666666602</v>
      </c>
      <c r="BE565">
        <v>283.01666666666603</v>
      </c>
      <c r="BF565">
        <v>271.16333333333301</v>
      </c>
      <c r="BG565" s="14"/>
      <c r="BH565" s="14"/>
      <c r="BI565" s="14"/>
      <c r="BJ565" s="199"/>
      <c r="BK565" s="14"/>
      <c r="BL565" s="14"/>
      <c r="BM565" s="14"/>
      <c r="BN565" s="14"/>
      <c r="BO565" s="14"/>
      <c r="BP565" s="14"/>
      <c r="BQ565" s="14"/>
      <c r="BR565" s="14"/>
      <c r="BS565" s="14"/>
      <c r="BT565" s="14"/>
      <c r="BU565" s="14"/>
      <c r="BV565" s="14"/>
      <c r="BW565" s="14"/>
      <c r="BX565" s="14"/>
      <c r="BY565" s="170"/>
    </row>
    <row r="566" spans="9:77" x14ac:dyDescent="0.25">
      <c r="I566">
        <v>4862</v>
      </c>
      <c r="J566" s="1" t="s">
        <v>742</v>
      </c>
      <c r="K566">
        <v>348.17333333333301</v>
      </c>
      <c r="L566">
        <v>299.07</v>
      </c>
      <c r="M566">
        <v>332.04333333333301</v>
      </c>
      <c r="N566">
        <v>308.72666666666601</v>
      </c>
      <c r="O566">
        <v>297.856666666666</v>
      </c>
      <c r="P566">
        <v>289.23</v>
      </c>
      <c r="Q566">
        <v>331.55666666666599</v>
      </c>
      <c r="R566">
        <v>269.56666666666598</v>
      </c>
      <c r="S566">
        <v>313.62333333333299</v>
      </c>
      <c r="T566">
        <v>284.28333333333302</v>
      </c>
      <c r="U566">
        <v>267.97000000000003</v>
      </c>
      <c r="V566">
        <v>254.31</v>
      </c>
      <c r="W566">
        <v>333.54</v>
      </c>
      <c r="X566">
        <v>303.60000000000002</v>
      </c>
      <c r="Y566">
        <v>315.73333333333301</v>
      </c>
      <c r="Z566">
        <v>313.68666666666599</v>
      </c>
      <c r="AA566">
        <v>307.60000000000002</v>
      </c>
      <c r="AB566">
        <v>307.60000000000002</v>
      </c>
      <c r="AC566">
        <v>358.30666666666599</v>
      </c>
      <c r="AD566">
        <v>308.30666666666599</v>
      </c>
      <c r="AE566">
        <v>342.34</v>
      </c>
      <c r="AF566">
        <v>327.25</v>
      </c>
      <c r="AG566">
        <v>317.72666666666601</v>
      </c>
      <c r="AH566">
        <v>312.933333333333</v>
      </c>
      <c r="AI566">
        <v>348.17333333333301</v>
      </c>
      <c r="AJ566">
        <v>299.07</v>
      </c>
      <c r="AK566">
        <v>332.04333333333301</v>
      </c>
      <c r="AL566">
        <v>308.72666666666601</v>
      </c>
      <c r="AM566">
        <v>297.856666666666</v>
      </c>
      <c r="AN566">
        <v>289.23</v>
      </c>
      <c r="AO566">
        <v>352.69333333333299</v>
      </c>
      <c r="AP566">
        <v>281.83333333333297</v>
      </c>
      <c r="AQ566">
        <v>333.61</v>
      </c>
      <c r="AR566">
        <v>298.34666666666601</v>
      </c>
      <c r="AS566">
        <v>278.77999999999997</v>
      </c>
      <c r="AT566">
        <v>261.95999999999998</v>
      </c>
      <c r="AU566">
        <v>363.90333333333302</v>
      </c>
      <c r="AV566">
        <v>308.3</v>
      </c>
      <c r="AW566">
        <v>346.57</v>
      </c>
      <c r="AX566">
        <v>321.243333333333</v>
      </c>
      <c r="AY566">
        <v>308.04333333333301</v>
      </c>
      <c r="AZ566">
        <v>298.02</v>
      </c>
      <c r="BA566">
        <v>357.04333333333301</v>
      </c>
      <c r="BB566">
        <v>297.55</v>
      </c>
      <c r="BC566">
        <v>339.34</v>
      </c>
      <c r="BD566">
        <v>311.67666666666599</v>
      </c>
      <c r="BE566">
        <v>296.416666666666</v>
      </c>
      <c r="BF566">
        <v>284.56333333333299</v>
      </c>
      <c r="BG566" s="14"/>
      <c r="BH566" s="14"/>
      <c r="BI566" s="14"/>
      <c r="BJ566" s="199"/>
      <c r="BK566" s="14"/>
      <c r="BL566" s="14"/>
      <c r="BM566" s="14"/>
      <c r="BN566" s="14"/>
      <c r="BO566" s="14"/>
      <c r="BP566" s="14"/>
      <c r="BQ566" s="14"/>
      <c r="BR566" s="14"/>
      <c r="BS566" s="14"/>
      <c r="BT566" s="14"/>
      <c r="BU566" s="14"/>
      <c r="BV566" s="14"/>
      <c r="BW566" s="14"/>
      <c r="BX566" s="14"/>
      <c r="BY566" s="170"/>
    </row>
    <row r="567" spans="9:77" x14ac:dyDescent="0.25">
      <c r="I567">
        <v>4863</v>
      </c>
      <c r="J567" s="1" t="s">
        <v>743</v>
      </c>
      <c r="K567">
        <v>346.62333333333299</v>
      </c>
      <c r="L567">
        <v>297.51999999999902</v>
      </c>
      <c r="M567">
        <v>330.493333333333</v>
      </c>
      <c r="N567">
        <v>307.17666666666599</v>
      </c>
      <c r="O567">
        <v>296.30666666666599</v>
      </c>
      <c r="P567">
        <v>287.67999999999898</v>
      </c>
      <c r="Q567">
        <v>330.00666666666598</v>
      </c>
      <c r="R567">
        <v>268.01666666666603</v>
      </c>
      <c r="S567">
        <v>312.07333333333298</v>
      </c>
      <c r="T567">
        <v>282.73333333333301</v>
      </c>
      <c r="U567">
        <v>266.42</v>
      </c>
      <c r="V567">
        <v>252.76</v>
      </c>
      <c r="W567">
        <v>331.99</v>
      </c>
      <c r="X567">
        <v>302.05</v>
      </c>
      <c r="Y567">
        <v>314.183333333333</v>
      </c>
      <c r="Z567">
        <v>312.13666666666597</v>
      </c>
      <c r="AA567">
        <v>306.04999999999899</v>
      </c>
      <c r="AB567">
        <v>306.04999999999899</v>
      </c>
      <c r="AC567">
        <v>356.75666666666598</v>
      </c>
      <c r="AD567">
        <v>306.75666666666598</v>
      </c>
      <c r="AE567">
        <v>340.79</v>
      </c>
      <c r="AF567">
        <v>325.7</v>
      </c>
      <c r="AG567">
        <v>316.17666666666599</v>
      </c>
      <c r="AH567">
        <v>311.38333333333298</v>
      </c>
      <c r="AI567">
        <v>346.62333333333299</v>
      </c>
      <c r="AJ567">
        <v>297.51999999999902</v>
      </c>
      <c r="AK567">
        <v>330.493333333333</v>
      </c>
      <c r="AL567">
        <v>307.17666666666599</v>
      </c>
      <c r="AM567">
        <v>296.30666666666599</v>
      </c>
      <c r="AN567">
        <v>287.67999999999898</v>
      </c>
      <c r="AO567">
        <v>351.14333333333298</v>
      </c>
      <c r="AP567">
        <v>280.28333333333302</v>
      </c>
      <c r="AQ567">
        <v>332.05999999999898</v>
      </c>
      <c r="AR567">
        <v>296.796666666666</v>
      </c>
      <c r="AS567">
        <v>277.229999999999</v>
      </c>
      <c r="AT567">
        <v>260.41000000000003</v>
      </c>
      <c r="AU567">
        <v>362.35333333333301</v>
      </c>
      <c r="AV567">
        <v>306.75</v>
      </c>
      <c r="AW567">
        <v>345.01999999999902</v>
      </c>
      <c r="AX567">
        <v>319.69333333333299</v>
      </c>
      <c r="AY567">
        <v>306.493333333333</v>
      </c>
      <c r="AZ567">
        <v>296.47000000000003</v>
      </c>
      <c r="BA567">
        <v>355.493333333333</v>
      </c>
      <c r="BB567">
        <v>295.99999999999898</v>
      </c>
      <c r="BC567">
        <v>337.79</v>
      </c>
      <c r="BD567">
        <v>310.12666666666598</v>
      </c>
      <c r="BE567">
        <v>294.86666666666599</v>
      </c>
      <c r="BF567">
        <v>283.01333333333298</v>
      </c>
      <c r="BG567" s="14"/>
      <c r="BH567" s="14"/>
      <c r="BI567" s="14"/>
      <c r="BJ567" s="199"/>
      <c r="BK567" s="14"/>
      <c r="BL567" s="14"/>
      <c r="BM567" s="14"/>
      <c r="BN567" s="14"/>
      <c r="BO567" s="14"/>
      <c r="BP567" s="14"/>
      <c r="BQ567" s="14"/>
      <c r="BR567" s="14"/>
      <c r="BS567" s="14"/>
      <c r="BT567" s="14"/>
      <c r="BU567" s="14"/>
      <c r="BV567" s="14"/>
      <c r="BW567" s="14"/>
      <c r="BX567" s="14"/>
      <c r="BY567" s="170"/>
    </row>
    <row r="568" spans="9:77" x14ac:dyDescent="0.25">
      <c r="I568">
        <v>4871</v>
      </c>
      <c r="J568" s="1" t="s">
        <v>744</v>
      </c>
      <c r="K568">
        <v>323.83333333333297</v>
      </c>
      <c r="L568">
        <v>274.73</v>
      </c>
      <c r="M568">
        <v>307.70333333333298</v>
      </c>
      <c r="N568">
        <v>284.38666666666597</v>
      </c>
      <c r="O568">
        <v>273.51666666666603</v>
      </c>
      <c r="P568">
        <v>264.88999999999902</v>
      </c>
      <c r="Q568">
        <v>307.21666666666601</v>
      </c>
      <c r="R568">
        <v>245.22666666666601</v>
      </c>
      <c r="S568">
        <v>289.28333333333302</v>
      </c>
      <c r="T568">
        <v>259.94333333333299</v>
      </c>
      <c r="U568">
        <v>243.63</v>
      </c>
      <c r="V568">
        <v>229.97</v>
      </c>
      <c r="W568">
        <v>309.2</v>
      </c>
      <c r="X568">
        <v>279.26</v>
      </c>
      <c r="Y568">
        <v>291.39333333333298</v>
      </c>
      <c r="Z568">
        <v>289.34666666666601</v>
      </c>
      <c r="AA568">
        <v>283.25999999999902</v>
      </c>
      <c r="AB568">
        <v>283.25999999999902</v>
      </c>
      <c r="AC568">
        <v>333.96666666666601</v>
      </c>
      <c r="AD568">
        <v>283.96666666666601</v>
      </c>
      <c r="AE568">
        <v>318</v>
      </c>
      <c r="AF568">
        <v>302.91000000000003</v>
      </c>
      <c r="AG568">
        <v>293.38666666666597</v>
      </c>
      <c r="AH568">
        <v>288.59333333333302</v>
      </c>
      <c r="AI568">
        <v>323.83333333333297</v>
      </c>
      <c r="AJ568">
        <v>274.73</v>
      </c>
      <c r="AK568">
        <v>307.70333333333298</v>
      </c>
      <c r="AL568">
        <v>284.38666666666597</v>
      </c>
      <c r="AM568">
        <v>273.51666666666603</v>
      </c>
      <c r="AN568">
        <v>264.88999999999902</v>
      </c>
      <c r="AO568">
        <v>328.35333333333301</v>
      </c>
      <c r="AP568">
        <v>257.493333333333</v>
      </c>
      <c r="AQ568">
        <v>309.26999999999902</v>
      </c>
      <c r="AR568">
        <v>274.00666666666598</v>
      </c>
      <c r="AS568">
        <v>254.44</v>
      </c>
      <c r="AT568">
        <v>237.62</v>
      </c>
      <c r="AU568">
        <v>339.56333333333299</v>
      </c>
      <c r="AV568">
        <v>283.95999999999998</v>
      </c>
      <c r="AW568">
        <v>322.23</v>
      </c>
      <c r="AX568">
        <v>296.90333333333302</v>
      </c>
      <c r="AY568">
        <v>283.70333333333298</v>
      </c>
      <c r="AZ568">
        <v>273.68</v>
      </c>
      <c r="BA568">
        <v>332.70333333333298</v>
      </c>
      <c r="BB568">
        <v>273.20999999999901</v>
      </c>
      <c r="BC568">
        <v>315</v>
      </c>
      <c r="BD568">
        <v>287.33666666666602</v>
      </c>
      <c r="BE568">
        <v>272.07666666666597</v>
      </c>
      <c r="BF568">
        <v>260.22333333333302</v>
      </c>
      <c r="BG568" s="14"/>
      <c r="BH568" s="14"/>
      <c r="BI568" s="14"/>
      <c r="BJ568" s="199"/>
      <c r="BK568" s="14"/>
      <c r="BL568" s="14"/>
      <c r="BM568" s="14"/>
      <c r="BN568" s="14"/>
      <c r="BO568" s="14"/>
      <c r="BP568" s="14"/>
      <c r="BQ568" s="14"/>
      <c r="BR568" s="14"/>
      <c r="BS568" s="14"/>
      <c r="BT568" s="14"/>
      <c r="BU568" s="14"/>
      <c r="BV568" s="14"/>
      <c r="BW568" s="14"/>
      <c r="BX568" s="14"/>
      <c r="BY568" s="170"/>
    </row>
    <row r="569" spans="9:77" x14ac:dyDescent="0.25">
      <c r="I569">
        <v>4872</v>
      </c>
      <c r="J569" s="1" t="s">
        <v>745</v>
      </c>
      <c r="K569">
        <v>296.363333333333</v>
      </c>
      <c r="L569">
        <v>247.259999999999</v>
      </c>
      <c r="M569">
        <v>280.23333333333301</v>
      </c>
      <c r="N569">
        <v>256.916666666666</v>
      </c>
      <c r="O569">
        <v>246.046666666666</v>
      </c>
      <c r="P569">
        <v>237.41999999999899</v>
      </c>
      <c r="Q569">
        <v>279.74666666666599</v>
      </c>
      <c r="R569">
        <v>217.75666666666601</v>
      </c>
      <c r="S569">
        <v>261.81333333333299</v>
      </c>
      <c r="T569">
        <v>232.47333333333299</v>
      </c>
      <c r="U569">
        <v>216.16</v>
      </c>
      <c r="V569">
        <v>202.5</v>
      </c>
      <c r="W569">
        <v>281.73</v>
      </c>
      <c r="X569">
        <v>251.79</v>
      </c>
      <c r="Y569">
        <v>263.92333333333301</v>
      </c>
      <c r="Z569">
        <v>261.87666666666598</v>
      </c>
      <c r="AA569">
        <v>255.789999999999</v>
      </c>
      <c r="AB569">
        <v>255.789999999999</v>
      </c>
      <c r="AC569">
        <v>306.49666666666599</v>
      </c>
      <c r="AD569">
        <v>256.49666666666599</v>
      </c>
      <c r="AE569">
        <v>290.52999999999997</v>
      </c>
      <c r="AF569">
        <v>275.44</v>
      </c>
      <c r="AG569">
        <v>265.916666666666</v>
      </c>
      <c r="AH569">
        <v>261.12333333333299</v>
      </c>
      <c r="AI569">
        <v>296.363333333333</v>
      </c>
      <c r="AJ569">
        <v>247.259999999999</v>
      </c>
      <c r="AK569">
        <v>280.23333333333301</v>
      </c>
      <c r="AL569">
        <v>256.916666666666</v>
      </c>
      <c r="AM569">
        <v>246.046666666666</v>
      </c>
      <c r="AN569">
        <v>237.41999999999899</v>
      </c>
      <c r="AO569">
        <v>300.88333333333298</v>
      </c>
      <c r="AP569">
        <v>230.023333333333</v>
      </c>
      <c r="AQ569">
        <v>281.79999999999899</v>
      </c>
      <c r="AR569">
        <v>246.53666666666601</v>
      </c>
      <c r="AS569">
        <v>226.969999999999</v>
      </c>
      <c r="AT569">
        <v>210.15</v>
      </c>
      <c r="AU569">
        <v>312.09333333333302</v>
      </c>
      <c r="AV569">
        <v>256.49</v>
      </c>
      <c r="AW569">
        <v>294.75999999999902</v>
      </c>
      <c r="AX569">
        <v>269.433333333333</v>
      </c>
      <c r="AY569">
        <v>256.23333333333301</v>
      </c>
      <c r="AZ569">
        <v>246.21</v>
      </c>
      <c r="BA569">
        <v>305.23333333333301</v>
      </c>
      <c r="BB569">
        <v>245.73999999999899</v>
      </c>
      <c r="BC569">
        <v>287.52999999999997</v>
      </c>
      <c r="BD569">
        <v>259.86666666666599</v>
      </c>
      <c r="BE569">
        <v>244.606666666666</v>
      </c>
      <c r="BF569">
        <v>232.75333333333299</v>
      </c>
      <c r="BG569" s="14"/>
      <c r="BH569" s="14"/>
      <c r="BI569" s="14"/>
      <c r="BJ569" s="199"/>
      <c r="BK569" s="14"/>
      <c r="BL569" s="14"/>
      <c r="BM569" s="14"/>
      <c r="BN569" s="14"/>
      <c r="BO569" s="14"/>
      <c r="BP569" s="14"/>
      <c r="BQ569" s="14"/>
      <c r="BR569" s="14"/>
      <c r="BS569" s="14"/>
      <c r="BT569" s="14"/>
      <c r="BU569" s="14"/>
      <c r="BV569" s="14"/>
      <c r="BW569" s="14"/>
      <c r="BX569" s="14"/>
      <c r="BY569" s="170"/>
    </row>
    <row r="570" spans="9:77" x14ac:dyDescent="0.25">
      <c r="I570">
        <v>4873</v>
      </c>
      <c r="J570" s="1" t="s">
        <v>746</v>
      </c>
      <c r="K570">
        <v>320.58333333333297</v>
      </c>
      <c r="L570">
        <v>271.48</v>
      </c>
      <c r="M570">
        <v>304.45333333333298</v>
      </c>
      <c r="N570">
        <v>281.13666666666597</v>
      </c>
      <c r="O570">
        <v>270.26666666666603</v>
      </c>
      <c r="P570">
        <v>261.63999999999902</v>
      </c>
      <c r="Q570">
        <v>303.96666666666601</v>
      </c>
      <c r="R570">
        <v>241.97666666666601</v>
      </c>
      <c r="S570">
        <v>286.03333333333302</v>
      </c>
      <c r="T570">
        <v>256.69333333333299</v>
      </c>
      <c r="U570">
        <v>240.38</v>
      </c>
      <c r="V570">
        <v>226.72</v>
      </c>
      <c r="W570">
        <v>305.95</v>
      </c>
      <c r="X570">
        <v>276.01</v>
      </c>
      <c r="Y570">
        <v>288.14333333333298</v>
      </c>
      <c r="Z570">
        <v>286.09666666666601</v>
      </c>
      <c r="AA570">
        <v>280.00999999999902</v>
      </c>
      <c r="AB570">
        <v>280.00999999999902</v>
      </c>
      <c r="AC570">
        <v>330.71666666666601</v>
      </c>
      <c r="AD570">
        <v>280.71666666666601</v>
      </c>
      <c r="AE570">
        <v>314.75</v>
      </c>
      <c r="AF570">
        <v>299.66000000000003</v>
      </c>
      <c r="AG570">
        <v>290.13666666666597</v>
      </c>
      <c r="AH570">
        <v>285.34333333333302</v>
      </c>
      <c r="AI570">
        <v>320.58333333333297</v>
      </c>
      <c r="AJ570">
        <v>271.48</v>
      </c>
      <c r="AK570">
        <v>304.45333333333298</v>
      </c>
      <c r="AL570">
        <v>281.13666666666597</v>
      </c>
      <c r="AM570">
        <v>270.26666666666603</v>
      </c>
      <c r="AN570">
        <v>261.63999999999902</v>
      </c>
      <c r="AO570">
        <v>325.10333333333301</v>
      </c>
      <c r="AP570">
        <v>254.243333333333</v>
      </c>
      <c r="AQ570">
        <v>306.01999999999902</v>
      </c>
      <c r="AR570">
        <v>270.75666666666598</v>
      </c>
      <c r="AS570">
        <v>251.19</v>
      </c>
      <c r="AT570">
        <v>234.37</v>
      </c>
      <c r="AU570">
        <v>336.31333333333299</v>
      </c>
      <c r="AV570">
        <v>280.70999999999998</v>
      </c>
      <c r="AW570">
        <v>318.98</v>
      </c>
      <c r="AX570">
        <v>293.65333333333302</v>
      </c>
      <c r="AY570">
        <v>280.45333333333298</v>
      </c>
      <c r="AZ570">
        <v>270.43</v>
      </c>
      <c r="BA570">
        <v>329.45333333333298</v>
      </c>
      <c r="BB570">
        <v>269.95999999999901</v>
      </c>
      <c r="BC570">
        <v>311.75</v>
      </c>
      <c r="BD570">
        <v>284.08666666666602</v>
      </c>
      <c r="BE570">
        <v>268.82666666666597</v>
      </c>
      <c r="BF570">
        <v>256.97333333333302</v>
      </c>
      <c r="BG570" s="14"/>
      <c r="BH570" s="14"/>
      <c r="BI570" s="14"/>
      <c r="BJ570" s="199"/>
      <c r="BK570" s="14"/>
      <c r="BL570" s="14"/>
      <c r="BM570" s="14"/>
      <c r="BN570" s="14"/>
      <c r="BO570" s="14"/>
      <c r="BP570" s="14"/>
      <c r="BQ570" s="14"/>
      <c r="BR570" s="14"/>
      <c r="BS570" s="14"/>
      <c r="BT570" s="14"/>
      <c r="BU570" s="14"/>
      <c r="BV570" s="14"/>
      <c r="BW570" s="14"/>
      <c r="BX570" s="14"/>
      <c r="BY570" s="170"/>
    </row>
    <row r="571" spans="9:77" x14ac:dyDescent="0.25">
      <c r="I571">
        <v>4874</v>
      </c>
      <c r="J571" s="1" t="s">
        <v>747</v>
      </c>
      <c r="K571">
        <v>272.84333333333302</v>
      </c>
      <c r="L571">
        <v>223.73999999999899</v>
      </c>
      <c r="M571">
        <v>256.71333333333303</v>
      </c>
      <c r="N571">
        <v>233.39666666666599</v>
      </c>
      <c r="O571">
        <v>222.52666666666599</v>
      </c>
      <c r="P571">
        <v>213.89999999999901</v>
      </c>
      <c r="Q571">
        <v>256.22666666666601</v>
      </c>
      <c r="R571">
        <v>194.236666666666</v>
      </c>
      <c r="S571">
        <v>238.29333333333301</v>
      </c>
      <c r="T571">
        <v>208.95333333333301</v>
      </c>
      <c r="U571">
        <v>192.63999999999899</v>
      </c>
      <c r="V571">
        <v>178.98</v>
      </c>
      <c r="W571">
        <v>258.20999999999901</v>
      </c>
      <c r="X571">
        <v>228.26999999999899</v>
      </c>
      <c r="Y571">
        <v>240.40333333333299</v>
      </c>
      <c r="Z571">
        <v>238.356666666666</v>
      </c>
      <c r="AA571">
        <v>232.26999999999899</v>
      </c>
      <c r="AB571">
        <v>232.26999999999899</v>
      </c>
      <c r="AC571">
        <v>282.97666666666601</v>
      </c>
      <c r="AD571">
        <v>232.97666666666601</v>
      </c>
      <c r="AE571">
        <v>267.00999999999902</v>
      </c>
      <c r="AF571">
        <v>251.91999999999899</v>
      </c>
      <c r="AG571">
        <v>242.39666666666599</v>
      </c>
      <c r="AH571">
        <v>237.60333333333301</v>
      </c>
      <c r="AI571">
        <v>272.84333333333302</v>
      </c>
      <c r="AJ571">
        <v>223.73999999999899</v>
      </c>
      <c r="AK571">
        <v>256.71333333333303</v>
      </c>
      <c r="AL571">
        <v>233.39666666666599</v>
      </c>
      <c r="AM571">
        <v>222.52666666666599</v>
      </c>
      <c r="AN571">
        <v>213.89999999999901</v>
      </c>
      <c r="AO571">
        <v>277.363333333333</v>
      </c>
      <c r="AP571">
        <v>206.50333333333299</v>
      </c>
      <c r="AQ571">
        <v>258.27999999999901</v>
      </c>
      <c r="AR571">
        <v>223.016666666666</v>
      </c>
      <c r="AS571">
        <v>203.44999999999899</v>
      </c>
      <c r="AT571">
        <v>186.63</v>
      </c>
      <c r="AU571">
        <v>288.57333333333298</v>
      </c>
      <c r="AV571">
        <v>232.969999999999</v>
      </c>
      <c r="AW571">
        <v>271.23999999999899</v>
      </c>
      <c r="AX571">
        <v>245.91333333333299</v>
      </c>
      <c r="AY571">
        <v>232.713333333333</v>
      </c>
      <c r="AZ571">
        <v>222.69</v>
      </c>
      <c r="BA571">
        <v>281.71333333333303</v>
      </c>
      <c r="BB571">
        <v>222.219999999999</v>
      </c>
      <c r="BC571">
        <v>264.00999999999902</v>
      </c>
      <c r="BD571">
        <v>236.34666666666601</v>
      </c>
      <c r="BE571">
        <v>221.08666666666599</v>
      </c>
      <c r="BF571">
        <v>209.23333333333301</v>
      </c>
      <c r="BG571" s="14"/>
      <c r="BH571" s="14"/>
      <c r="BI571" s="14"/>
      <c r="BJ571" s="199"/>
      <c r="BK571" s="14"/>
      <c r="BL571" s="14"/>
      <c r="BM571" s="14"/>
      <c r="BN571" s="14"/>
      <c r="BO571" s="14"/>
      <c r="BP571" s="14"/>
      <c r="BQ571" s="14"/>
      <c r="BR571" s="14"/>
      <c r="BS571" s="14"/>
      <c r="BT571" s="14"/>
      <c r="BU571" s="14"/>
      <c r="BV571" s="14"/>
      <c r="BW571" s="14"/>
      <c r="BX571" s="14"/>
      <c r="BY571" s="170"/>
    </row>
    <row r="572" spans="9:77" x14ac:dyDescent="0.25">
      <c r="I572">
        <v>4880</v>
      </c>
      <c r="J572" s="1" t="s">
        <v>748</v>
      </c>
      <c r="K572">
        <v>317.243333333333</v>
      </c>
      <c r="L572">
        <v>268.13999999999902</v>
      </c>
      <c r="M572">
        <v>301.113333333333</v>
      </c>
      <c r="N572">
        <v>277.796666666666</v>
      </c>
      <c r="O572">
        <v>266.92666666666599</v>
      </c>
      <c r="P572">
        <v>258.29999999999899</v>
      </c>
      <c r="Q572">
        <v>300.62666666666598</v>
      </c>
      <c r="R572">
        <v>238.636666666666</v>
      </c>
      <c r="S572">
        <v>282.69333333333299</v>
      </c>
      <c r="T572">
        <v>253.35333333333301</v>
      </c>
      <c r="U572">
        <v>237.04</v>
      </c>
      <c r="V572">
        <v>223.38</v>
      </c>
      <c r="W572">
        <v>302.61</v>
      </c>
      <c r="X572">
        <v>272.67</v>
      </c>
      <c r="Y572">
        <v>284.803333333333</v>
      </c>
      <c r="Z572">
        <v>282.75666666666598</v>
      </c>
      <c r="AA572">
        <v>276.66999999999899</v>
      </c>
      <c r="AB572">
        <v>276.66999999999899</v>
      </c>
      <c r="AC572">
        <v>327.37666666666598</v>
      </c>
      <c r="AD572">
        <v>277.37666666666598</v>
      </c>
      <c r="AE572">
        <v>311.41000000000003</v>
      </c>
      <c r="AF572">
        <v>296.32</v>
      </c>
      <c r="AG572">
        <v>286.796666666666</v>
      </c>
      <c r="AH572">
        <v>282.00333333333299</v>
      </c>
      <c r="AI572">
        <v>317.243333333333</v>
      </c>
      <c r="AJ572">
        <v>268.13999999999902</v>
      </c>
      <c r="AK572">
        <v>301.113333333333</v>
      </c>
      <c r="AL572">
        <v>277.796666666666</v>
      </c>
      <c r="AM572">
        <v>266.92666666666599</v>
      </c>
      <c r="AN572">
        <v>258.29999999999899</v>
      </c>
      <c r="AO572">
        <v>321.76333333333298</v>
      </c>
      <c r="AP572">
        <v>250.90333333333299</v>
      </c>
      <c r="AQ572">
        <v>302.67999999999898</v>
      </c>
      <c r="AR572">
        <v>267.416666666666</v>
      </c>
      <c r="AS572">
        <v>247.849999999999</v>
      </c>
      <c r="AT572">
        <v>231.03</v>
      </c>
      <c r="AU572">
        <v>332.97333333333302</v>
      </c>
      <c r="AV572">
        <v>277.37</v>
      </c>
      <c r="AW572">
        <v>315.63999999999902</v>
      </c>
      <c r="AX572">
        <v>290.31333333333299</v>
      </c>
      <c r="AY572">
        <v>277.113333333333</v>
      </c>
      <c r="AZ572">
        <v>267.08999999999997</v>
      </c>
      <c r="BA572">
        <v>326.113333333333</v>
      </c>
      <c r="BB572">
        <v>266.61999999999898</v>
      </c>
      <c r="BC572">
        <v>308.41000000000003</v>
      </c>
      <c r="BD572">
        <v>280.74666666666599</v>
      </c>
      <c r="BE572">
        <v>265.486666666666</v>
      </c>
      <c r="BF572">
        <v>253.63333333333301</v>
      </c>
      <c r="BG572" s="14"/>
      <c r="BH572" s="14"/>
      <c r="BI572" s="14"/>
      <c r="BJ572" s="199"/>
      <c r="BK572" s="14"/>
      <c r="BL572" s="14"/>
      <c r="BM572" s="14"/>
      <c r="BN572" s="14"/>
      <c r="BO572" s="14"/>
      <c r="BP572" s="14"/>
      <c r="BQ572" s="14"/>
      <c r="BR572" s="14"/>
      <c r="BS572" s="14"/>
      <c r="BT572" s="14"/>
      <c r="BU572" s="14"/>
      <c r="BV572" s="14"/>
      <c r="BW572" s="14"/>
      <c r="BX572" s="14"/>
      <c r="BY572" s="170"/>
    </row>
    <row r="573" spans="9:77" x14ac:dyDescent="0.25">
      <c r="I573">
        <v>4891</v>
      </c>
      <c r="J573" s="1" t="s">
        <v>749</v>
      </c>
      <c r="K573">
        <v>317.243333333333</v>
      </c>
      <c r="L573">
        <v>268.13999999999902</v>
      </c>
      <c r="M573">
        <v>301.113333333333</v>
      </c>
      <c r="N573">
        <v>277.796666666666</v>
      </c>
      <c r="O573">
        <v>266.92666666666599</v>
      </c>
      <c r="P573">
        <v>258.29999999999899</v>
      </c>
      <c r="Q573">
        <v>300.62666666666598</v>
      </c>
      <c r="R573">
        <v>238.636666666666</v>
      </c>
      <c r="S573">
        <v>282.69333333333299</v>
      </c>
      <c r="T573">
        <v>253.35333333333301</v>
      </c>
      <c r="U573">
        <v>237.04</v>
      </c>
      <c r="V573">
        <v>223.38</v>
      </c>
      <c r="W573">
        <v>302.61</v>
      </c>
      <c r="X573">
        <v>272.67</v>
      </c>
      <c r="Y573">
        <v>284.803333333333</v>
      </c>
      <c r="Z573">
        <v>282.75666666666598</v>
      </c>
      <c r="AA573">
        <v>276.66999999999899</v>
      </c>
      <c r="AB573">
        <v>276.66999999999899</v>
      </c>
      <c r="AC573">
        <v>327.37666666666598</v>
      </c>
      <c r="AD573">
        <v>277.37666666666598</v>
      </c>
      <c r="AE573">
        <v>311.41000000000003</v>
      </c>
      <c r="AF573">
        <v>296.32</v>
      </c>
      <c r="AG573">
        <v>286.796666666666</v>
      </c>
      <c r="AH573">
        <v>282.00333333333299</v>
      </c>
      <c r="AI573">
        <v>317.243333333333</v>
      </c>
      <c r="AJ573">
        <v>268.13999999999902</v>
      </c>
      <c r="AK573">
        <v>301.113333333333</v>
      </c>
      <c r="AL573">
        <v>277.796666666666</v>
      </c>
      <c r="AM573">
        <v>266.92666666666599</v>
      </c>
      <c r="AN573">
        <v>258.29999999999899</v>
      </c>
      <c r="AO573">
        <v>321.76333333333298</v>
      </c>
      <c r="AP573">
        <v>250.90333333333299</v>
      </c>
      <c r="AQ573">
        <v>302.67999999999898</v>
      </c>
      <c r="AR573">
        <v>267.416666666666</v>
      </c>
      <c r="AS573">
        <v>247.849999999999</v>
      </c>
      <c r="AT573">
        <v>231.03</v>
      </c>
      <c r="AU573">
        <v>332.97333333333302</v>
      </c>
      <c r="AV573">
        <v>277.37</v>
      </c>
      <c r="AW573">
        <v>315.63999999999902</v>
      </c>
      <c r="AX573">
        <v>290.31333333333299</v>
      </c>
      <c r="AY573">
        <v>277.113333333333</v>
      </c>
      <c r="AZ573">
        <v>267.08999999999997</v>
      </c>
      <c r="BA573">
        <v>326.113333333333</v>
      </c>
      <c r="BB573">
        <v>266.61999999999898</v>
      </c>
      <c r="BC573">
        <v>308.41000000000003</v>
      </c>
      <c r="BD573">
        <v>280.74666666666599</v>
      </c>
      <c r="BE573">
        <v>265.486666666666</v>
      </c>
      <c r="BF573">
        <v>253.63333333333301</v>
      </c>
      <c r="BG573" s="14"/>
      <c r="BH573" s="14"/>
      <c r="BI573" s="14"/>
      <c r="BJ573" s="199"/>
      <c r="BK573" s="14"/>
      <c r="BL573" s="14"/>
      <c r="BM573" s="14"/>
      <c r="BN573" s="14"/>
      <c r="BO573" s="14"/>
      <c r="BP573" s="14"/>
      <c r="BQ573" s="14"/>
      <c r="BR573" s="14"/>
      <c r="BS573" s="14"/>
      <c r="BT573" s="14"/>
      <c r="BU573" s="14"/>
      <c r="BV573" s="14"/>
      <c r="BW573" s="14"/>
      <c r="BX573" s="14"/>
      <c r="BY573" s="170"/>
    </row>
    <row r="574" spans="9:77" x14ac:dyDescent="0.25">
      <c r="I574">
        <v>4892</v>
      </c>
      <c r="J574" s="1" t="s">
        <v>750</v>
      </c>
      <c r="K574">
        <v>317.243333333333</v>
      </c>
      <c r="L574">
        <v>268.13999999999902</v>
      </c>
      <c r="M574">
        <v>301.113333333333</v>
      </c>
      <c r="N574">
        <v>277.796666666666</v>
      </c>
      <c r="O574">
        <v>266.92666666666599</v>
      </c>
      <c r="P574">
        <v>258.29999999999899</v>
      </c>
      <c r="Q574">
        <v>300.62666666666598</v>
      </c>
      <c r="R574">
        <v>238.636666666666</v>
      </c>
      <c r="S574">
        <v>282.69333333333299</v>
      </c>
      <c r="T574">
        <v>253.35333333333301</v>
      </c>
      <c r="U574">
        <v>237.04</v>
      </c>
      <c r="V574">
        <v>223.38</v>
      </c>
      <c r="W574">
        <v>302.61</v>
      </c>
      <c r="X574">
        <v>272.67</v>
      </c>
      <c r="Y574">
        <v>284.803333333333</v>
      </c>
      <c r="Z574">
        <v>282.75666666666598</v>
      </c>
      <c r="AA574">
        <v>276.66999999999899</v>
      </c>
      <c r="AB574">
        <v>276.66999999999899</v>
      </c>
      <c r="AC574">
        <v>327.37666666666598</v>
      </c>
      <c r="AD574">
        <v>277.37666666666598</v>
      </c>
      <c r="AE574">
        <v>311.41000000000003</v>
      </c>
      <c r="AF574">
        <v>296.32</v>
      </c>
      <c r="AG574">
        <v>286.796666666666</v>
      </c>
      <c r="AH574">
        <v>282.00333333333299</v>
      </c>
      <c r="AI574">
        <v>317.243333333333</v>
      </c>
      <c r="AJ574">
        <v>268.13999999999902</v>
      </c>
      <c r="AK574">
        <v>301.113333333333</v>
      </c>
      <c r="AL574">
        <v>277.796666666666</v>
      </c>
      <c r="AM574">
        <v>266.92666666666599</v>
      </c>
      <c r="AN574">
        <v>258.29999999999899</v>
      </c>
      <c r="AO574">
        <v>321.76333333333298</v>
      </c>
      <c r="AP574">
        <v>250.90333333333299</v>
      </c>
      <c r="AQ574">
        <v>302.67999999999898</v>
      </c>
      <c r="AR574">
        <v>267.416666666666</v>
      </c>
      <c r="AS574">
        <v>247.849999999999</v>
      </c>
      <c r="AT574">
        <v>231.03</v>
      </c>
      <c r="AU574">
        <v>332.97333333333302</v>
      </c>
      <c r="AV574">
        <v>277.37</v>
      </c>
      <c r="AW574">
        <v>315.63999999999902</v>
      </c>
      <c r="AX574">
        <v>290.31333333333299</v>
      </c>
      <c r="AY574">
        <v>277.113333333333</v>
      </c>
      <c r="AZ574">
        <v>267.08999999999997</v>
      </c>
      <c r="BA574">
        <v>326.113333333333</v>
      </c>
      <c r="BB574">
        <v>266.61999999999898</v>
      </c>
      <c r="BC574">
        <v>308.41000000000003</v>
      </c>
      <c r="BD574">
        <v>280.74666666666599</v>
      </c>
      <c r="BE574">
        <v>265.486666666666</v>
      </c>
      <c r="BF574">
        <v>253.63333333333301</v>
      </c>
      <c r="BG574" s="14"/>
      <c r="BH574" s="14"/>
      <c r="BI574" s="14"/>
      <c r="BJ574" s="199"/>
      <c r="BK574" s="14"/>
      <c r="BL574" s="14"/>
      <c r="BM574" s="14"/>
      <c r="BN574" s="14"/>
      <c r="BO574" s="14"/>
      <c r="BP574" s="14"/>
      <c r="BQ574" s="14"/>
      <c r="BR574" s="14"/>
      <c r="BS574" s="14"/>
      <c r="BT574" s="14"/>
      <c r="BU574" s="14"/>
      <c r="BV574" s="14"/>
      <c r="BW574" s="14"/>
      <c r="BX574" s="14"/>
      <c r="BY574" s="170"/>
    </row>
    <row r="575" spans="9:77" x14ac:dyDescent="0.25">
      <c r="I575">
        <v>4894</v>
      </c>
      <c r="J575" s="1" t="s">
        <v>751</v>
      </c>
      <c r="K575">
        <v>321.89333333333298</v>
      </c>
      <c r="L575">
        <v>272.789999999999</v>
      </c>
      <c r="M575">
        <v>305.76333333333298</v>
      </c>
      <c r="N575">
        <v>282.44666666666598</v>
      </c>
      <c r="O575">
        <v>271.57666666666597</v>
      </c>
      <c r="P575">
        <v>262.94999999999902</v>
      </c>
      <c r="Q575">
        <v>305.27666666666602</v>
      </c>
      <c r="R575">
        <v>243.28666666666601</v>
      </c>
      <c r="S575">
        <v>287.34333333333302</v>
      </c>
      <c r="T575">
        <v>258.00333333333299</v>
      </c>
      <c r="U575">
        <v>241.69</v>
      </c>
      <c r="V575">
        <v>228.03</v>
      </c>
      <c r="W575">
        <v>307.25999999999902</v>
      </c>
      <c r="X575">
        <v>277.31999999999903</v>
      </c>
      <c r="Y575">
        <v>289.45333333333298</v>
      </c>
      <c r="Z575">
        <v>287.40666666666601</v>
      </c>
      <c r="AA575">
        <v>281.31999999999903</v>
      </c>
      <c r="AB575">
        <v>281.31999999999903</v>
      </c>
      <c r="AC575">
        <v>332.02666666666602</v>
      </c>
      <c r="AD575">
        <v>282.02666666666602</v>
      </c>
      <c r="AE575">
        <v>316.06</v>
      </c>
      <c r="AF575">
        <v>300.97000000000003</v>
      </c>
      <c r="AG575">
        <v>291.44666666666598</v>
      </c>
      <c r="AH575">
        <v>286.65333333333302</v>
      </c>
      <c r="AI575">
        <v>321.89333333333298</v>
      </c>
      <c r="AJ575">
        <v>272.789999999999</v>
      </c>
      <c r="AK575">
        <v>305.76333333333298</v>
      </c>
      <c r="AL575">
        <v>282.44666666666598</v>
      </c>
      <c r="AM575">
        <v>271.57666666666597</v>
      </c>
      <c r="AN575">
        <v>262.94999999999902</v>
      </c>
      <c r="AO575">
        <v>326.41333333333301</v>
      </c>
      <c r="AP575">
        <v>255.553333333333</v>
      </c>
      <c r="AQ575">
        <v>307.32999999999902</v>
      </c>
      <c r="AR575">
        <v>272.06666666666598</v>
      </c>
      <c r="AS575">
        <v>252.49999999999901</v>
      </c>
      <c r="AT575">
        <v>235.68</v>
      </c>
      <c r="AU575">
        <v>337.62333333333299</v>
      </c>
      <c r="AV575">
        <v>282.01999999999902</v>
      </c>
      <c r="AW575">
        <v>320.289999999999</v>
      </c>
      <c r="AX575">
        <v>294.96333333333303</v>
      </c>
      <c r="AY575">
        <v>281.76333333333298</v>
      </c>
      <c r="AZ575">
        <v>271.74</v>
      </c>
      <c r="BA575">
        <v>330.76333333333298</v>
      </c>
      <c r="BB575">
        <v>271.26999999999902</v>
      </c>
      <c r="BC575">
        <v>313.06</v>
      </c>
      <c r="BD575">
        <v>285.39666666666602</v>
      </c>
      <c r="BE575">
        <v>270.13666666666597</v>
      </c>
      <c r="BF575">
        <v>258.28333333333302</v>
      </c>
      <c r="BG575" s="14"/>
      <c r="BH575" s="14"/>
      <c r="BI575" s="14"/>
      <c r="BJ575" s="199"/>
      <c r="BK575" s="14"/>
      <c r="BL575" s="14"/>
      <c r="BM575" s="14"/>
      <c r="BN575" s="14"/>
      <c r="BO575" s="14"/>
      <c r="BP575" s="14"/>
      <c r="BQ575" s="14"/>
      <c r="BR575" s="14"/>
      <c r="BS575" s="14"/>
      <c r="BT575" s="14"/>
      <c r="BU575" s="14"/>
      <c r="BV575" s="14"/>
      <c r="BW575" s="14"/>
      <c r="BX575" s="14"/>
      <c r="BY575" s="170"/>
    </row>
    <row r="576" spans="9:77" x14ac:dyDescent="0.25">
      <c r="I576">
        <v>4895</v>
      </c>
      <c r="J576" s="1" t="s">
        <v>752</v>
      </c>
      <c r="K576">
        <v>264.52333333333303</v>
      </c>
      <c r="L576">
        <v>215.41999999999899</v>
      </c>
      <c r="M576">
        <v>248.393333333333</v>
      </c>
      <c r="N576">
        <v>225.076666666666</v>
      </c>
      <c r="O576">
        <v>214.206666666666</v>
      </c>
      <c r="P576">
        <v>205.57999999999899</v>
      </c>
      <c r="Q576">
        <v>247.90666666666601</v>
      </c>
      <c r="R576">
        <v>185.916666666666</v>
      </c>
      <c r="S576">
        <v>229.97333333333299</v>
      </c>
      <c r="T576">
        <v>200.63333333333301</v>
      </c>
      <c r="U576">
        <v>184.32</v>
      </c>
      <c r="V576">
        <v>170.66</v>
      </c>
      <c r="W576">
        <v>249.88999999999899</v>
      </c>
      <c r="X576">
        <v>219.94999999999899</v>
      </c>
      <c r="Y576">
        <v>232.083333333333</v>
      </c>
      <c r="Z576">
        <v>230.03666666666601</v>
      </c>
      <c r="AA576">
        <v>223.94999999999899</v>
      </c>
      <c r="AB576">
        <v>223.94999999999899</v>
      </c>
      <c r="AC576">
        <v>274.65666666666601</v>
      </c>
      <c r="AD576">
        <v>224.65666666666601</v>
      </c>
      <c r="AE576">
        <v>258.69</v>
      </c>
      <c r="AF576">
        <v>243.6</v>
      </c>
      <c r="AG576">
        <v>234.076666666666</v>
      </c>
      <c r="AH576">
        <v>229.28333333333299</v>
      </c>
      <c r="AI576">
        <v>264.52333333333303</v>
      </c>
      <c r="AJ576">
        <v>215.41999999999899</v>
      </c>
      <c r="AK576">
        <v>248.393333333333</v>
      </c>
      <c r="AL576">
        <v>225.076666666666</v>
      </c>
      <c r="AM576">
        <v>214.206666666666</v>
      </c>
      <c r="AN576">
        <v>205.57999999999899</v>
      </c>
      <c r="AO576">
        <v>269.04333333333301</v>
      </c>
      <c r="AP576">
        <v>198.183333333333</v>
      </c>
      <c r="AQ576">
        <v>249.95999999999901</v>
      </c>
      <c r="AR576">
        <v>214.696666666666</v>
      </c>
      <c r="AS576">
        <v>195.129999999999</v>
      </c>
      <c r="AT576">
        <v>178.31</v>
      </c>
      <c r="AU576">
        <v>280.25333333333299</v>
      </c>
      <c r="AV576">
        <v>224.64999999999901</v>
      </c>
      <c r="AW576">
        <v>262.91999999999899</v>
      </c>
      <c r="AX576">
        <v>237.59333333333299</v>
      </c>
      <c r="AY576">
        <v>224.393333333333</v>
      </c>
      <c r="AZ576">
        <v>214.37</v>
      </c>
      <c r="BA576">
        <v>273.39333333333298</v>
      </c>
      <c r="BB576">
        <v>213.89999999999901</v>
      </c>
      <c r="BC576">
        <v>255.69</v>
      </c>
      <c r="BD576">
        <v>228.02666666666599</v>
      </c>
      <c r="BE576">
        <v>212.766666666666</v>
      </c>
      <c r="BF576">
        <v>200.91333333333299</v>
      </c>
      <c r="BG576" s="14"/>
      <c r="BH576" s="14"/>
      <c r="BI576" s="14"/>
      <c r="BJ576" s="199"/>
      <c r="BK576" s="14"/>
      <c r="BL576" s="14"/>
      <c r="BM576" s="14"/>
      <c r="BN576" s="14"/>
      <c r="BO576" s="14"/>
      <c r="BP576" s="14"/>
      <c r="BQ576" s="14"/>
      <c r="BR576" s="14"/>
      <c r="BS576" s="14"/>
      <c r="BT576" s="14"/>
      <c r="BU576" s="14"/>
      <c r="BV576" s="14"/>
      <c r="BW576" s="14"/>
      <c r="BX576" s="14"/>
      <c r="BY576" s="170"/>
    </row>
    <row r="577" spans="9:77" x14ac:dyDescent="0.25">
      <c r="I577">
        <v>4900</v>
      </c>
      <c r="J577" s="1" t="s">
        <v>753</v>
      </c>
      <c r="K577">
        <v>279.053333333333</v>
      </c>
      <c r="L577">
        <v>229.95</v>
      </c>
      <c r="M577">
        <v>262.92333333333301</v>
      </c>
      <c r="N577">
        <v>239.606666666666</v>
      </c>
      <c r="O577">
        <v>228.736666666666</v>
      </c>
      <c r="P577">
        <v>220.11</v>
      </c>
      <c r="Q577">
        <v>262.43666666666599</v>
      </c>
      <c r="R577">
        <v>200.446666666666</v>
      </c>
      <c r="S577">
        <v>244.50333333333299</v>
      </c>
      <c r="T577">
        <v>215.16333333333299</v>
      </c>
      <c r="U577">
        <v>198.85</v>
      </c>
      <c r="V577">
        <v>185.19</v>
      </c>
      <c r="W577">
        <v>264.42</v>
      </c>
      <c r="X577">
        <v>234.48</v>
      </c>
      <c r="Y577">
        <v>246.613333333333</v>
      </c>
      <c r="Z577">
        <v>244.56666666666601</v>
      </c>
      <c r="AA577">
        <v>238.48</v>
      </c>
      <c r="AB577">
        <v>238.48</v>
      </c>
      <c r="AC577">
        <v>289.18666666666599</v>
      </c>
      <c r="AD577">
        <v>239.18666666666601</v>
      </c>
      <c r="AE577">
        <v>273.22000000000003</v>
      </c>
      <c r="AF577">
        <v>258.13</v>
      </c>
      <c r="AG577">
        <v>248.606666666666</v>
      </c>
      <c r="AH577">
        <v>243.81333333333299</v>
      </c>
      <c r="AI577">
        <v>279.053333333333</v>
      </c>
      <c r="AJ577">
        <v>229.95</v>
      </c>
      <c r="AK577">
        <v>262.92333333333301</v>
      </c>
      <c r="AL577">
        <v>239.606666666666</v>
      </c>
      <c r="AM577">
        <v>228.736666666666</v>
      </c>
      <c r="AN577">
        <v>220.11</v>
      </c>
      <c r="AO577">
        <v>283.57333333333298</v>
      </c>
      <c r="AP577">
        <v>212.713333333333</v>
      </c>
      <c r="AQ577">
        <v>264.49</v>
      </c>
      <c r="AR577">
        <v>229.22666666666601</v>
      </c>
      <c r="AS577">
        <v>209.66</v>
      </c>
      <c r="AT577">
        <v>192.84</v>
      </c>
      <c r="AU577">
        <v>294.78333333333302</v>
      </c>
      <c r="AV577">
        <v>239.18</v>
      </c>
      <c r="AW577">
        <v>277.45</v>
      </c>
      <c r="AX577">
        <v>252.12333333333299</v>
      </c>
      <c r="AY577">
        <v>238.92333333333301</v>
      </c>
      <c r="AZ577">
        <v>228.9</v>
      </c>
      <c r="BA577">
        <v>287.92333333333301</v>
      </c>
      <c r="BB577">
        <v>228.43</v>
      </c>
      <c r="BC577">
        <v>270.22000000000003</v>
      </c>
      <c r="BD577">
        <v>242.55666666666599</v>
      </c>
      <c r="BE577">
        <v>227.296666666666</v>
      </c>
      <c r="BF577">
        <v>215.44333333333299</v>
      </c>
      <c r="BG577" s="14"/>
      <c r="BH577" s="14"/>
      <c r="BI577" s="14"/>
      <c r="BJ577" s="199"/>
      <c r="BK577" s="14"/>
      <c r="BL577" s="14"/>
      <c r="BM577" s="14"/>
      <c r="BN577" s="14"/>
      <c r="BO577" s="14"/>
      <c r="BP577" s="14"/>
      <c r="BQ577" s="14"/>
      <c r="BR577" s="14"/>
      <c r="BS577" s="14"/>
      <c r="BT577" s="14"/>
      <c r="BU577" s="14"/>
      <c r="BV577" s="14"/>
      <c r="BW577" s="14"/>
      <c r="BX577" s="14"/>
      <c r="BY577" s="170"/>
    </row>
    <row r="578" spans="9:77" x14ac:dyDescent="0.25">
      <c r="I578">
        <v>4912</v>
      </c>
      <c r="J578" s="1" t="s">
        <v>754</v>
      </c>
      <c r="K578">
        <v>291.41333333333301</v>
      </c>
      <c r="L578">
        <v>242.30999999999901</v>
      </c>
      <c r="M578">
        <v>275.28333333333302</v>
      </c>
      <c r="N578">
        <v>251.96666666666599</v>
      </c>
      <c r="O578">
        <v>241.09666666666601</v>
      </c>
      <c r="P578">
        <v>232.469999999999</v>
      </c>
      <c r="Q578">
        <v>274.796666666666</v>
      </c>
      <c r="R578">
        <v>212.80666666666599</v>
      </c>
      <c r="S578">
        <v>256.863333333333</v>
      </c>
      <c r="T578">
        <v>227.523333333333</v>
      </c>
      <c r="U578">
        <v>211.21</v>
      </c>
      <c r="V578">
        <v>197.55</v>
      </c>
      <c r="W578">
        <v>276.77999999999901</v>
      </c>
      <c r="X578">
        <v>246.83999999999901</v>
      </c>
      <c r="Y578">
        <v>258.97333333333302</v>
      </c>
      <c r="Z578">
        <v>256.92666666666599</v>
      </c>
      <c r="AA578">
        <v>250.83999999999901</v>
      </c>
      <c r="AB578">
        <v>250.83999999999901</v>
      </c>
      <c r="AC578">
        <v>301.546666666666</v>
      </c>
      <c r="AD578">
        <v>251.546666666666</v>
      </c>
      <c r="AE578">
        <v>285.57999999999902</v>
      </c>
      <c r="AF578">
        <v>270.49</v>
      </c>
      <c r="AG578">
        <v>260.96666666666601</v>
      </c>
      <c r="AH578">
        <v>256.17333333333301</v>
      </c>
      <c r="AI578">
        <v>291.41333333333301</v>
      </c>
      <c r="AJ578">
        <v>242.30999999999901</v>
      </c>
      <c r="AK578">
        <v>275.28333333333302</v>
      </c>
      <c r="AL578">
        <v>251.96666666666599</v>
      </c>
      <c r="AM578">
        <v>241.09666666666601</v>
      </c>
      <c r="AN578">
        <v>232.469999999999</v>
      </c>
      <c r="AO578">
        <v>295.933333333333</v>
      </c>
      <c r="AP578">
        <v>225.07333333333301</v>
      </c>
      <c r="AQ578">
        <v>276.849999999999</v>
      </c>
      <c r="AR578">
        <v>241.58666666666599</v>
      </c>
      <c r="AS578">
        <v>222.01999999999899</v>
      </c>
      <c r="AT578">
        <v>205.2</v>
      </c>
      <c r="AU578">
        <v>307.14333333333298</v>
      </c>
      <c r="AV578">
        <v>251.539999999999</v>
      </c>
      <c r="AW578">
        <v>289.80999999999898</v>
      </c>
      <c r="AX578">
        <v>264.48333333333301</v>
      </c>
      <c r="AY578">
        <v>251.28333333333299</v>
      </c>
      <c r="AZ578">
        <v>241.26</v>
      </c>
      <c r="BA578">
        <v>300.28333333333302</v>
      </c>
      <c r="BB578">
        <v>240.789999999999</v>
      </c>
      <c r="BC578">
        <v>282.57999999999902</v>
      </c>
      <c r="BD578">
        <v>254.916666666666</v>
      </c>
      <c r="BE578">
        <v>239.65666666666601</v>
      </c>
      <c r="BF578">
        <v>227.803333333333</v>
      </c>
      <c r="BG578" s="14"/>
      <c r="BH578" s="14"/>
      <c r="BI578" s="14"/>
      <c r="BJ578" s="199"/>
      <c r="BK578" s="14"/>
      <c r="BL578" s="14"/>
      <c r="BM578" s="14"/>
      <c r="BN578" s="14"/>
      <c r="BO578" s="14"/>
      <c r="BP578" s="14"/>
      <c r="BQ578" s="14"/>
      <c r="BR578" s="14"/>
      <c r="BS578" s="14"/>
      <c r="BT578" s="14"/>
      <c r="BU578" s="14"/>
      <c r="BV578" s="14"/>
      <c r="BW578" s="14"/>
      <c r="BX578" s="14"/>
      <c r="BY578" s="170"/>
    </row>
    <row r="579" spans="9:77" x14ac:dyDescent="0.25">
      <c r="I579">
        <v>4913</v>
      </c>
      <c r="J579" s="1" t="s">
        <v>755</v>
      </c>
      <c r="K579">
        <v>314.67333333333301</v>
      </c>
      <c r="L579">
        <v>265.56999999999903</v>
      </c>
      <c r="M579">
        <v>298.54333333333301</v>
      </c>
      <c r="N579">
        <v>275.22666666666601</v>
      </c>
      <c r="O579">
        <v>264.356666666666</v>
      </c>
      <c r="P579">
        <v>255.729999999999</v>
      </c>
      <c r="Q579">
        <v>298.05666666666599</v>
      </c>
      <c r="R579">
        <v>236.06666666666601</v>
      </c>
      <c r="S579">
        <v>280.12333333333299</v>
      </c>
      <c r="T579">
        <v>250.78333333333299</v>
      </c>
      <c r="U579">
        <v>234.47</v>
      </c>
      <c r="V579">
        <v>220.81</v>
      </c>
      <c r="W579">
        <v>300.039999999999</v>
      </c>
      <c r="X579">
        <v>270.099999999999</v>
      </c>
      <c r="Y579">
        <v>282.23333333333301</v>
      </c>
      <c r="Z579">
        <v>280.18666666666599</v>
      </c>
      <c r="AA579">
        <v>274.099999999999</v>
      </c>
      <c r="AB579">
        <v>274.099999999999</v>
      </c>
      <c r="AC579">
        <v>324.80666666666599</v>
      </c>
      <c r="AD579">
        <v>274.80666666666599</v>
      </c>
      <c r="AE579">
        <v>308.83999999999901</v>
      </c>
      <c r="AF579">
        <v>293.75</v>
      </c>
      <c r="AG579">
        <v>284.22666666666601</v>
      </c>
      <c r="AH579">
        <v>279.433333333333</v>
      </c>
      <c r="AI579">
        <v>314.67333333333301</v>
      </c>
      <c r="AJ579">
        <v>265.56999999999903</v>
      </c>
      <c r="AK579">
        <v>298.54333333333301</v>
      </c>
      <c r="AL579">
        <v>275.22666666666601</v>
      </c>
      <c r="AM579">
        <v>264.356666666666</v>
      </c>
      <c r="AN579">
        <v>255.729999999999</v>
      </c>
      <c r="AO579">
        <v>319.19333333333299</v>
      </c>
      <c r="AP579">
        <v>248.333333333333</v>
      </c>
      <c r="AQ579">
        <v>300.10999999999899</v>
      </c>
      <c r="AR579">
        <v>264.84666666666601</v>
      </c>
      <c r="AS579">
        <v>245.27999999999901</v>
      </c>
      <c r="AT579">
        <v>228.46</v>
      </c>
      <c r="AU579">
        <v>330.40333333333302</v>
      </c>
      <c r="AV579">
        <v>274.79999999999899</v>
      </c>
      <c r="AW579">
        <v>313.06999999999903</v>
      </c>
      <c r="AX579">
        <v>287.743333333333</v>
      </c>
      <c r="AY579">
        <v>274.54333333333301</v>
      </c>
      <c r="AZ579">
        <v>264.52</v>
      </c>
      <c r="BA579">
        <v>323.54333333333301</v>
      </c>
      <c r="BB579">
        <v>264.04999999999899</v>
      </c>
      <c r="BC579">
        <v>305.83999999999901</v>
      </c>
      <c r="BD579">
        <v>278.17666666666599</v>
      </c>
      <c r="BE579">
        <v>262.916666666666</v>
      </c>
      <c r="BF579">
        <v>251.06333333333299</v>
      </c>
      <c r="BG579" s="14"/>
      <c r="BH579" s="14"/>
      <c r="BI579" s="14"/>
      <c r="BJ579" s="199"/>
      <c r="BK579" s="14"/>
      <c r="BL579" s="14"/>
      <c r="BM579" s="14"/>
      <c r="BN579" s="14"/>
      <c r="BO579" s="14"/>
      <c r="BP579" s="14"/>
      <c r="BQ579" s="14"/>
      <c r="BR579" s="14"/>
      <c r="BS579" s="14"/>
      <c r="BT579" s="14"/>
      <c r="BU579" s="14"/>
      <c r="BV579" s="14"/>
      <c r="BW579" s="14"/>
      <c r="BX579" s="14"/>
      <c r="BY579" s="170"/>
    </row>
    <row r="580" spans="9:77" x14ac:dyDescent="0.25">
      <c r="I580">
        <v>4920</v>
      </c>
      <c r="J580" s="1" t="s">
        <v>756</v>
      </c>
      <c r="K580">
        <v>345.97333333333302</v>
      </c>
      <c r="L580">
        <v>296.87</v>
      </c>
      <c r="M580">
        <v>329.84333333333302</v>
      </c>
      <c r="N580">
        <v>306.52666666666602</v>
      </c>
      <c r="O580">
        <v>295.65666666666601</v>
      </c>
      <c r="P580">
        <v>287.02999999999901</v>
      </c>
      <c r="Q580">
        <v>329.356666666666</v>
      </c>
      <c r="R580">
        <v>267.36666666666599</v>
      </c>
      <c r="S580">
        <v>311.42333333333301</v>
      </c>
      <c r="T580">
        <v>282.08333333333297</v>
      </c>
      <c r="U580">
        <v>265.77</v>
      </c>
      <c r="V580">
        <v>252.11</v>
      </c>
      <c r="W580">
        <v>331.34</v>
      </c>
      <c r="X580">
        <v>301.39999999999998</v>
      </c>
      <c r="Y580">
        <v>313.53333333333302</v>
      </c>
      <c r="Z580">
        <v>311.486666666666</v>
      </c>
      <c r="AA580">
        <v>305.39999999999901</v>
      </c>
      <c r="AB580">
        <v>305.39999999999901</v>
      </c>
      <c r="AC580">
        <v>356.106666666666</v>
      </c>
      <c r="AD580">
        <v>306.106666666666</v>
      </c>
      <c r="AE580">
        <v>340.14</v>
      </c>
      <c r="AF580">
        <v>325.05</v>
      </c>
      <c r="AG580">
        <v>315.52666666666602</v>
      </c>
      <c r="AH580">
        <v>310.73333333333301</v>
      </c>
      <c r="AI580">
        <v>345.97333333333302</v>
      </c>
      <c r="AJ580">
        <v>296.87</v>
      </c>
      <c r="AK580">
        <v>329.84333333333302</v>
      </c>
      <c r="AL580">
        <v>306.52666666666602</v>
      </c>
      <c r="AM580">
        <v>295.65666666666601</v>
      </c>
      <c r="AN580">
        <v>287.02999999999901</v>
      </c>
      <c r="AO580">
        <v>350.493333333333</v>
      </c>
      <c r="AP580">
        <v>279.63333333333298</v>
      </c>
      <c r="AQ580">
        <v>331.409999999999</v>
      </c>
      <c r="AR580">
        <v>296.14666666666602</v>
      </c>
      <c r="AS580">
        <v>276.57999999999902</v>
      </c>
      <c r="AT580">
        <v>259.76</v>
      </c>
      <c r="AU580">
        <v>361.70333333333298</v>
      </c>
      <c r="AV580">
        <v>306.10000000000002</v>
      </c>
      <c r="AW580">
        <v>344.37</v>
      </c>
      <c r="AX580">
        <v>319.04333333333301</v>
      </c>
      <c r="AY580">
        <v>305.84333333333302</v>
      </c>
      <c r="AZ580">
        <v>295.82</v>
      </c>
      <c r="BA580">
        <v>354.84333333333302</v>
      </c>
      <c r="BB580">
        <v>295.349999999999</v>
      </c>
      <c r="BC580">
        <v>337.14</v>
      </c>
      <c r="BD580">
        <v>309.47666666666601</v>
      </c>
      <c r="BE580">
        <v>294.21666666666601</v>
      </c>
      <c r="BF580">
        <v>282.363333333333</v>
      </c>
      <c r="BG580" s="14"/>
      <c r="BH580" s="14"/>
      <c r="BI580" s="14"/>
      <c r="BJ580" s="199"/>
      <c r="BK580" s="14"/>
      <c r="BL580" s="14"/>
      <c r="BM580" s="14"/>
      <c r="BN580" s="14"/>
      <c r="BO580" s="14"/>
      <c r="BP580" s="14"/>
      <c r="BQ580" s="14"/>
      <c r="BR580" s="14"/>
      <c r="BS580" s="14"/>
      <c r="BT580" s="14"/>
      <c r="BU580" s="14"/>
      <c r="BV580" s="14"/>
      <c r="BW580" s="14"/>
      <c r="BX580" s="14"/>
      <c r="BY580" s="170"/>
    </row>
    <row r="581" spans="9:77" x14ac:dyDescent="0.25">
      <c r="I581">
        <v>4930</v>
      </c>
      <c r="J581" s="1" t="s">
        <v>757</v>
      </c>
      <c r="K581">
        <v>360.10333333333301</v>
      </c>
      <c r="L581">
        <v>311</v>
      </c>
      <c r="M581">
        <v>343.97333333333302</v>
      </c>
      <c r="N581">
        <v>320.65666666666601</v>
      </c>
      <c r="O581">
        <v>309.78666666666601</v>
      </c>
      <c r="P581">
        <v>301.159999999999</v>
      </c>
      <c r="Q581">
        <v>343.486666666666</v>
      </c>
      <c r="R581">
        <v>281.49666666666599</v>
      </c>
      <c r="S581">
        <v>325.553333333333</v>
      </c>
      <c r="T581">
        <v>296.21333333333303</v>
      </c>
      <c r="U581">
        <v>279.89999999999998</v>
      </c>
      <c r="V581">
        <v>266.24</v>
      </c>
      <c r="W581">
        <v>345.47</v>
      </c>
      <c r="X581">
        <v>315.52999999999997</v>
      </c>
      <c r="Y581">
        <v>327.66333333333301</v>
      </c>
      <c r="Z581">
        <v>325.61666666666599</v>
      </c>
      <c r="AA581">
        <v>319.52999999999901</v>
      </c>
      <c r="AB581">
        <v>319.52999999999901</v>
      </c>
      <c r="AC581">
        <v>370.236666666666</v>
      </c>
      <c r="AD581">
        <v>320.236666666666</v>
      </c>
      <c r="AE581">
        <v>354.27</v>
      </c>
      <c r="AF581">
        <v>339.18</v>
      </c>
      <c r="AG581">
        <v>329.65666666666601</v>
      </c>
      <c r="AH581">
        <v>324.863333333333</v>
      </c>
      <c r="AI581">
        <v>360.10333333333301</v>
      </c>
      <c r="AJ581">
        <v>311</v>
      </c>
      <c r="AK581">
        <v>343.97333333333302</v>
      </c>
      <c r="AL581">
        <v>320.65666666666601</v>
      </c>
      <c r="AM581">
        <v>309.78666666666601</v>
      </c>
      <c r="AN581">
        <v>301.159999999999</v>
      </c>
      <c r="AO581">
        <v>364.62333333333299</v>
      </c>
      <c r="AP581">
        <v>293.76333333333298</v>
      </c>
      <c r="AQ581">
        <v>345.539999999999</v>
      </c>
      <c r="AR581">
        <v>310.27666666666602</v>
      </c>
      <c r="AS581">
        <v>290.70999999999901</v>
      </c>
      <c r="AT581">
        <v>273.89</v>
      </c>
      <c r="AU581">
        <v>375.83333333333297</v>
      </c>
      <c r="AV581">
        <v>320.23</v>
      </c>
      <c r="AW581">
        <v>358.5</v>
      </c>
      <c r="AX581">
        <v>333.17333333333301</v>
      </c>
      <c r="AY581">
        <v>319.97333333333302</v>
      </c>
      <c r="AZ581">
        <v>309.95</v>
      </c>
      <c r="BA581">
        <v>368.97333333333302</v>
      </c>
      <c r="BB581">
        <v>309.479999999999</v>
      </c>
      <c r="BC581">
        <v>351.27</v>
      </c>
      <c r="BD581">
        <v>323.606666666666</v>
      </c>
      <c r="BE581">
        <v>308.34666666666601</v>
      </c>
      <c r="BF581">
        <v>296.493333333333</v>
      </c>
      <c r="BG581" s="14"/>
      <c r="BH581" s="14"/>
      <c r="BI581" s="14"/>
      <c r="BJ581" s="199"/>
      <c r="BK581" s="14"/>
      <c r="BL581" s="14"/>
      <c r="BM581" s="14"/>
      <c r="BN581" s="14"/>
      <c r="BO581" s="14"/>
      <c r="BP581" s="14"/>
      <c r="BQ581" s="14"/>
      <c r="BR581" s="14"/>
      <c r="BS581" s="14"/>
      <c r="BT581" s="14"/>
      <c r="BU581" s="14"/>
      <c r="BV581" s="14"/>
      <c r="BW581" s="14"/>
      <c r="BX581" s="14"/>
      <c r="BY581" s="170"/>
    </row>
    <row r="582" spans="9:77" x14ac:dyDescent="0.25">
      <c r="I582">
        <v>4941</v>
      </c>
      <c r="J582" s="1" t="s">
        <v>758</v>
      </c>
      <c r="K582">
        <v>360.10333333333301</v>
      </c>
      <c r="L582">
        <v>311</v>
      </c>
      <c r="M582">
        <v>343.97333333333302</v>
      </c>
      <c r="N582">
        <v>320.65666666666601</v>
      </c>
      <c r="O582">
        <v>309.78666666666601</v>
      </c>
      <c r="P582">
        <v>301.159999999999</v>
      </c>
      <c r="Q582">
        <v>343.486666666666</v>
      </c>
      <c r="R582">
        <v>281.49666666666599</v>
      </c>
      <c r="S582">
        <v>325.553333333333</v>
      </c>
      <c r="T582">
        <v>296.21333333333303</v>
      </c>
      <c r="U582">
        <v>279.89999999999998</v>
      </c>
      <c r="V582">
        <v>266.24</v>
      </c>
      <c r="W582">
        <v>345.47</v>
      </c>
      <c r="X582">
        <v>315.52999999999997</v>
      </c>
      <c r="Y582">
        <v>327.66333333333301</v>
      </c>
      <c r="Z582">
        <v>325.61666666666599</v>
      </c>
      <c r="AA582">
        <v>319.52999999999901</v>
      </c>
      <c r="AB582">
        <v>319.52999999999901</v>
      </c>
      <c r="AC582">
        <v>370.236666666666</v>
      </c>
      <c r="AD582">
        <v>320.236666666666</v>
      </c>
      <c r="AE582">
        <v>354.27</v>
      </c>
      <c r="AF582">
        <v>339.18</v>
      </c>
      <c r="AG582">
        <v>329.65666666666601</v>
      </c>
      <c r="AH582">
        <v>324.863333333333</v>
      </c>
      <c r="AI582">
        <v>360.10333333333301</v>
      </c>
      <c r="AJ582">
        <v>311</v>
      </c>
      <c r="AK582">
        <v>343.97333333333302</v>
      </c>
      <c r="AL582">
        <v>320.65666666666601</v>
      </c>
      <c r="AM582">
        <v>309.78666666666601</v>
      </c>
      <c r="AN582">
        <v>301.159999999999</v>
      </c>
      <c r="AO582">
        <v>364.62333333333299</v>
      </c>
      <c r="AP582">
        <v>293.76333333333298</v>
      </c>
      <c r="AQ582">
        <v>345.539999999999</v>
      </c>
      <c r="AR582">
        <v>310.27666666666602</v>
      </c>
      <c r="AS582">
        <v>290.70999999999901</v>
      </c>
      <c r="AT582">
        <v>273.89</v>
      </c>
      <c r="AU582">
        <v>375.83333333333297</v>
      </c>
      <c r="AV582">
        <v>320.23</v>
      </c>
      <c r="AW582">
        <v>358.5</v>
      </c>
      <c r="AX582">
        <v>333.17333333333301</v>
      </c>
      <c r="AY582">
        <v>319.97333333333302</v>
      </c>
      <c r="AZ582">
        <v>309.95</v>
      </c>
      <c r="BA582">
        <v>368.97333333333302</v>
      </c>
      <c r="BB582">
        <v>309.479999999999</v>
      </c>
      <c r="BC582">
        <v>351.27</v>
      </c>
      <c r="BD582">
        <v>323.606666666666</v>
      </c>
      <c r="BE582">
        <v>308.34666666666601</v>
      </c>
      <c r="BF582">
        <v>296.493333333333</v>
      </c>
      <c r="BG582" s="14"/>
      <c r="BH582" s="14"/>
      <c r="BI582" s="14"/>
      <c r="BJ582" s="199"/>
      <c r="BK582" s="14"/>
      <c r="BL582" s="14"/>
      <c r="BM582" s="14"/>
      <c r="BN582" s="14"/>
      <c r="BO582" s="14"/>
      <c r="BP582" s="14"/>
      <c r="BQ582" s="14"/>
      <c r="BR582" s="14"/>
      <c r="BS582" s="14"/>
      <c r="BT582" s="14"/>
      <c r="BU582" s="14"/>
      <c r="BV582" s="14"/>
      <c r="BW582" s="14"/>
      <c r="BX582" s="14"/>
      <c r="BY582" s="170"/>
    </row>
    <row r="583" spans="9:77" x14ac:dyDescent="0.25">
      <c r="I583">
        <v>4943</v>
      </c>
      <c r="J583" s="1" t="s">
        <v>759</v>
      </c>
      <c r="K583">
        <v>314.67333333333301</v>
      </c>
      <c r="L583">
        <v>265.56999999999903</v>
      </c>
      <c r="M583">
        <v>298.54333333333301</v>
      </c>
      <c r="N583">
        <v>275.22666666666601</v>
      </c>
      <c r="O583">
        <v>264.356666666666</v>
      </c>
      <c r="P583">
        <v>255.729999999999</v>
      </c>
      <c r="Q583">
        <v>298.05666666666599</v>
      </c>
      <c r="R583">
        <v>236.06666666666601</v>
      </c>
      <c r="S583">
        <v>280.12333333333299</v>
      </c>
      <c r="T583">
        <v>250.78333333333299</v>
      </c>
      <c r="U583">
        <v>234.47</v>
      </c>
      <c r="V583">
        <v>220.81</v>
      </c>
      <c r="W583">
        <v>300.039999999999</v>
      </c>
      <c r="X583">
        <v>270.099999999999</v>
      </c>
      <c r="Y583">
        <v>282.23333333333301</v>
      </c>
      <c r="Z583">
        <v>280.18666666666599</v>
      </c>
      <c r="AA583">
        <v>274.099999999999</v>
      </c>
      <c r="AB583">
        <v>274.099999999999</v>
      </c>
      <c r="AC583">
        <v>324.80666666666599</v>
      </c>
      <c r="AD583">
        <v>274.80666666666599</v>
      </c>
      <c r="AE583">
        <v>308.83999999999901</v>
      </c>
      <c r="AF583">
        <v>293.75</v>
      </c>
      <c r="AG583">
        <v>284.22666666666601</v>
      </c>
      <c r="AH583">
        <v>279.433333333333</v>
      </c>
      <c r="AI583">
        <v>314.67333333333301</v>
      </c>
      <c r="AJ583">
        <v>265.56999999999903</v>
      </c>
      <c r="AK583">
        <v>298.54333333333301</v>
      </c>
      <c r="AL583">
        <v>275.22666666666601</v>
      </c>
      <c r="AM583">
        <v>264.356666666666</v>
      </c>
      <c r="AN583">
        <v>255.729999999999</v>
      </c>
      <c r="AO583">
        <v>319.19333333333299</v>
      </c>
      <c r="AP583">
        <v>248.333333333333</v>
      </c>
      <c r="AQ583">
        <v>300.10999999999899</v>
      </c>
      <c r="AR583">
        <v>264.84666666666601</v>
      </c>
      <c r="AS583">
        <v>245.27999999999901</v>
      </c>
      <c r="AT583">
        <v>228.46</v>
      </c>
      <c r="AU583">
        <v>330.40333333333302</v>
      </c>
      <c r="AV583">
        <v>274.79999999999899</v>
      </c>
      <c r="AW583">
        <v>313.06999999999903</v>
      </c>
      <c r="AX583">
        <v>287.743333333333</v>
      </c>
      <c r="AY583">
        <v>274.54333333333301</v>
      </c>
      <c r="AZ583">
        <v>264.52</v>
      </c>
      <c r="BA583">
        <v>323.54333333333301</v>
      </c>
      <c r="BB583">
        <v>264.04999999999899</v>
      </c>
      <c r="BC583">
        <v>305.83999999999901</v>
      </c>
      <c r="BD583">
        <v>278.17666666666599</v>
      </c>
      <c r="BE583">
        <v>262.916666666666</v>
      </c>
      <c r="BF583">
        <v>251.06333333333299</v>
      </c>
      <c r="BG583" s="14"/>
      <c r="BH583" s="14"/>
      <c r="BI583" s="14"/>
      <c r="BJ583" s="199"/>
      <c r="BK583" s="14"/>
      <c r="BL583" s="14"/>
      <c r="BM583" s="14"/>
      <c r="BN583" s="14"/>
      <c r="BO583" s="14"/>
      <c r="BP583" s="14"/>
      <c r="BQ583" s="14"/>
      <c r="BR583" s="14"/>
      <c r="BS583" s="14"/>
      <c r="BT583" s="14"/>
      <c r="BU583" s="14"/>
      <c r="BV583" s="14"/>
      <c r="BW583" s="14"/>
      <c r="BX583" s="14"/>
      <c r="BY583" s="170"/>
    </row>
    <row r="584" spans="9:77" x14ac:dyDescent="0.25">
      <c r="I584">
        <v>4944</v>
      </c>
      <c r="J584" s="1" t="s">
        <v>760</v>
      </c>
      <c r="K584">
        <v>307.65333333333302</v>
      </c>
      <c r="L584">
        <v>258.54999999999899</v>
      </c>
      <c r="M584">
        <v>291.52333333333303</v>
      </c>
      <c r="N584">
        <v>268.20666666666602</v>
      </c>
      <c r="O584">
        <v>257.33666666666602</v>
      </c>
      <c r="P584">
        <v>248.70999999999901</v>
      </c>
      <c r="Q584">
        <v>291.03666666666601</v>
      </c>
      <c r="R584">
        <v>229.046666666666</v>
      </c>
      <c r="S584">
        <v>273.10333333333301</v>
      </c>
      <c r="T584">
        <v>243.76333333333301</v>
      </c>
      <c r="U584">
        <v>227.45</v>
      </c>
      <c r="V584">
        <v>213.79</v>
      </c>
      <c r="W584">
        <v>293.01999999999902</v>
      </c>
      <c r="X584">
        <v>263.07999999999902</v>
      </c>
      <c r="Y584">
        <v>275.21333333333303</v>
      </c>
      <c r="Z584">
        <v>273.166666666666</v>
      </c>
      <c r="AA584">
        <v>267.07999999999902</v>
      </c>
      <c r="AB584">
        <v>267.07999999999902</v>
      </c>
      <c r="AC584">
        <v>317.78666666666601</v>
      </c>
      <c r="AD584">
        <v>267.78666666666601</v>
      </c>
      <c r="AE584">
        <v>301.81999999999903</v>
      </c>
      <c r="AF584">
        <v>286.73</v>
      </c>
      <c r="AG584">
        <v>277.20666666666602</v>
      </c>
      <c r="AH584">
        <v>272.41333333333301</v>
      </c>
      <c r="AI584">
        <v>307.65333333333302</v>
      </c>
      <c r="AJ584">
        <v>258.54999999999899</v>
      </c>
      <c r="AK584">
        <v>291.52333333333303</v>
      </c>
      <c r="AL584">
        <v>268.20666666666602</v>
      </c>
      <c r="AM584">
        <v>257.33666666666602</v>
      </c>
      <c r="AN584">
        <v>248.70999999999901</v>
      </c>
      <c r="AO584">
        <v>312.17333333333301</v>
      </c>
      <c r="AP584">
        <v>241.31333333333299</v>
      </c>
      <c r="AQ584">
        <v>293.08999999999901</v>
      </c>
      <c r="AR584">
        <v>257.82666666666597</v>
      </c>
      <c r="AS584">
        <v>238.259999999999</v>
      </c>
      <c r="AT584">
        <v>221.44</v>
      </c>
      <c r="AU584">
        <v>323.38333333333298</v>
      </c>
      <c r="AV584">
        <v>267.77999999999901</v>
      </c>
      <c r="AW584">
        <v>306.04999999999899</v>
      </c>
      <c r="AX584">
        <v>280.72333333333302</v>
      </c>
      <c r="AY584">
        <v>267.52333333333303</v>
      </c>
      <c r="AZ584">
        <v>257.5</v>
      </c>
      <c r="BA584">
        <v>316.52333333333303</v>
      </c>
      <c r="BB584">
        <v>257.02999999999901</v>
      </c>
      <c r="BC584">
        <v>298.81999999999903</v>
      </c>
      <c r="BD584">
        <v>271.15666666666601</v>
      </c>
      <c r="BE584">
        <v>255.89666666666599</v>
      </c>
      <c r="BF584">
        <v>244.04333333333301</v>
      </c>
      <c r="BG584" s="14"/>
      <c r="BH584" s="14"/>
      <c r="BI584" s="14"/>
      <c r="BJ584" s="199"/>
      <c r="BK584" s="14"/>
      <c r="BL584" s="14"/>
      <c r="BM584" s="14"/>
      <c r="BN584" s="14"/>
      <c r="BO584" s="14"/>
      <c r="BP584" s="14"/>
      <c r="BQ584" s="14"/>
      <c r="BR584" s="14"/>
      <c r="BS584" s="14"/>
      <c r="BT584" s="14"/>
      <c r="BU584" s="14"/>
      <c r="BV584" s="14"/>
      <c r="BW584" s="14"/>
      <c r="BX584" s="14"/>
      <c r="BY584" s="170"/>
    </row>
    <row r="585" spans="9:77" x14ac:dyDescent="0.25">
      <c r="I585">
        <v>4951</v>
      </c>
      <c r="J585" s="1" t="s">
        <v>761</v>
      </c>
      <c r="K585">
        <v>360.10333333333301</v>
      </c>
      <c r="L585">
        <v>311</v>
      </c>
      <c r="M585">
        <v>343.97333333333302</v>
      </c>
      <c r="N585">
        <v>320.65666666666601</v>
      </c>
      <c r="O585">
        <v>309.78666666666601</v>
      </c>
      <c r="P585">
        <v>301.159999999999</v>
      </c>
      <c r="Q585">
        <v>343.486666666666</v>
      </c>
      <c r="R585">
        <v>281.49666666666599</v>
      </c>
      <c r="S585">
        <v>325.553333333333</v>
      </c>
      <c r="T585">
        <v>296.21333333333303</v>
      </c>
      <c r="U585">
        <v>279.89999999999998</v>
      </c>
      <c r="V585">
        <v>266.24</v>
      </c>
      <c r="W585">
        <v>345.47</v>
      </c>
      <c r="X585">
        <v>315.52999999999997</v>
      </c>
      <c r="Y585">
        <v>327.66333333333301</v>
      </c>
      <c r="Z585">
        <v>325.61666666666599</v>
      </c>
      <c r="AA585">
        <v>319.52999999999901</v>
      </c>
      <c r="AB585">
        <v>319.52999999999901</v>
      </c>
      <c r="AC585">
        <v>370.236666666666</v>
      </c>
      <c r="AD585">
        <v>320.236666666666</v>
      </c>
      <c r="AE585">
        <v>354.27</v>
      </c>
      <c r="AF585">
        <v>339.18</v>
      </c>
      <c r="AG585">
        <v>329.65666666666601</v>
      </c>
      <c r="AH585">
        <v>324.863333333333</v>
      </c>
      <c r="AI585">
        <v>360.10333333333301</v>
      </c>
      <c r="AJ585">
        <v>311</v>
      </c>
      <c r="AK585">
        <v>343.97333333333302</v>
      </c>
      <c r="AL585">
        <v>320.65666666666601</v>
      </c>
      <c r="AM585">
        <v>309.78666666666601</v>
      </c>
      <c r="AN585">
        <v>301.159999999999</v>
      </c>
      <c r="AO585">
        <v>364.62333333333299</v>
      </c>
      <c r="AP585">
        <v>293.76333333333298</v>
      </c>
      <c r="AQ585">
        <v>345.539999999999</v>
      </c>
      <c r="AR585">
        <v>310.27666666666602</v>
      </c>
      <c r="AS585">
        <v>290.70999999999901</v>
      </c>
      <c r="AT585">
        <v>273.89</v>
      </c>
      <c r="AU585">
        <v>375.83333333333297</v>
      </c>
      <c r="AV585">
        <v>320.23</v>
      </c>
      <c r="AW585">
        <v>358.5</v>
      </c>
      <c r="AX585">
        <v>333.17333333333301</v>
      </c>
      <c r="AY585">
        <v>319.97333333333302</v>
      </c>
      <c r="AZ585">
        <v>309.95</v>
      </c>
      <c r="BA585">
        <v>368.97333333333302</v>
      </c>
      <c r="BB585">
        <v>309.479999999999</v>
      </c>
      <c r="BC585">
        <v>351.27</v>
      </c>
      <c r="BD585">
        <v>323.606666666666</v>
      </c>
      <c r="BE585">
        <v>308.34666666666601</v>
      </c>
      <c r="BF585">
        <v>296.493333333333</v>
      </c>
      <c r="BG585" s="14"/>
      <c r="BH585" s="14"/>
      <c r="BI585" s="14"/>
      <c r="BJ585" s="199"/>
      <c r="BK585" s="14"/>
      <c r="BL585" s="14"/>
      <c r="BM585" s="14"/>
      <c r="BN585" s="14"/>
      <c r="BO585" s="14"/>
      <c r="BP585" s="14"/>
      <c r="BQ585" s="14"/>
      <c r="BR585" s="14"/>
      <c r="BS585" s="14"/>
      <c r="BT585" s="14"/>
      <c r="BU585" s="14"/>
      <c r="BV585" s="14"/>
      <c r="BW585" s="14"/>
      <c r="BX585" s="14"/>
      <c r="BY585" s="170"/>
    </row>
    <row r="586" spans="9:77" x14ac:dyDescent="0.25">
      <c r="I586">
        <v>4952</v>
      </c>
      <c r="J586" s="1" t="s">
        <v>762</v>
      </c>
      <c r="K586">
        <v>360.10333333333301</v>
      </c>
      <c r="L586">
        <v>311</v>
      </c>
      <c r="M586">
        <v>343.97333333333302</v>
      </c>
      <c r="N586">
        <v>320.65666666666601</v>
      </c>
      <c r="O586">
        <v>309.78666666666601</v>
      </c>
      <c r="P586">
        <v>301.159999999999</v>
      </c>
      <c r="Q586">
        <v>343.486666666666</v>
      </c>
      <c r="R586">
        <v>281.49666666666599</v>
      </c>
      <c r="S586">
        <v>325.553333333333</v>
      </c>
      <c r="T586">
        <v>296.21333333333303</v>
      </c>
      <c r="U586">
        <v>279.89999999999998</v>
      </c>
      <c r="V586">
        <v>266.24</v>
      </c>
      <c r="W586">
        <v>345.47</v>
      </c>
      <c r="X586">
        <v>315.52999999999997</v>
      </c>
      <c r="Y586">
        <v>327.66333333333301</v>
      </c>
      <c r="Z586">
        <v>325.61666666666599</v>
      </c>
      <c r="AA586">
        <v>319.52999999999901</v>
      </c>
      <c r="AB586">
        <v>319.52999999999901</v>
      </c>
      <c r="AC586">
        <v>370.236666666666</v>
      </c>
      <c r="AD586">
        <v>320.236666666666</v>
      </c>
      <c r="AE586">
        <v>354.27</v>
      </c>
      <c r="AF586">
        <v>339.18</v>
      </c>
      <c r="AG586">
        <v>329.65666666666601</v>
      </c>
      <c r="AH586">
        <v>324.863333333333</v>
      </c>
      <c r="AI586">
        <v>360.10333333333301</v>
      </c>
      <c r="AJ586">
        <v>311</v>
      </c>
      <c r="AK586">
        <v>343.97333333333302</v>
      </c>
      <c r="AL586">
        <v>320.65666666666601</v>
      </c>
      <c r="AM586">
        <v>309.78666666666601</v>
      </c>
      <c r="AN586">
        <v>301.159999999999</v>
      </c>
      <c r="AO586">
        <v>364.62333333333299</v>
      </c>
      <c r="AP586">
        <v>293.76333333333298</v>
      </c>
      <c r="AQ586">
        <v>345.539999999999</v>
      </c>
      <c r="AR586">
        <v>310.27666666666602</v>
      </c>
      <c r="AS586">
        <v>290.70999999999901</v>
      </c>
      <c r="AT586">
        <v>273.89</v>
      </c>
      <c r="AU586">
        <v>375.83333333333297</v>
      </c>
      <c r="AV586">
        <v>320.23</v>
      </c>
      <c r="AW586">
        <v>358.5</v>
      </c>
      <c r="AX586">
        <v>333.17333333333301</v>
      </c>
      <c r="AY586">
        <v>319.97333333333302</v>
      </c>
      <c r="AZ586">
        <v>309.95</v>
      </c>
      <c r="BA586">
        <v>368.97333333333302</v>
      </c>
      <c r="BB586">
        <v>309.479999999999</v>
      </c>
      <c r="BC586">
        <v>351.27</v>
      </c>
      <c r="BD586">
        <v>323.606666666666</v>
      </c>
      <c r="BE586">
        <v>308.34666666666601</v>
      </c>
      <c r="BF586">
        <v>296.493333333333</v>
      </c>
      <c r="BG586" s="14"/>
      <c r="BH586" s="14"/>
      <c r="BI586" s="14"/>
      <c r="BJ586" s="199"/>
      <c r="BK586" s="14"/>
      <c r="BL586" s="14"/>
      <c r="BM586" s="14"/>
      <c r="BN586" s="14"/>
      <c r="BO586" s="14"/>
      <c r="BP586" s="14"/>
      <c r="BQ586" s="14"/>
      <c r="BR586" s="14"/>
      <c r="BS586" s="14"/>
      <c r="BT586" s="14"/>
      <c r="BU586" s="14"/>
      <c r="BV586" s="14"/>
      <c r="BW586" s="14"/>
      <c r="BX586" s="14"/>
      <c r="BY586" s="170"/>
    </row>
    <row r="587" spans="9:77" x14ac:dyDescent="0.25">
      <c r="I587">
        <v>4953</v>
      </c>
      <c r="J587" s="1" t="s">
        <v>763</v>
      </c>
      <c r="K587">
        <v>345.97333333333302</v>
      </c>
      <c r="L587">
        <v>296.87</v>
      </c>
      <c r="M587">
        <v>329.84333333333302</v>
      </c>
      <c r="N587">
        <v>306.52666666666602</v>
      </c>
      <c r="O587">
        <v>295.65666666666601</v>
      </c>
      <c r="P587">
        <v>287.02999999999901</v>
      </c>
      <c r="Q587">
        <v>329.356666666666</v>
      </c>
      <c r="R587">
        <v>267.36666666666599</v>
      </c>
      <c r="S587">
        <v>311.42333333333301</v>
      </c>
      <c r="T587">
        <v>282.08333333333297</v>
      </c>
      <c r="U587">
        <v>265.77</v>
      </c>
      <c r="V587">
        <v>252.11</v>
      </c>
      <c r="W587">
        <v>331.34</v>
      </c>
      <c r="X587">
        <v>301.39999999999998</v>
      </c>
      <c r="Y587">
        <v>313.53333333333302</v>
      </c>
      <c r="Z587">
        <v>311.486666666666</v>
      </c>
      <c r="AA587">
        <v>305.39999999999901</v>
      </c>
      <c r="AB587">
        <v>305.39999999999901</v>
      </c>
      <c r="AC587">
        <v>356.106666666666</v>
      </c>
      <c r="AD587">
        <v>306.106666666666</v>
      </c>
      <c r="AE587">
        <v>340.14</v>
      </c>
      <c r="AF587">
        <v>325.05</v>
      </c>
      <c r="AG587">
        <v>315.52666666666602</v>
      </c>
      <c r="AH587">
        <v>310.73333333333301</v>
      </c>
      <c r="AI587">
        <v>345.97333333333302</v>
      </c>
      <c r="AJ587">
        <v>296.87</v>
      </c>
      <c r="AK587">
        <v>329.84333333333302</v>
      </c>
      <c r="AL587">
        <v>306.52666666666602</v>
      </c>
      <c r="AM587">
        <v>295.65666666666601</v>
      </c>
      <c r="AN587">
        <v>287.02999999999901</v>
      </c>
      <c r="AO587">
        <v>350.493333333333</v>
      </c>
      <c r="AP587">
        <v>279.63333333333298</v>
      </c>
      <c r="AQ587">
        <v>331.409999999999</v>
      </c>
      <c r="AR587">
        <v>296.14666666666602</v>
      </c>
      <c r="AS587">
        <v>276.57999999999902</v>
      </c>
      <c r="AT587">
        <v>259.76</v>
      </c>
      <c r="AU587">
        <v>361.70333333333298</v>
      </c>
      <c r="AV587">
        <v>306.10000000000002</v>
      </c>
      <c r="AW587">
        <v>344.37</v>
      </c>
      <c r="AX587">
        <v>319.04333333333301</v>
      </c>
      <c r="AY587">
        <v>305.84333333333302</v>
      </c>
      <c r="AZ587">
        <v>295.82</v>
      </c>
      <c r="BA587">
        <v>354.84333333333302</v>
      </c>
      <c r="BB587">
        <v>295.349999999999</v>
      </c>
      <c r="BC587">
        <v>337.14</v>
      </c>
      <c r="BD587">
        <v>309.47666666666601</v>
      </c>
      <c r="BE587">
        <v>294.21666666666601</v>
      </c>
      <c r="BF587">
        <v>282.363333333333</v>
      </c>
      <c r="BG587" s="14"/>
      <c r="BH587" s="14"/>
      <c r="BI587" s="14"/>
      <c r="BJ587" s="199"/>
      <c r="BK587" s="14"/>
      <c r="BL587" s="14"/>
      <c r="BM587" s="14"/>
      <c r="BN587" s="14"/>
      <c r="BO587" s="14"/>
      <c r="BP587" s="14"/>
      <c r="BQ587" s="14"/>
      <c r="BR587" s="14"/>
      <c r="BS587" s="14"/>
      <c r="BT587" s="14"/>
      <c r="BU587" s="14"/>
      <c r="BV587" s="14"/>
      <c r="BW587" s="14"/>
      <c r="BX587" s="14"/>
      <c r="BY587" s="170"/>
    </row>
    <row r="588" spans="9:77" x14ac:dyDescent="0.25">
      <c r="I588">
        <v>4960</v>
      </c>
      <c r="J588" s="1" t="s">
        <v>764</v>
      </c>
      <c r="K588">
        <v>321.89333333333298</v>
      </c>
      <c r="L588">
        <v>272.789999999999</v>
      </c>
      <c r="M588">
        <v>305.76333333333298</v>
      </c>
      <c r="N588">
        <v>282.44666666666598</v>
      </c>
      <c r="O588">
        <v>271.57666666666597</v>
      </c>
      <c r="P588">
        <v>262.94999999999902</v>
      </c>
      <c r="Q588">
        <v>305.27666666666602</v>
      </c>
      <c r="R588">
        <v>243.28666666666601</v>
      </c>
      <c r="S588">
        <v>287.34333333333302</v>
      </c>
      <c r="T588">
        <v>258.00333333333299</v>
      </c>
      <c r="U588">
        <v>241.69</v>
      </c>
      <c r="V588">
        <v>228.03</v>
      </c>
      <c r="W588">
        <v>307.25999999999902</v>
      </c>
      <c r="X588">
        <v>277.31999999999903</v>
      </c>
      <c r="Y588">
        <v>289.45333333333298</v>
      </c>
      <c r="Z588">
        <v>287.40666666666601</v>
      </c>
      <c r="AA588">
        <v>281.31999999999903</v>
      </c>
      <c r="AB588">
        <v>281.31999999999903</v>
      </c>
      <c r="AC588">
        <v>332.02666666666602</v>
      </c>
      <c r="AD588">
        <v>282.02666666666602</v>
      </c>
      <c r="AE588">
        <v>316.06</v>
      </c>
      <c r="AF588">
        <v>300.97000000000003</v>
      </c>
      <c r="AG588">
        <v>291.44666666666598</v>
      </c>
      <c r="AH588">
        <v>286.65333333333302</v>
      </c>
      <c r="AI588">
        <v>321.89333333333298</v>
      </c>
      <c r="AJ588">
        <v>272.789999999999</v>
      </c>
      <c r="AK588">
        <v>305.76333333333298</v>
      </c>
      <c r="AL588">
        <v>282.44666666666598</v>
      </c>
      <c r="AM588">
        <v>271.57666666666597</v>
      </c>
      <c r="AN588">
        <v>262.94999999999902</v>
      </c>
      <c r="AO588">
        <v>326.41333333333301</v>
      </c>
      <c r="AP588">
        <v>255.553333333333</v>
      </c>
      <c r="AQ588">
        <v>307.32999999999902</v>
      </c>
      <c r="AR588">
        <v>272.06666666666598</v>
      </c>
      <c r="AS588">
        <v>252.49999999999901</v>
      </c>
      <c r="AT588">
        <v>235.68</v>
      </c>
      <c r="AU588">
        <v>337.62333333333299</v>
      </c>
      <c r="AV588">
        <v>282.01999999999902</v>
      </c>
      <c r="AW588">
        <v>320.289999999999</v>
      </c>
      <c r="AX588">
        <v>294.96333333333303</v>
      </c>
      <c r="AY588">
        <v>281.76333333333298</v>
      </c>
      <c r="AZ588">
        <v>271.74</v>
      </c>
      <c r="BA588">
        <v>330.76333333333298</v>
      </c>
      <c r="BB588">
        <v>271.26999999999902</v>
      </c>
      <c r="BC588">
        <v>313.06</v>
      </c>
      <c r="BD588">
        <v>285.39666666666602</v>
      </c>
      <c r="BE588">
        <v>270.13666666666597</v>
      </c>
      <c r="BF588">
        <v>258.28333333333302</v>
      </c>
      <c r="BG588" s="14"/>
      <c r="BH588" s="14"/>
      <c r="BI588" s="14"/>
      <c r="BJ588" s="199"/>
      <c r="BK588" s="14"/>
      <c r="BL588" s="14"/>
      <c r="BM588" s="14"/>
      <c r="BN588" s="14"/>
      <c r="BO588" s="14"/>
      <c r="BP588" s="14"/>
      <c r="BQ588" s="14"/>
      <c r="BR588" s="14"/>
      <c r="BS588" s="14"/>
      <c r="BT588" s="14"/>
      <c r="BU588" s="14"/>
      <c r="BV588" s="14"/>
      <c r="BW588" s="14"/>
      <c r="BX588" s="14"/>
      <c r="BY588" s="170"/>
    </row>
    <row r="589" spans="9:77" x14ac:dyDescent="0.25">
      <c r="I589">
        <v>4970</v>
      </c>
      <c r="J589" s="1" t="s">
        <v>765</v>
      </c>
      <c r="K589">
        <v>321.47333333333302</v>
      </c>
      <c r="L589">
        <v>272.37</v>
      </c>
      <c r="M589">
        <v>305.34333333333302</v>
      </c>
      <c r="N589">
        <v>282.02666666666602</v>
      </c>
      <c r="O589">
        <v>271.15666666666601</v>
      </c>
      <c r="P589">
        <v>262.52999999999901</v>
      </c>
      <c r="Q589">
        <v>304.856666666666</v>
      </c>
      <c r="R589">
        <v>242.86666666666599</v>
      </c>
      <c r="S589">
        <v>286.92333333333301</v>
      </c>
      <c r="T589">
        <v>257.58333333333297</v>
      </c>
      <c r="U589">
        <v>241.27</v>
      </c>
      <c r="V589">
        <v>227.61</v>
      </c>
      <c r="W589">
        <v>306.83999999999997</v>
      </c>
      <c r="X589">
        <v>276.89999999999998</v>
      </c>
      <c r="Y589">
        <v>289.03333333333302</v>
      </c>
      <c r="Z589">
        <v>286.986666666666</v>
      </c>
      <c r="AA589">
        <v>280.89999999999901</v>
      </c>
      <c r="AB589">
        <v>280.89999999999901</v>
      </c>
      <c r="AC589">
        <v>331.606666666666</v>
      </c>
      <c r="AD589">
        <v>281.606666666666</v>
      </c>
      <c r="AE589">
        <v>315.64</v>
      </c>
      <c r="AF589">
        <v>300.55</v>
      </c>
      <c r="AG589">
        <v>291.02666666666602</v>
      </c>
      <c r="AH589">
        <v>286.23333333333301</v>
      </c>
      <c r="AI589">
        <v>321.47333333333302</v>
      </c>
      <c r="AJ589">
        <v>272.37</v>
      </c>
      <c r="AK589">
        <v>305.34333333333302</v>
      </c>
      <c r="AL589">
        <v>282.02666666666602</v>
      </c>
      <c r="AM589">
        <v>271.15666666666601</v>
      </c>
      <c r="AN589">
        <v>262.52999999999901</v>
      </c>
      <c r="AO589">
        <v>325.993333333333</v>
      </c>
      <c r="AP589">
        <v>255.13333333333301</v>
      </c>
      <c r="AQ589">
        <v>306.909999999999</v>
      </c>
      <c r="AR589">
        <v>271.64666666666602</v>
      </c>
      <c r="AS589">
        <v>252.07999999999899</v>
      </c>
      <c r="AT589">
        <v>235.26</v>
      </c>
      <c r="AU589">
        <v>337.20333333333298</v>
      </c>
      <c r="AV589">
        <v>281.60000000000002</v>
      </c>
      <c r="AW589">
        <v>319.87</v>
      </c>
      <c r="AX589">
        <v>294.54333333333301</v>
      </c>
      <c r="AY589">
        <v>281.34333333333302</v>
      </c>
      <c r="AZ589">
        <v>271.32</v>
      </c>
      <c r="BA589">
        <v>330.34333333333302</v>
      </c>
      <c r="BB589">
        <v>270.849999999999</v>
      </c>
      <c r="BC589">
        <v>312.64</v>
      </c>
      <c r="BD589">
        <v>284.97666666666601</v>
      </c>
      <c r="BE589">
        <v>269.71666666666601</v>
      </c>
      <c r="BF589">
        <v>257.863333333333</v>
      </c>
      <c r="BG589" s="14"/>
      <c r="BH589" s="14"/>
      <c r="BI589" s="14"/>
      <c r="BJ589" s="199"/>
      <c r="BK589" s="14"/>
      <c r="BL589" s="14"/>
      <c r="BM589" s="14"/>
      <c r="BN589" s="14"/>
      <c r="BO589" s="14"/>
      <c r="BP589" s="14"/>
      <c r="BQ589" s="14"/>
      <c r="BR589" s="14"/>
      <c r="BS589" s="14"/>
      <c r="BT589" s="14"/>
      <c r="BU589" s="14"/>
      <c r="BV589" s="14"/>
      <c r="BW589" s="14"/>
      <c r="BX589" s="14"/>
      <c r="BY589" s="170"/>
    </row>
    <row r="590" spans="9:77" x14ac:dyDescent="0.25">
      <c r="I590">
        <v>4983</v>
      </c>
      <c r="J590" s="1" t="s">
        <v>766</v>
      </c>
      <c r="K590">
        <v>288.03333333333302</v>
      </c>
      <c r="L590">
        <v>238.93</v>
      </c>
      <c r="M590">
        <v>271.90333333333302</v>
      </c>
      <c r="N590">
        <v>248.58666666666599</v>
      </c>
      <c r="O590">
        <v>237.71666666666599</v>
      </c>
      <c r="P590">
        <v>229.09</v>
      </c>
      <c r="Q590">
        <v>271.416666666666</v>
      </c>
      <c r="R590">
        <v>209.42666666666599</v>
      </c>
      <c r="S590">
        <v>253.48333333333301</v>
      </c>
      <c r="T590">
        <v>224.143333333333</v>
      </c>
      <c r="U590">
        <v>207.83</v>
      </c>
      <c r="V590">
        <v>194.17</v>
      </c>
      <c r="W590">
        <v>273.39999999999998</v>
      </c>
      <c r="X590">
        <v>243.46</v>
      </c>
      <c r="Y590">
        <v>255.59333333333299</v>
      </c>
      <c r="Z590">
        <v>253.546666666666</v>
      </c>
      <c r="AA590">
        <v>247.46</v>
      </c>
      <c r="AB590">
        <v>247.46</v>
      </c>
      <c r="AC590">
        <v>298.166666666666</v>
      </c>
      <c r="AD590">
        <v>248.166666666666</v>
      </c>
      <c r="AE590">
        <v>282.2</v>
      </c>
      <c r="AF590">
        <v>267.11</v>
      </c>
      <c r="AG590">
        <v>257.58666666666602</v>
      </c>
      <c r="AH590">
        <v>252.79333333333301</v>
      </c>
      <c r="AI590">
        <v>288.03333333333302</v>
      </c>
      <c r="AJ590">
        <v>238.93</v>
      </c>
      <c r="AK590">
        <v>271.90333333333302</v>
      </c>
      <c r="AL590">
        <v>248.58666666666599</v>
      </c>
      <c r="AM590">
        <v>237.71666666666599</v>
      </c>
      <c r="AN590">
        <v>229.09</v>
      </c>
      <c r="AO590">
        <v>292.553333333333</v>
      </c>
      <c r="AP590">
        <v>221.69333333333299</v>
      </c>
      <c r="AQ590">
        <v>273.47000000000003</v>
      </c>
      <c r="AR590">
        <v>238.206666666666</v>
      </c>
      <c r="AS590">
        <v>218.64</v>
      </c>
      <c r="AT590">
        <v>201.82</v>
      </c>
      <c r="AU590">
        <v>303.76333333333298</v>
      </c>
      <c r="AV590">
        <v>248.16</v>
      </c>
      <c r="AW590">
        <v>286.43</v>
      </c>
      <c r="AX590">
        <v>261.10333333333301</v>
      </c>
      <c r="AY590">
        <v>247.90333333333299</v>
      </c>
      <c r="AZ590">
        <v>237.88</v>
      </c>
      <c r="BA590">
        <v>296.90333333333302</v>
      </c>
      <c r="BB590">
        <v>237.41</v>
      </c>
      <c r="BC590">
        <v>279.2</v>
      </c>
      <c r="BD590">
        <v>251.53666666666601</v>
      </c>
      <c r="BE590">
        <v>236.27666666666599</v>
      </c>
      <c r="BF590">
        <v>224.42333333333301</v>
      </c>
      <c r="BG590" s="14"/>
      <c r="BH590" s="14"/>
      <c r="BI590" s="14"/>
      <c r="BJ590" s="199"/>
      <c r="BK590" s="14"/>
      <c r="BL590" s="14"/>
      <c r="BM590" s="14"/>
      <c r="BN590" s="14"/>
      <c r="BO590" s="14"/>
      <c r="BP590" s="14"/>
      <c r="BQ590" s="14"/>
      <c r="BR590" s="14"/>
      <c r="BS590" s="14"/>
      <c r="BT590" s="14"/>
      <c r="BU590" s="14"/>
      <c r="BV590" s="14"/>
      <c r="BW590" s="14"/>
      <c r="BX590" s="14"/>
      <c r="BY590" s="170"/>
    </row>
    <row r="591" spans="9:77" x14ac:dyDescent="0.25">
      <c r="I591">
        <v>4990</v>
      </c>
      <c r="J591" s="1" t="s">
        <v>767</v>
      </c>
      <c r="K591">
        <v>348.17333333333301</v>
      </c>
      <c r="L591">
        <v>299.07</v>
      </c>
      <c r="M591">
        <v>332.04333333333301</v>
      </c>
      <c r="N591">
        <v>308.72666666666601</v>
      </c>
      <c r="O591">
        <v>297.856666666666</v>
      </c>
      <c r="P591">
        <v>289.23</v>
      </c>
      <c r="Q591">
        <v>331.55666666666599</v>
      </c>
      <c r="R591">
        <v>269.56666666666598</v>
      </c>
      <c r="S591">
        <v>313.62333333333299</v>
      </c>
      <c r="T591">
        <v>284.28333333333302</v>
      </c>
      <c r="U591">
        <v>267.97000000000003</v>
      </c>
      <c r="V591">
        <v>254.31</v>
      </c>
      <c r="W591">
        <v>333.54</v>
      </c>
      <c r="X591">
        <v>303.60000000000002</v>
      </c>
      <c r="Y591">
        <v>315.73333333333301</v>
      </c>
      <c r="Z591">
        <v>313.68666666666599</v>
      </c>
      <c r="AA591">
        <v>307.60000000000002</v>
      </c>
      <c r="AB591">
        <v>307.60000000000002</v>
      </c>
      <c r="AC591">
        <v>358.30666666666599</v>
      </c>
      <c r="AD591">
        <v>308.30666666666599</v>
      </c>
      <c r="AE591">
        <v>342.34</v>
      </c>
      <c r="AF591">
        <v>327.25</v>
      </c>
      <c r="AG591">
        <v>317.72666666666601</v>
      </c>
      <c r="AH591">
        <v>312.933333333333</v>
      </c>
      <c r="AI591">
        <v>348.17333333333301</v>
      </c>
      <c r="AJ591">
        <v>299.07</v>
      </c>
      <c r="AK591">
        <v>332.04333333333301</v>
      </c>
      <c r="AL591">
        <v>308.72666666666601</v>
      </c>
      <c r="AM591">
        <v>297.856666666666</v>
      </c>
      <c r="AN591">
        <v>289.23</v>
      </c>
      <c r="AO591">
        <v>352.69333333333299</v>
      </c>
      <c r="AP591">
        <v>281.83333333333297</v>
      </c>
      <c r="AQ591">
        <v>333.61</v>
      </c>
      <c r="AR591">
        <v>298.34666666666601</v>
      </c>
      <c r="AS591">
        <v>278.77999999999997</v>
      </c>
      <c r="AT591">
        <v>261.95999999999998</v>
      </c>
      <c r="AU591">
        <v>363.90333333333302</v>
      </c>
      <c r="AV591">
        <v>308.3</v>
      </c>
      <c r="AW591">
        <v>346.57</v>
      </c>
      <c r="AX591">
        <v>321.243333333333</v>
      </c>
      <c r="AY591">
        <v>308.04333333333301</v>
      </c>
      <c r="AZ591">
        <v>298.02</v>
      </c>
      <c r="BA591">
        <v>357.04333333333301</v>
      </c>
      <c r="BB591">
        <v>297.55</v>
      </c>
      <c r="BC591">
        <v>339.34</v>
      </c>
      <c r="BD591">
        <v>311.67666666666599</v>
      </c>
      <c r="BE591">
        <v>296.416666666666</v>
      </c>
      <c r="BF591">
        <v>284.56333333333299</v>
      </c>
      <c r="BG591" s="14"/>
      <c r="BH591" s="14"/>
      <c r="BI591" s="14"/>
      <c r="BJ591" s="199"/>
      <c r="BK591" s="14"/>
      <c r="BL591" s="14"/>
      <c r="BM591" s="14"/>
      <c r="BN591" s="14"/>
      <c r="BO591" s="14"/>
      <c r="BP591" s="14"/>
      <c r="BQ591" s="14"/>
      <c r="BR591" s="14"/>
      <c r="BS591" s="14"/>
      <c r="BT591" s="14"/>
      <c r="BU591" s="14"/>
      <c r="BV591" s="14"/>
      <c r="BW591" s="14"/>
      <c r="BX591" s="14"/>
      <c r="BY591" s="170"/>
    </row>
    <row r="592" spans="9:77" x14ac:dyDescent="0.25">
      <c r="I592">
        <v>5000</v>
      </c>
      <c r="J592" s="1" t="s">
        <v>768</v>
      </c>
      <c r="K592">
        <v>433.03333333333302</v>
      </c>
      <c r="L592">
        <v>390.77666666666602</v>
      </c>
      <c r="M592">
        <v>418.73999999999899</v>
      </c>
      <c r="N592">
        <v>398.81666666666598</v>
      </c>
      <c r="O592">
        <v>389.73</v>
      </c>
      <c r="P592">
        <v>383.25</v>
      </c>
      <c r="Q592">
        <v>412.45999999999901</v>
      </c>
      <c r="R592">
        <v>355.41999999999899</v>
      </c>
      <c r="S592">
        <v>394.5</v>
      </c>
      <c r="T592">
        <v>368.87666666666598</v>
      </c>
      <c r="U592">
        <v>355.17333333333301</v>
      </c>
      <c r="V592">
        <v>343.82666666666597</v>
      </c>
      <c r="W592">
        <v>415.33666666666602</v>
      </c>
      <c r="X592">
        <v>386.76999999999902</v>
      </c>
      <c r="Y592">
        <v>397.863333333333</v>
      </c>
      <c r="Z592">
        <v>395.97666666666601</v>
      </c>
      <c r="AA592">
        <v>390.36666666666599</v>
      </c>
      <c r="AB592">
        <v>390.36666666666599</v>
      </c>
      <c r="AC592">
        <v>438.599999999999</v>
      </c>
      <c r="AD592">
        <v>394.35333333333301</v>
      </c>
      <c r="AE592">
        <v>424.02333333333303</v>
      </c>
      <c r="AF592">
        <v>410.81999999999903</v>
      </c>
      <c r="AG592">
        <v>402.35333333333301</v>
      </c>
      <c r="AH592">
        <v>398.36666666666599</v>
      </c>
      <c r="AI592">
        <v>433.03333333333302</v>
      </c>
      <c r="AJ592">
        <v>390.77666666666602</v>
      </c>
      <c r="AK592">
        <v>418.73999999999899</v>
      </c>
      <c r="AL592">
        <v>398.81666666666598</v>
      </c>
      <c r="AM592">
        <v>389.73</v>
      </c>
      <c r="AN592">
        <v>383.25</v>
      </c>
      <c r="AO592">
        <v>430.49666666666599</v>
      </c>
      <c r="AP592">
        <v>363.57333333333298</v>
      </c>
      <c r="AQ592">
        <v>411.89999999999901</v>
      </c>
      <c r="AR592">
        <v>378.81</v>
      </c>
      <c r="AS592">
        <v>361.07666666666597</v>
      </c>
      <c r="AT592">
        <v>346.90666666666601</v>
      </c>
      <c r="AU592">
        <v>443.94999999999902</v>
      </c>
      <c r="AV592">
        <v>391.99666666666599</v>
      </c>
      <c r="AW592">
        <v>427.10333333333301</v>
      </c>
      <c r="AX592">
        <v>404.14</v>
      </c>
      <c r="AY592">
        <v>392.18666666666599</v>
      </c>
      <c r="AZ592">
        <v>383.44333333333299</v>
      </c>
      <c r="BA592">
        <v>435.87333333333299</v>
      </c>
      <c r="BB592">
        <v>381.42</v>
      </c>
      <c r="BC592">
        <v>418.85333333333301</v>
      </c>
      <c r="BD592">
        <v>393.909999999999</v>
      </c>
      <c r="BE592">
        <v>380.916666666666</v>
      </c>
      <c r="BF592">
        <v>370.46666666666601</v>
      </c>
      <c r="BG592" s="14"/>
      <c r="BH592" s="14"/>
      <c r="BI592" s="14"/>
      <c r="BJ592" s="199"/>
      <c r="BK592" s="14"/>
      <c r="BL592" s="14"/>
      <c r="BM592" s="14"/>
      <c r="BN592" s="14"/>
      <c r="BO592" s="14"/>
      <c r="BP592" s="14"/>
      <c r="BQ592" s="14"/>
      <c r="BR592" s="14"/>
      <c r="BS592" s="14"/>
      <c r="BT592" s="14"/>
      <c r="BU592" s="14"/>
      <c r="BV592" s="14"/>
      <c r="BW592" s="14"/>
      <c r="BX592" s="14"/>
      <c r="BY592" s="170"/>
    </row>
    <row r="593" spans="9:77" x14ac:dyDescent="0.25">
      <c r="I593">
        <v>5200</v>
      </c>
      <c r="J593" s="1" t="s">
        <v>769</v>
      </c>
      <c r="K593">
        <v>433.03333333333302</v>
      </c>
      <c r="L593">
        <v>390.77666666666602</v>
      </c>
      <c r="M593">
        <v>418.73999999999899</v>
      </c>
      <c r="N593">
        <v>398.81666666666598</v>
      </c>
      <c r="O593">
        <v>389.73</v>
      </c>
      <c r="P593">
        <v>383.25</v>
      </c>
      <c r="Q593">
        <v>412.45999999999901</v>
      </c>
      <c r="R593">
        <v>355.41999999999899</v>
      </c>
      <c r="S593">
        <v>394.5</v>
      </c>
      <c r="T593">
        <v>368.87666666666598</v>
      </c>
      <c r="U593">
        <v>355.17333333333301</v>
      </c>
      <c r="V593">
        <v>343.82666666666597</v>
      </c>
      <c r="W593">
        <v>415.33666666666602</v>
      </c>
      <c r="X593">
        <v>386.76999999999902</v>
      </c>
      <c r="Y593">
        <v>397.863333333333</v>
      </c>
      <c r="Z593">
        <v>395.97666666666601</v>
      </c>
      <c r="AA593">
        <v>390.36666666666599</v>
      </c>
      <c r="AB593">
        <v>390.36666666666599</v>
      </c>
      <c r="AC593">
        <v>438.599999999999</v>
      </c>
      <c r="AD593">
        <v>394.35333333333301</v>
      </c>
      <c r="AE593">
        <v>424.02333333333303</v>
      </c>
      <c r="AF593">
        <v>410.81999999999903</v>
      </c>
      <c r="AG593">
        <v>402.35333333333301</v>
      </c>
      <c r="AH593">
        <v>398.36666666666599</v>
      </c>
      <c r="AI593">
        <v>433.03333333333302</v>
      </c>
      <c r="AJ593">
        <v>390.77666666666602</v>
      </c>
      <c r="AK593">
        <v>418.73999999999899</v>
      </c>
      <c r="AL593">
        <v>398.81666666666598</v>
      </c>
      <c r="AM593">
        <v>389.73</v>
      </c>
      <c r="AN593">
        <v>383.25</v>
      </c>
      <c r="AO593">
        <v>430.49666666666599</v>
      </c>
      <c r="AP593">
        <v>363.57333333333298</v>
      </c>
      <c r="AQ593">
        <v>411.89999999999901</v>
      </c>
      <c r="AR593">
        <v>378.81</v>
      </c>
      <c r="AS593">
        <v>361.07666666666597</v>
      </c>
      <c r="AT593">
        <v>346.90666666666601</v>
      </c>
      <c r="AU593">
        <v>443.94999999999902</v>
      </c>
      <c r="AV593">
        <v>391.99666666666599</v>
      </c>
      <c r="AW593">
        <v>427.10333333333301</v>
      </c>
      <c r="AX593">
        <v>404.14</v>
      </c>
      <c r="AY593">
        <v>392.18666666666599</v>
      </c>
      <c r="AZ593">
        <v>383.44333333333299</v>
      </c>
      <c r="BA593">
        <v>435.87333333333299</v>
      </c>
      <c r="BB593">
        <v>381.42</v>
      </c>
      <c r="BC593">
        <v>418.85333333333301</v>
      </c>
      <c r="BD593">
        <v>393.909999999999</v>
      </c>
      <c r="BE593">
        <v>380.916666666666</v>
      </c>
      <c r="BF593">
        <v>370.46666666666601</v>
      </c>
      <c r="BG593" s="14"/>
      <c r="BH593" s="14"/>
      <c r="BI593" s="14"/>
      <c r="BJ593" s="199"/>
      <c r="BK593" s="14"/>
      <c r="BL593" s="14"/>
      <c r="BM593" s="14"/>
      <c r="BN593" s="14"/>
      <c r="BO593" s="14"/>
      <c r="BP593" s="14"/>
      <c r="BQ593" s="14"/>
      <c r="BR593" s="14"/>
      <c r="BS593" s="14"/>
      <c r="BT593" s="14"/>
      <c r="BU593" s="14"/>
      <c r="BV593" s="14"/>
      <c r="BW593" s="14"/>
      <c r="BX593" s="14"/>
      <c r="BY593" s="170"/>
    </row>
    <row r="594" spans="9:77" x14ac:dyDescent="0.25">
      <c r="I594">
        <v>5210</v>
      </c>
      <c r="J594" s="1" t="s">
        <v>770</v>
      </c>
      <c r="K594">
        <v>376.863333333333</v>
      </c>
      <c r="L594">
        <v>334.606666666666</v>
      </c>
      <c r="M594">
        <v>362.56999999999903</v>
      </c>
      <c r="N594">
        <v>342.64666666666602</v>
      </c>
      <c r="O594">
        <v>333.56</v>
      </c>
      <c r="P594">
        <v>327.08</v>
      </c>
      <c r="Q594">
        <v>356.289999999999</v>
      </c>
      <c r="R594">
        <v>299.24999999999898</v>
      </c>
      <c r="S594">
        <v>338.33</v>
      </c>
      <c r="T594">
        <v>312.70666666666602</v>
      </c>
      <c r="U594">
        <v>299.00333333333299</v>
      </c>
      <c r="V594">
        <v>287.65666666666601</v>
      </c>
      <c r="W594">
        <v>359.166666666666</v>
      </c>
      <c r="X594">
        <v>330.599999999999</v>
      </c>
      <c r="Y594">
        <v>341.69333333333299</v>
      </c>
      <c r="Z594">
        <v>339.80666666666599</v>
      </c>
      <c r="AA594">
        <v>334.19666666666598</v>
      </c>
      <c r="AB594">
        <v>334.19666666666598</v>
      </c>
      <c r="AC594">
        <v>382.42999999999898</v>
      </c>
      <c r="AD594">
        <v>338.183333333333</v>
      </c>
      <c r="AE594">
        <v>367.85333333333301</v>
      </c>
      <c r="AF594">
        <v>354.65</v>
      </c>
      <c r="AG594">
        <v>346.183333333333</v>
      </c>
      <c r="AH594">
        <v>342.19666666666598</v>
      </c>
      <c r="AI594">
        <v>376.863333333333</v>
      </c>
      <c r="AJ594">
        <v>334.606666666666</v>
      </c>
      <c r="AK594">
        <v>362.56999999999903</v>
      </c>
      <c r="AL594">
        <v>342.64666666666602</v>
      </c>
      <c r="AM594">
        <v>333.56</v>
      </c>
      <c r="AN594">
        <v>327.08</v>
      </c>
      <c r="AO594">
        <v>374.32666666666597</v>
      </c>
      <c r="AP594">
        <v>307.40333333333302</v>
      </c>
      <c r="AQ594">
        <v>355.729999999999</v>
      </c>
      <c r="AR594">
        <v>322.64</v>
      </c>
      <c r="AS594">
        <v>304.90666666666601</v>
      </c>
      <c r="AT594">
        <v>290.736666666666</v>
      </c>
      <c r="AU594">
        <v>387.78</v>
      </c>
      <c r="AV594">
        <v>335.82666666666597</v>
      </c>
      <c r="AW594">
        <v>370.933333333333</v>
      </c>
      <c r="AX594">
        <v>347.97</v>
      </c>
      <c r="AY594">
        <v>336.01666666666603</v>
      </c>
      <c r="AZ594">
        <v>327.27333333333303</v>
      </c>
      <c r="BA594">
        <v>379.70333333333298</v>
      </c>
      <c r="BB594">
        <v>325.25</v>
      </c>
      <c r="BC594">
        <v>362.683333333333</v>
      </c>
      <c r="BD594">
        <v>337.74</v>
      </c>
      <c r="BE594">
        <v>324.74666666666599</v>
      </c>
      <c r="BF594">
        <v>314.296666666666</v>
      </c>
      <c r="BG594" s="14"/>
      <c r="BH594" s="14"/>
      <c r="BI594" s="14"/>
      <c r="BJ594" s="199"/>
      <c r="BK594" s="14"/>
      <c r="BL594" s="14"/>
      <c r="BM594" s="14"/>
      <c r="BN594" s="14"/>
      <c r="BO594" s="14"/>
      <c r="BP594" s="14"/>
      <c r="BQ594" s="14"/>
      <c r="BR594" s="14"/>
      <c r="BS594" s="14"/>
      <c r="BT594" s="14"/>
      <c r="BU594" s="14"/>
      <c r="BV594" s="14"/>
      <c r="BW594" s="14"/>
      <c r="BX594" s="14"/>
      <c r="BY594" s="170"/>
    </row>
    <row r="595" spans="9:77" x14ac:dyDescent="0.25">
      <c r="I595">
        <v>5220</v>
      </c>
      <c r="J595" s="1" t="s">
        <v>771</v>
      </c>
      <c r="K595">
        <v>385.183333333333</v>
      </c>
      <c r="L595">
        <v>342.92666666666599</v>
      </c>
      <c r="M595">
        <v>370.88999999999902</v>
      </c>
      <c r="N595">
        <v>350.96666666666601</v>
      </c>
      <c r="O595">
        <v>341.88</v>
      </c>
      <c r="P595">
        <v>335.4</v>
      </c>
      <c r="Q595">
        <v>364.60999999999899</v>
      </c>
      <c r="R595">
        <v>307.56999999999903</v>
      </c>
      <c r="S595">
        <v>346.64999999999901</v>
      </c>
      <c r="T595">
        <v>321.02666666666602</v>
      </c>
      <c r="U595">
        <v>307.32333333333298</v>
      </c>
      <c r="V595">
        <v>295.97666666666601</v>
      </c>
      <c r="W595">
        <v>367.486666666666</v>
      </c>
      <c r="X595">
        <v>338.91999999999899</v>
      </c>
      <c r="Y595">
        <v>350.01333333333298</v>
      </c>
      <c r="Z595">
        <v>348.12666666666598</v>
      </c>
      <c r="AA595">
        <v>342.51666666666603</v>
      </c>
      <c r="AB595">
        <v>342.51666666666603</v>
      </c>
      <c r="AC595">
        <v>390.74999999999898</v>
      </c>
      <c r="AD595">
        <v>346.50333333333299</v>
      </c>
      <c r="AE595">
        <v>376.17333333333301</v>
      </c>
      <c r="AF595">
        <v>362.969999999999</v>
      </c>
      <c r="AG595">
        <v>354.50333333333299</v>
      </c>
      <c r="AH595">
        <v>350.51666666666603</v>
      </c>
      <c r="AI595">
        <v>385.183333333333</v>
      </c>
      <c r="AJ595">
        <v>342.92666666666599</v>
      </c>
      <c r="AK595">
        <v>370.88999999999902</v>
      </c>
      <c r="AL595">
        <v>350.96666666666601</v>
      </c>
      <c r="AM595">
        <v>341.88</v>
      </c>
      <c r="AN595">
        <v>335.4</v>
      </c>
      <c r="AO595">
        <v>382.64666666666602</v>
      </c>
      <c r="AP595">
        <v>315.72333333333302</v>
      </c>
      <c r="AQ595">
        <v>364.04999999999899</v>
      </c>
      <c r="AR595">
        <v>330.95999999999901</v>
      </c>
      <c r="AS595">
        <v>313.22666666666601</v>
      </c>
      <c r="AT595">
        <v>299.05666666666599</v>
      </c>
      <c r="AU595">
        <v>396.099999999999</v>
      </c>
      <c r="AV595">
        <v>344.14666666666602</v>
      </c>
      <c r="AW595">
        <v>379.25333333333299</v>
      </c>
      <c r="AX595">
        <v>356.29</v>
      </c>
      <c r="AY595">
        <v>344.33666666666602</v>
      </c>
      <c r="AZ595">
        <v>335.59333333333302</v>
      </c>
      <c r="BA595">
        <v>388.02333333333303</v>
      </c>
      <c r="BB595">
        <v>333.56999999999903</v>
      </c>
      <c r="BC595">
        <v>371.00333333333299</v>
      </c>
      <c r="BD595">
        <v>346.05999999999898</v>
      </c>
      <c r="BE595">
        <v>333.06666666666598</v>
      </c>
      <c r="BF595">
        <v>322.61666666666599</v>
      </c>
      <c r="BG595" s="14"/>
      <c r="BH595" s="14"/>
      <c r="BI595" s="14"/>
      <c r="BJ595" s="199"/>
      <c r="BK595" s="14"/>
      <c r="BL595" s="14"/>
      <c r="BM595" s="14"/>
      <c r="BN595" s="14"/>
      <c r="BO595" s="14"/>
      <c r="BP595" s="14"/>
      <c r="BQ595" s="14"/>
      <c r="BR595" s="14"/>
      <c r="BS595" s="14"/>
      <c r="BT595" s="14"/>
      <c r="BU595" s="14"/>
      <c r="BV595" s="14"/>
      <c r="BW595" s="14"/>
      <c r="BX595" s="14"/>
      <c r="BY595" s="170"/>
    </row>
    <row r="596" spans="9:77" x14ac:dyDescent="0.25">
      <c r="I596">
        <v>5230</v>
      </c>
      <c r="J596" s="1" t="s">
        <v>772</v>
      </c>
      <c r="K596">
        <v>385.183333333333</v>
      </c>
      <c r="L596">
        <v>342.92666666666599</v>
      </c>
      <c r="M596">
        <v>370.88999999999902</v>
      </c>
      <c r="N596">
        <v>350.96666666666601</v>
      </c>
      <c r="O596">
        <v>341.88</v>
      </c>
      <c r="P596">
        <v>335.4</v>
      </c>
      <c r="Q596">
        <v>364.60999999999899</v>
      </c>
      <c r="R596">
        <v>307.56999999999903</v>
      </c>
      <c r="S596">
        <v>346.64999999999901</v>
      </c>
      <c r="T596">
        <v>321.02666666666602</v>
      </c>
      <c r="U596">
        <v>307.32333333333298</v>
      </c>
      <c r="V596">
        <v>295.97666666666601</v>
      </c>
      <c r="W596">
        <v>367.486666666666</v>
      </c>
      <c r="X596">
        <v>338.91999999999899</v>
      </c>
      <c r="Y596">
        <v>350.01333333333298</v>
      </c>
      <c r="Z596">
        <v>348.12666666666598</v>
      </c>
      <c r="AA596">
        <v>342.51666666666603</v>
      </c>
      <c r="AB596">
        <v>342.51666666666603</v>
      </c>
      <c r="AC596">
        <v>390.74999999999898</v>
      </c>
      <c r="AD596">
        <v>346.50333333333299</v>
      </c>
      <c r="AE596">
        <v>376.17333333333301</v>
      </c>
      <c r="AF596">
        <v>362.969999999999</v>
      </c>
      <c r="AG596">
        <v>354.50333333333299</v>
      </c>
      <c r="AH596">
        <v>350.51666666666603</v>
      </c>
      <c r="AI596">
        <v>385.183333333333</v>
      </c>
      <c r="AJ596">
        <v>342.92666666666599</v>
      </c>
      <c r="AK596">
        <v>370.88999999999902</v>
      </c>
      <c r="AL596">
        <v>350.96666666666601</v>
      </c>
      <c r="AM596">
        <v>341.88</v>
      </c>
      <c r="AN596">
        <v>335.4</v>
      </c>
      <c r="AO596">
        <v>382.64666666666602</v>
      </c>
      <c r="AP596">
        <v>315.72333333333302</v>
      </c>
      <c r="AQ596">
        <v>364.04999999999899</v>
      </c>
      <c r="AR596">
        <v>330.95999999999901</v>
      </c>
      <c r="AS596">
        <v>313.22666666666601</v>
      </c>
      <c r="AT596">
        <v>299.05666666666599</v>
      </c>
      <c r="AU596">
        <v>396.099999999999</v>
      </c>
      <c r="AV596">
        <v>344.14666666666602</v>
      </c>
      <c r="AW596">
        <v>379.25333333333299</v>
      </c>
      <c r="AX596">
        <v>356.29</v>
      </c>
      <c r="AY596">
        <v>344.33666666666602</v>
      </c>
      <c r="AZ596">
        <v>335.59333333333302</v>
      </c>
      <c r="BA596">
        <v>388.02333333333303</v>
      </c>
      <c r="BB596">
        <v>333.56999999999903</v>
      </c>
      <c r="BC596">
        <v>371.00333333333299</v>
      </c>
      <c r="BD596">
        <v>346.05999999999898</v>
      </c>
      <c r="BE596">
        <v>333.06666666666598</v>
      </c>
      <c r="BF596">
        <v>322.61666666666599</v>
      </c>
      <c r="BG596" s="14"/>
      <c r="BH596" s="14"/>
      <c r="BI596" s="14"/>
      <c r="BJ596" s="199"/>
      <c r="BK596" s="14"/>
      <c r="BL596" s="14"/>
      <c r="BM596" s="14"/>
      <c r="BN596" s="14"/>
      <c r="BO596" s="14"/>
      <c r="BP596" s="14"/>
      <c r="BQ596" s="14"/>
      <c r="BR596" s="14"/>
      <c r="BS596" s="14"/>
      <c r="BT596" s="14"/>
      <c r="BU596" s="14"/>
      <c r="BV596" s="14"/>
      <c r="BW596" s="14"/>
      <c r="BX596" s="14"/>
      <c r="BY596" s="170"/>
    </row>
    <row r="597" spans="9:77" x14ac:dyDescent="0.25">
      <c r="I597">
        <v>5240</v>
      </c>
      <c r="J597" s="1" t="s">
        <v>773</v>
      </c>
      <c r="K597">
        <v>350.07333333333298</v>
      </c>
      <c r="L597">
        <v>307.81666666666598</v>
      </c>
      <c r="M597">
        <v>335.78</v>
      </c>
      <c r="N597">
        <v>315.856666666666</v>
      </c>
      <c r="O597">
        <v>306.77</v>
      </c>
      <c r="P597">
        <v>300.29000000000002</v>
      </c>
      <c r="Q597">
        <v>329.49999999999898</v>
      </c>
      <c r="R597">
        <v>272.45999999999901</v>
      </c>
      <c r="S597">
        <v>311.54000000000002</v>
      </c>
      <c r="T597">
        <v>285.916666666666</v>
      </c>
      <c r="U597">
        <v>272.21333333333303</v>
      </c>
      <c r="V597">
        <v>260.86666666666599</v>
      </c>
      <c r="W597">
        <v>332.37666666666598</v>
      </c>
      <c r="X597">
        <v>303.80999999999898</v>
      </c>
      <c r="Y597">
        <v>314.90333333333302</v>
      </c>
      <c r="Z597">
        <v>313.01666666666603</v>
      </c>
      <c r="AA597">
        <v>307.40666666666601</v>
      </c>
      <c r="AB597">
        <v>307.40666666666601</v>
      </c>
      <c r="AC597">
        <v>355.63999999999902</v>
      </c>
      <c r="AD597">
        <v>311.39333333333298</v>
      </c>
      <c r="AE597">
        <v>341.06333333333299</v>
      </c>
      <c r="AF597">
        <v>327.86</v>
      </c>
      <c r="AG597">
        <v>319.39333333333298</v>
      </c>
      <c r="AH597">
        <v>315.40666666666601</v>
      </c>
      <c r="AI597">
        <v>350.07333333333298</v>
      </c>
      <c r="AJ597">
        <v>307.81666666666598</v>
      </c>
      <c r="AK597">
        <v>335.78</v>
      </c>
      <c r="AL597">
        <v>315.856666666666</v>
      </c>
      <c r="AM597">
        <v>306.77</v>
      </c>
      <c r="AN597">
        <v>300.29000000000002</v>
      </c>
      <c r="AO597">
        <v>347.53666666666601</v>
      </c>
      <c r="AP597">
        <v>280.613333333333</v>
      </c>
      <c r="AQ597">
        <v>328.94</v>
      </c>
      <c r="AR597">
        <v>295.85000000000002</v>
      </c>
      <c r="AS597">
        <v>278.11666666666599</v>
      </c>
      <c r="AT597">
        <v>263.94666666666598</v>
      </c>
      <c r="AU597">
        <v>360.99</v>
      </c>
      <c r="AV597">
        <v>309.03666666666601</v>
      </c>
      <c r="AW597">
        <v>344.14333333333298</v>
      </c>
      <c r="AX597">
        <v>321.18</v>
      </c>
      <c r="AY597">
        <v>309.22666666666601</v>
      </c>
      <c r="AZ597">
        <v>300.48333333333301</v>
      </c>
      <c r="BA597">
        <v>352.91333333333301</v>
      </c>
      <c r="BB597">
        <v>298.45999999999998</v>
      </c>
      <c r="BC597">
        <v>335.89333333333298</v>
      </c>
      <c r="BD597">
        <v>310.95</v>
      </c>
      <c r="BE597">
        <v>297.95666666666602</v>
      </c>
      <c r="BF597">
        <v>287.50666666666598</v>
      </c>
      <c r="BG597" s="14"/>
      <c r="BH597" s="14"/>
      <c r="BI597" s="14"/>
      <c r="BJ597" s="199"/>
      <c r="BK597" s="14"/>
      <c r="BL597" s="14"/>
      <c r="BM597" s="14"/>
      <c r="BN597" s="14"/>
      <c r="BO597" s="14"/>
      <c r="BP597" s="14"/>
      <c r="BQ597" s="14"/>
      <c r="BR597" s="14"/>
      <c r="BS597" s="14"/>
      <c r="BT597" s="14"/>
      <c r="BU597" s="14"/>
      <c r="BV597" s="14"/>
      <c r="BW597" s="14"/>
      <c r="BX597" s="14"/>
      <c r="BY597" s="170"/>
    </row>
    <row r="598" spans="9:77" x14ac:dyDescent="0.25">
      <c r="I598">
        <v>5250</v>
      </c>
      <c r="J598" s="1" t="s">
        <v>774</v>
      </c>
      <c r="K598">
        <v>433.03333333333302</v>
      </c>
      <c r="L598">
        <v>390.77666666666602</v>
      </c>
      <c r="M598">
        <v>418.73999999999899</v>
      </c>
      <c r="N598">
        <v>398.81666666666598</v>
      </c>
      <c r="O598">
        <v>389.73</v>
      </c>
      <c r="P598">
        <v>383.25</v>
      </c>
      <c r="Q598">
        <v>412.45999999999901</v>
      </c>
      <c r="R598">
        <v>355.41999999999899</v>
      </c>
      <c r="S598">
        <v>394.5</v>
      </c>
      <c r="T598">
        <v>368.87666666666598</v>
      </c>
      <c r="U598">
        <v>355.17333333333301</v>
      </c>
      <c r="V598">
        <v>343.82666666666597</v>
      </c>
      <c r="W598">
        <v>415.33666666666602</v>
      </c>
      <c r="X598">
        <v>386.76999999999902</v>
      </c>
      <c r="Y598">
        <v>397.863333333333</v>
      </c>
      <c r="Z598">
        <v>395.97666666666601</v>
      </c>
      <c r="AA598">
        <v>390.36666666666599</v>
      </c>
      <c r="AB598">
        <v>390.36666666666599</v>
      </c>
      <c r="AC598">
        <v>438.599999999999</v>
      </c>
      <c r="AD598">
        <v>394.35333333333301</v>
      </c>
      <c r="AE598">
        <v>424.02333333333303</v>
      </c>
      <c r="AF598">
        <v>410.81999999999903</v>
      </c>
      <c r="AG598">
        <v>402.35333333333301</v>
      </c>
      <c r="AH598">
        <v>398.36666666666599</v>
      </c>
      <c r="AI598">
        <v>433.03333333333302</v>
      </c>
      <c r="AJ598">
        <v>390.77666666666602</v>
      </c>
      <c r="AK598">
        <v>418.73999999999899</v>
      </c>
      <c r="AL598">
        <v>398.81666666666598</v>
      </c>
      <c r="AM598">
        <v>389.73</v>
      </c>
      <c r="AN598">
        <v>383.25</v>
      </c>
      <c r="AO598">
        <v>430.49666666666599</v>
      </c>
      <c r="AP598">
        <v>363.57333333333298</v>
      </c>
      <c r="AQ598">
        <v>411.89999999999901</v>
      </c>
      <c r="AR598">
        <v>378.81</v>
      </c>
      <c r="AS598">
        <v>361.07666666666597</v>
      </c>
      <c r="AT598">
        <v>346.90666666666601</v>
      </c>
      <c r="AU598">
        <v>443.94999999999902</v>
      </c>
      <c r="AV598">
        <v>391.99666666666599</v>
      </c>
      <c r="AW598">
        <v>427.10333333333301</v>
      </c>
      <c r="AX598">
        <v>404.14</v>
      </c>
      <c r="AY598">
        <v>392.18666666666599</v>
      </c>
      <c r="AZ598">
        <v>383.44333333333299</v>
      </c>
      <c r="BA598">
        <v>435.87333333333299</v>
      </c>
      <c r="BB598">
        <v>381.42</v>
      </c>
      <c r="BC598">
        <v>418.85333333333301</v>
      </c>
      <c r="BD598">
        <v>393.909999999999</v>
      </c>
      <c r="BE598">
        <v>380.916666666666</v>
      </c>
      <c r="BF598">
        <v>370.46666666666601</v>
      </c>
      <c r="BG598" s="14"/>
      <c r="BH598" s="14"/>
      <c r="BI598" s="14"/>
      <c r="BJ598" s="199"/>
      <c r="BK598" s="14"/>
      <c r="BL598" s="14"/>
      <c r="BM598" s="14"/>
      <c r="BN598" s="14"/>
      <c r="BO598" s="14"/>
      <c r="BP598" s="14"/>
      <c r="BQ598" s="14"/>
      <c r="BR598" s="14"/>
      <c r="BS598" s="14"/>
      <c r="BT598" s="14"/>
      <c r="BU598" s="14"/>
      <c r="BV598" s="14"/>
      <c r="BW598" s="14"/>
      <c r="BX598" s="14"/>
      <c r="BY598" s="170"/>
    </row>
    <row r="599" spans="9:77" x14ac:dyDescent="0.25">
      <c r="I599">
        <v>5260</v>
      </c>
      <c r="J599" s="1" t="s">
        <v>775</v>
      </c>
      <c r="K599">
        <v>433.03333333333302</v>
      </c>
      <c r="L599">
        <v>390.77666666666602</v>
      </c>
      <c r="M599">
        <v>418.73999999999899</v>
      </c>
      <c r="N599">
        <v>398.81666666666598</v>
      </c>
      <c r="O599">
        <v>389.73</v>
      </c>
      <c r="P599">
        <v>383.25</v>
      </c>
      <c r="Q599">
        <v>412.45999999999901</v>
      </c>
      <c r="R599">
        <v>355.41999999999899</v>
      </c>
      <c r="S599">
        <v>394.5</v>
      </c>
      <c r="T599">
        <v>368.87666666666598</v>
      </c>
      <c r="U599">
        <v>355.17333333333301</v>
      </c>
      <c r="V599">
        <v>343.82666666666597</v>
      </c>
      <c r="W599">
        <v>415.33666666666602</v>
      </c>
      <c r="X599">
        <v>386.76999999999902</v>
      </c>
      <c r="Y599">
        <v>397.863333333333</v>
      </c>
      <c r="Z599">
        <v>395.97666666666601</v>
      </c>
      <c r="AA599">
        <v>390.36666666666599</v>
      </c>
      <c r="AB599">
        <v>390.36666666666599</v>
      </c>
      <c r="AC599">
        <v>438.599999999999</v>
      </c>
      <c r="AD599">
        <v>394.35333333333301</v>
      </c>
      <c r="AE599">
        <v>424.02333333333303</v>
      </c>
      <c r="AF599">
        <v>410.81999999999903</v>
      </c>
      <c r="AG599">
        <v>402.35333333333301</v>
      </c>
      <c r="AH599">
        <v>398.36666666666599</v>
      </c>
      <c r="AI599">
        <v>433.03333333333302</v>
      </c>
      <c r="AJ599">
        <v>390.77666666666602</v>
      </c>
      <c r="AK599">
        <v>418.73999999999899</v>
      </c>
      <c r="AL599">
        <v>398.81666666666598</v>
      </c>
      <c r="AM599">
        <v>389.73</v>
      </c>
      <c r="AN599">
        <v>383.25</v>
      </c>
      <c r="AO599">
        <v>430.49666666666599</v>
      </c>
      <c r="AP599">
        <v>363.57333333333298</v>
      </c>
      <c r="AQ599">
        <v>411.89999999999901</v>
      </c>
      <c r="AR599">
        <v>378.81</v>
      </c>
      <c r="AS599">
        <v>361.07666666666597</v>
      </c>
      <c r="AT599">
        <v>346.90666666666601</v>
      </c>
      <c r="AU599">
        <v>443.94999999999902</v>
      </c>
      <c r="AV599">
        <v>391.99666666666599</v>
      </c>
      <c r="AW599">
        <v>427.10333333333301</v>
      </c>
      <c r="AX599">
        <v>404.14</v>
      </c>
      <c r="AY599">
        <v>392.18666666666599</v>
      </c>
      <c r="AZ599">
        <v>383.44333333333299</v>
      </c>
      <c r="BA599">
        <v>435.87333333333299</v>
      </c>
      <c r="BB599">
        <v>381.42</v>
      </c>
      <c r="BC599">
        <v>418.85333333333301</v>
      </c>
      <c r="BD599">
        <v>393.909999999999</v>
      </c>
      <c r="BE599">
        <v>380.916666666666</v>
      </c>
      <c r="BF599">
        <v>370.46666666666601</v>
      </c>
      <c r="BG599" s="14"/>
      <c r="BH599" s="14"/>
      <c r="BI599" s="14"/>
      <c r="BJ599" s="199"/>
      <c r="BK599" s="14"/>
      <c r="BL599" s="14"/>
      <c r="BM599" s="14"/>
      <c r="BN599" s="14"/>
      <c r="BO599" s="14"/>
      <c r="BP599" s="14"/>
      <c r="BQ599" s="14"/>
      <c r="BR599" s="14"/>
      <c r="BS599" s="14"/>
      <c r="BT599" s="14"/>
      <c r="BU599" s="14"/>
      <c r="BV599" s="14"/>
      <c r="BW599" s="14"/>
      <c r="BX599" s="14"/>
      <c r="BY599" s="170"/>
    </row>
    <row r="600" spans="9:77" x14ac:dyDescent="0.25">
      <c r="I600">
        <v>5270</v>
      </c>
      <c r="J600" s="1" t="s">
        <v>776</v>
      </c>
      <c r="K600">
        <v>376.863333333333</v>
      </c>
      <c r="L600">
        <v>334.606666666666</v>
      </c>
      <c r="M600">
        <v>362.56999999999903</v>
      </c>
      <c r="N600">
        <v>342.64666666666602</v>
      </c>
      <c r="O600">
        <v>333.56</v>
      </c>
      <c r="P600">
        <v>327.08</v>
      </c>
      <c r="Q600">
        <v>356.289999999999</v>
      </c>
      <c r="R600">
        <v>299.24999999999898</v>
      </c>
      <c r="S600">
        <v>338.33</v>
      </c>
      <c r="T600">
        <v>312.70666666666602</v>
      </c>
      <c r="U600">
        <v>299.00333333333299</v>
      </c>
      <c r="V600">
        <v>287.65666666666601</v>
      </c>
      <c r="W600">
        <v>359.166666666666</v>
      </c>
      <c r="X600">
        <v>330.599999999999</v>
      </c>
      <c r="Y600">
        <v>341.69333333333299</v>
      </c>
      <c r="Z600">
        <v>339.80666666666599</v>
      </c>
      <c r="AA600">
        <v>334.19666666666598</v>
      </c>
      <c r="AB600">
        <v>334.19666666666598</v>
      </c>
      <c r="AC600">
        <v>382.42999999999898</v>
      </c>
      <c r="AD600">
        <v>338.183333333333</v>
      </c>
      <c r="AE600">
        <v>367.85333333333301</v>
      </c>
      <c r="AF600">
        <v>354.65</v>
      </c>
      <c r="AG600">
        <v>346.183333333333</v>
      </c>
      <c r="AH600">
        <v>342.19666666666598</v>
      </c>
      <c r="AI600">
        <v>376.863333333333</v>
      </c>
      <c r="AJ600">
        <v>334.606666666666</v>
      </c>
      <c r="AK600">
        <v>362.56999999999903</v>
      </c>
      <c r="AL600">
        <v>342.64666666666602</v>
      </c>
      <c r="AM600">
        <v>333.56</v>
      </c>
      <c r="AN600">
        <v>327.08</v>
      </c>
      <c r="AO600">
        <v>374.32666666666597</v>
      </c>
      <c r="AP600">
        <v>307.40333333333302</v>
      </c>
      <c r="AQ600">
        <v>355.729999999999</v>
      </c>
      <c r="AR600">
        <v>322.64</v>
      </c>
      <c r="AS600">
        <v>304.90666666666601</v>
      </c>
      <c r="AT600">
        <v>290.736666666666</v>
      </c>
      <c r="AU600">
        <v>387.78</v>
      </c>
      <c r="AV600">
        <v>335.82666666666597</v>
      </c>
      <c r="AW600">
        <v>370.933333333333</v>
      </c>
      <c r="AX600">
        <v>347.97</v>
      </c>
      <c r="AY600">
        <v>336.01666666666603</v>
      </c>
      <c r="AZ600">
        <v>327.27333333333303</v>
      </c>
      <c r="BA600">
        <v>379.70333333333298</v>
      </c>
      <c r="BB600">
        <v>325.25</v>
      </c>
      <c r="BC600">
        <v>362.683333333333</v>
      </c>
      <c r="BD600">
        <v>337.74</v>
      </c>
      <c r="BE600">
        <v>324.74666666666599</v>
      </c>
      <c r="BF600">
        <v>314.296666666666</v>
      </c>
      <c r="BG600" s="14"/>
      <c r="BH600" s="14"/>
      <c r="BI600" s="14"/>
      <c r="BJ600" s="199"/>
      <c r="BK600" s="14"/>
      <c r="BL600" s="14"/>
      <c r="BM600" s="14"/>
      <c r="BN600" s="14"/>
      <c r="BO600" s="14"/>
      <c r="BP600" s="14"/>
      <c r="BQ600" s="14"/>
      <c r="BR600" s="14"/>
      <c r="BS600" s="14"/>
      <c r="BT600" s="14"/>
      <c r="BU600" s="14"/>
      <c r="BV600" s="14"/>
      <c r="BW600" s="14"/>
      <c r="BX600" s="14"/>
      <c r="BY600" s="170"/>
    </row>
    <row r="601" spans="9:77" x14ac:dyDescent="0.25">
      <c r="I601">
        <v>5290</v>
      </c>
      <c r="J601" s="1" t="s">
        <v>777</v>
      </c>
      <c r="K601">
        <v>385.183333333333</v>
      </c>
      <c r="L601">
        <v>342.92666666666599</v>
      </c>
      <c r="M601">
        <v>370.88999999999902</v>
      </c>
      <c r="N601">
        <v>350.96666666666601</v>
      </c>
      <c r="O601">
        <v>341.88</v>
      </c>
      <c r="P601">
        <v>335.4</v>
      </c>
      <c r="Q601">
        <v>364.60999999999899</v>
      </c>
      <c r="R601">
        <v>307.56999999999903</v>
      </c>
      <c r="S601">
        <v>346.64999999999901</v>
      </c>
      <c r="T601">
        <v>321.02666666666602</v>
      </c>
      <c r="U601">
        <v>307.32333333333298</v>
      </c>
      <c r="V601">
        <v>295.97666666666601</v>
      </c>
      <c r="W601">
        <v>367.486666666666</v>
      </c>
      <c r="X601">
        <v>338.91999999999899</v>
      </c>
      <c r="Y601">
        <v>350.01333333333298</v>
      </c>
      <c r="Z601">
        <v>348.12666666666598</v>
      </c>
      <c r="AA601">
        <v>342.51666666666603</v>
      </c>
      <c r="AB601">
        <v>342.51666666666603</v>
      </c>
      <c r="AC601">
        <v>390.74999999999898</v>
      </c>
      <c r="AD601">
        <v>346.50333333333299</v>
      </c>
      <c r="AE601">
        <v>376.17333333333301</v>
      </c>
      <c r="AF601">
        <v>362.969999999999</v>
      </c>
      <c r="AG601">
        <v>354.50333333333299</v>
      </c>
      <c r="AH601">
        <v>350.51666666666603</v>
      </c>
      <c r="AI601">
        <v>385.183333333333</v>
      </c>
      <c r="AJ601">
        <v>342.92666666666599</v>
      </c>
      <c r="AK601">
        <v>370.88999999999902</v>
      </c>
      <c r="AL601">
        <v>350.96666666666601</v>
      </c>
      <c r="AM601">
        <v>341.88</v>
      </c>
      <c r="AN601">
        <v>335.4</v>
      </c>
      <c r="AO601">
        <v>382.64666666666602</v>
      </c>
      <c r="AP601">
        <v>315.72333333333302</v>
      </c>
      <c r="AQ601">
        <v>364.04999999999899</v>
      </c>
      <c r="AR601">
        <v>330.95999999999901</v>
      </c>
      <c r="AS601">
        <v>313.22666666666601</v>
      </c>
      <c r="AT601">
        <v>299.05666666666599</v>
      </c>
      <c r="AU601">
        <v>396.099999999999</v>
      </c>
      <c r="AV601">
        <v>344.14666666666602</v>
      </c>
      <c r="AW601">
        <v>379.25333333333299</v>
      </c>
      <c r="AX601">
        <v>356.29</v>
      </c>
      <c r="AY601">
        <v>344.33666666666602</v>
      </c>
      <c r="AZ601">
        <v>335.59333333333302</v>
      </c>
      <c r="BA601">
        <v>388.02333333333303</v>
      </c>
      <c r="BB601">
        <v>333.56999999999903</v>
      </c>
      <c r="BC601">
        <v>371.00333333333299</v>
      </c>
      <c r="BD601">
        <v>346.05999999999898</v>
      </c>
      <c r="BE601">
        <v>333.06666666666598</v>
      </c>
      <c r="BF601">
        <v>322.61666666666599</v>
      </c>
      <c r="BG601" s="14"/>
      <c r="BH601" s="14"/>
      <c r="BI601" s="14"/>
      <c r="BJ601" s="199"/>
      <c r="BK601" s="14"/>
      <c r="BL601" s="14"/>
      <c r="BM601" s="14"/>
      <c r="BN601" s="14"/>
      <c r="BO601" s="14"/>
      <c r="BP601" s="14"/>
      <c r="BQ601" s="14"/>
      <c r="BR601" s="14"/>
      <c r="BS601" s="14"/>
      <c r="BT601" s="14"/>
      <c r="BU601" s="14"/>
      <c r="BV601" s="14"/>
      <c r="BW601" s="14"/>
      <c r="BX601" s="14"/>
      <c r="BY601" s="170"/>
    </row>
    <row r="602" spans="9:77" x14ac:dyDescent="0.25">
      <c r="I602">
        <v>5300</v>
      </c>
      <c r="J602" s="1" t="s">
        <v>778</v>
      </c>
      <c r="K602">
        <v>329.863333333333</v>
      </c>
      <c r="L602">
        <v>287.606666666666</v>
      </c>
      <c r="M602">
        <v>315.56999999999903</v>
      </c>
      <c r="N602">
        <v>295.64666666666602</v>
      </c>
      <c r="O602">
        <v>286.56</v>
      </c>
      <c r="P602">
        <v>280.08</v>
      </c>
      <c r="Q602">
        <v>309.289999999999</v>
      </c>
      <c r="R602">
        <v>252.24999999999901</v>
      </c>
      <c r="S602">
        <v>291.33</v>
      </c>
      <c r="T602">
        <v>265.70666666666602</v>
      </c>
      <c r="U602">
        <v>252.00333333333299</v>
      </c>
      <c r="V602">
        <v>240.65666666666601</v>
      </c>
      <c r="W602">
        <v>312.166666666666</v>
      </c>
      <c r="X602">
        <v>283.599999999999</v>
      </c>
      <c r="Y602">
        <v>294.69333333333299</v>
      </c>
      <c r="Z602">
        <v>292.80666666666599</v>
      </c>
      <c r="AA602">
        <v>287.19666666666598</v>
      </c>
      <c r="AB602">
        <v>287.19666666666598</v>
      </c>
      <c r="AC602">
        <v>335.42999999999898</v>
      </c>
      <c r="AD602">
        <v>291.183333333333</v>
      </c>
      <c r="AE602">
        <v>320.85333333333301</v>
      </c>
      <c r="AF602">
        <v>307.64999999999998</v>
      </c>
      <c r="AG602">
        <v>299.183333333333</v>
      </c>
      <c r="AH602">
        <v>295.19666666666598</v>
      </c>
      <c r="AI602">
        <v>329.863333333333</v>
      </c>
      <c r="AJ602">
        <v>287.606666666666</v>
      </c>
      <c r="AK602">
        <v>315.56999999999903</v>
      </c>
      <c r="AL602">
        <v>295.64666666666602</v>
      </c>
      <c r="AM602">
        <v>286.56</v>
      </c>
      <c r="AN602">
        <v>280.08</v>
      </c>
      <c r="AO602">
        <v>327.32666666666597</v>
      </c>
      <c r="AP602">
        <v>260.40333333333302</v>
      </c>
      <c r="AQ602">
        <v>308.729999999999</v>
      </c>
      <c r="AR602">
        <v>275.64</v>
      </c>
      <c r="AS602">
        <v>257.90666666666601</v>
      </c>
      <c r="AT602">
        <v>243.736666666666</v>
      </c>
      <c r="AU602">
        <v>340.78</v>
      </c>
      <c r="AV602">
        <v>288.82666666666597</v>
      </c>
      <c r="AW602">
        <v>323.933333333333</v>
      </c>
      <c r="AX602">
        <v>300.97000000000003</v>
      </c>
      <c r="AY602">
        <v>289.01666666666603</v>
      </c>
      <c r="AZ602">
        <v>280.27333333333303</v>
      </c>
      <c r="BA602">
        <v>332.70333333333298</v>
      </c>
      <c r="BB602">
        <v>278.25</v>
      </c>
      <c r="BC602">
        <v>315.683333333333</v>
      </c>
      <c r="BD602">
        <v>290.74</v>
      </c>
      <c r="BE602">
        <v>277.74666666666599</v>
      </c>
      <c r="BF602">
        <v>267.296666666666</v>
      </c>
      <c r="BG602" s="14"/>
      <c r="BH602" s="14"/>
      <c r="BI602" s="14"/>
      <c r="BJ602" s="199"/>
      <c r="BK602" s="14"/>
      <c r="BL602" s="14"/>
      <c r="BM602" s="14"/>
      <c r="BN602" s="14"/>
      <c r="BO602" s="14"/>
      <c r="BP602" s="14"/>
      <c r="BQ602" s="14"/>
      <c r="BR602" s="14"/>
      <c r="BS602" s="14"/>
      <c r="BT602" s="14"/>
      <c r="BU602" s="14"/>
      <c r="BV602" s="14"/>
      <c r="BW602" s="14"/>
      <c r="BX602" s="14"/>
      <c r="BY602" s="170"/>
    </row>
    <row r="603" spans="9:77" x14ac:dyDescent="0.25">
      <c r="I603">
        <v>5320</v>
      </c>
      <c r="J603" s="1" t="s">
        <v>779</v>
      </c>
      <c r="K603">
        <v>350.07333333333298</v>
      </c>
      <c r="L603">
        <v>307.81666666666598</v>
      </c>
      <c r="M603">
        <v>335.78</v>
      </c>
      <c r="N603">
        <v>315.856666666666</v>
      </c>
      <c r="O603">
        <v>306.77</v>
      </c>
      <c r="P603">
        <v>300.29000000000002</v>
      </c>
      <c r="Q603">
        <v>329.49999999999898</v>
      </c>
      <c r="R603">
        <v>272.45999999999901</v>
      </c>
      <c r="S603">
        <v>311.54000000000002</v>
      </c>
      <c r="T603">
        <v>285.916666666666</v>
      </c>
      <c r="U603">
        <v>272.21333333333303</v>
      </c>
      <c r="V603">
        <v>260.86666666666599</v>
      </c>
      <c r="W603">
        <v>332.37666666666598</v>
      </c>
      <c r="X603">
        <v>303.80999999999898</v>
      </c>
      <c r="Y603">
        <v>314.90333333333302</v>
      </c>
      <c r="Z603">
        <v>313.01666666666603</v>
      </c>
      <c r="AA603">
        <v>307.40666666666601</v>
      </c>
      <c r="AB603">
        <v>307.40666666666601</v>
      </c>
      <c r="AC603">
        <v>355.63999999999902</v>
      </c>
      <c r="AD603">
        <v>311.39333333333298</v>
      </c>
      <c r="AE603">
        <v>341.06333333333299</v>
      </c>
      <c r="AF603">
        <v>327.86</v>
      </c>
      <c r="AG603">
        <v>319.39333333333298</v>
      </c>
      <c r="AH603">
        <v>315.40666666666601</v>
      </c>
      <c r="AI603">
        <v>350.07333333333298</v>
      </c>
      <c r="AJ603">
        <v>307.81666666666598</v>
      </c>
      <c r="AK603">
        <v>335.78</v>
      </c>
      <c r="AL603">
        <v>315.856666666666</v>
      </c>
      <c r="AM603">
        <v>306.77</v>
      </c>
      <c r="AN603">
        <v>300.29000000000002</v>
      </c>
      <c r="AO603">
        <v>347.53666666666601</v>
      </c>
      <c r="AP603">
        <v>280.613333333333</v>
      </c>
      <c r="AQ603">
        <v>328.94</v>
      </c>
      <c r="AR603">
        <v>295.85000000000002</v>
      </c>
      <c r="AS603">
        <v>278.11666666666599</v>
      </c>
      <c r="AT603">
        <v>263.94666666666598</v>
      </c>
      <c r="AU603">
        <v>360.99</v>
      </c>
      <c r="AV603">
        <v>309.03666666666601</v>
      </c>
      <c r="AW603">
        <v>344.14333333333298</v>
      </c>
      <c r="AX603">
        <v>321.18</v>
      </c>
      <c r="AY603">
        <v>309.22666666666601</v>
      </c>
      <c r="AZ603">
        <v>300.48333333333301</v>
      </c>
      <c r="BA603">
        <v>352.91333333333301</v>
      </c>
      <c r="BB603">
        <v>298.45999999999998</v>
      </c>
      <c r="BC603">
        <v>335.89333333333298</v>
      </c>
      <c r="BD603">
        <v>310.95</v>
      </c>
      <c r="BE603">
        <v>297.95666666666602</v>
      </c>
      <c r="BF603">
        <v>287.50666666666598</v>
      </c>
      <c r="BG603" s="14"/>
      <c r="BH603" s="14"/>
      <c r="BI603" s="14"/>
      <c r="BJ603" s="199"/>
      <c r="BK603" s="14"/>
      <c r="BL603" s="14"/>
      <c r="BM603" s="14"/>
      <c r="BN603" s="14"/>
      <c r="BO603" s="14"/>
      <c r="BP603" s="14"/>
      <c r="BQ603" s="14"/>
      <c r="BR603" s="14"/>
      <c r="BS603" s="14"/>
      <c r="BT603" s="14"/>
      <c r="BU603" s="14"/>
      <c r="BV603" s="14"/>
      <c r="BW603" s="14"/>
      <c r="BX603" s="14"/>
      <c r="BY603" s="170"/>
    </row>
    <row r="604" spans="9:77" x14ac:dyDescent="0.25">
      <c r="I604">
        <v>5330</v>
      </c>
      <c r="J604" s="1" t="s">
        <v>780</v>
      </c>
      <c r="K604">
        <v>350.07333333333298</v>
      </c>
      <c r="L604">
        <v>307.81666666666598</v>
      </c>
      <c r="M604">
        <v>335.78</v>
      </c>
      <c r="N604">
        <v>315.856666666666</v>
      </c>
      <c r="O604">
        <v>306.77</v>
      </c>
      <c r="P604">
        <v>300.29000000000002</v>
      </c>
      <c r="Q604">
        <v>329.49999999999898</v>
      </c>
      <c r="R604">
        <v>272.45999999999901</v>
      </c>
      <c r="S604">
        <v>311.54000000000002</v>
      </c>
      <c r="T604">
        <v>285.916666666666</v>
      </c>
      <c r="U604">
        <v>272.21333333333303</v>
      </c>
      <c r="V604">
        <v>260.86666666666599</v>
      </c>
      <c r="W604">
        <v>332.37666666666598</v>
      </c>
      <c r="X604">
        <v>303.80999999999898</v>
      </c>
      <c r="Y604">
        <v>314.90333333333302</v>
      </c>
      <c r="Z604">
        <v>313.01666666666603</v>
      </c>
      <c r="AA604">
        <v>307.40666666666601</v>
      </c>
      <c r="AB604">
        <v>307.40666666666601</v>
      </c>
      <c r="AC604">
        <v>355.63999999999902</v>
      </c>
      <c r="AD604">
        <v>311.39333333333298</v>
      </c>
      <c r="AE604">
        <v>341.06333333333299</v>
      </c>
      <c r="AF604">
        <v>327.86</v>
      </c>
      <c r="AG604">
        <v>319.39333333333298</v>
      </c>
      <c r="AH604">
        <v>315.40666666666601</v>
      </c>
      <c r="AI604">
        <v>350.07333333333298</v>
      </c>
      <c r="AJ604">
        <v>307.81666666666598</v>
      </c>
      <c r="AK604">
        <v>335.78</v>
      </c>
      <c r="AL604">
        <v>315.856666666666</v>
      </c>
      <c r="AM604">
        <v>306.77</v>
      </c>
      <c r="AN604">
        <v>300.29000000000002</v>
      </c>
      <c r="AO604">
        <v>347.53666666666601</v>
      </c>
      <c r="AP604">
        <v>280.613333333333</v>
      </c>
      <c r="AQ604">
        <v>328.94</v>
      </c>
      <c r="AR604">
        <v>295.85000000000002</v>
      </c>
      <c r="AS604">
        <v>278.11666666666599</v>
      </c>
      <c r="AT604">
        <v>263.94666666666598</v>
      </c>
      <c r="AU604">
        <v>360.99</v>
      </c>
      <c r="AV604">
        <v>309.03666666666601</v>
      </c>
      <c r="AW604">
        <v>344.14333333333298</v>
      </c>
      <c r="AX604">
        <v>321.18</v>
      </c>
      <c r="AY604">
        <v>309.22666666666601</v>
      </c>
      <c r="AZ604">
        <v>300.48333333333301</v>
      </c>
      <c r="BA604">
        <v>352.91333333333301</v>
      </c>
      <c r="BB604">
        <v>298.45999999999998</v>
      </c>
      <c r="BC604">
        <v>335.89333333333298</v>
      </c>
      <c r="BD604">
        <v>310.95</v>
      </c>
      <c r="BE604">
        <v>297.95666666666602</v>
      </c>
      <c r="BF604">
        <v>287.50666666666598</v>
      </c>
      <c r="BG604" s="14"/>
      <c r="BH604" s="14"/>
      <c r="BI604" s="14"/>
      <c r="BJ604" s="199"/>
      <c r="BK604" s="14"/>
      <c r="BL604" s="14"/>
      <c r="BM604" s="14"/>
      <c r="BN604" s="14"/>
      <c r="BO604" s="14"/>
      <c r="BP604" s="14"/>
      <c r="BQ604" s="14"/>
      <c r="BR604" s="14"/>
      <c r="BS604" s="14"/>
      <c r="BT604" s="14"/>
      <c r="BU604" s="14"/>
      <c r="BV604" s="14"/>
      <c r="BW604" s="14"/>
      <c r="BX604" s="14"/>
      <c r="BY604" s="170"/>
    </row>
    <row r="605" spans="9:77" x14ac:dyDescent="0.25">
      <c r="I605">
        <v>5350</v>
      </c>
      <c r="J605" s="1" t="s">
        <v>781</v>
      </c>
      <c r="K605">
        <v>395.243333333333</v>
      </c>
      <c r="L605">
        <v>352.986666666666</v>
      </c>
      <c r="M605">
        <v>380.94999999999902</v>
      </c>
      <c r="N605">
        <v>361.02666666666602</v>
      </c>
      <c r="O605">
        <v>351.94</v>
      </c>
      <c r="P605">
        <v>345.46</v>
      </c>
      <c r="Q605">
        <v>374.66999999999899</v>
      </c>
      <c r="R605">
        <v>317.62999999999897</v>
      </c>
      <c r="S605">
        <v>356.71</v>
      </c>
      <c r="T605">
        <v>331.08666666666602</v>
      </c>
      <c r="U605">
        <v>317.38333333333298</v>
      </c>
      <c r="V605">
        <v>306.03666666666601</v>
      </c>
      <c r="W605">
        <v>377.546666666666</v>
      </c>
      <c r="X605">
        <v>348.979999999999</v>
      </c>
      <c r="Y605">
        <v>360.07333333333298</v>
      </c>
      <c r="Z605">
        <v>358.18666666666599</v>
      </c>
      <c r="AA605">
        <v>352.57666666666597</v>
      </c>
      <c r="AB605">
        <v>352.57666666666597</v>
      </c>
      <c r="AC605">
        <v>400.80999999999898</v>
      </c>
      <c r="AD605">
        <v>356.56333333333299</v>
      </c>
      <c r="AE605">
        <v>386.23333333333301</v>
      </c>
      <c r="AF605">
        <v>373.03</v>
      </c>
      <c r="AG605">
        <v>364.56333333333299</v>
      </c>
      <c r="AH605">
        <v>360.57666666666597</v>
      </c>
      <c r="AI605">
        <v>395.243333333333</v>
      </c>
      <c r="AJ605">
        <v>352.986666666666</v>
      </c>
      <c r="AK605">
        <v>380.94999999999902</v>
      </c>
      <c r="AL605">
        <v>361.02666666666602</v>
      </c>
      <c r="AM605">
        <v>351.94</v>
      </c>
      <c r="AN605">
        <v>345.46</v>
      </c>
      <c r="AO605">
        <v>392.70666666666602</v>
      </c>
      <c r="AP605">
        <v>325.78333333333302</v>
      </c>
      <c r="AQ605">
        <v>374.10999999999899</v>
      </c>
      <c r="AR605">
        <v>341.02</v>
      </c>
      <c r="AS605">
        <v>323.28666666666601</v>
      </c>
      <c r="AT605">
        <v>309.11666666666599</v>
      </c>
      <c r="AU605">
        <v>406.16</v>
      </c>
      <c r="AV605">
        <v>354.20666666666602</v>
      </c>
      <c r="AW605">
        <v>389.31333333333299</v>
      </c>
      <c r="AX605">
        <v>366.35</v>
      </c>
      <c r="AY605">
        <v>354.39666666666602</v>
      </c>
      <c r="AZ605">
        <v>345.65333333333302</v>
      </c>
      <c r="BA605">
        <v>398.08333333333297</v>
      </c>
      <c r="BB605">
        <v>343.63</v>
      </c>
      <c r="BC605">
        <v>381.06333333333299</v>
      </c>
      <c r="BD605">
        <v>356.12</v>
      </c>
      <c r="BE605">
        <v>343.12666666666598</v>
      </c>
      <c r="BF605">
        <v>332.67666666666599</v>
      </c>
      <c r="BG605" s="14"/>
      <c r="BH605" s="14"/>
      <c r="BI605" s="14"/>
      <c r="BJ605" s="199"/>
      <c r="BK605" s="14"/>
      <c r="BL605" s="14"/>
      <c r="BM605" s="14"/>
      <c r="BN605" s="14"/>
      <c r="BO605" s="14"/>
      <c r="BP605" s="14"/>
      <c r="BQ605" s="14"/>
      <c r="BR605" s="14"/>
      <c r="BS605" s="14"/>
      <c r="BT605" s="14"/>
      <c r="BU605" s="14"/>
      <c r="BV605" s="14"/>
      <c r="BW605" s="14"/>
      <c r="BX605" s="14"/>
      <c r="BY605" s="170"/>
    </row>
    <row r="606" spans="9:77" x14ac:dyDescent="0.25">
      <c r="I606">
        <v>5370</v>
      </c>
      <c r="J606" s="1" t="s">
        <v>782</v>
      </c>
      <c r="K606">
        <v>329.863333333333</v>
      </c>
      <c r="L606">
        <v>287.606666666666</v>
      </c>
      <c r="M606">
        <v>315.56999999999903</v>
      </c>
      <c r="N606">
        <v>295.64666666666602</v>
      </c>
      <c r="O606">
        <v>286.56</v>
      </c>
      <c r="P606">
        <v>280.08</v>
      </c>
      <c r="Q606">
        <v>309.289999999999</v>
      </c>
      <c r="R606">
        <v>252.24999999999901</v>
      </c>
      <c r="S606">
        <v>291.33</v>
      </c>
      <c r="T606">
        <v>265.70666666666602</v>
      </c>
      <c r="U606">
        <v>252.00333333333299</v>
      </c>
      <c r="V606">
        <v>240.65666666666601</v>
      </c>
      <c r="W606">
        <v>312.166666666666</v>
      </c>
      <c r="X606">
        <v>283.599999999999</v>
      </c>
      <c r="Y606">
        <v>294.69333333333299</v>
      </c>
      <c r="Z606">
        <v>292.80666666666599</v>
      </c>
      <c r="AA606">
        <v>287.19666666666598</v>
      </c>
      <c r="AB606">
        <v>287.19666666666598</v>
      </c>
      <c r="AC606">
        <v>335.42999999999898</v>
      </c>
      <c r="AD606">
        <v>291.183333333333</v>
      </c>
      <c r="AE606">
        <v>320.85333333333301</v>
      </c>
      <c r="AF606">
        <v>307.64999999999998</v>
      </c>
      <c r="AG606">
        <v>299.183333333333</v>
      </c>
      <c r="AH606">
        <v>295.19666666666598</v>
      </c>
      <c r="AI606">
        <v>329.863333333333</v>
      </c>
      <c r="AJ606">
        <v>287.606666666666</v>
      </c>
      <c r="AK606">
        <v>315.56999999999903</v>
      </c>
      <c r="AL606">
        <v>295.64666666666602</v>
      </c>
      <c r="AM606">
        <v>286.56</v>
      </c>
      <c r="AN606">
        <v>280.08</v>
      </c>
      <c r="AO606">
        <v>327.32666666666597</v>
      </c>
      <c r="AP606">
        <v>260.40333333333302</v>
      </c>
      <c r="AQ606">
        <v>308.729999999999</v>
      </c>
      <c r="AR606">
        <v>275.64</v>
      </c>
      <c r="AS606">
        <v>257.90666666666601</v>
      </c>
      <c r="AT606">
        <v>243.736666666666</v>
      </c>
      <c r="AU606">
        <v>340.78</v>
      </c>
      <c r="AV606">
        <v>288.82666666666597</v>
      </c>
      <c r="AW606">
        <v>323.933333333333</v>
      </c>
      <c r="AX606">
        <v>300.97000000000003</v>
      </c>
      <c r="AY606">
        <v>289.01666666666603</v>
      </c>
      <c r="AZ606">
        <v>280.27333333333303</v>
      </c>
      <c r="BA606">
        <v>332.70333333333298</v>
      </c>
      <c r="BB606">
        <v>278.25</v>
      </c>
      <c r="BC606">
        <v>315.683333333333</v>
      </c>
      <c r="BD606">
        <v>290.74</v>
      </c>
      <c r="BE606">
        <v>277.74666666666599</v>
      </c>
      <c r="BF606">
        <v>267.296666666666</v>
      </c>
      <c r="BG606" s="14"/>
      <c r="BH606" s="14"/>
      <c r="BI606" s="14"/>
      <c r="BJ606" s="199"/>
      <c r="BK606" s="14"/>
      <c r="BL606" s="14"/>
      <c r="BM606" s="14"/>
      <c r="BN606" s="14"/>
      <c r="BO606" s="14"/>
      <c r="BP606" s="14"/>
      <c r="BQ606" s="14"/>
      <c r="BR606" s="14"/>
      <c r="BS606" s="14"/>
      <c r="BT606" s="14"/>
      <c r="BU606" s="14"/>
      <c r="BV606" s="14"/>
      <c r="BW606" s="14"/>
      <c r="BX606" s="14"/>
      <c r="BY606" s="170"/>
    </row>
    <row r="607" spans="9:77" x14ac:dyDescent="0.25">
      <c r="I607">
        <v>5380</v>
      </c>
      <c r="J607" s="1" t="s">
        <v>783</v>
      </c>
      <c r="K607">
        <v>292.62333333333299</v>
      </c>
      <c r="L607">
        <v>250.36666666666599</v>
      </c>
      <c r="M607">
        <v>278.32999999999902</v>
      </c>
      <c r="N607">
        <v>258.40666666666601</v>
      </c>
      <c r="O607">
        <v>249.32</v>
      </c>
      <c r="P607">
        <v>242.84</v>
      </c>
      <c r="Q607">
        <v>272.04999999999899</v>
      </c>
      <c r="R607">
        <v>215.009999999999</v>
      </c>
      <c r="S607">
        <v>254.09</v>
      </c>
      <c r="T607">
        <v>228.46666666666599</v>
      </c>
      <c r="U607">
        <v>214.76333333333301</v>
      </c>
      <c r="V607">
        <v>203.416666666666</v>
      </c>
      <c r="W607">
        <v>274.92666666666599</v>
      </c>
      <c r="X607">
        <v>246.35999999999899</v>
      </c>
      <c r="Y607">
        <v>257.45333333333298</v>
      </c>
      <c r="Z607">
        <v>255.56666666666601</v>
      </c>
      <c r="AA607">
        <v>249.956666666666</v>
      </c>
      <c r="AB607">
        <v>249.956666666666</v>
      </c>
      <c r="AC607">
        <v>298.18999999999897</v>
      </c>
      <c r="AD607">
        <v>253.94333333333299</v>
      </c>
      <c r="AE607">
        <v>283.613333333333</v>
      </c>
      <c r="AF607">
        <v>270.41000000000003</v>
      </c>
      <c r="AG607">
        <v>261.94333333333299</v>
      </c>
      <c r="AH607">
        <v>257.95666666666602</v>
      </c>
      <c r="AI607">
        <v>292.62333333333299</v>
      </c>
      <c r="AJ607">
        <v>250.36666666666599</v>
      </c>
      <c r="AK607">
        <v>278.32999999999902</v>
      </c>
      <c r="AL607">
        <v>258.40666666666601</v>
      </c>
      <c r="AM607">
        <v>249.32</v>
      </c>
      <c r="AN607">
        <v>242.84</v>
      </c>
      <c r="AO607">
        <v>290.08666666666602</v>
      </c>
      <c r="AP607">
        <v>223.16333333333299</v>
      </c>
      <c r="AQ607">
        <v>271.48999999999899</v>
      </c>
      <c r="AR607">
        <v>238.4</v>
      </c>
      <c r="AS607">
        <v>220.666666666666</v>
      </c>
      <c r="AT607">
        <v>206.49666666666599</v>
      </c>
      <c r="AU607">
        <v>303.54000000000002</v>
      </c>
      <c r="AV607">
        <v>251.58666666666599</v>
      </c>
      <c r="AW607">
        <v>286.69333333333299</v>
      </c>
      <c r="AX607">
        <v>263.73</v>
      </c>
      <c r="AY607">
        <v>251.77666666666599</v>
      </c>
      <c r="AZ607">
        <v>243.03333333333299</v>
      </c>
      <c r="BA607">
        <v>295.46333333333303</v>
      </c>
      <c r="BB607">
        <v>241.01</v>
      </c>
      <c r="BC607">
        <v>278.44333333333299</v>
      </c>
      <c r="BD607">
        <v>253.5</v>
      </c>
      <c r="BE607">
        <v>240.50666666666601</v>
      </c>
      <c r="BF607">
        <v>230.05666666666599</v>
      </c>
      <c r="BG607" s="14"/>
      <c r="BH607" s="14"/>
      <c r="BI607" s="14"/>
      <c r="BJ607" s="199"/>
      <c r="BK607" s="14"/>
      <c r="BL607" s="14"/>
      <c r="BM607" s="14"/>
      <c r="BN607" s="14"/>
      <c r="BO607" s="14"/>
      <c r="BP607" s="14"/>
      <c r="BQ607" s="14"/>
      <c r="BR607" s="14"/>
      <c r="BS607" s="14"/>
      <c r="BT607" s="14"/>
      <c r="BU607" s="14"/>
      <c r="BV607" s="14"/>
      <c r="BW607" s="14"/>
      <c r="BX607" s="14"/>
      <c r="BY607" s="170"/>
    </row>
    <row r="608" spans="9:77" x14ac:dyDescent="0.25">
      <c r="I608">
        <v>5390</v>
      </c>
      <c r="J608" s="1" t="s">
        <v>784</v>
      </c>
      <c r="K608">
        <v>292.62333333333299</v>
      </c>
      <c r="L608">
        <v>250.36666666666599</v>
      </c>
      <c r="M608">
        <v>278.32999999999902</v>
      </c>
      <c r="N608">
        <v>258.40666666666601</v>
      </c>
      <c r="O608">
        <v>249.32</v>
      </c>
      <c r="P608">
        <v>242.84</v>
      </c>
      <c r="Q608">
        <v>272.04999999999899</v>
      </c>
      <c r="R608">
        <v>215.009999999999</v>
      </c>
      <c r="S608">
        <v>254.09</v>
      </c>
      <c r="T608">
        <v>228.46666666666599</v>
      </c>
      <c r="U608">
        <v>214.76333333333301</v>
      </c>
      <c r="V608">
        <v>203.416666666666</v>
      </c>
      <c r="W608">
        <v>274.92666666666599</v>
      </c>
      <c r="X608">
        <v>246.35999999999899</v>
      </c>
      <c r="Y608">
        <v>257.45333333333298</v>
      </c>
      <c r="Z608">
        <v>255.56666666666601</v>
      </c>
      <c r="AA608">
        <v>249.956666666666</v>
      </c>
      <c r="AB608">
        <v>249.956666666666</v>
      </c>
      <c r="AC608">
        <v>298.18999999999897</v>
      </c>
      <c r="AD608">
        <v>253.94333333333299</v>
      </c>
      <c r="AE608">
        <v>283.613333333333</v>
      </c>
      <c r="AF608">
        <v>270.41000000000003</v>
      </c>
      <c r="AG608">
        <v>261.94333333333299</v>
      </c>
      <c r="AH608">
        <v>257.95666666666602</v>
      </c>
      <c r="AI608">
        <v>292.62333333333299</v>
      </c>
      <c r="AJ608">
        <v>250.36666666666599</v>
      </c>
      <c r="AK608">
        <v>278.32999999999902</v>
      </c>
      <c r="AL608">
        <v>258.40666666666601</v>
      </c>
      <c r="AM608">
        <v>249.32</v>
      </c>
      <c r="AN608">
        <v>242.84</v>
      </c>
      <c r="AO608">
        <v>290.08666666666602</v>
      </c>
      <c r="AP608">
        <v>223.16333333333299</v>
      </c>
      <c r="AQ608">
        <v>271.48999999999899</v>
      </c>
      <c r="AR608">
        <v>238.4</v>
      </c>
      <c r="AS608">
        <v>220.666666666666</v>
      </c>
      <c r="AT608">
        <v>206.49666666666599</v>
      </c>
      <c r="AU608">
        <v>303.54000000000002</v>
      </c>
      <c r="AV608">
        <v>251.58666666666599</v>
      </c>
      <c r="AW608">
        <v>286.69333333333299</v>
      </c>
      <c r="AX608">
        <v>263.73</v>
      </c>
      <c r="AY608">
        <v>251.77666666666599</v>
      </c>
      <c r="AZ608">
        <v>243.03333333333299</v>
      </c>
      <c r="BA608">
        <v>295.46333333333303</v>
      </c>
      <c r="BB608">
        <v>241.01</v>
      </c>
      <c r="BC608">
        <v>278.44333333333299</v>
      </c>
      <c r="BD608">
        <v>253.5</v>
      </c>
      <c r="BE608">
        <v>240.50666666666601</v>
      </c>
      <c r="BF608">
        <v>230.05666666666599</v>
      </c>
      <c r="BG608" s="14"/>
      <c r="BH608" s="14"/>
      <c r="BI608" s="14"/>
      <c r="BJ608" s="199"/>
      <c r="BK608" s="14"/>
      <c r="BL608" s="14"/>
      <c r="BM608" s="14"/>
      <c r="BN608" s="14"/>
      <c r="BO608" s="14"/>
      <c r="BP608" s="14"/>
      <c r="BQ608" s="14"/>
      <c r="BR608" s="14"/>
      <c r="BS608" s="14"/>
      <c r="BT608" s="14"/>
      <c r="BU608" s="14"/>
      <c r="BV608" s="14"/>
      <c r="BW608" s="14"/>
      <c r="BX608" s="14"/>
      <c r="BY608" s="170"/>
    </row>
    <row r="609" spans="9:77" x14ac:dyDescent="0.25">
      <c r="I609">
        <v>5400</v>
      </c>
      <c r="J609" s="1" t="s">
        <v>785</v>
      </c>
      <c r="K609">
        <v>346.03333333333302</v>
      </c>
      <c r="L609">
        <v>303.77666666666602</v>
      </c>
      <c r="M609">
        <v>331.73999999999899</v>
      </c>
      <c r="N609">
        <v>311.81666666666598</v>
      </c>
      <c r="O609">
        <v>302.73</v>
      </c>
      <c r="P609">
        <v>296.25</v>
      </c>
      <c r="Q609">
        <v>325.45999999999901</v>
      </c>
      <c r="R609">
        <v>268.41999999999899</v>
      </c>
      <c r="S609">
        <v>307.5</v>
      </c>
      <c r="T609">
        <v>281.87666666666598</v>
      </c>
      <c r="U609">
        <v>268.17333333333301</v>
      </c>
      <c r="V609">
        <v>256.82666666666597</v>
      </c>
      <c r="W609">
        <v>328.33666666666602</v>
      </c>
      <c r="X609">
        <v>299.76999999999902</v>
      </c>
      <c r="Y609">
        <v>310.863333333333</v>
      </c>
      <c r="Z609">
        <v>308.97666666666601</v>
      </c>
      <c r="AA609">
        <v>303.36666666666599</v>
      </c>
      <c r="AB609">
        <v>303.36666666666599</v>
      </c>
      <c r="AC609">
        <v>351.599999999999</v>
      </c>
      <c r="AD609">
        <v>307.35333333333301</v>
      </c>
      <c r="AE609">
        <v>337.02333333333303</v>
      </c>
      <c r="AF609">
        <v>323.81999999999903</v>
      </c>
      <c r="AG609">
        <v>315.35333333333301</v>
      </c>
      <c r="AH609">
        <v>311.36666666666599</v>
      </c>
      <c r="AI609">
        <v>346.03333333333302</v>
      </c>
      <c r="AJ609">
        <v>303.77666666666602</v>
      </c>
      <c r="AK609">
        <v>331.73999999999899</v>
      </c>
      <c r="AL609">
        <v>311.81666666666598</v>
      </c>
      <c r="AM609">
        <v>302.73</v>
      </c>
      <c r="AN609">
        <v>296.25</v>
      </c>
      <c r="AO609">
        <v>343.49666666666599</v>
      </c>
      <c r="AP609">
        <v>276.57333333333298</v>
      </c>
      <c r="AQ609">
        <v>324.89999999999901</v>
      </c>
      <c r="AR609">
        <v>291.81</v>
      </c>
      <c r="AS609">
        <v>274.07666666666597</v>
      </c>
      <c r="AT609">
        <v>259.90666666666601</v>
      </c>
      <c r="AU609">
        <v>356.94999999999902</v>
      </c>
      <c r="AV609">
        <v>304.99666666666599</v>
      </c>
      <c r="AW609">
        <v>340.10333333333301</v>
      </c>
      <c r="AX609">
        <v>317.14</v>
      </c>
      <c r="AY609">
        <v>305.18666666666599</v>
      </c>
      <c r="AZ609">
        <v>296.44333333333299</v>
      </c>
      <c r="BA609">
        <v>348.87333333333299</v>
      </c>
      <c r="BB609">
        <v>294.42</v>
      </c>
      <c r="BC609">
        <v>331.85333333333301</v>
      </c>
      <c r="BD609">
        <v>306.909999999999</v>
      </c>
      <c r="BE609">
        <v>293.916666666666</v>
      </c>
      <c r="BF609">
        <v>283.46666666666601</v>
      </c>
      <c r="BG609" s="14"/>
      <c r="BH609" s="14"/>
      <c r="BI609" s="14"/>
      <c r="BJ609" s="199"/>
      <c r="BK609" s="14"/>
      <c r="BL609" s="14"/>
      <c r="BM609" s="14"/>
      <c r="BN609" s="14"/>
      <c r="BO609" s="14"/>
      <c r="BP609" s="14"/>
      <c r="BQ609" s="14"/>
      <c r="BR609" s="14"/>
      <c r="BS609" s="14"/>
      <c r="BT609" s="14"/>
      <c r="BU609" s="14"/>
      <c r="BV609" s="14"/>
      <c r="BW609" s="14"/>
      <c r="BX609" s="14"/>
      <c r="BY609" s="170"/>
    </row>
    <row r="610" spans="9:77" x14ac:dyDescent="0.25">
      <c r="I610">
        <v>5450</v>
      </c>
      <c r="J610" s="1" t="s">
        <v>786</v>
      </c>
      <c r="K610">
        <v>302.553333333333</v>
      </c>
      <c r="L610">
        <v>260.296666666666</v>
      </c>
      <c r="M610">
        <v>288.26</v>
      </c>
      <c r="N610">
        <v>268.33666666666602</v>
      </c>
      <c r="O610">
        <v>259.25</v>
      </c>
      <c r="P610">
        <v>252.77</v>
      </c>
      <c r="Q610">
        <v>281.979999999999</v>
      </c>
      <c r="R610">
        <v>224.94</v>
      </c>
      <c r="S610">
        <v>264.02</v>
      </c>
      <c r="T610">
        <v>238.39666666666599</v>
      </c>
      <c r="U610">
        <v>224.69333333333299</v>
      </c>
      <c r="V610">
        <v>213.34666666666601</v>
      </c>
      <c r="W610">
        <v>284.856666666666</v>
      </c>
      <c r="X610">
        <v>256.289999999999</v>
      </c>
      <c r="Y610">
        <v>267.38333333333298</v>
      </c>
      <c r="Z610">
        <v>265.49666666666599</v>
      </c>
      <c r="AA610">
        <v>259.88666666666597</v>
      </c>
      <c r="AB610">
        <v>259.88666666666597</v>
      </c>
      <c r="AC610">
        <v>308.12</v>
      </c>
      <c r="AD610">
        <v>263.87333333333299</v>
      </c>
      <c r="AE610">
        <v>293.54333333333301</v>
      </c>
      <c r="AF610">
        <v>280.33999999999997</v>
      </c>
      <c r="AG610">
        <v>271.87333333333299</v>
      </c>
      <c r="AH610">
        <v>267.88666666666597</v>
      </c>
      <c r="AI610">
        <v>302.553333333333</v>
      </c>
      <c r="AJ610">
        <v>260.296666666666</v>
      </c>
      <c r="AK610">
        <v>288.26</v>
      </c>
      <c r="AL610">
        <v>268.33666666666602</v>
      </c>
      <c r="AM610">
        <v>259.25</v>
      </c>
      <c r="AN610">
        <v>252.77</v>
      </c>
      <c r="AO610">
        <v>300.01666666666603</v>
      </c>
      <c r="AP610">
        <v>233.09333333333299</v>
      </c>
      <c r="AQ610">
        <v>281.42</v>
      </c>
      <c r="AR610">
        <v>248.33</v>
      </c>
      <c r="AS610">
        <v>230.59666666666601</v>
      </c>
      <c r="AT610">
        <v>216.42666666666599</v>
      </c>
      <c r="AU610">
        <v>313.47000000000003</v>
      </c>
      <c r="AV610">
        <v>261.51666666666603</v>
      </c>
      <c r="AW610">
        <v>296.62333333333299</v>
      </c>
      <c r="AX610">
        <v>273.66000000000003</v>
      </c>
      <c r="AY610">
        <v>261.70666666666602</v>
      </c>
      <c r="AZ610">
        <v>252.963333333333</v>
      </c>
      <c r="BA610">
        <v>305.39333333333298</v>
      </c>
      <c r="BB610">
        <v>250.94</v>
      </c>
      <c r="BC610">
        <v>288.37333333333299</v>
      </c>
      <c r="BD610">
        <v>263.43</v>
      </c>
      <c r="BE610">
        <v>250.43666666666601</v>
      </c>
      <c r="BF610">
        <v>239.986666666666</v>
      </c>
      <c r="BG610" s="14"/>
      <c r="BH610" s="14"/>
      <c r="BI610" s="14"/>
      <c r="BJ610" s="199"/>
      <c r="BK610" s="14"/>
      <c r="BL610" s="14"/>
      <c r="BM610" s="14"/>
      <c r="BN610" s="14"/>
      <c r="BO610" s="14"/>
      <c r="BP610" s="14"/>
      <c r="BQ610" s="14"/>
      <c r="BR610" s="14"/>
      <c r="BS610" s="14"/>
      <c r="BT610" s="14"/>
      <c r="BU610" s="14"/>
      <c r="BV610" s="14"/>
      <c r="BW610" s="14"/>
      <c r="BX610" s="14"/>
      <c r="BY610" s="170"/>
    </row>
    <row r="611" spans="9:77" x14ac:dyDescent="0.25">
      <c r="I611">
        <v>5462</v>
      </c>
      <c r="J611" s="1" t="s">
        <v>787</v>
      </c>
      <c r="K611">
        <v>414.97333333333302</v>
      </c>
      <c r="L611">
        <v>372.71666666666601</v>
      </c>
      <c r="M611">
        <v>400.68</v>
      </c>
      <c r="N611">
        <v>380.75666666666598</v>
      </c>
      <c r="O611">
        <v>371.67</v>
      </c>
      <c r="P611">
        <v>365.19</v>
      </c>
      <c r="Q611">
        <v>394.39999999999901</v>
      </c>
      <c r="R611">
        <v>337.35999999999899</v>
      </c>
      <c r="S611">
        <v>376.44</v>
      </c>
      <c r="T611">
        <v>350.81666666666598</v>
      </c>
      <c r="U611">
        <v>337.113333333333</v>
      </c>
      <c r="V611">
        <v>325.76666666666603</v>
      </c>
      <c r="W611">
        <v>397.27666666666602</v>
      </c>
      <c r="X611">
        <v>368.70999999999901</v>
      </c>
      <c r="Y611">
        <v>379.803333333333</v>
      </c>
      <c r="Z611">
        <v>377.916666666666</v>
      </c>
      <c r="AA611">
        <v>372.30666666666599</v>
      </c>
      <c r="AB611">
        <v>372.30666666666599</v>
      </c>
      <c r="AC611">
        <v>420.539999999999</v>
      </c>
      <c r="AD611">
        <v>376.29333333333301</v>
      </c>
      <c r="AE611">
        <v>405.96333333333303</v>
      </c>
      <c r="AF611">
        <v>392.76</v>
      </c>
      <c r="AG611">
        <v>384.29333333333301</v>
      </c>
      <c r="AH611">
        <v>380.30666666666599</v>
      </c>
      <c r="AI611">
        <v>414.97333333333302</v>
      </c>
      <c r="AJ611">
        <v>372.71666666666601</v>
      </c>
      <c r="AK611">
        <v>400.68</v>
      </c>
      <c r="AL611">
        <v>380.75666666666598</v>
      </c>
      <c r="AM611">
        <v>371.67</v>
      </c>
      <c r="AN611">
        <v>365.19</v>
      </c>
      <c r="AO611">
        <v>412.43666666666599</v>
      </c>
      <c r="AP611">
        <v>345.51333333333298</v>
      </c>
      <c r="AQ611">
        <v>393.83999999999901</v>
      </c>
      <c r="AR611">
        <v>360.75</v>
      </c>
      <c r="AS611">
        <v>343.01666666666603</v>
      </c>
      <c r="AT611">
        <v>328.84666666666601</v>
      </c>
      <c r="AU611">
        <v>425.89</v>
      </c>
      <c r="AV611">
        <v>373.93666666666599</v>
      </c>
      <c r="AW611">
        <v>409.04333333333301</v>
      </c>
      <c r="AX611">
        <v>386.08</v>
      </c>
      <c r="AY611">
        <v>374.12666666666598</v>
      </c>
      <c r="AZ611">
        <v>365.38333333333298</v>
      </c>
      <c r="BA611">
        <v>417.81333333333299</v>
      </c>
      <c r="BB611">
        <v>363.36</v>
      </c>
      <c r="BC611">
        <v>400.79333333333301</v>
      </c>
      <c r="BD611">
        <v>375.85</v>
      </c>
      <c r="BE611">
        <v>362.856666666666</v>
      </c>
      <c r="BF611">
        <v>352.40666666666601</v>
      </c>
      <c r="BG611" s="14"/>
      <c r="BH611" s="14"/>
      <c r="BI611" s="14"/>
      <c r="BJ611" s="199"/>
      <c r="BK611" s="14"/>
      <c r="BL611" s="14"/>
      <c r="BM611" s="14"/>
      <c r="BN611" s="14"/>
      <c r="BO611" s="14"/>
      <c r="BP611" s="14"/>
      <c r="BQ611" s="14"/>
      <c r="BR611" s="14"/>
      <c r="BS611" s="14"/>
      <c r="BT611" s="14"/>
      <c r="BU611" s="14"/>
      <c r="BV611" s="14"/>
      <c r="BW611" s="14"/>
      <c r="BX611" s="14"/>
      <c r="BY611" s="170"/>
    </row>
    <row r="612" spans="9:77" x14ac:dyDescent="0.25">
      <c r="I612">
        <v>5463</v>
      </c>
      <c r="J612" s="1" t="s">
        <v>788</v>
      </c>
      <c r="K612">
        <v>413.73333333333301</v>
      </c>
      <c r="L612">
        <v>371.47666666666601</v>
      </c>
      <c r="M612">
        <v>399.43999999999897</v>
      </c>
      <c r="N612">
        <v>379.51666666666603</v>
      </c>
      <c r="O612">
        <v>370.42999999999898</v>
      </c>
      <c r="P612">
        <v>363.94999999999902</v>
      </c>
      <c r="Q612">
        <v>393.159999999999</v>
      </c>
      <c r="R612">
        <v>336.11999999999898</v>
      </c>
      <c r="S612">
        <v>375.19999999999902</v>
      </c>
      <c r="T612">
        <v>349.57666666666597</v>
      </c>
      <c r="U612">
        <v>335.87333333333299</v>
      </c>
      <c r="V612">
        <v>324.52666666666602</v>
      </c>
      <c r="W612">
        <v>396.03666666666601</v>
      </c>
      <c r="X612">
        <v>367.469999999999</v>
      </c>
      <c r="Y612">
        <v>378.56333333333299</v>
      </c>
      <c r="Z612">
        <v>376.67666666666599</v>
      </c>
      <c r="AA612">
        <v>371.06666666666598</v>
      </c>
      <c r="AB612">
        <v>371.06666666666598</v>
      </c>
      <c r="AC612">
        <v>419.29999999999899</v>
      </c>
      <c r="AD612">
        <v>375.053333333333</v>
      </c>
      <c r="AE612">
        <v>404.72333333333302</v>
      </c>
      <c r="AF612">
        <v>391.51999999999902</v>
      </c>
      <c r="AG612">
        <v>383.053333333333</v>
      </c>
      <c r="AH612">
        <v>379.06666666666598</v>
      </c>
      <c r="AI612">
        <v>413.73333333333301</v>
      </c>
      <c r="AJ612">
        <v>371.47666666666601</v>
      </c>
      <c r="AK612">
        <v>399.43999999999897</v>
      </c>
      <c r="AL612">
        <v>379.51666666666603</v>
      </c>
      <c r="AM612">
        <v>370.42999999999898</v>
      </c>
      <c r="AN612">
        <v>363.94999999999902</v>
      </c>
      <c r="AO612">
        <v>411.19666666666598</v>
      </c>
      <c r="AP612">
        <v>344.27333333333303</v>
      </c>
      <c r="AQ612">
        <v>392.599999999999</v>
      </c>
      <c r="AR612">
        <v>359.50999999999902</v>
      </c>
      <c r="AS612">
        <v>341.77666666666602</v>
      </c>
      <c r="AT612">
        <v>327.606666666666</v>
      </c>
      <c r="AU612">
        <v>424.64999999999901</v>
      </c>
      <c r="AV612">
        <v>372.69666666666598</v>
      </c>
      <c r="AW612">
        <v>407.803333333333</v>
      </c>
      <c r="AX612">
        <v>384.83999999999901</v>
      </c>
      <c r="AY612">
        <v>372.88666666666597</v>
      </c>
      <c r="AZ612">
        <v>364.14333333333298</v>
      </c>
      <c r="BA612">
        <v>416.57333333333298</v>
      </c>
      <c r="BB612">
        <v>362.11999999999898</v>
      </c>
      <c r="BC612">
        <v>399.553333333333</v>
      </c>
      <c r="BD612">
        <v>374.60999999999899</v>
      </c>
      <c r="BE612">
        <v>361.61666666666599</v>
      </c>
      <c r="BF612">
        <v>351.166666666666</v>
      </c>
      <c r="BG612" s="14"/>
      <c r="BH612" s="14"/>
      <c r="BI612" s="14"/>
      <c r="BJ612" s="199"/>
      <c r="BK612" s="14"/>
      <c r="BL612" s="14"/>
      <c r="BM612" s="14"/>
      <c r="BN612" s="14"/>
      <c r="BO612" s="14"/>
      <c r="BP612" s="14"/>
      <c r="BQ612" s="14"/>
      <c r="BR612" s="14"/>
      <c r="BS612" s="14"/>
      <c r="BT612" s="14"/>
      <c r="BU612" s="14"/>
      <c r="BV612" s="14"/>
      <c r="BW612" s="14"/>
      <c r="BX612" s="14"/>
      <c r="BY612" s="170"/>
    </row>
    <row r="613" spans="9:77" x14ac:dyDescent="0.25">
      <c r="I613">
        <v>5464</v>
      </c>
      <c r="J613" s="1" t="s">
        <v>789</v>
      </c>
      <c r="K613">
        <v>413.73333333333301</v>
      </c>
      <c r="L613">
        <v>371.47666666666601</v>
      </c>
      <c r="M613">
        <v>399.43999999999897</v>
      </c>
      <c r="N613">
        <v>379.51666666666603</v>
      </c>
      <c r="O613">
        <v>370.42999999999898</v>
      </c>
      <c r="P613">
        <v>363.94999999999902</v>
      </c>
      <c r="Q613">
        <v>393.159999999999</v>
      </c>
      <c r="R613">
        <v>336.11999999999898</v>
      </c>
      <c r="S613">
        <v>375.19999999999902</v>
      </c>
      <c r="T613">
        <v>349.57666666666597</v>
      </c>
      <c r="U613">
        <v>335.87333333333299</v>
      </c>
      <c r="V613">
        <v>324.52666666666602</v>
      </c>
      <c r="W613">
        <v>396.03666666666601</v>
      </c>
      <c r="X613">
        <v>367.469999999999</v>
      </c>
      <c r="Y613">
        <v>378.56333333333299</v>
      </c>
      <c r="Z613">
        <v>376.67666666666599</v>
      </c>
      <c r="AA613">
        <v>371.06666666666598</v>
      </c>
      <c r="AB613">
        <v>371.06666666666598</v>
      </c>
      <c r="AC613">
        <v>419.29999999999899</v>
      </c>
      <c r="AD613">
        <v>375.053333333333</v>
      </c>
      <c r="AE613">
        <v>404.72333333333302</v>
      </c>
      <c r="AF613">
        <v>391.51999999999902</v>
      </c>
      <c r="AG613">
        <v>383.053333333333</v>
      </c>
      <c r="AH613">
        <v>379.06666666666598</v>
      </c>
      <c r="AI613">
        <v>413.73333333333301</v>
      </c>
      <c r="AJ613">
        <v>371.47666666666601</v>
      </c>
      <c r="AK613">
        <v>399.43999999999897</v>
      </c>
      <c r="AL613">
        <v>379.51666666666603</v>
      </c>
      <c r="AM613">
        <v>370.42999999999898</v>
      </c>
      <c r="AN613">
        <v>363.94999999999902</v>
      </c>
      <c r="AO613">
        <v>411.19666666666598</v>
      </c>
      <c r="AP613">
        <v>344.27333333333303</v>
      </c>
      <c r="AQ613">
        <v>392.599999999999</v>
      </c>
      <c r="AR613">
        <v>359.50999999999902</v>
      </c>
      <c r="AS613">
        <v>341.77666666666602</v>
      </c>
      <c r="AT613">
        <v>327.606666666666</v>
      </c>
      <c r="AU613">
        <v>424.64999999999901</v>
      </c>
      <c r="AV613">
        <v>372.69666666666598</v>
      </c>
      <c r="AW613">
        <v>407.803333333333</v>
      </c>
      <c r="AX613">
        <v>384.83999999999901</v>
      </c>
      <c r="AY613">
        <v>372.88666666666597</v>
      </c>
      <c r="AZ613">
        <v>364.14333333333298</v>
      </c>
      <c r="BA613">
        <v>416.57333333333298</v>
      </c>
      <c r="BB613">
        <v>362.11999999999898</v>
      </c>
      <c r="BC613">
        <v>399.553333333333</v>
      </c>
      <c r="BD613">
        <v>374.60999999999899</v>
      </c>
      <c r="BE613">
        <v>361.61666666666599</v>
      </c>
      <c r="BF613">
        <v>351.166666666666</v>
      </c>
      <c r="BG613" s="14"/>
      <c r="BH613" s="14"/>
      <c r="BI613" s="14"/>
      <c r="BJ613" s="199"/>
      <c r="BK613" s="14"/>
      <c r="BL613" s="14"/>
      <c r="BM613" s="14"/>
      <c r="BN613" s="14"/>
      <c r="BO613" s="14"/>
      <c r="BP613" s="14"/>
      <c r="BQ613" s="14"/>
      <c r="BR613" s="14"/>
      <c r="BS613" s="14"/>
      <c r="BT613" s="14"/>
      <c r="BU613" s="14"/>
      <c r="BV613" s="14"/>
      <c r="BW613" s="14"/>
      <c r="BX613" s="14"/>
      <c r="BY613" s="170"/>
    </row>
    <row r="614" spans="9:77" x14ac:dyDescent="0.25">
      <c r="I614">
        <v>5466</v>
      </c>
      <c r="J614" s="1" t="s">
        <v>790</v>
      </c>
      <c r="K614">
        <v>368.62333333333299</v>
      </c>
      <c r="L614">
        <v>326.36666666666599</v>
      </c>
      <c r="M614">
        <v>354.32999999999902</v>
      </c>
      <c r="N614">
        <v>334.40666666666601</v>
      </c>
      <c r="O614">
        <v>325.31999999999903</v>
      </c>
      <c r="P614">
        <v>318.83999999999901</v>
      </c>
      <c r="Q614">
        <v>348.04999999999899</v>
      </c>
      <c r="R614">
        <v>291.00999999999902</v>
      </c>
      <c r="S614">
        <v>330.08999999999901</v>
      </c>
      <c r="T614">
        <v>304.46666666666601</v>
      </c>
      <c r="U614">
        <v>290.76333333333298</v>
      </c>
      <c r="V614">
        <v>279.416666666666</v>
      </c>
      <c r="W614">
        <v>350.92666666666599</v>
      </c>
      <c r="X614">
        <v>322.35999999999899</v>
      </c>
      <c r="Y614">
        <v>333.45333333333298</v>
      </c>
      <c r="Z614">
        <v>331.56666666666598</v>
      </c>
      <c r="AA614">
        <v>325.95666666666602</v>
      </c>
      <c r="AB614">
        <v>325.95666666666602</v>
      </c>
      <c r="AC614">
        <v>374.18999999999897</v>
      </c>
      <c r="AD614">
        <v>329.94333333333299</v>
      </c>
      <c r="AE614">
        <v>359.613333333333</v>
      </c>
      <c r="AF614">
        <v>346.409999999999</v>
      </c>
      <c r="AG614">
        <v>337.94333333333299</v>
      </c>
      <c r="AH614">
        <v>333.95666666666602</v>
      </c>
      <c r="AI614">
        <v>368.62333333333299</v>
      </c>
      <c r="AJ614">
        <v>326.36666666666599</v>
      </c>
      <c r="AK614">
        <v>354.32999999999902</v>
      </c>
      <c r="AL614">
        <v>334.40666666666601</v>
      </c>
      <c r="AM614">
        <v>325.31999999999903</v>
      </c>
      <c r="AN614">
        <v>318.83999999999901</v>
      </c>
      <c r="AO614">
        <v>366.08666666666602</v>
      </c>
      <c r="AP614">
        <v>299.16333333333301</v>
      </c>
      <c r="AQ614">
        <v>347.48999999999899</v>
      </c>
      <c r="AR614">
        <v>314.39999999999901</v>
      </c>
      <c r="AS614">
        <v>296.666666666666</v>
      </c>
      <c r="AT614">
        <v>282.49666666666599</v>
      </c>
      <c r="AU614">
        <v>379.539999999999</v>
      </c>
      <c r="AV614">
        <v>327.58666666666602</v>
      </c>
      <c r="AW614">
        <v>362.69333333333299</v>
      </c>
      <c r="AX614">
        <v>339.729999999999</v>
      </c>
      <c r="AY614">
        <v>327.77666666666602</v>
      </c>
      <c r="AZ614">
        <v>319.03333333333302</v>
      </c>
      <c r="BA614">
        <v>371.46333333333303</v>
      </c>
      <c r="BB614">
        <v>317.00999999999902</v>
      </c>
      <c r="BC614">
        <v>354.44333333333299</v>
      </c>
      <c r="BD614">
        <v>329.49999999999898</v>
      </c>
      <c r="BE614">
        <v>316.50666666666598</v>
      </c>
      <c r="BF614">
        <v>306.05666666666599</v>
      </c>
      <c r="BG614" s="14"/>
      <c r="BH614" s="14"/>
      <c r="BI614" s="14"/>
      <c r="BJ614" s="199"/>
      <c r="BK614" s="14"/>
      <c r="BL614" s="14"/>
      <c r="BM614" s="14"/>
      <c r="BN614" s="14"/>
      <c r="BO614" s="14"/>
      <c r="BP614" s="14"/>
      <c r="BQ614" s="14"/>
      <c r="BR614" s="14"/>
      <c r="BS614" s="14"/>
      <c r="BT614" s="14"/>
      <c r="BU614" s="14"/>
      <c r="BV614" s="14"/>
      <c r="BW614" s="14"/>
      <c r="BX614" s="14"/>
      <c r="BY614" s="170"/>
    </row>
    <row r="615" spans="9:77" x14ac:dyDescent="0.25">
      <c r="I615">
        <v>5471</v>
      </c>
      <c r="J615" s="1" t="s">
        <v>791</v>
      </c>
      <c r="K615">
        <v>414.97333333333302</v>
      </c>
      <c r="L615">
        <v>372.71666666666601</v>
      </c>
      <c r="M615">
        <v>400.68</v>
      </c>
      <c r="N615">
        <v>380.75666666666598</v>
      </c>
      <c r="O615">
        <v>371.67</v>
      </c>
      <c r="P615">
        <v>365.19</v>
      </c>
      <c r="Q615">
        <v>394.39999999999901</v>
      </c>
      <c r="R615">
        <v>337.35999999999899</v>
      </c>
      <c r="S615">
        <v>376.44</v>
      </c>
      <c r="T615">
        <v>350.81666666666598</v>
      </c>
      <c r="U615">
        <v>337.113333333333</v>
      </c>
      <c r="V615">
        <v>325.76666666666603</v>
      </c>
      <c r="W615">
        <v>397.27666666666602</v>
      </c>
      <c r="X615">
        <v>368.70999999999901</v>
      </c>
      <c r="Y615">
        <v>379.803333333333</v>
      </c>
      <c r="Z615">
        <v>377.916666666666</v>
      </c>
      <c r="AA615">
        <v>372.30666666666599</v>
      </c>
      <c r="AB615">
        <v>372.30666666666599</v>
      </c>
      <c r="AC615">
        <v>420.539999999999</v>
      </c>
      <c r="AD615">
        <v>376.29333333333301</v>
      </c>
      <c r="AE615">
        <v>405.96333333333303</v>
      </c>
      <c r="AF615">
        <v>392.76</v>
      </c>
      <c r="AG615">
        <v>384.29333333333301</v>
      </c>
      <c r="AH615">
        <v>380.30666666666599</v>
      </c>
      <c r="AI615">
        <v>414.97333333333302</v>
      </c>
      <c r="AJ615">
        <v>372.71666666666601</v>
      </c>
      <c r="AK615">
        <v>400.68</v>
      </c>
      <c r="AL615">
        <v>380.75666666666598</v>
      </c>
      <c r="AM615">
        <v>371.67</v>
      </c>
      <c r="AN615">
        <v>365.19</v>
      </c>
      <c r="AO615">
        <v>412.43666666666599</v>
      </c>
      <c r="AP615">
        <v>345.51333333333298</v>
      </c>
      <c r="AQ615">
        <v>393.83999999999901</v>
      </c>
      <c r="AR615">
        <v>360.75</v>
      </c>
      <c r="AS615">
        <v>343.01666666666603</v>
      </c>
      <c r="AT615">
        <v>328.84666666666601</v>
      </c>
      <c r="AU615">
        <v>425.89</v>
      </c>
      <c r="AV615">
        <v>373.93666666666599</v>
      </c>
      <c r="AW615">
        <v>409.04333333333301</v>
      </c>
      <c r="AX615">
        <v>386.08</v>
      </c>
      <c r="AY615">
        <v>374.12666666666598</v>
      </c>
      <c r="AZ615">
        <v>365.38333333333298</v>
      </c>
      <c r="BA615">
        <v>417.81333333333299</v>
      </c>
      <c r="BB615">
        <v>363.36</v>
      </c>
      <c r="BC615">
        <v>400.79333333333301</v>
      </c>
      <c r="BD615">
        <v>375.85</v>
      </c>
      <c r="BE615">
        <v>362.856666666666</v>
      </c>
      <c r="BF615">
        <v>352.40666666666601</v>
      </c>
      <c r="BG615" s="14"/>
      <c r="BH615" s="14"/>
      <c r="BI615" s="14"/>
      <c r="BJ615" s="199"/>
      <c r="BK615" s="14"/>
      <c r="BL615" s="14"/>
      <c r="BM615" s="14"/>
      <c r="BN615" s="14"/>
      <c r="BO615" s="14"/>
      <c r="BP615" s="14"/>
      <c r="BQ615" s="14"/>
      <c r="BR615" s="14"/>
      <c r="BS615" s="14"/>
      <c r="BT615" s="14"/>
      <c r="BU615" s="14"/>
      <c r="BV615" s="14"/>
      <c r="BW615" s="14"/>
      <c r="BX615" s="14"/>
      <c r="BY615" s="170"/>
    </row>
    <row r="616" spans="9:77" x14ac:dyDescent="0.25">
      <c r="I616">
        <v>5474</v>
      </c>
      <c r="J616" s="1" t="s">
        <v>792</v>
      </c>
      <c r="K616">
        <v>414.97333333333302</v>
      </c>
      <c r="L616">
        <v>372.71666666666601</v>
      </c>
      <c r="M616">
        <v>400.68</v>
      </c>
      <c r="N616">
        <v>380.75666666666598</v>
      </c>
      <c r="O616">
        <v>371.67</v>
      </c>
      <c r="P616">
        <v>365.19</v>
      </c>
      <c r="Q616">
        <v>394.39999999999901</v>
      </c>
      <c r="R616">
        <v>337.35999999999899</v>
      </c>
      <c r="S616">
        <v>376.44</v>
      </c>
      <c r="T616">
        <v>350.81666666666598</v>
      </c>
      <c r="U616">
        <v>337.113333333333</v>
      </c>
      <c r="V616">
        <v>325.76666666666603</v>
      </c>
      <c r="W616">
        <v>397.27666666666602</v>
      </c>
      <c r="X616">
        <v>368.70999999999901</v>
      </c>
      <c r="Y616">
        <v>379.803333333333</v>
      </c>
      <c r="Z616">
        <v>377.916666666666</v>
      </c>
      <c r="AA616">
        <v>372.30666666666599</v>
      </c>
      <c r="AB616">
        <v>372.30666666666599</v>
      </c>
      <c r="AC616">
        <v>420.539999999999</v>
      </c>
      <c r="AD616">
        <v>376.29333333333301</v>
      </c>
      <c r="AE616">
        <v>405.96333333333303</v>
      </c>
      <c r="AF616">
        <v>392.76</v>
      </c>
      <c r="AG616">
        <v>384.29333333333301</v>
      </c>
      <c r="AH616">
        <v>380.30666666666599</v>
      </c>
      <c r="AI616">
        <v>414.97333333333302</v>
      </c>
      <c r="AJ616">
        <v>372.71666666666601</v>
      </c>
      <c r="AK616">
        <v>400.68</v>
      </c>
      <c r="AL616">
        <v>380.75666666666598</v>
      </c>
      <c r="AM616">
        <v>371.67</v>
      </c>
      <c r="AN616">
        <v>365.19</v>
      </c>
      <c r="AO616">
        <v>412.43666666666599</v>
      </c>
      <c r="AP616">
        <v>345.51333333333298</v>
      </c>
      <c r="AQ616">
        <v>393.83999999999901</v>
      </c>
      <c r="AR616">
        <v>360.75</v>
      </c>
      <c r="AS616">
        <v>343.01666666666603</v>
      </c>
      <c r="AT616">
        <v>328.84666666666601</v>
      </c>
      <c r="AU616">
        <v>425.89</v>
      </c>
      <c r="AV616">
        <v>373.93666666666599</v>
      </c>
      <c r="AW616">
        <v>409.04333333333301</v>
      </c>
      <c r="AX616">
        <v>386.08</v>
      </c>
      <c r="AY616">
        <v>374.12666666666598</v>
      </c>
      <c r="AZ616">
        <v>365.38333333333298</v>
      </c>
      <c r="BA616">
        <v>417.81333333333299</v>
      </c>
      <c r="BB616">
        <v>363.36</v>
      </c>
      <c r="BC616">
        <v>400.79333333333301</v>
      </c>
      <c r="BD616">
        <v>375.85</v>
      </c>
      <c r="BE616">
        <v>362.856666666666</v>
      </c>
      <c r="BF616">
        <v>352.40666666666601</v>
      </c>
      <c r="BG616" s="14"/>
      <c r="BH616" s="14"/>
      <c r="BI616" s="14"/>
      <c r="BJ616" s="199"/>
      <c r="BK616" s="14"/>
      <c r="BL616" s="14"/>
      <c r="BM616" s="14"/>
      <c r="BN616" s="14"/>
      <c r="BO616" s="14"/>
      <c r="BP616" s="14"/>
      <c r="BQ616" s="14"/>
      <c r="BR616" s="14"/>
      <c r="BS616" s="14"/>
      <c r="BT616" s="14"/>
      <c r="BU616" s="14"/>
      <c r="BV616" s="14"/>
      <c r="BW616" s="14"/>
      <c r="BX616" s="14"/>
      <c r="BY616" s="170"/>
    </row>
    <row r="617" spans="9:77" x14ac:dyDescent="0.25">
      <c r="I617">
        <v>5485</v>
      </c>
      <c r="J617" s="1" t="s">
        <v>793</v>
      </c>
      <c r="K617">
        <v>317.21333333333303</v>
      </c>
      <c r="L617">
        <v>274.95666666666602</v>
      </c>
      <c r="M617">
        <v>302.92</v>
      </c>
      <c r="N617">
        <v>282.99666666666599</v>
      </c>
      <c r="O617">
        <v>273.91000000000003</v>
      </c>
      <c r="P617">
        <v>267.43</v>
      </c>
      <c r="Q617">
        <v>296.63999999999902</v>
      </c>
      <c r="R617">
        <v>239.599999999999</v>
      </c>
      <c r="S617">
        <v>278.68</v>
      </c>
      <c r="T617">
        <v>253.05666666666599</v>
      </c>
      <c r="U617">
        <v>239.35333333333301</v>
      </c>
      <c r="V617">
        <v>228.00666666666601</v>
      </c>
      <c r="W617">
        <v>299.51666666666603</v>
      </c>
      <c r="X617">
        <v>270.94999999999902</v>
      </c>
      <c r="Y617">
        <v>282.04333333333301</v>
      </c>
      <c r="Z617">
        <v>280.15666666666601</v>
      </c>
      <c r="AA617">
        <v>274.546666666666</v>
      </c>
      <c r="AB617">
        <v>274.546666666666</v>
      </c>
      <c r="AC617">
        <v>322.77999999999901</v>
      </c>
      <c r="AD617">
        <v>278.53333333333302</v>
      </c>
      <c r="AE617">
        <v>308.20333333333298</v>
      </c>
      <c r="AF617">
        <v>295</v>
      </c>
      <c r="AG617">
        <v>286.53333333333302</v>
      </c>
      <c r="AH617">
        <v>282.546666666666</v>
      </c>
      <c r="AI617">
        <v>317.21333333333303</v>
      </c>
      <c r="AJ617">
        <v>274.95666666666602</v>
      </c>
      <c r="AK617">
        <v>302.92</v>
      </c>
      <c r="AL617">
        <v>282.99666666666599</v>
      </c>
      <c r="AM617">
        <v>273.91000000000003</v>
      </c>
      <c r="AN617">
        <v>267.43</v>
      </c>
      <c r="AO617">
        <v>314.67666666666599</v>
      </c>
      <c r="AP617">
        <v>247.75333333333299</v>
      </c>
      <c r="AQ617">
        <v>296.07999999999902</v>
      </c>
      <c r="AR617">
        <v>262.99</v>
      </c>
      <c r="AS617">
        <v>245.25666666666601</v>
      </c>
      <c r="AT617">
        <v>231.08666666666599</v>
      </c>
      <c r="AU617">
        <v>328.13</v>
      </c>
      <c r="AV617">
        <v>276.17666666666599</v>
      </c>
      <c r="AW617">
        <v>311.28333333333302</v>
      </c>
      <c r="AX617">
        <v>288.32</v>
      </c>
      <c r="AY617">
        <v>276.36666666666599</v>
      </c>
      <c r="AZ617">
        <v>267.62333333333299</v>
      </c>
      <c r="BA617">
        <v>320.053333333333</v>
      </c>
      <c r="BB617">
        <v>265.60000000000002</v>
      </c>
      <c r="BC617">
        <v>303.03333333333302</v>
      </c>
      <c r="BD617">
        <v>278.08999999999997</v>
      </c>
      <c r="BE617">
        <v>265.09666666666601</v>
      </c>
      <c r="BF617">
        <v>254.64666666666599</v>
      </c>
      <c r="BG617" s="14"/>
      <c r="BH617" s="14"/>
      <c r="BI617" s="14"/>
      <c r="BJ617" s="199"/>
      <c r="BK617" s="14"/>
      <c r="BL617" s="14"/>
      <c r="BM617" s="14"/>
      <c r="BN617" s="14"/>
      <c r="BO617" s="14"/>
      <c r="BP617" s="14"/>
      <c r="BQ617" s="14"/>
      <c r="BR617" s="14"/>
      <c r="BS617" s="14"/>
      <c r="BT617" s="14"/>
      <c r="BU617" s="14"/>
      <c r="BV617" s="14"/>
      <c r="BW617" s="14"/>
      <c r="BX617" s="14"/>
      <c r="BY617" s="170"/>
    </row>
    <row r="618" spans="9:77" x14ac:dyDescent="0.25">
      <c r="I618">
        <v>5491</v>
      </c>
      <c r="J618" s="1" t="s">
        <v>794</v>
      </c>
      <c r="K618">
        <v>433.03333333333302</v>
      </c>
      <c r="L618">
        <v>390.77666666666602</v>
      </c>
      <c r="M618">
        <v>418.73999999999899</v>
      </c>
      <c r="N618">
        <v>398.81666666666598</v>
      </c>
      <c r="O618">
        <v>389.73</v>
      </c>
      <c r="P618">
        <v>383.25</v>
      </c>
      <c r="Q618">
        <v>412.45999999999901</v>
      </c>
      <c r="R618">
        <v>355.41999999999899</v>
      </c>
      <c r="S618">
        <v>394.5</v>
      </c>
      <c r="T618">
        <v>368.87666666666598</v>
      </c>
      <c r="U618">
        <v>355.17333333333301</v>
      </c>
      <c r="V618">
        <v>343.82666666666597</v>
      </c>
      <c r="W618">
        <v>415.33666666666602</v>
      </c>
      <c r="X618">
        <v>386.76999999999902</v>
      </c>
      <c r="Y618">
        <v>397.863333333333</v>
      </c>
      <c r="Z618">
        <v>395.97666666666601</v>
      </c>
      <c r="AA618">
        <v>390.36666666666599</v>
      </c>
      <c r="AB618">
        <v>390.36666666666599</v>
      </c>
      <c r="AC618">
        <v>438.599999999999</v>
      </c>
      <c r="AD618">
        <v>394.35333333333301</v>
      </c>
      <c r="AE618">
        <v>424.02333333333303</v>
      </c>
      <c r="AF618">
        <v>410.81999999999903</v>
      </c>
      <c r="AG618">
        <v>402.35333333333301</v>
      </c>
      <c r="AH618">
        <v>398.36666666666599</v>
      </c>
      <c r="AI618">
        <v>433.03333333333302</v>
      </c>
      <c r="AJ618">
        <v>390.77666666666602</v>
      </c>
      <c r="AK618">
        <v>418.73999999999899</v>
      </c>
      <c r="AL618">
        <v>398.81666666666598</v>
      </c>
      <c r="AM618">
        <v>389.73</v>
      </c>
      <c r="AN618">
        <v>383.25</v>
      </c>
      <c r="AO618">
        <v>430.49666666666599</v>
      </c>
      <c r="AP618">
        <v>363.57333333333298</v>
      </c>
      <c r="AQ618">
        <v>411.89999999999901</v>
      </c>
      <c r="AR618">
        <v>378.81</v>
      </c>
      <c r="AS618">
        <v>361.07666666666597</v>
      </c>
      <c r="AT618">
        <v>346.90666666666601</v>
      </c>
      <c r="AU618">
        <v>443.94999999999902</v>
      </c>
      <c r="AV618">
        <v>391.99666666666599</v>
      </c>
      <c r="AW618">
        <v>427.10333333333301</v>
      </c>
      <c r="AX618">
        <v>404.14</v>
      </c>
      <c r="AY618">
        <v>392.18666666666599</v>
      </c>
      <c r="AZ618">
        <v>383.44333333333299</v>
      </c>
      <c r="BA618">
        <v>435.87333333333299</v>
      </c>
      <c r="BB618">
        <v>381.42</v>
      </c>
      <c r="BC618">
        <v>418.85333333333301</v>
      </c>
      <c r="BD618">
        <v>393.909999999999</v>
      </c>
      <c r="BE618">
        <v>380.916666666666</v>
      </c>
      <c r="BF618">
        <v>370.46666666666601</v>
      </c>
      <c r="BG618" s="14"/>
      <c r="BH618" s="14"/>
      <c r="BI618" s="14"/>
      <c r="BJ618" s="199"/>
      <c r="BK618" s="14"/>
      <c r="BL618" s="14"/>
      <c r="BM618" s="14"/>
      <c r="BN618" s="14"/>
      <c r="BO618" s="14"/>
      <c r="BP618" s="14"/>
      <c r="BQ618" s="14"/>
      <c r="BR618" s="14"/>
      <c r="BS618" s="14"/>
      <c r="BT618" s="14"/>
      <c r="BU618" s="14"/>
      <c r="BV618" s="14"/>
      <c r="BW618" s="14"/>
      <c r="BX618" s="14"/>
      <c r="BY618" s="170"/>
    </row>
    <row r="619" spans="9:77" x14ac:dyDescent="0.25">
      <c r="I619">
        <v>5492</v>
      </c>
      <c r="J619" s="1" t="s">
        <v>795</v>
      </c>
      <c r="K619">
        <v>448.58333333333297</v>
      </c>
      <c r="L619">
        <v>406.32666666666597</v>
      </c>
      <c r="M619">
        <v>434.289999999999</v>
      </c>
      <c r="N619">
        <v>414.36666666666599</v>
      </c>
      <c r="O619">
        <v>405.27999999999901</v>
      </c>
      <c r="P619">
        <v>398.8</v>
      </c>
      <c r="Q619">
        <v>428.00999999999902</v>
      </c>
      <c r="R619">
        <v>370.969999999999</v>
      </c>
      <c r="S619">
        <v>410.04999999999899</v>
      </c>
      <c r="T619">
        <v>384.42666666666599</v>
      </c>
      <c r="U619">
        <v>370.72333333333302</v>
      </c>
      <c r="V619">
        <v>359.37666666666598</v>
      </c>
      <c r="W619">
        <v>430.88666666666597</v>
      </c>
      <c r="X619">
        <v>402.31999999999903</v>
      </c>
      <c r="Y619">
        <v>413.41333333333301</v>
      </c>
      <c r="Z619">
        <v>411.52666666666602</v>
      </c>
      <c r="AA619">
        <v>405.916666666666</v>
      </c>
      <c r="AB619">
        <v>405.916666666666</v>
      </c>
      <c r="AC619">
        <v>454.14999999999901</v>
      </c>
      <c r="AD619">
        <v>409.90333333333302</v>
      </c>
      <c r="AE619">
        <v>439.57333333333298</v>
      </c>
      <c r="AF619">
        <v>426.36999999999898</v>
      </c>
      <c r="AG619">
        <v>417.90333333333302</v>
      </c>
      <c r="AH619">
        <v>413.916666666666</v>
      </c>
      <c r="AI619">
        <v>448.58333333333297</v>
      </c>
      <c r="AJ619">
        <v>406.32666666666597</v>
      </c>
      <c r="AK619">
        <v>434.289999999999</v>
      </c>
      <c r="AL619">
        <v>414.36666666666599</v>
      </c>
      <c r="AM619">
        <v>405.27999999999901</v>
      </c>
      <c r="AN619">
        <v>398.8</v>
      </c>
      <c r="AO619">
        <v>446.046666666666</v>
      </c>
      <c r="AP619">
        <v>379.12333333333299</v>
      </c>
      <c r="AQ619">
        <v>427.44999999999902</v>
      </c>
      <c r="AR619">
        <v>394.35999999999899</v>
      </c>
      <c r="AS619">
        <v>376.62666666666598</v>
      </c>
      <c r="AT619">
        <v>362.45666666666602</v>
      </c>
      <c r="AU619">
        <v>459.49999999999898</v>
      </c>
      <c r="AV619">
        <v>407.546666666666</v>
      </c>
      <c r="AW619">
        <v>442.65333333333302</v>
      </c>
      <c r="AX619">
        <v>419.69</v>
      </c>
      <c r="AY619">
        <v>407.736666666666</v>
      </c>
      <c r="AZ619">
        <v>398.993333333333</v>
      </c>
      <c r="BA619">
        <v>451.42333333333301</v>
      </c>
      <c r="BB619">
        <v>396.969999999999</v>
      </c>
      <c r="BC619">
        <v>434.40333333333302</v>
      </c>
      <c r="BD619">
        <v>409.45999999999901</v>
      </c>
      <c r="BE619">
        <v>396.46666666666601</v>
      </c>
      <c r="BF619">
        <v>386.01666666666603</v>
      </c>
      <c r="BG619" s="14"/>
      <c r="BH619" s="14"/>
      <c r="BI619" s="14"/>
      <c r="BJ619" s="199"/>
      <c r="BK619" s="14"/>
      <c r="BL619" s="14"/>
      <c r="BM619" s="14"/>
      <c r="BN619" s="14"/>
      <c r="BO619" s="14"/>
      <c r="BP619" s="14"/>
      <c r="BQ619" s="14"/>
      <c r="BR619" s="14"/>
      <c r="BS619" s="14"/>
      <c r="BT619" s="14"/>
      <c r="BU619" s="14"/>
      <c r="BV619" s="14"/>
      <c r="BW619" s="14"/>
      <c r="BX619" s="14"/>
      <c r="BY619" s="170"/>
    </row>
    <row r="620" spans="9:77" x14ac:dyDescent="0.25">
      <c r="I620">
        <v>5500</v>
      </c>
      <c r="J620" s="1" t="s">
        <v>796</v>
      </c>
      <c r="K620">
        <v>394.22666666666601</v>
      </c>
      <c r="L620">
        <v>366.243333333333</v>
      </c>
      <c r="M620">
        <v>383.86666666666599</v>
      </c>
      <c r="N620">
        <v>371.35</v>
      </c>
      <c r="O620">
        <v>365.59</v>
      </c>
      <c r="P620">
        <v>361.16333333333301</v>
      </c>
      <c r="Q620">
        <v>370.11666666666599</v>
      </c>
      <c r="R620">
        <v>321.45999999999998</v>
      </c>
      <c r="S620">
        <v>352.97666666666601</v>
      </c>
      <c r="T620">
        <v>332.736666666666</v>
      </c>
      <c r="U620">
        <v>322.05</v>
      </c>
      <c r="V620">
        <v>314.43</v>
      </c>
      <c r="W620">
        <v>373.62</v>
      </c>
      <c r="X620">
        <v>346.94</v>
      </c>
      <c r="Y620">
        <v>356.90333333333302</v>
      </c>
      <c r="Z620">
        <v>355.15666666666601</v>
      </c>
      <c r="AA620">
        <v>350.17</v>
      </c>
      <c r="AB620">
        <v>350.17</v>
      </c>
      <c r="AC620">
        <v>395.7</v>
      </c>
      <c r="AD620">
        <v>364.47666666666601</v>
      </c>
      <c r="AE620">
        <v>384.08333333333297</v>
      </c>
      <c r="AF620">
        <v>375.34666666666601</v>
      </c>
      <c r="AG620">
        <v>369.66</v>
      </c>
      <c r="AH620">
        <v>366.97333333333302</v>
      </c>
      <c r="AI620">
        <v>394.22666666666601</v>
      </c>
      <c r="AJ620">
        <v>366.243333333333</v>
      </c>
      <c r="AK620">
        <v>383.86666666666599</v>
      </c>
      <c r="AL620">
        <v>371.35</v>
      </c>
      <c r="AM620">
        <v>365.59</v>
      </c>
      <c r="AN620">
        <v>361.16333333333301</v>
      </c>
      <c r="AO620">
        <v>384</v>
      </c>
      <c r="AP620">
        <v>324.29000000000002</v>
      </c>
      <c r="AQ620">
        <v>365.5</v>
      </c>
      <c r="AR620">
        <v>336.67333333333301</v>
      </c>
      <c r="AS620">
        <v>322.94</v>
      </c>
      <c r="AT620">
        <v>313.43666666666599</v>
      </c>
      <c r="AU620">
        <v>398.74666666666599</v>
      </c>
      <c r="AV620">
        <v>354.36666666666599</v>
      </c>
      <c r="AW620">
        <v>383.55</v>
      </c>
      <c r="AX620">
        <v>364.73333333333301</v>
      </c>
      <c r="AY620">
        <v>354.85</v>
      </c>
      <c r="AZ620">
        <v>348.21666666666601</v>
      </c>
      <c r="BA620">
        <v>387.72666666666601</v>
      </c>
      <c r="BB620">
        <v>342.35333333333301</v>
      </c>
      <c r="BC620">
        <v>372.07666666666597</v>
      </c>
      <c r="BD620">
        <v>352.416666666666</v>
      </c>
      <c r="BE620">
        <v>342.46333333333303</v>
      </c>
      <c r="BF620">
        <v>335.04</v>
      </c>
      <c r="BG620" s="14"/>
      <c r="BH620" s="14"/>
      <c r="BI620" s="14"/>
      <c r="BJ620" s="199"/>
      <c r="BK620" s="14"/>
      <c r="BL620" s="14"/>
      <c r="BM620" s="14"/>
      <c r="BN620" s="14"/>
      <c r="BO620" s="14"/>
      <c r="BP620" s="14"/>
      <c r="BQ620" s="14"/>
      <c r="BR620" s="14"/>
      <c r="BS620" s="14"/>
      <c r="BT620" s="14"/>
      <c r="BU620" s="14"/>
      <c r="BV620" s="14"/>
      <c r="BW620" s="14"/>
      <c r="BX620" s="14"/>
      <c r="BY620" s="170"/>
    </row>
    <row r="621" spans="9:77" x14ac:dyDescent="0.25">
      <c r="I621">
        <v>5540</v>
      </c>
      <c r="J621" s="1" t="s">
        <v>797</v>
      </c>
      <c r="K621">
        <v>395.243333333333</v>
      </c>
      <c r="L621">
        <v>352.986666666666</v>
      </c>
      <c r="M621">
        <v>380.94999999999902</v>
      </c>
      <c r="N621">
        <v>361.02666666666602</v>
      </c>
      <c r="O621">
        <v>351.94</v>
      </c>
      <c r="P621">
        <v>345.46</v>
      </c>
      <c r="Q621">
        <v>374.66999999999899</v>
      </c>
      <c r="R621">
        <v>317.62999999999897</v>
      </c>
      <c r="S621">
        <v>356.71</v>
      </c>
      <c r="T621">
        <v>331.08666666666602</v>
      </c>
      <c r="U621">
        <v>317.38333333333298</v>
      </c>
      <c r="V621">
        <v>306.03666666666601</v>
      </c>
      <c r="W621">
        <v>377.546666666666</v>
      </c>
      <c r="X621">
        <v>348.979999999999</v>
      </c>
      <c r="Y621">
        <v>360.07333333333298</v>
      </c>
      <c r="Z621">
        <v>358.18666666666599</v>
      </c>
      <c r="AA621">
        <v>352.57666666666597</v>
      </c>
      <c r="AB621">
        <v>352.57666666666597</v>
      </c>
      <c r="AC621">
        <v>400.80999999999898</v>
      </c>
      <c r="AD621">
        <v>356.56333333333299</v>
      </c>
      <c r="AE621">
        <v>386.23333333333301</v>
      </c>
      <c r="AF621">
        <v>373.03</v>
      </c>
      <c r="AG621">
        <v>364.56333333333299</v>
      </c>
      <c r="AH621">
        <v>360.57666666666597</v>
      </c>
      <c r="AI621">
        <v>395.243333333333</v>
      </c>
      <c r="AJ621">
        <v>352.986666666666</v>
      </c>
      <c r="AK621">
        <v>380.94999999999902</v>
      </c>
      <c r="AL621">
        <v>361.02666666666602</v>
      </c>
      <c r="AM621">
        <v>351.94</v>
      </c>
      <c r="AN621">
        <v>345.46</v>
      </c>
      <c r="AO621">
        <v>392.70666666666602</v>
      </c>
      <c r="AP621">
        <v>325.78333333333302</v>
      </c>
      <c r="AQ621">
        <v>374.10999999999899</v>
      </c>
      <c r="AR621">
        <v>341.02</v>
      </c>
      <c r="AS621">
        <v>323.28666666666601</v>
      </c>
      <c r="AT621">
        <v>309.11666666666599</v>
      </c>
      <c r="AU621">
        <v>406.16</v>
      </c>
      <c r="AV621">
        <v>354.20666666666602</v>
      </c>
      <c r="AW621">
        <v>389.31333333333299</v>
      </c>
      <c r="AX621">
        <v>366.35</v>
      </c>
      <c r="AY621">
        <v>354.39666666666602</v>
      </c>
      <c r="AZ621">
        <v>345.65333333333302</v>
      </c>
      <c r="BA621">
        <v>398.08333333333297</v>
      </c>
      <c r="BB621">
        <v>343.63</v>
      </c>
      <c r="BC621">
        <v>381.06333333333299</v>
      </c>
      <c r="BD621">
        <v>356.12</v>
      </c>
      <c r="BE621">
        <v>343.12666666666598</v>
      </c>
      <c r="BF621">
        <v>332.67666666666599</v>
      </c>
      <c r="BG621" s="14"/>
      <c r="BH621" s="14"/>
      <c r="BI621" s="14"/>
      <c r="BJ621" s="199"/>
      <c r="BK621" s="14"/>
      <c r="BL621" s="14"/>
      <c r="BM621" s="14"/>
      <c r="BN621" s="14"/>
      <c r="BO621" s="14"/>
      <c r="BP621" s="14"/>
      <c r="BQ621" s="14"/>
      <c r="BR621" s="14"/>
      <c r="BS621" s="14"/>
      <c r="BT621" s="14"/>
      <c r="BU621" s="14"/>
      <c r="BV621" s="14"/>
      <c r="BW621" s="14"/>
      <c r="BX621" s="14"/>
      <c r="BY621" s="170"/>
    </row>
    <row r="622" spans="9:77" x14ac:dyDescent="0.25">
      <c r="I622">
        <v>5550</v>
      </c>
      <c r="J622" s="1" t="s">
        <v>798</v>
      </c>
      <c r="K622">
        <v>395.243333333333</v>
      </c>
      <c r="L622">
        <v>352.986666666666</v>
      </c>
      <c r="M622">
        <v>380.94999999999902</v>
      </c>
      <c r="N622">
        <v>361.02666666666602</v>
      </c>
      <c r="O622">
        <v>351.94</v>
      </c>
      <c r="P622">
        <v>345.46</v>
      </c>
      <c r="Q622">
        <v>374.66999999999899</v>
      </c>
      <c r="R622">
        <v>317.62999999999897</v>
      </c>
      <c r="S622">
        <v>356.71</v>
      </c>
      <c r="T622">
        <v>331.08666666666602</v>
      </c>
      <c r="U622">
        <v>317.38333333333298</v>
      </c>
      <c r="V622">
        <v>306.03666666666601</v>
      </c>
      <c r="W622">
        <v>377.546666666666</v>
      </c>
      <c r="X622">
        <v>348.979999999999</v>
      </c>
      <c r="Y622">
        <v>360.07333333333298</v>
      </c>
      <c r="Z622">
        <v>358.18666666666599</v>
      </c>
      <c r="AA622">
        <v>352.57666666666597</v>
      </c>
      <c r="AB622">
        <v>352.57666666666597</v>
      </c>
      <c r="AC622">
        <v>400.80999999999898</v>
      </c>
      <c r="AD622">
        <v>356.56333333333299</v>
      </c>
      <c r="AE622">
        <v>386.23333333333301</v>
      </c>
      <c r="AF622">
        <v>373.03</v>
      </c>
      <c r="AG622">
        <v>364.56333333333299</v>
      </c>
      <c r="AH622">
        <v>360.57666666666597</v>
      </c>
      <c r="AI622">
        <v>395.243333333333</v>
      </c>
      <c r="AJ622">
        <v>352.986666666666</v>
      </c>
      <c r="AK622">
        <v>380.94999999999902</v>
      </c>
      <c r="AL622">
        <v>361.02666666666602</v>
      </c>
      <c r="AM622">
        <v>351.94</v>
      </c>
      <c r="AN622">
        <v>345.46</v>
      </c>
      <c r="AO622">
        <v>392.70666666666602</v>
      </c>
      <c r="AP622">
        <v>325.78333333333302</v>
      </c>
      <c r="AQ622">
        <v>374.10999999999899</v>
      </c>
      <c r="AR622">
        <v>341.02</v>
      </c>
      <c r="AS622">
        <v>323.28666666666601</v>
      </c>
      <c r="AT622">
        <v>309.11666666666599</v>
      </c>
      <c r="AU622">
        <v>406.16</v>
      </c>
      <c r="AV622">
        <v>354.20666666666602</v>
      </c>
      <c r="AW622">
        <v>389.31333333333299</v>
      </c>
      <c r="AX622">
        <v>366.35</v>
      </c>
      <c r="AY622">
        <v>354.39666666666602</v>
      </c>
      <c r="AZ622">
        <v>345.65333333333302</v>
      </c>
      <c r="BA622">
        <v>398.08333333333297</v>
      </c>
      <c r="BB622">
        <v>343.63</v>
      </c>
      <c r="BC622">
        <v>381.06333333333299</v>
      </c>
      <c r="BD622">
        <v>356.12</v>
      </c>
      <c r="BE622">
        <v>343.12666666666598</v>
      </c>
      <c r="BF622">
        <v>332.67666666666599</v>
      </c>
      <c r="BG622" s="14"/>
      <c r="BH622" s="14"/>
      <c r="BI622" s="14"/>
      <c r="BJ622" s="199"/>
      <c r="BK622" s="14"/>
      <c r="BL622" s="14"/>
      <c r="BM622" s="14"/>
      <c r="BN622" s="14"/>
      <c r="BO622" s="14"/>
      <c r="BP622" s="14"/>
      <c r="BQ622" s="14"/>
      <c r="BR622" s="14"/>
      <c r="BS622" s="14"/>
      <c r="BT622" s="14"/>
      <c r="BU622" s="14"/>
      <c r="BV622" s="14"/>
      <c r="BW622" s="14"/>
      <c r="BX622" s="14"/>
      <c r="BY622" s="170"/>
    </row>
    <row r="623" spans="9:77" x14ac:dyDescent="0.25">
      <c r="I623">
        <v>5560</v>
      </c>
      <c r="J623" s="1" t="s">
        <v>799</v>
      </c>
      <c r="K623">
        <v>429.58333333333297</v>
      </c>
      <c r="L623">
        <v>387.32666666666597</v>
      </c>
      <c r="M623">
        <v>415.29</v>
      </c>
      <c r="N623">
        <v>395.36666666666599</v>
      </c>
      <c r="O623">
        <v>386.28</v>
      </c>
      <c r="P623">
        <v>379.8</v>
      </c>
      <c r="Q623">
        <v>409.00999999999902</v>
      </c>
      <c r="R623">
        <v>351.969999999999</v>
      </c>
      <c r="S623">
        <v>391.05</v>
      </c>
      <c r="T623">
        <v>365.42666666666599</v>
      </c>
      <c r="U623">
        <v>351.72333333333302</v>
      </c>
      <c r="V623">
        <v>340.37666666666598</v>
      </c>
      <c r="W623">
        <v>411.88666666666597</v>
      </c>
      <c r="X623">
        <v>383.31999999999903</v>
      </c>
      <c r="Y623">
        <v>394.41333333333301</v>
      </c>
      <c r="Z623">
        <v>392.52666666666602</v>
      </c>
      <c r="AA623">
        <v>386.916666666666</v>
      </c>
      <c r="AB623">
        <v>386.916666666666</v>
      </c>
      <c r="AC623">
        <v>435.14999999999901</v>
      </c>
      <c r="AD623">
        <v>390.90333333333302</v>
      </c>
      <c r="AE623">
        <v>420.57333333333298</v>
      </c>
      <c r="AF623">
        <v>407.37</v>
      </c>
      <c r="AG623">
        <v>398.90333333333302</v>
      </c>
      <c r="AH623">
        <v>394.916666666666</v>
      </c>
      <c r="AI623">
        <v>429.58333333333297</v>
      </c>
      <c r="AJ623">
        <v>387.32666666666597</v>
      </c>
      <c r="AK623">
        <v>415.29</v>
      </c>
      <c r="AL623">
        <v>395.36666666666599</v>
      </c>
      <c r="AM623">
        <v>386.28</v>
      </c>
      <c r="AN623">
        <v>379.8</v>
      </c>
      <c r="AO623">
        <v>427.046666666666</v>
      </c>
      <c r="AP623">
        <v>360.12333333333299</v>
      </c>
      <c r="AQ623">
        <v>408.44999999999902</v>
      </c>
      <c r="AR623">
        <v>375.36</v>
      </c>
      <c r="AS623">
        <v>357.62666666666598</v>
      </c>
      <c r="AT623">
        <v>343.45666666666602</v>
      </c>
      <c r="AU623">
        <v>440.5</v>
      </c>
      <c r="AV623">
        <v>388.546666666666</v>
      </c>
      <c r="AW623">
        <v>423.65333333333302</v>
      </c>
      <c r="AX623">
        <v>400.69</v>
      </c>
      <c r="AY623">
        <v>388.736666666666</v>
      </c>
      <c r="AZ623">
        <v>379.993333333333</v>
      </c>
      <c r="BA623">
        <v>432.42333333333301</v>
      </c>
      <c r="BB623">
        <v>377.97</v>
      </c>
      <c r="BC623">
        <v>415.40333333333302</v>
      </c>
      <c r="BD623">
        <v>390.46</v>
      </c>
      <c r="BE623">
        <v>377.46666666666601</v>
      </c>
      <c r="BF623">
        <v>367.01666666666603</v>
      </c>
      <c r="BG623" s="14"/>
      <c r="BH623" s="14"/>
      <c r="BI623" s="14"/>
      <c r="BJ623" s="199"/>
      <c r="BK623" s="14"/>
      <c r="BL623" s="14"/>
      <c r="BM623" s="14"/>
      <c r="BN623" s="14"/>
      <c r="BO623" s="14"/>
      <c r="BP623" s="14"/>
      <c r="BQ623" s="14"/>
      <c r="BR623" s="14"/>
      <c r="BS623" s="14"/>
      <c r="BT623" s="14"/>
      <c r="BU623" s="14"/>
      <c r="BV623" s="14"/>
      <c r="BW623" s="14"/>
      <c r="BX623" s="14"/>
      <c r="BY623" s="170"/>
    </row>
    <row r="624" spans="9:77" x14ac:dyDescent="0.25">
      <c r="I624">
        <v>5580</v>
      </c>
      <c r="J624" s="1" t="s">
        <v>800</v>
      </c>
      <c r="K624">
        <v>368.62333333333299</v>
      </c>
      <c r="L624">
        <v>326.36666666666599</v>
      </c>
      <c r="M624">
        <v>354.32999999999902</v>
      </c>
      <c r="N624">
        <v>334.40666666666601</v>
      </c>
      <c r="O624">
        <v>325.31999999999903</v>
      </c>
      <c r="P624">
        <v>318.83999999999901</v>
      </c>
      <c r="Q624">
        <v>348.04999999999899</v>
      </c>
      <c r="R624">
        <v>291.00999999999902</v>
      </c>
      <c r="S624">
        <v>330.08999999999901</v>
      </c>
      <c r="T624">
        <v>304.46666666666601</v>
      </c>
      <c r="U624">
        <v>290.76333333333298</v>
      </c>
      <c r="V624">
        <v>279.416666666666</v>
      </c>
      <c r="W624">
        <v>350.92666666666599</v>
      </c>
      <c r="X624">
        <v>322.35999999999899</v>
      </c>
      <c r="Y624">
        <v>333.45333333333298</v>
      </c>
      <c r="Z624">
        <v>331.56666666666598</v>
      </c>
      <c r="AA624">
        <v>325.95666666666602</v>
      </c>
      <c r="AB624">
        <v>325.95666666666602</v>
      </c>
      <c r="AC624">
        <v>374.18999999999897</v>
      </c>
      <c r="AD624">
        <v>329.94333333333299</v>
      </c>
      <c r="AE624">
        <v>359.613333333333</v>
      </c>
      <c r="AF624">
        <v>346.409999999999</v>
      </c>
      <c r="AG624">
        <v>337.94333333333299</v>
      </c>
      <c r="AH624">
        <v>333.95666666666602</v>
      </c>
      <c r="AI624">
        <v>368.62333333333299</v>
      </c>
      <c r="AJ624">
        <v>326.36666666666599</v>
      </c>
      <c r="AK624">
        <v>354.32999999999902</v>
      </c>
      <c r="AL624">
        <v>334.40666666666601</v>
      </c>
      <c r="AM624">
        <v>325.31999999999903</v>
      </c>
      <c r="AN624">
        <v>318.83999999999901</v>
      </c>
      <c r="AO624">
        <v>366.08666666666602</v>
      </c>
      <c r="AP624">
        <v>299.16333333333301</v>
      </c>
      <c r="AQ624">
        <v>347.48999999999899</v>
      </c>
      <c r="AR624">
        <v>314.39999999999901</v>
      </c>
      <c r="AS624">
        <v>296.666666666666</v>
      </c>
      <c r="AT624">
        <v>282.49666666666599</v>
      </c>
      <c r="AU624">
        <v>379.539999999999</v>
      </c>
      <c r="AV624">
        <v>327.58666666666602</v>
      </c>
      <c r="AW624">
        <v>362.69333333333299</v>
      </c>
      <c r="AX624">
        <v>339.729999999999</v>
      </c>
      <c r="AY624">
        <v>327.77666666666602</v>
      </c>
      <c r="AZ624">
        <v>319.03333333333302</v>
      </c>
      <c r="BA624">
        <v>371.46333333333303</v>
      </c>
      <c r="BB624">
        <v>317.00999999999902</v>
      </c>
      <c r="BC624">
        <v>354.44333333333299</v>
      </c>
      <c r="BD624">
        <v>329.49999999999898</v>
      </c>
      <c r="BE624">
        <v>316.50666666666598</v>
      </c>
      <c r="BF624">
        <v>306.05666666666599</v>
      </c>
      <c r="BG624" s="14"/>
      <c r="BH624" s="14"/>
      <c r="BI624" s="14"/>
      <c r="BJ624" s="199"/>
      <c r="BK624" s="14"/>
      <c r="BL624" s="14"/>
      <c r="BM624" s="14"/>
      <c r="BN624" s="14"/>
      <c r="BO624" s="14"/>
      <c r="BP624" s="14"/>
      <c r="BQ624" s="14"/>
      <c r="BR624" s="14"/>
      <c r="BS624" s="14"/>
      <c r="BT624" s="14"/>
      <c r="BU624" s="14"/>
      <c r="BV624" s="14"/>
      <c r="BW624" s="14"/>
      <c r="BX624" s="14"/>
      <c r="BY624" s="170"/>
    </row>
    <row r="625" spans="9:77" x14ac:dyDescent="0.25">
      <c r="I625">
        <v>5591</v>
      </c>
      <c r="J625" s="1" t="s">
        <v>801</v>
      </c>
      <c r="K625">
        <v>429.58333333333297</v>
      </c>
      <c r="L625">
        <v>387.32666666666597</v>
      </c>
      <c r="M625">
        <v>415.29</v>
      </c>
      <c r="N625">
        <v>395.36666666666599</v>
      </c>
      <c r="O625">
        <v>386.28</v>
      </c>
      <c r="P625">
        <v>379.8</v>
      </c>
      <c r="Q625">
        <v>409.00999999999902</v>
      </c>
      <c r="R625">
        <v>351.969999999999</v>
      </c>
      <c r="S625">
        <v>391.05</v>
      </c>
      <c r="T625">
        <v>365.42666666666599</v>
      </c>
      <c r="U625">
        <v>351.72333333333302</v>
      </c>
      <c r="V625">
        <v>340.37666666666598</v>
      </c>
      <c r="W625">
        <v>411.88666666666597</v>
      </c>
      <c r="X625">
        <v>383.31999999999903</v>
      </c>
      <c r="Y625">
        <v>394.41333333333301</v>
      </c>
      <c r="Z625">
        <v>392.52666666666602</v>
      </c>
      <c r="AA625">
        <v>386.916666666666</v>
      </c>
      <c r="AB625">
        <v>386.916666666666</v>
      </c>
      <c r="AC625">
        <v>435.14999999999901</v>
      </c>
      <c r="AD625">
        <v>390.90333333333302</v>
      </c>
      <c r="AE625">
        <v>420.57333333333298</v>
      </c>
      <c r="AF625">
        <v>407.37</v>
      </c>
      <c r="AG625">
        <v>398.90333333333302</v>
      </c>
      <c r="AH625">
        <v>394.916666666666</v>
      </c>
      <c r="AI625">
        <v>429.58333333333297</v>
      </c>
      <c r="AJ625">
        <v>387.32666666666597</v>
      </c>
      <c r="AK625">
        <v>415.29</v>
      </c>
      <c r="AL625">
        <v>395.36666666666599</v>
      </c>
      <c r="AM625">
        <v>386.28</v>
      </c>
      <c r="AN625">
        <v>379.8</v>
      </c>
      <c r="AO625">
        <v>427.046666666666</v>
      </c>
      <c r="AP625">
        <v>360.12333333333299</v>
      </c>
      <c r="AQ625">
        <v>408.44999999999902</v>
      </c>
      <c r="AR625">
        <v>375.36</v>
      </c>
      <c r="AS625">
        <v>357.62666666666598</v>
      </c>
      <c r="AT625">
        <v>343.45666666666602</v>
      </c>
      <c r="AU625">
        <v>440.5</v>
      </c>
      <c r="AV625">
        <v>388.546666666666</v>
      </c>
      <c r="AW625">
        <v>423.65333333333302</v>
      </c>
      <c r="AX625">
        <v>400.69</v>
      </c>
      <c r="AY625">
        <v>388.736666666666</v>
      </c>
      <c r="AZ625">
        <v>379.993333333333</v>
      </c>
      <c r="BA625">
        <v>432.42333333333301</v>
      </c>
      <c r="BB625">
        <v>377.97</v>
      </c>
      <c r="BC625">
        <v>415.40333333333302</v>
      </c>
      <c r="BD625">
        <v>390.46</v>
      </c>
      <c r="BE625">
        <v>377.46666666666601</v>
      </c>
      <c r="BF625">
        <v>367.01666666666603</v>
      </c>
      <c r="BG625" s="14"/>
      <c r="BH625" s="14"/>
      <c r="BI625" s="14"/>
      <c r="BJ625" s="199"/>
      <c r="BK625" s="14"/>
      <c r="BL625" s="14"/>
      <c r="BM625" s="14"/>
      <c r="BN625" s="14"/>
      <c r="BO625" s="14"/>
      <c r="BP625" s="14"/>
      <c r="BQ625" s="14"/>
      <c r="BR625" s="14"/>
      <c r="BS625" s="14"/>
      <c r="BT625" s="14"/>
      <c r="BU625" s="14"/>
      <c r="BV625" s="14"/>
      <c r="BW625" s="14"/>
      <c r="BX625" s="14"/>
      <c r="BY625" s="170"/>
    </row>
    <row r="626" spans="9:77" x14ac:dyDescent="0.25">
      <c r="I626">
        <v>5592</v>
      </c>
      <c r="J626" s="1" t="s">
        <v>802</v>
      </c>
      <c r="K626">
        <v>375.46333333333303</v>
      </c>
      <c r="L626">
        <v>333.20666666666602</v>
      </c>
      <c r="M626">
        <v>361.17</v>
      </c>
      <c r="N626">
        <v>341.24666666666599</v>
      </c>
      <c r="O626">
        <v>332.16</v>
      </c>
      <c r="P626">
        <v>325.68</v>
      </c>
      <c r="Q626">
        <v>354.88999999999902</v>
      </c>
      <c r="R626">
        <v>297.849999999999</v>
      </c>
      <c r="S626">
        <v>336.93</v>
      </c>
      <c r="T626">
        <v>311.30666666666599</v>
      </c>
      <c r="U626">
        <v>297.60333333333301</v>
      </c>
      <c r="V626">
        <v>286.25666666666598</v>
      </c>
      <c r="W626">
        <v>357.76666666666603</v>
      </c>
      <c r="X626">
        <v>329.19999999999902</v>
      </c>
      <c r="Y626">
        <v>340.29333333333301</v>
      </c>
      <c r="Z626">
        <v>338.40666666666601</v>
      </c>
      <c r="AA626">
        <v>332.796666666666</v>
      </c>
      <c r="AB626">
        <v>332.796666666666</v>
      </c>
      <c r="AC626">
        <v>381.02999999999901</v>
      </c>
      <c r="AD626">
        <v>336.78333333333302</v>
      </c>
      <c r="AE626">
        <v>366.45333333333298</v>
      </c>
      <c r="AF626">
        <v>353.25</v>
      </c>
      <c r="AG626">
        <v>344.78333333333302</v>
      </c>
      <c r="AH626">
        <v>340.796666666666</v>
      </c>
      <c r="AI626">
        <v>375.46333333333303</v>
      </c>
      <c r="AJ626">
        <v>333.20666666666602</v>
      </c>
      <c r="AK626">
        <v>361.17</v>
      </c>
      <c r="AL626">
        <v>341.24666666666599</v>
      </c>
      <c r="AM626">
        <v>332.16</v>
      </c>
      <c r="AN626">
        <v>325.68</v>
      </c>
      <c r="AO626">
        <v>372.92666666666599</v>
      </c>
      <c r="AP626">
        <v>306.00333333333299</v>
      </c>
      <c r="AQ626">
        <v>354.32999999999902</v>
      </c>
      <c r="AR626">
        <v>321.24</v>
      </c>
      <c r="AS626">
        <v>303.50666666666598</v>
      </c>
      <c r="AT626">
        <v>289.33666666666602</v>
      </c>
      <c r="AU626">
        <v>386.38</v>
      </c>
      <c r="AV626">
        <v>334.42666666666599</v>
      </c>
      <c r="AW626">
        <v>369.53333333333302</v>
      </c>
      <c r="AX626">
        <v>346.57</v>
      </c>
      <c r="AY626">
        <v>334.61666666666599</v>
      </c>
      <c r="AZ626">
        <v>325.87333333333299</v>
      </c>
      <c r="BA626">
        <v>378.303333333333</v>
      </c>
      <c r="BB626">
        <v>323.85000000000002</v>
      </c>
      <c r="BC626">
        <v>361.28333333333302</v>
      </c>
      <c r="BD626">
        <v>336.34</v>
      </c>
      <c r="BE626">
        <v>323.34666666666601</v>
      </c>
      <c r="BF626">
        <v>312.89666666666602</v>
      </c>
      <c r="BG626" s="14"/>
      <c r="BH626" s="14"/>
      <c r="BI626" s="14"/>
      <c r="BJ626" s="199"/>
      <c r="BK626" s="14"/>
      <c r="BL626" s="14"/>
      <c r="BM626" s="14"/>
      <c r="BN626" s="14"/>
      <c r="BO626" s="14"/>
      <c r="BP626" s="14"/>
      <c r="BQ626" s="14"/>
      <c r="BR626" s="14"/>
      <c r="BS626" s="14"/>
      <c r="BT626" s="14"/>
      <c r="BU626" s="14"/>
      <c r="BV626" s="14"/>
      <c r="BW626" s="14"/>
      <c r="BX626" s="14"/>
      <c r="BY626" s="170"/>
    </row>
    <row r="627" spans="9:77" x14ac:dyDescent="0.25">
      <c r="I627">
        <v>5600</v>
      </c>
      <c r="J627" s="1" t="s">
        <v>803</v>
      </c>
      <c r="K627">
        <v>387.67333333333301</v>
      </c>
      <c r="L627">
        <v>345.416666666666</v>
      </c>
      <c r="M627">
        <v>373.38</v>
      </c>
      <c r="N627">
        <v>353.45666666666602</v>
      </c>
      <c r="O627">
        <v>344.37</v>
      </c>
      <c r="P627">
        <v>337.89</v>
      </c>
      <c r="Q627">
        <v>367.099999999999</v>
      </c>
      <c r="R627">
        <v>310.06</v>
      </c>
      <c r="S627">
        <v>349.14</v>
      </c>
      <c r="T627">
        <v>323.51666666666603</v>
      </c>
      <c r="U627">
        <v>309.81333333333299</v>
      </c>
      <c r="V627">
        <v>298.46666666666601</v>
      </c>
      <c r="W627">
        <v>369.97666666666601</v>
      </c>
      <c r="X627">
        <v>341.409999999999</v>
      </c>
      <c r="Y627">
        <v>352.50333333333299</v>
      </c>
      <c r="Z627">
        <v>350.61666666666599</v>
      </c>
      <c r="AA627">
        <v>345.00666666666598</v>
      </c>
      <c r="AB627">
        <v>345.00666666666598</v>
      </c>
      <c r="AC627">
        <v>393.24</v>
      </c>
      <c r="AD627">
        <v>348.993333333333</v>
      </c>
      <c r="AE627">
        <v>378.66333333333301</v>
      </c>
      <c r="AF627">
        <v>365.46</v>
      </c>
      <c r="AG627">
        <v>356.993333333333</v>
      </c>
      <c r="AH627">
        <v>353.00666666666598</v>
      </c>
      <c r="AI627">
        <v>387.67333333333301</v>
      </c>
      <c r="AJ627">
        <v>345.416666666666</v>
      </c>
      <c r="AK627">
        <v>373.38</v>
      </c>
      <c r="AL627">
        <v>353.45666666666602</v>
      </c>
      <c r="AM627">
        <v>344.37</v>
      </c>
      <c r="AN627">
        <v>337.89</v>
      </c>
      <c r="AO627">
        <v>385.13666666666597</v>
      </c>
      <c r="AP627">
        <v>318.21333333333303</v>
      </c>
      <c r="AQ627">
        <v>366.54</v>
      </c>
      <c r="AR627">
        <v>333.45</v>
      </c>
      <c r="AS627">
        <v>315.71666666666601</v>
      </c>
      <c r="AT627">
        <v>301.546666666666</v>
      </c>
      <c r="AU627">
        <v>398.59</v>
      </c>
      <c r="AV627">
        <v>346.63666666666597</v>
      </c>
      <c r="AW627">
        <v>381.743333333333</v>
      </c>
      <c r="AX627">
        <v>358.78</v>
      </c>
      <c r="AY627">
        <v>346.82666666666597</v>
      </c>
      <c r="AZ627">
        <v>338.08333333333297</v>
      </c>
      <c r="BA627">
        <v>390.51333333333298</v>
      </c>
      <c r="BB627">
        <v>336.06</v>
      </c>
      <c r="BC627">
        <v>373.493333333333</v>
      </c>
      <c r="BD627">
        <v>348.55</v>
      </c>
      <c r="BE627">
        <v>335.55666666666599</v>
      </c>
      <c r="BF627">
        <v>325.106666666666</v>
      </c>
      <c r="BG627" s="14"/>
      <c r="BH627" s="14"/>
      <c r="BI627" s="14"/>
      <c r="BJ627" s="199"/>
      <c r="BK627" s="14"/>
      <c r="BL627" s="14"/>
      <c r="BM627" s="14"/>
      <c r="BN627" s="14"/>
      <c r="BO627" s="14"/>
      <c r="BP627" s="14"/>
      <c r="BQ627" s="14"/>
      <c r="BR627" s="14"/>
      <c r="BS627" s="14"/>
      <c r="BT627" s="14"/>
      <c r="BU627" s="14"/>
      <c r="BV627" s="14"/>
      <c r="BW627" s="14"/>
      <c r="BX627" s="14"/>
      <c r="BY627" s="170"/>
    </row>
    <row r="628" spans="9:77" x14ac:dyDescent="0.25">
      <c r="I628">
        <v>5610</v>
      </c>
      <c r="J628" s="1" t="s">
        <v>804</v>
      </c>
      <c r="K628">
        <v>363.04333333333301</v>
      </c>
      <c r="L628">
        <v>320.78666666666601</v>
      </c>
      <c r="M628">
        <v>348.75</v>
      </c>
      <c r="N628">
        <v>328.82666666666597</v>
      </c>
      <c r="O628">
        <v>319.74</v>
      </c>
      <c r="P628">
        <v>313.26</v>
      </c>
      <c r="Q628">
        <v>342.469999999999</v>
      </c>
      <c r="R628">
        <v>285.43</v>
      </c>
      <c r="S628">
        <v>324.51</v>
      </c>
      <c r="T628">
        <v>298.88666666666597</v>
      </c>
      <c r="U628">
        <v>285.183333333333</v>
      </c>
      <c r="V628">
        <v>273.83666666666602</v>
      </c>
      <c r="W628">
        <v>345.34666666666601</v>
      </c>
      <c r="X628">
        <v>316.77999999999901</v>
      </c>
      <c r="Y628">
        <v>327.87333333333299</v>
      </c>
      <c r="Z628">
        <v>325.986666666666</v>
      </c>
      <c r="AA628">
        <v>320.37666666666598</v>
      </c>
      <c r="AB628">
        <v>320.37666666666598</v>
      </c>
      <c r="AC628">
        <v>368.61</v>
      </c>
      <c r="AD628">
        <v>324.363333333333</v>
      </c>
      <c r="AE628">
        <v>354.03333333333302</v>
      </c>
      <c r="AF628">
        <v>340.83</v>
      </c>
      <c r="AG628">
        <v>332.363333333333</v>
      </c>
      <c r="AH628">
        <v>328.37666666666598</v>
      </c>
      <c r="AI628">
        <v>363.04333333333301</v>
      </c>
      <c r="AJ628">
        <v>320.78666666666601</v>
      </c>
      <c r="AK628">
        <v>348.75</v>
      </c>
      <c r="AL628">
        <v>328.82666666666597</v>
      </c>
      <c r="AM628">
        <v>319.74</v>
      </c>
      <c r="AN628">
        <v>313.26</v>
      </c>
      <c r="AO628">
        <v>360.50666666666598</v>
      </c>
      <c r="AP628">
        <v>293.58333333333297</v>
      </c>
      <c r="AQ628">
        <v>341.91</v>
      </c>
      <c r="AR628">
        <v>308.82</v>
      </c>
      <c r="AS628">
        <v>291.08666666666602</v>
      </c>
      <c r="AT628">
        <v>276.916666666666</v>
      </c>
      <c r="AU628">
        <v>373.96</v>
      </c>
      <c r="AV628">
        <v>322.00666666666598</v>
      </c>
      <c r="AW628">
        <v>357.113333333333</v>
      </c>
      <c r="AX628">
        <v>334.15</v>
      </c>
      <c r="AY628">
        <v>322.19666666666598</v>
      </c>
      <c r="AZ628">
        <v>313.45333333333298</v>
      </c>
      <c r="BA628">
        <v>365.88333333333298</v>
      </c>
      <c r="BB628">
        <v>311.43</v>
      </c>
      <c r="BC628">
        <v>348.863333333333</v>
      </c>
      <c r="BD628">
        <v>323.92</v>
      </c>
      <c r="BE628">
        <v>310.92666666666599</v>
      </c>
      <c r="BF628">
        <v>300.47666666666601</v>
      </c>
      <c r="BG628" s="14"/>
      <c r="BH628" s="14"/>
      <c r="BI628" s="14"/>
      <c r="BJ628" s="199"/>
      <c r="BK628" s="14"/>
      <c r="BL628" s="14"/>
      <c r="BM628" s="14"/>
      <c r="BN628" s="14"/>
      <c r="BO628" s="14"/>
      <c r="BP628" s="14"/>
      <c r="BQ628" s="14"/>
      <c r="BR628" s="14"/>
      <c r="BS628" s="14"/>
      <c r="BT628" s="14"/>
      <c r="BU628" s="14"/>
      <c r="BV628" s="14"/>
      <c r="BW628" s="14"/>
      <c r="BX628" s="14"/>
      <c r="BY628" s="170"/>
    </row>
    <row r="629" spans="9:77" x14ac:dyDescent="0.25">
      <c r="I629">
        <v>5620</v>
      </c>
      <c r="J629" s="1" t="s">
        <v>805</v>
      </c>
      <c r="K629">
        <v>433.94333333333299</v>
      </c>
      <c r="L629">
        <v>391.68666666666599</v>
      </c>
      <c r="M629">
        <v>419.64999999999901</v>
      </c>
      <c r="N629">
        <v>399.72666666666601</v>
      </c>
      <c r="O629">
        <v>390.63999999999902</v>
      </c>
      <c r="P629">
        <v>384.16</v>
      </c>
      <c r="Q629">
        <v>413.36999999999898</v>
      </c>
      <c r="R629">
        <v>356.32999999999902</v>
      </c>
      <c r="S629">
        <v>395.409999999999</v>
      </c>
      <c r="T629">
        <v>369.78666666666601</v>
      </c>
      <c r="U629">
        <v>356.08333333333297</v>
      </c>
      <c r="V629">
        <v>344.736666666666</v>
      </c>
      <c r="W629">
        <v>416.24666666666599</v>
      </c>
      <c r="X629">
        <v>387.67999999999898</v>
      </c>
      <c r="Y629">
        <v>398.77333333333303</v>
      </c>
      <c r="Z629">
        <v>396.88666666666597</v>
      </c>
      <c r="AA629">
        <v>391.27666666666602</v>
      </c>
      <c r="AB629">
        <v>391.27666666666602</v>
      </c>
      <c r="AC629">
        <v>439.50999999999902</v>
      </c>
      <c r="AD629">
        <v>395.26333333333298</v>
      </c>
      <c r="AE629">
        <v>424.933333333333</v>
      </c>
      <c r="AF629">
        <v>411.729999999999</v>
      </c>
      <c r="AG629">
        <v>403.26333333333298</v>
      </c>
      <c r="AH629">
        <v>399.27666666666602</v>
      </c>
      <c r="AI629">
        <v>433.94333333333299</v>
      </c>
      <c r="AJ629">
        <v>391.68666666666599</v>
      </c>
      <c r="AK629">
        <v>419.64999999999901</v>
      </c>
      <c r="AL629">
        <v>399.72666666666601</v>
      </c>
      <c r="AM629">
        <v>390.63999999999902</v>
      </c>
      <c r="AN629">
        <v>384.16</v>
      </c>
      <c r="AO629">
        <v>431.40666666666601</v>
      </c>
      <c r="AP629">
        <v>364.48333333333301</v>
      </c>
      <c r="AQ629">
        <v>412.80999999999898</v>
      </c>
      <c r="AR629">
        <v>379.719999999999</v>
      </c>
      <c r="AS629">
        <v>361.986666666666</v>
      </c>
      <c r="AT629">
        <v>347.81666666666598</v>
      </c>
      <c r="AU629">
        <v>444.85999999999899</v>
      </c>
      <c r="AV629">
        <v>392.90666666666601</v>
      </c>
      <c r="AW629">
        <v>428.01333333333298</v>
      </c>
      <c r="AX629">
        <v>405.05</v>
      </c>
      <c r="AY629">
        <v>393.09666666666601</v>
      </c>
      <c r="AZ629">
        <v>384.35333333333301</v>
      </c>
      <c r="BA629">
        <v>436.78333333333302</v>
      </c>
      <c r="BB629">
        <v>382.32999999999902</v>
      </c>
      <c r="BC629">
        <v>419.76333333333298</v>
      </c>
      <c r="BD629">
        <v>394.81999999999903</v>
      </c>
      <c r="BE629">
        <v>381.82666666666597</v>
      </c>
      <c r="BF629">
        <v>371.37666666666598</v>
      </c>
      <c r="BG629" s="14"/>
      <c r="BH629" s="14"/>
      <c r="BI629" s="14"/>
      <c r="BJ629" s="199"/>
      <c r="BK629" s="14"/>
      <c r="BL629" s="14"/>
      <c r="BM629" s="14"/>
      <c r="BN629" s="14"/>
      <c r="BO629" s="14"/>
      <c r="BP629" s="14"/>
      <c r="BQ629" s="14"/>
      <c r="BR629" s="14"/>
      <c r="BS629" s="14"/>
      <c r="BT629" s="14"/>
      <c r="BU629" s="14"/>
      <c r="BV629" s="14"/>
      <c r="BW629" s="14"/>
      <c r="BX629" s="14"/>
      <c r="BY629" s="170"/>
    </row>
    <row r="630" spans="9:77" x14ac:dyDescent="0.25">
      <c r="I630">
        <v>5631</v>
      </c>
      <c r="J630" s="1" t="s">
        <v>806</v>
      </c>
      <c r="K630">
        <v>341.26333333333298</v>
      </c>
      <c r="L630">
        <v>299.00666666666598</v>
      </c>
      <c r="M630">
        <v>326.969999999999</v>
      </c>
      <c r="N630">
        <v>307.046666666666</v>
      </c>
      <c r="O630">
        <v>297.95999999999998</v>
      </c>
      <c r="P630">
        <v>291.48</v>
      </c>
      <c r="Q630">
        <v>320.68999999999897</v>
      </c>
      <c r="R630">
        <v>263.64999999999901</v>
      </c>
      <c r="S630">
        <v>302.73</v>
      </c>
      <c r="T630">
        <v>277.106666666666</v>
      </c>
      <c r="U630">
        <v>263.40333333333302</v>
      </c>
      <c r="V630">
        <v>252.05666666666599</v>
      </c>
      <c r="W630">
        <v>323.56666666666598</v>
      </c>
      <c r="X630">
        <v>294.99999999999898</v>
      </c>
      <c r="Y630">
        <v>306.09333333333302</v>
      </c>
      <c r="Z630">
        <v>304.20666666666602</v>
      </c>
      <c r="AA630">
        <v>298.59666666666601</v>
      </c>
      <c r="AB630">
        <v>298.59666666666601</v>
      </c>
      <c r="AC630">
        <v>346.82999999999902</v>
      </c>
      <c r="AD630">
        <v>302.58333333333297</v>
      </c>
      <c r="AE630">
        <v>332.25333333333299</v>
      </c>
      <c r="AF630">
        <v>319.05</v>
      </c>
      <c r="AG630">
        <v>310.58333333333297</v>
      </c>
      <c r="AH630">
        <v>306.59666666666601</v>
      </c>
      <c r="AI630">
        <v>341.26333333333298</v>
      </c>
      <c r="AJ630">
        <v>299.00666666666598</v>
      </c>
      <c r="AK630">
        <v>326.969999999999</v>
      </c>
      <c r="AL630">
        <v>307.046666666666</v>
      </c>
      <c r="AM630">
        <v>297.95999999999998</v>
      </c>
      <c r="AN630">
        <v>291.48</v>
      </c>
      <c r="AO630">
        <v>338.72666666666601</v>
      </c>
      <c r="AP630">
        <v>271.803333333333</v>
      </c>
      <c r="AQ630">
        <v>320.12999999999897</v>
      </c>
      <c r="AR630">
        <v>287.04000000000002</v>
      </c>
      <c r="AS630">
        <v>269.30666666666599</v>
      </c>
      <c r="AT630">
        <v>255.136666666666</v>
      </c>
      <c r="AU630">
        <v>352.18</v>
      </c>
      <c r="AV630">
        <v>300.22666666666601</v>
      </c>
      <c r="AW630">
        <v>335.33333333333297</v>
      </c>
      <c r="AX630">
        <v>312.37</v>
      </c>
      <c r="AY630">
        <v>300.416666666666</v>
      </c>
      <c r="AZ630">
        <v>291.67333333333301</v>
      </c>
      <c r="BA630">
        <v>344.10333333333301</v>
      </c>
      <c r="BB630">
        <v>289.64999999999998</v>
      </c>
      <c r="BC630">
        <v>327.08333333333297</v>
      </c>
      <c r="BD630">
        <v>302.13999999999902</v>
      </c>
      <c r="BE630">
        <v>289.14666666666602</v>
      </c>
      <c r="BF630">
        <v>278.69666666666598</v>
      </c>
      <c r="BG630" s="14"/>
      <c r="BH630" s="14"/>
      <c r="BI630" s="14"/>
      <c r="BJ630" s="199"/>
      <c r="BK630" s="14"/>
      <c r="BL630" s="14"/>
      <c r="BM630" s="14"/>
      <c r="BN630" s="14"/>
      <c r="BO630" s="14"/>
      <c r="BP630" s="14"/>
      <c r="BQ630" s="14"/>
      <c r="BR630" s="14"/>
      <c r="BS630" s="14"/>
      <c r="BT630" s="14"/>
      <c r="BU630" s="14"/>
      <c r="BV630" s="14"/>
      <c r="BW630" s="14"/>
      <c r="BX630" s="14"/>
      <c r="BY630" s="170"/>
    </row>
    <row r="631" spans="9:77" x14ac:dyDescent="0.25">
      <c r="I631">
        <v>5642</v>
      </c>
      <c r="J631" s="1" t="s">
        <v>807</v>
      </c>
      <c r="K631">
        <v>394.47333333333302</v>
      </c>
      <c r="L631">
        <v>352.21666666666601</v>
      </c>
      <c r="M631">
        <v>380.18</v>
      </c>
      <c r="N631">
        <v>360.25666666666598</v>
      </c>
      <c r="O631">
        <v>351.17</v>
      </c>
      <c r="P631">
        <v>344.69</v>
      </c>
      <c r="Q631">
        <v>373.89999999999901</v>
      </c>
      <c r="R631">
        <v>316.85999999999899</v>
      </c>
      <c r="S631">
        <v>355.94</v>
      </c>
      <c r="T631">
        <v>330.31666666666598</v>
      </c>
      <c r="U631">
        <v>316.613333333333</v>
      </c>
      <c r="V631">
        <v>305.26666666666603</v>
      </c>
      <c r="W631">
        <v>376.77666666666602</v>
      </c>
      <c r="X631">
        <v>348.20999999999901</v>
      </c>
      <c r="Y631">
        <v>359.303333333333</v>
      </c>
      <c r="Z631">
        <v>357.416666666666</v>
      </c>
      <c r="AA631">
        <v>351.80666666666599</v>
      </c>
      <c r="AB631">
        <v>351.80666666666599</v>
      </c>
      <c r="AC631">
        <v>400.039999999999</v>
      </c>
      <c r="AD631">
        <v>355.79333333333301</v>
      </c>
      <c r="AE631">
        <v>385.46333333333303</v>
      </c>
      <c r="AF631">
        <v>372.26</v>
      </c>
      <c r="AG631">
        <v>363.79333333333301</v>
      </c>
      <c r="AH631">
        <v>359.80666666666599</v>
      </c>
      <c r="AI631">
        <v>394.47333333333302</v>
      </c>
      <c r="AJ631">
        <v>352.21666666666601</v>
      </c>
      <c r="AK631">
        <v>380.18</v>
      </c>
      <c r="AL631">
        <v>360.25666666666598</v>
      </c>
      <c r="AM631">
        <v>351.17</v>
      </c>
      <c r="AN631">
        <v>344.69</v>
      </c>
      <c r="AO631">
        <v>391.93666666666599</v>
      </c>
      <c r="AP631">
        <v>325.01333333333298</v>
      </c>
      <c r="AQ631">
        <v>373.33999999999901</v>
      </c>
      <c r="AR631">
        <v>340.25</v>
      </c>
      <c r="AS631">
        <v>322.51666666666603</v>
      </c>
      <c r="AT631">
        <v>308.34666666666601</v>
      </c>
      <c r="AU631">
        <v>405.39</v>
      </c>
      <c r="AV631">
        <v>353.43666666666599</v>
      </c>
      <c r="AW631">
        <v>388.54333333333301</v>
      </c>
      <c r="AX631">
        <v>365.58</v>
      </c>
      <c r="AY631">
        <v>353.62666666666598</v>
      </c>
      <c r="AZ631">
        <v>344.88333333333298</v>
      </c>
      <c r="BA631">
        <v>397.31333333333299</v>
      </c>
      <c r="BB631">
        <v>342.86</v>
      </c>
      <c r="BC631">
        <v>380.29333333333301</v>
      </c>
      <c r="BD631">
        <v>355.35</v>
      </c>
      <c r="BE631">
        <v>342.356666666666</v>
      </c>
      <c r="BF631">
        <v>331.90666666666601</v>
      </c>
      <c r="BG631" s="14"/>
      <c r="BH631" s="14"/>
      <c r="BI631" s="14"/>
      <c r="BJ631" s="199"/>
      <c r="BK631" s="14"/>
      <c r="BL631" s="14"/>
      <c r="BM631" s="14"/>
      <c r="BN631" s="14"/>
      <c r="BO631" s="14"/>
      <c r="BP631" s="14"/>
      <c r="BQ631" s="14"/>
      <c r="BR631" s="14"/>
      <c r="BS631" s="14"/>
      <c r="BT631" s="14"/>
      <c r="BU631" s="14"/>
      <c r="BV631" s="14"/>
      <c r="BW631" s="14"/>
      <c r="BX631" s="14"/>
      <c r="BY631" s="170"/>
    </row>
    <row r="632" spans="9:77" x14ac:dyDescent="0.25">
      <c r="I632">
        <v>5672</v>
      </c>
      <c r="J632" s="1" t="s">
        <v>808</v>
      </c>
      <c r="K632">
        <v>471.54333333333301</v>
      </c>
      <c r="L632">
        <v>429.28666666666601</v>
      </c>
      <c r="M632">
        <v>457.25</v>
      </c>
      <c r="N632">
        <v>437.32666666666597</v>
      </c>
      <c r="O632">
        <v>428.24</v>
      </c>
      <c r="P632">
        <v>421.76</v>
      </c>
      <c r="Q632">
        <v>450.969999999999</v>
      </c>
      <c r="R632">
        <v>393.93</v>
      </c>
      <c r="S632">
        <v>433.01</v>
      </c>
      <c r="T632">
        <v>407.38666666666597</v>
      </c>
      <c r="U632">
        <v>393.683333333333</v>
      </c>
      <c r="V632">
        <v>382.33666666666602</v>
      </c>
      <c r="W632">
        <v>453.84666666666601</v>
      </c>
      <c r="X632">
        <v>425.27999999999901</v>
      </c>
      <c r="Y632">
        <v>436.37333333333299</v>
      </c>
      <c r="Z632">
        <v>434.486666666666</v>
      </c>
      <c r="AA632">
        <v>428.87666666666598</v>
      </c>
      <c r="AB632">
        <v>428.87666666666598</v>
      </c>
      <c r="AC632">
        <v>477.11</v>
      </c>
      <c r="AD632">
        <v>432.863333333333</v>
      </c>
      <c r="AE632">
        <v>462.53333333333302</v>
      </c>
      <c r="AF632">
        <v>449.33</v>
      </c>
      <c r="AG632">
        <v>440.863333333333</v>
      </c>
      <c r="AH632">
        <v>436.87666666666598</v>
      </c>
      <c r="AI632">
        <v>471.54333333333301</v>
      </c>
      <c r="AJ632">
        <v>429.28666666666601</v>
      </c>
      <c r="AK632">
        <v>457.25</v>
      </c>
      <c r="AL632">
        <v>437.32666666666597</v>
      </c>
      <c r="AM632">
        <v>428.24</v>
      </c>
      <c r="AN632">
        <v>421.76</v>
      </c>
      <c r="AO632">
        <v>469.00666666666598</v>
      </c>
      <c r="AP632">
        <v>402.08333333333297</v>
      </c>
      <c r="AQ632">
        <v>450.41</v>
      </c>
      <c r="AR632">
        <v>417.32</v>
      </c>
      <c r="AS632">
        <v>399.58666666666602</v>
      </c>
      <c r="AT632">
        <v>385.416666666666</v>
      </c>
      <c r="AU632">
        <v>482.46</v>
      </c>
      <c r="AV632">
        <v>430.50666666666598</v>
      </c>
      <c r="AW632">
        <v>465.613333333333</v>
      </c>
      <c r="AX632">
        <v>442.65</v>
      </c>
      <c r="AY632">
        <v>430.69666666666598</v>
      </c>
      <c r="AZ632">
        <v>421.95333333333298</v>
      </c>
      <c r="BA632">
        <v>474.38333333333298</v>
      </c>
      <c r="BB632">
        <v>419.93</v>
      </c>
      <c r="BC632">
        <v>457.363333333333</v>
      </c>
      <c r="BD632">
        <v>432.42</v>
      </c>
      <c r="BE632">
        <v>419.42666666666599</v>
      </c>
      <c r="BF632">
        <v>408.97666666666601</v>
      </c>
      <c r="BG632" s="14"/>
      <c r="BH632" s="14"/>
      <c r="BI632" s="14"/>
      <c r="BJ632" s="199"/>
      <c r="BK632" s="14"/>
      <c r="BL632" s="14"/>
      <c r="BM632" s="14"/>
      <c r="BN632" s="14"/>
      <c r="BO632" s="14"/>
      <c r="BP632" s="14"/>
      <c r="BQ632" s="14"/>
      <c r="BR632" s="14"/>
      <c r="BS632" s="14"/>
      <c r="BT632" s="14"/>
      <c r="BU632" s="14"/>
      <c r="BV632" s="14"/>
      <c r="BW632" s="14"/>
      <c r="BX632" s="14"/>
      <c r="BY632" s="170"/>
    </row>
    <row r="633" spans="9:77" x14ac:dyDescent="0.25">
      <c r="I633">
        <v>5683</v>
      </c>
      <c r="J633" s="1" t="s">
        <v>809</v>
      </c>
      <c r="K633">
        <v>394.47333333333302</v>
      </c>
      <c r="L633">
        <v>352.21666666666601</v>
      </c>
      <c r="M633">
        <v>380.18</v>
      </c>
      <c r="N633">
        <v>360.25666666666598</v>
      </c>
      <c r="O633">
        <v>351.17</v>
      </c>
      <c r="P633">
        <v>344.69</v>
      </c>
      <c r="Q633">
        <v>373.89999999999901</v>
      </c>
      <c r="R633">
        <v>316.85999999999899</v>
      </c>
      <c r="S633">
        <v>355.94</v>
      </c>
      <c r="T633">
        <v>330.31666666666598</v>
      </c>
      <c r="U633">
        <v>316.613333333333</v>
      </c>
      <c r="V633">
        <v>305.26666666666603</v>
      </c>
      <c r="W633">
        <v>376.77666666666602</v>
      </c>
      <c r="X633">
        <v>348.20999999999901</v>
      </c>
      <c r="Y633">
        <v>359.303333333333</v>
      </c>
      <c r="Z633">
        <v>357.416666666666</v>
      </c>
      <c r="AA633">
        <v>351.80666666666599</v>
      </c>
      <c r="AB633">
        <v>351.80666666666599</v>
      </c>
      <c r="AC633">
        <v>400.039999999999</v>
      </c>
      <c r="AD633">
        <v>355.79333333333301</v>
      </c>
      <c r="AE633">
        <v>385.46333333333303</v>
      </c>
      <c r="AF633">
        <v>372.26</v>
      </c>
      <c r="AG633">
        <v>363.79333333333301</v>
      </c>
      <c r="AH633">
        <v>359.80666666666599</v>
      </c>
      <c r="AI633">
        <v>394.47333333333302</v>
      </c>
      <c r="AJ633">
        <v>352.21666666666601</v>
      </c>
      <c r="AK633">
        <v>380.18</v>
      </c>
      <c r="AL633">
        <v>360.25666666666598</v>
      </c>
      <c r="AM633">
        <v>351.17</v>
      </c>
      <c r="AN633">
        <v>344.69</v>
      </c>
      <c r="AO633">
        <v>391.93666666666599</v>
      </c>
      <c r="AP633">
        <v>325.01333333333298</v>
      </c>
      <c r="AQ633">
        <v>373.33999999999901</v>
      </c>
      <c r="AR633">
        <v>340.25</v>
      </c>
      <c r="AS633">
        <v>322.51666666666603</v>
      </c>
      <c r="AT633">
        <v>308.34666666666601</v>
      </c>
      <c r="AU633">
        <v>405.39</v>
      </c>
      <c r="AV633">
        <v>353.43666666666599</v>
      </c>
      <c r="AW633">
        <v>388.54333333333301</v>
      </c>
      <c r="AX633">
        <v>365.58</v>
      </c>
      <c r="AY633">
        <v>353.62666666666598</v>
      </c>
      <c r="AZ633">
        <v>344.88333333333298</v>
      </c>
      <c r="BA633">
        <v>397.31333333333299</v>
      </c>
      <c r="BB633">
        <v>342.86</v>
      </c>
      <c r="BC633">
        <v>380.29333333333301</v>
      </c>
      <c r="BD633">
        <v>355.35</v>
      </c>
      <c r="BE633">
        <v>342.356666666666</v>
      </c>
      <c r="BF633">
        <v>331.90666666666601</v>
      </c>
      <c r="BG633" s="14"/>
      <c r="BH633" s="14"/>
      <c r="BI633" s="14"/>
      <c r="BJ633" s="199"/>
      <c r="BK633" s="14"/>
      <c r="BL633" s="14"/>
      <c r="BM633" s="14"/>
      <c r="BN633" s="14"/>
      <c r="BO633" s="14"/>
      <c r="BP633" s="14"/>
      <c r="BQ633" s="14"/>
      <c r="BR633" s="14"/>
      <c r="BS633" s="14"/>
      <c r="BT633" s="14"/>
      <c r="BU633" s="14"/>
      <c r="BV633" s="14"/>
      <c r="BW633" s="14"/>
      <c r="BX633" s="14"/>
      <c r="BY633" s="170"/>
    </row>
    <row r="634" spans="9:77" x14ac:dyDescent="0.25">
      <c r="I634">
        <v>5690</v>
      </c>
      <c r="J634" s="1" t="s">
        <v>810</v>
      </c>
      <c r="K634">
        <v>433.94333333333299</v>
      </c>
      <c r="L634">
        <v>391.68666666666599</v>
      </c>
      <c r="M634">
        <v>419.64999999999901</v>
      </c>
      <c r="N634">
        <v>399.72666666666601</v>
      </c>
      <c r="O634">
        <v>390.63999999999902</v>
      </c>
      <c r="P634">
        <v>384.16</v>
      </c>
      <c r="Q634">
        <v>413.36999999999898</v>
      </c>
      <c r="R634">
        <v>356.32999999999902</v>
      </c>
      <c r="S634">
        <v>395.409999999999</v>
      </c>
      <c r="T634">
        <v>369.78666666666601</v>
      </c>
      <c r="U634">
        <v>356.08333333333297</v>
      </c>
      <c r="V634">
        <v>344.736666666666</v>
      </c>
      <c r="W634">
        <v>416.24666666666599</v>
      </c>
      <c r="X634">
        <v>387.67999999999898</v>
      </c>
      <c r="Y634">
        <v>398.77333333333303</v>
      </c>
      <c r="Z634">
        <v>396.88666666666597</v>
      </c>
      <c r="AA634">
        <v>391.27666666666602</v>
      </c>
      <c r="AB634">
        <v>391.27666666666602</v>
      </c>
      <c r="AC634">
        <v>439.50999999999902</v>
      </c>
      <c r="AD634">
        <v>395.26333333333298</v>
      </c>
      <c r="AE634">
        <v>424.933333333333</v>
      </c>
      <c r="AF634">
        <v>411.729999999999</v>
      </c>
      <c r="AG634">
        <v>403.26333333333298</v>
      </c>
      <c r="AH634">
        <v>399.27666666666602</v>
      </c>
      <c r="AI634">
        <v>433.94333333333299</v>
      </c>
      <c r="AJ634">
        <v>391.68666666666599</v>
      </c>
      <c r="AK634">
        <v>419.64999999999901</v>
      </c>
      <c r="AL634">
        <v>399.72666666666601</v>
      </c>
      <c r="AM634">
        <v>390.63999999999902</v>
      </c>
      <c r="AN634">
        <v>384.16</v>
      </c>
      <c r="AO634">
        <v>431.40666666666601</v>
      </c>
      <c r="AP634">
        <v>364.48333333333301</v>
      </c>
      <c r="AQ634">
        <v>412.80999999999898</v>
      </c>
      <c r="AR634">
        <v>379.719999999999</v>
      </c>
      <c r="AS634">
        <v>361.986666666666</v>
      </c>
      <c r="AT634">
        <v>347.81666666666598</v>
      </c>
      <c r="AU634">
        <v>444.85999999999899</v>
      </c>
      <c r="AV634">
        <v>392.90666666666601</v>
      </c>
      <c r="AW634">
        <v>428.01333333333298</v>
      </c>
      <c r="AX634">
        <v>405.05</v>
      </c>
      <c r="AY634">
        <v>393.09666666666601</v>
      </c>
      <c r="AZ634">
        <v>384.35333333333301</v>
      </c>
      <c r="BA634">
        <v>436.78333333333302</v>
      </c>
      <c r="BB634">
        <v>382.32999999999902</v>
      </c>
      <c r="BC634">
        <v>419.76333333333298</v>
      </c>
      <c r="BD634">
        <v>394.81999999999903</v>
      </c>
      <c r="BE634">
        <v>381.82666666666597</v>
      </c>
      <c r="BF634">
        <v>371.37666666666598</v>
      </c>
      <c r="BG634" s="14"/>
      <c r="BH634" s="14"/>
      <c r="BI634" s="14"/>
      <c r="BJ634" s="199"/>
      <c r="BK634" s="14"/>
      <c r="BL634" s="14"/>
      <c r="BM634" s="14"/>
      <c r="BN634" s="14"/>
      <c r="BO634" s="14"/>
      <c r="BP634" s="14"/>
      <c r="BQ634" s="14"/>
      <c r="BR634" s="14"/>
      <c r="BS634" s="14"/>
      <c r="BT634" s="14"/>
      <c r="BU634" s="14"/>
      <c r="BV634" s="14"/>
      <c r="BW634" s="14"/>
      <c r="BX634" s="14"/>
      <c r="BY634" s="170"/>
    </row>
    <row r="635" spans="9:77" x14ac:dyDescent="0.25">
      <c r="I635">
        <v>5700</v>
      </c>
      <c r="J635" s="1" t="s">
        <v>811</v>
      </c>
      <c r="K635">
        <v>319.98333333333301</v>
      </c>
      <c r="L635">
        <v>277.72666666666601</v>
      </c>
      <c r="M635">
        <v>305.69</v>
      </c>
      <c r="N635">
        <v>285.76666666666603</v>
      </c>
      <c r="O635">
        <v>276.68</v>
      </c>
      <c r="P635">
        <v>270.2</v>
      </c>
      <c r="Q635">
        <v>299.409999999999</v>
      </c>
      <c r="R635">
        <v>242.36999999999901</v>
      </c>
      <c r="S635">
        <v>281.45</v>
      </c>
      <c r="T635">
        <v>255.826666666666</v>
      </c>
      <c r="U635">
        <v>242.12333333333299</v>
      </c>
      <c r="V635">
        <v>230.77666666666599</v>
      </c>
      <c r="W635">
        <v>302.28666666666601</v>
      </c>
      <c r="X635">
        <v>273.719999999999</v>
      </c>
      <c r="Y635">
        <v>284.81333333333299</v>
      </c>
      <c r="Z635">
        <v>282.92666666666599</v>
      </c>
      <c r="AA635">
        <v>277.31666666666598</v>
      </c>
      <c r="AB635">
        <v>277.31666666666598</v>
      </c>
      <c r="AC635">
        <v>325.54999999999899</v>
      </c>
      <c r="AD635">
        <v>281.303333333333</v>
      </c>
      <c r="AE635">
        <v>310.97333333333302</v>
      </c>
      <c r="AF635">
        <v>297.77</v>
      </c>
      <c r="AG635">
        <v>289.303333333333</v>
      </c>
      <c r="AH635">
        <v>285.31666666666598</v>
      </c>
      <c r="AI635">
        <v>319.98333333333301</v>
      </c>
      <c r="AJ635">
        <v>277.72666666666601</v>
      </c>
      <c r="AK635">
        <v>305.69</v>
      </c>
      <c r="AL635">
        <v>285.76666666666603</v>
      </c>
      <c r="AM635">
        <v>276.68</v>
      </c>
      <c r="AN635">
        <v>270.2</v>
      </c>
      <c r="AO635">
        <v>317.44666666666598</v>
      </c>
      <c r="AP635">
        <v>250.523333333333</v>
      </c>
      <c r="AQ635">
        <v>298.849999999999</v>
      </c>
      <c r="AR635">
        <v>265.76</v>
      </c>
      <c r="AS635">
        <v>248.02666666666599</v>
      </c>
      <c r="AT635">
        <v>233.856666666666</v>
      </c>
      <c r="AU635">
        <v>330.9</v>
      </c>
      <c r="AV635">
        <v>278.94666666666598</v>
      </c>
      <c r="AW635">
        <v>314.053333333333</v>
      </c>
      <c r="AX635">
        <v>291.08999999999997</v>
      </c>
      <c r="AY635">
        <v>279.13666666666597</v>
      </c>
      <c r="AZ635">
        <v>270.39333333333298</v>
      </c>
      <c r="BA635">
        <v>322.82333333333298</v>
      </c>
      <c r="BB635">
        <v>268.37</v>
      </c>
      <c r="BC635">
        <v>305.803333333333</v>
      </c>
      <c r="BD635">
        <v>280.86</v>
      </c>
      <c r="BE635">
        <v>267.86666666666599</v>
      </c>
      <c r="BF635">
        <v>257.416666666666</v>
      </c>
      <c r="BG635" s="14"/>
      <c r="BH635" s="14"/>
      <c r="BI635" s="14"/>
      <c r="BJ635" s="199"/>
      <c r="BK635" s="14"/>
      <c r="BL635" s="14"/>
      <c r="BM635" s="14"/>
      <c r="BN635" s="14"/>
      <c r="BO635" s="14"/>
      <c r="BP635" s="14"/>
      <c r="BQ635" s="14"/>
      <c r="BR635" s="14"/>
      <c r="BS635" s="14"/>
      <c r="BT635" s="14"/>
      <c r="BU635" s="14"/>
      <c r="BV635" s="14"/>
      <c r="BW635" s="14"/>
      <c r="BX635" s="14"/>
      <c r="BY635" s="170"/>
    </row>
    <row r="636" spans="9:77" x14ac:dyDescent="0.25">
      <c r="I636">
        <v>5750</v>
      </c>
      <c r="J636" s="1" t="s">
        <v>812</v>
      </c>
      <c r="K636">
        <v>466.07333333333298</v>
      </c>
      <c r="L636">
        <v>423.81666666666598</v>
      </c>
      <c r="M636">
        <v>451.77999999999901</v>
      </c>
      <c r="N636">
        <v>431.856666666666</v>
      </c>
      <c r="O636">
        <v>422.76999999999902</v>
      </c>
      <c r="P636">
        <v>416.29</v>
      </c>
      <c r="Q636">
        <v>445.49999999999898</v>
      </c>
      <c r="R636">
        <v>388.45999999999901</v>
      </c>
      <c r="S636">
        <v>427.539999999999</v>
      </c>
      <c r="T636">
        <v>401.916666666666</v>
      </c>
      <c r="U636">
        <v>388.21333333333303</v>
      </c>
      <c r="V636">
        <v>376.86666666666599</v>
      </c>
      <c r="W636">
        <v>448.37666666666598</v>
      </c>
      <c r="X636">
        <v>419.80999999999898</v>
      </c>
      <c r="Y636">
        <v>430.90333333333302</v>
      </c>
      <c r="Z636">
        <v>429.01666666666603</v>
      </c>
      <c r="AA636">
        <v>423.40666666666601</v>
      </c>
      <c r="AB636">
        <v>423.40666666666601</v>
      </c>
      <c r="AC636">
        <v>471.63999999999902</v>
      </c>
      <c r="AD636">
        <v>427.39333333333298</v>
      </c>
      <c r="AE636">
        <v>457.06333333333299</v>
      </c>
      <c r="AF636">
        <v>443.85999999999899</v>
      </c>
      <c r="AG636">
        <v>435.39333333333298</v>
      </c>
      <c r="AH636">
        <v>431.40666666666601</v>
      </c>
      <c r="AI636">
        <v>466.07333333333298</v>
      </c>
      <c r="AJ636">
        <v>423.81666666666598</v>
      </c>
      <c r="AK636">
        <v>451.77999999999901</v>
      </c>
      <c r="AL636">
        <v>431.856666666666</v>
      </c>
      <c r="AM636">
        <v>422.76999999999902</v>
      </c>
      <c r="AN636">
        <v>416.29</v>
      </c>
      <c r="AO636">
        <v>463.53666666666601</v>
      </c>
      <c r="AP636">
        <v>396.613333333333</v>
      </c>
      <c r="AQ636">
        <v>444.93999999999897</v>
      </c>
      <c r="AR636">
        <v>411.849999999999</v>
      </c>
      <c r="AS636">
        <v>394.11666666666599</v>
      </c>
      <c r="AT636">
        <v>379.94666666666598</v>
      </c>
      <c r="AU636">
        <v>476.98999999999899</v>
      </c>
      <c r="AV636">
        <v>425.03666666666601</v>
      </c>
      <c r="AW636">
        <v>460.14333333333298</v>
      </c>
      <c r="AX636">
        <v>437.18</v>
      </c>
      <c r="AY636">
        <v>425.22666666666601</v>
      </c>
      <c r="AZ636">
        <v>416.48333333333301</v>
      </c>
      <c r="BA636">
        <v>468.91333333333301</v>
      </c>
      <c r="BB636">
        <v>414.45999999999901</v>
      </c>
      <c r="BC636">
        <v>451.89333333333298</v>
      </c>
      <c r="BD636">
        <v>426.94999999999902</v>
      </c>
      <c r="BE636">
        <v>413.95666666666602</v>
      </c>
      <c r="BF636">
        <v>403.50666666666598</v>
      </c>
      <c r="BG636" s="14"/>
      <c r="BH636" s="14"/>
      <c r="BI636" s="14"/>
      <c r="BJ636" s="199"/>
      <c r="BK636" s="14"/>
      <c r="BL636" s="14"/>
      <c r="BM636" s="14"/>
      <c r="BN636" s="14"/>
      <c r="BO636" s="14"/>
      <c r="BP636" s="14"/>
      <c r="BQ636" s="14"/>
      <c r="BR636" s="14"/>
      <c r="BS636" s="14"/>
      <c r="BT636" s="14"/>
      <c r="BU636" s="14"/>
      <c r="BV636" s="14"/>
      <c r="BW636" s="14"/>
      <c r="BX636" s="14"/>
      <c r="BY636" s="170"/>
    </row>
    <row r="637" spans="9:77" x14ac:dyDescent="0.25">
      <c r="I637">
        <v>5762</v>
      </c>
      <c r="J637" s="1" t="s">
        <v>813</v>
      </c>
      <c r="K637">
        <v>412.51333333333298</v>
      </c>
      <c r="L637">
        <v>370.25666666666598</v>
      </c>
      <c r="M637">
        <v>398.219999999999</v>
      </c>
      <c r="N637">
        <v>378.296666666666</v>
      </c>
      <c r="O637">
        <v>369.21</v>
      </c>
      <c r="P637">
        <v>362.73</v>
      </c>
      <c r="Q637">
        <v>391.93999999999897</v>
      </c>
      <c r="R637">
        <v>334.89999999999901</v>
      </c>
      <c r="S637">
        <v>373.98</v>
      </c>
      <c r="T637">
        <v>348.356666666666</v>
      </c>
      <c r="U637">
        <v>334.65333333333302</v>
      </c>
      <c r="V637">
        <v>323.30666666666599</v>
      </c>
      <c r="W637">
        <v>394.81666666666598</v>
      </c>
      <c r="X637">
        <v>366.24999999999898</v>
      </c>
      <c r="Y637">
        <v>377.34333333333302</v>
      </c>
      <c r="Z637">
        <v>375.45666666666602</v>
      </c>
      <c r="AA637">
        <v>369.84666666666601</v>
      </c>
      <c r="AB637">
        <v>369.84666666666601</v>
      </c>
      <c r="AC637">
        <v>418.07999999999902</v>
      </c>
      <c r="AD637">
        <v>373.83333333333297</v>
      </c>
      <c r="AE637">
        <v>403.50333333333299</v>
      </c>
      <c r="AF637">
        <v>390.3</v>
      </c>
      <c r="AG637">
        <v>381.83333333333297</v>
      </c>
      <c r="AH637">
        <v>377.84666666666601</v>
      </c>
      <c r="AI637">
        <v>412.51333333333298</v>
      </c>
      <c r="AJ637">
        <v>370.25666666666598</v>
      </c>
      <c r="AK637">
        <v>398.219999999999</v>
      </c>
      <c r="AL637">
        <v>378.296666666666</v>
      </c>
      <c r="AM637">
        <v>369.21</v>
      </c>
      <c r="AN637">
        <v>362.73</v>
      </c>
      <c r="AO637">
        <v>409.97666666666601</v>
      </c>
      <c r="AP637">
        <v>343.053333333333</v>
      </c>
      <c r="AQ637">
        <v>391.37999999999897</v>
      </c>
      <c r="AR637">
        <v>358.29</v>
      </c>
      <c r="AS637">
        <v>340.55666666666599</v>
      </c>
      <c r="AT637">
        <v>326.38666666666597</v>
      </c>
      <c r="AU637">
        <v>423.43</v>
      </c>
      <c r="AV637">
        <v>371.47666666666601</v>
      </c>
      <c r="AW637">
        <v>406.58333333333297</v>
      </c>
      <c r="AX637">
        <v>383.62</v>
      </c>
      <c r="AY637">
        <v>371.666666666666</v>
      </c>
      <c r="AZ637">
        <v>362.92333333333301</v>
      </c>
      <c r="BA637">
        <v>415.35333333333301</v>
      </c>
      <c r="BB637">
        <v>360.9</v>
      </c>
      <c r="BC637">
        <v>398.33333333333297</v>
      </c>
      <c r="BD637">
        <v>373.38999999999902</v>
      </c>
      <c r="BE637">
        <v>360.39666666666602</v>
      </c>
      <c r="BF637">
        <v>349.94666666666598</v>
      </c>
      <c r="BG637" s="14"/>
      <c r="BH637" s="14"/>
      <c r="BI637" s="14"/>
      <c r="BJ637" s="199"/>
      <c r="BK637" s="14"/>
      <c r="BL637" s="14"/>
      <c r="BM637" s="14"/>
      <c r="BN637" s="14"/>
      <c r="BO637" s="14"/>
      <c r="BP637" s="14"/>
      <c r="BQ637" s="14"/>
      <c r="BR637" s="14"/>
      <c r="BS637" s="14"/>
      <c r="BT637" s="14"/>
      <c r="BU637" s="14"/>
      <c r="BV637" s="14"/>
      <c r="BW637" s="14"/>
      <c r="BX637" s="14"/>
      <c r="BY637" s="170"/>
    </row>
    <row r="638" spans="9:77" x14ac:dyDescent="0.25">
      <c r="I638">
        <v>5771</v>
      </c>
      <c r="J638" s="1" t="s">
        <v>814</v>
      </c>
      <c r="K638">
        <v>412.51333333333298</v>
      </c>
      <c r="L638">
        <v>370.25666666666598</v>
      </c>
      <c r="M638">
        <v>398.219999999999</v>
      </c>
      <c r="N638">
        <v>378.296666666666</v>
      </c>
      <c r="O638">
        <v>369.21</v>
      </c>
      <c r="P638">
        <v>362.73</v>
      </c>
      <c r="Q638">
        <v>391.93999999999897</v>
      </c>
      <c r="R638">
        <v>334.89999999999901</v>
      </c>
      <c r="S638">
        <v>373.98</v>
      </c>
      <c r="T638">
        <v>348.356666666666</v>
      </c>
      <c r="U638">
        <v>334.65333333333302</v>
      </c>
      <c r="V638">
        <v>323.30666666666599</v>
      </c>
      <c r="W638">
        <v>394.81666666666598</v>
      </c>
      <c r="X638">
        <v>366.24999999999898</v>
      </c>
      <c r="Y638">
        <v>377.34333333333302</v>
      </c>
      <c r="Z638">
        <v>375.45666666666602</v>
      </c>
      <c r="AA638">
        <v>369.84666666666601</v>
      </c>
      <c r="AB638">
        <v>369.84666666666601</v>
      </c>
      <c r="AC638">
        <v>418.07999999999902</v>
      </c>
      <c r="AD638">
        <v>373.83333333333297</v>
      </c>
      <c r="AE638">
        <v>403.50333333333299</v>
      </c>
      <c r="AF638">
        <v>390.3</v>
      </c>
      <c r="AG638">
        <v>381.83333333333297</v>
      </c>
      <c r="AH638">
        <v>377.84666666666601</v>
      </c>
      <c r="AI638">
        <v>412.51333333333298</v>
      </c>
      <c r="AJ638">
        <v>370.25666666666598</v>
      </c>
      <c r="AK638">
        <v>398.219999999999</v>
      </c>
      <c r="AL638">
        <v>378.296666666666</v>
      </c>
      <c r="AM638">
        <v>369.21</v>
      </c>
      <c r="AN638">
        <v>362.73</v>
      </c>
      <c r="AO638">
        <v>409.97666666666601</v>
      </c>
      <c r="AP638">
        <v>343.053333333333</v>
      </c>
      <c r="AQ638">
        <v>391.37999999999897</v>
      </c>
      <c r="AR638">
        <v>358.29</v>
      </c>
      <c r="AS638">
        <v>340.55666666666599</v>
      </c>
      <c r="AT638">
        <v>326.38666666666597</v>
      </c>
      <c r="AU638">
        <v>423.43</v>
      </c>
      <c r="AV638">
        <v>371.47666666666601</v>
      </c>
      <c r="AW638">
        <v>406.58333333333297</v>
      </c>
      <c r="AX638">
        <v>383.62</v>
      </c>
      <c r="AY638">
        <v>371.666666666666</v>
      </c>
      <c r="AZ638">
        <v>362.92333333333301</v>
      </c>
      <c r="BA638">
        <v>415.35333333333301</v>
      </c>
      <c r="BB638">
        <v>360.9</v>
      </c>
      <c r="BC638">
        <v>398.33333333333297</v>
      </c>
      <c r="BD638">
        <v>373.38999999999902</v>
      </c>
      <c r="BE638">
        <v>360.39666666666602</v>
      </c>
      <c r="BF638">
        <v>349.94666666666598</v>
      </c>
      <c r="BG638" s="14"/>
      <c r="BH638" s="14"/>
      <c r="BI638" s="14"/>
      <c r="BJ638" s="199"/>
      <c r="BK638" s="14"/>
      <c r="BL638" s="14"/>
      <c r="BM638" s="14"/>
      <c r="BN638" s="14"/>
      <c r="BO638" s="14"/>
      <c r="BP638" s="14"/>
      <c r="BQ638" s="14"/>
      <c r="BR638" s="14"/>
      <c r="BS638" s="14"/>
      <c r="BT638" s="14"/>
      <c r="BU638" s="14"/>
      <c r="BV638" s="14"/>
      <c r="BW638" s="14"/>
      <c r="BX638" s="14"/>
      <c r="BY638" s="170"/>
    </row>
    <row r="639" spans="9:77" x14ac:dyDescent="0.25">
      <c r="I639">
        <v>5772</v>
      </c>
      <c r="J639" s="1" t="s">
        <v>815</v>
      </c>
      <c r="K639">
        <v>466.07333333333298</v>
      </c>
      <c r="L639">
        <v>423.81666666666598</v>
      </c>
      <c r="M639">
        <v>451.77999999999901</v>
      </c>
      <c r="N639">
        <v>431.856666666666</v>
      </c>
      <c r="O639">
        <v>422.76999999999902</v>
      </c>
      <c r="P639">
        <v>416.29</v>
      </c>
      <c r="Q639">
        <v>445.49999999999898</v>
      </c>
      <c r="R639">
        <v>388.45999999999901</v>
      </c>
      <c r="S639">
        <v>427.539999999999</v>
      </c>
      <c r="T639">
        <v>401.916666666666</v>
      </c>
      <c r="U639">
        <v>388.21333333333303</v>
      </c>
      <c r="V639">
        <v>376.86666666666599</v>
      </c>
      <c r="W639">
        <v>448.37666666666598</v>
      </c>
      <c r="X639">
        <v>419.80999999999898</v>
      </c>
      <c r="Y639">
        <v>430.90333333333302</v>
      </c>
      <c r="Z639">
        <v>429.01666666666603</v>
      </c>
      <c r="AA639">
        <v>423.40666666666601</v>
      </c>
      <c r="AB639">
        <v>423.40666666666601</v>
      </c>
      <c r="AC639">
        <v>471.63999999999902</v>
      </c>
      <c r="AD639">
        <v>427.39333333333298</v>
      </c>
      <c r="AE639">
        <v>457.06333333333299</v>
      </c>
      <c r="AF639">
        <v>443.85999999999899</v>
      </c>
      <c r="AG639">
        <v>435.39333333333298</v>
      </c>
      <c r="AH639">
        <v>431.40666666666601</v>
      </c>
      <c r="AI639">
        <v>466.07333333333298</v>
      </c>
      <c r="AJ639">
        <v>423.81666666666598</v>
      </c>
      <c r="AK639">
        <v>451.77999999999901</v>
      </c>
      <c r="AL639">
        <v>431.856666666666</v>
      </c>
      <c r="AM639">
        <v>422.76999999999902</v>
      </c>
      <c r="AN639">
        <v>416.29</v>
      </c>
      <c r="AO639">
        <v>463.53666666666601</v>
      </c>
      <c r="AP639">
        <v>396.613333333333</v>
      </c>
      <c r="AQ639">
        <v>444.93999999999897</v>
      </c>
      <c r="AR639">
        <v>411.849999999999</v>
      </c>
      <c r="AS639">
        <v>394.11666666666599</v>
      </c>
      <c r="AT639">
        <v>379.94666666666598</v>
      </c>
      <c r="AU639">
        <v>476.98999999999899</v>
      </c>
      <c r="AV639">
        <v>425.03666666666601</v>
      </c>
      <c r="AW639">
        <v>460.14333333333298</v>
      </c>
      <c r="AX639">
        <v>437.18</v>
      </c>
      <c r="AY639">
        <v>425.22666666666601</v>
      </c>
      <c r="AZ639">
        <v>416.48333333333301</v>
      </c>
      <c r="BA639">
        <v>468.91333333333301</v>
      </c>
      <c r="BB639">
        <v>414.45999999999901</v>
      </c>
      <c r="BC639">
        <v>451.89333333333298</v>
      </c>
      <c r="BD639">
        <v>426.94999999999902</v>
      </c>
      <c r="BE639">
        <v>413.95666666666602</v>
      </c>
      <c r="BF639">
        <v>403.50666666666598</v>
      </c>
      <c r="BG639" s="14"/>
      <c r="BH639" s="14"/>
      <c r="BI639" s="14"/>
      <c r="BJ639" s="199"/>
      <c r="BK639" s="14"/>
      <c r="BL639" s="14"/>
      <c r="BM639" s="14"/>
      <c r="BN639" s="14"/>
      <c r="BO639" s="14"/>
      <c r="BP639" s="14"/>
      <c r="BQ639" s="14"/>
      <c r="BR639" s="14"/>
      <c r="BS639" s="14"/>
      <c r="BT639" s="14"/>
      <c r="BU639" s="14"/>
      <c r="BV639" s="14"/>
      <c r="BW639" s="14"/>
      <c r="BX639" s="14"/>
      <c r="BY639" s="170"/>
    </row>
    <row r="640" spans="9:77" x14ac:dyDescent="0.25">
      <c r="I640">
        <v>5792</v>
      </c>
      <c r="J640" s="1" t="s">
        <v>816</v>
      </c>
      <c r="K640">
        <v>423.113333333333</v>
      </c>
      <c r="L640">
        <v>380.856666666666</v>
      </c>
      <c r="M640">
        <v>408.81999999999903</v>
      </c>
      <c r="N640">
        <v>388.89666666666602</v>
      </c>
      <c r="O640">
        <v>379.81</v>
      </c>
      <c r="P640">
        <v>373.33</v>
      </c>
      <c r="Q640">
        <v>402.539999999999</v>
      </c>
      <c r="R640">
        <v>345.49999999999898</v>
      </c>
      <c r="S640">
        <v>384.58</v>
      </c>
      <c r="T640">
        <v>358.95666666666602</v>
      </c>
      <c r="U640">
        <v>345.25333333333299</v>
      </c>
      <c r="V640">
        <v>333.90666666666601</v>
      </c>
      <c r="W640">
        <v>405.416666666666</v>
      </c>
      <c r="X640">
        <v>376.849999999999</v>
      </c>
      <c r="Y640">
        <v>387.94333333333299</v>
      </c>
      <c r="Z640">
        <v>386.05666666666599</v>
      </c>
      <c r="AA640">
        <v>380.44666666666598</v>
      </c>
      <c r="AB640">
        <v>380.44666666666598</v>
      </c>
      <c r="AC640">
        <v>428.67999999999898</v>
      </c>
      <c r="AD640">
        <v>384.433333333333</v>
      </c>
      <c r="AE640">
        <v>414.10333333333301</v>
      </c>
      <c r="AF640">
        <v>400.9</v>
      </c>
      <c r="AG640">
        <v>392.433333333333</v>
      </c>
      <c r="AH640">
        <v>388.44666666666598</v>
      </c>
      <c r="AI640">
        <v>423.113333333333</v>
      </c>
      <c r="AJ640">
        <v>380.856666666666</v>
      </c>
      <c r="AK640">
        <v>408.81999999999903</v>
      </c>
      <c r="AL640">
        <v>388.89666666666602</v>
      </c>
      <c r="AM640">
        <v>379.81</v>
      </c>
      <c r="AN640">
        <v>373.33</v>
      </c>
      <c r="AO640">
        <v>420.57666666666597</v>
      </c>
      <c r="AP640">
        <v>353.65333333333302</v>
      </c>
      <c r="AQ640">
        <v>401.979999999999</v>
      </c>
      <c r="AR640">
        <v>368.89</v>
      </c>
      <c r="AS640">
        <v>351.15666666666601</v>
      </c>
      <c r="AT640">
        <v>336.986666666666</v>
      </c>
      <c r="AU640">
        <v>434.03</v>
      </c>
      <c r="AV640">
        <v>382.07666666666597</v>
      </c>
      <c r="AW640">
        <v>417.183333333333</v>
      </c>
      <c r="AX640">
        <v>394.22</v>
      </c>
      <c r="AY640">
        <v>382.26666666666603</v>
      </c>
      <c r="AZ640">
        <v>373.52333333333303</v>
      </c>
      <c r="BA640">
        <v>425.95333333333298</v>
      </c>
      <c r="BB640">
        <v>371.5</v>
      </c>
      <c r="BC640">
        <v>408.933333333333</v>
      </c>
      <c r="BD640">
        <v>383.99</v>
      </c>
      <c r="BE640">
        <v>370.99666666666599</v>
      </c>
      <c r="BF640">
        <v>360.546666666666</v>
      </c>
      <c r="BG640" s="14"/>
      <c r="BH640" s="14"/>
      <c r="BI640" s="14"/>
      <c r="BJ640" s="199"/>
      <c r="BK640" s="14"/>
      <c r="BL640" s="14"/>
      <c r="BM640" s="14"/>
      <c r="BN640" s="14"/>
      <c r="BO640" s="14"/>
      <c r="BP640" s="14"/>
      <c r="BQ640" s="14"/>
      <c r="BR640" s="14"/>
      <c r="BS640" s="14"/>
      <c r="BT640" s="14"/>
      <c r="BU640" s="14"/>
      <c r="BV640" s="14"/>
      <c r="BW640" s="14"/>
      <c r="BX640" s="14"/>
      <c r="BY640" s="170"/>
    </row>
    <row r="641" spans="9:77" x14ac:dyDescent="0.25">
      <c r="I641">
        <v>5800</v>
      </c>
      <c r="J641" s="1" t="s">
        <v>817</v>
      </c>
      <c r="K641">
        <v>331.54333333333301</v>
      </c>
      <c r="L641">
        <v>289.28666666666601</v>
      </c>
      <c r="M641">
        <v>317.24999999999898</v>
      </c>
      <c r="N641">
        <v>297.32666666666597</v>
      </c>
      <c r="O641">
        <v>288.24</v>
      </c>
      <c r="P641">
        <v>281.76</v>
      </c>
      <c r="Q641">
        <v>310.969999999999</v>
      </c>
      <c r="R641">
        <v>253.92999999999901</v>
      </c>
      <c r="S641">
        <v>293.00999999999902</v>
      </c>
      <c r="T641">
        <v>267.38666666666597</v>
      </c>
      <c r="U641">
        <v>253.683333333333</v>
      </c>
      <c r="V641">
        <v>242.33666666666599</v>
      </c>
      <c r="W641">
        <v>313.84666666666601</v>
      </c>
      <c r="X641">
        <v>285.27999999999901</v>
      </c>
      <c r="Y641">
        <v>296.37333333333299</v>
      </c>
      <c r="Z641">
        <v>294.486666666666</v>
      </c>
      <c r="AA641">
        <v>288.87666666666598</v>
      </c>
      <c r="AB641">
        <v>288.87666666666598</v>
      </c>
      <c r="AC641">
        <v>337.10999999999899</v>
      </c>
      <c r="AD641">
        <v>292.863333333333</v>
      </c>
      <c r="AE641">
        <v>322.53333333333302</v>
      </c>
      <c r="AF641">
        <v>309.32999999999902</v>
      </c>
      <c r="AG641">
        <v>300.863333333333</v>
      </c>
      <c r="AH641">
        <v>296.87666666666598</v>
      </c>
      <c r="AI641">
        <v>331.54333333333301</v>
      </c>
      <c r="AJ641">
        <v>289.28666666666601</v>
      </c>
      <c r="AK641">
        <v>317.24999999999898</v>
      </c>
      <c r="AL641">
        <v>297.32666666666597</v>
      </c>
      <c r="AM641">
        <v>288.24</v>
      </c>
      <c r="AN641">
        <v>281.76</v>
      </c>
      <c r="AO641">
        <v>329.00666666666598</v>
      </c>
      <c r="AP641">
        <v>262.08333333333297</v>
      </c>
      <c r="AQ641">
        <v>310.409999999999</v>
      </c>
      <c r="AR641">
        <v>277.31999999999903</v>
      </c>
      <c r="AS641">
        <v>259.58666666666602</v>
      </c>
      <c r="AT641">
        <v>245.416666666666</v>
      </c>
      <c r="AU641">
        <v>342.45999999999901</v>
      </c>
      <c r="AV641">
        <v>290.50666666666598</v>
      </c>
      <c r="AW641">
        <v>325.613333333333</v>
      </c>
      <c r="AX641">
        <v>302.64999999999998</v>
      </c>
      <c r="AY641">
        <v>290.69666666666598</v>
      </c>
      <c r="AZ641">
        <v>281.95333333333298</v>
      </c>
      <c r="BA641">
        <v>334.38333333333298</v>
      </c>
      <c r="BB641">
        <v>279.93</v>
      </c>
      <c r="BC641">
        <v>317.363333333333</v>
      </c>
      <c r="BD641">
        <v>292.41999999999899</v>
      </c>
      <c r="BE641">
        <v>279.42666666666599</v>
      </c>
      <c r="BF641">
        <v>268.97666666666601</v>
      </c>
      <c r="BG641" s="14"/>
      <c r="BH641" s="14"/>
      <c r="BI641" s="14"/>
      <c r="BJ641" s="199"/>
      <c r="BK641" s="14"/>
      <c r="BL641" s="14"/>
      <c r="BM641" s="14"/>
      <c r="BN641" s="14"/>
      <c r="BO641" s="14"/>
      <c r="BP641" s="14"/>
      <c r="BQ641" s="14"/>
      <c r="BR641" s="14"/>
      <c r="BS641" s="14"/>
      <c r="BT641" s="14"/>
      <c r="BU641" s="14"/>
      <c r="BV641" s="14"/>
      <c r="BW641" s="14"/>
      <c r="BX641" s="14"/>
      <c r="BY641" s="170"/>
    </row>
    <row r="642" spans="9:77" x14ac:dyDescent="0.25">
      <c r="I642">
        <v>5853</v>
      </c>
      <c r="J642" s="1" t="s">
        <v>818</v>
      </c>
      <c r="K642">
        <v>422.58333333333297</v>
      </c>
      <c r="L642">
        <v>380.32666666666597</v>
      </c>
      <c r="M642">
        <v>408.289999999999</v>
      </c>
      <c r="N642">
        <v>388.36666666666599</v>
      </c>
      <c r="O642">
        <v>379.27999999999901</v>
      </c>
      <c r="P642">
        <v>372.8</v>
      </c>
      <c r="Q642">
        <v>402.00999999999902</v>
      </c>
      <c r="R642">
        <v>344.969999999999</v>
      </c>
      <c r="S642">
        <v>384.04999999999899</v>
      </c>
      <c r="T642">
        <v>358.42666666666599</v>
      </c>
      <c r="U642">
        <v>344.72333333333302</v>
      </c>
      <c r="V642">
        <v>333.37666666666598</v>
      </c>
      <c r="W642">
        <v>404.88666666666597</v>
      </c>
      <c r="X642">
        <v>376.31999999999903</v>
      </c>
      <c r="Y642">
        <v>387.41333333333301</v>
      </c>
      <c r="Z642">
        <v>385.52666666666602</v>
      </c>
      <c r="AA642">
        <v>379.916666666666</v>
      </c>
      <c r="AB642">
        <v>379.916666666666</v>
      </c>
      <c r="AC642">
        <v>428.14999999999901</v>
      </c>
      <c r="AD642">
        <v>383.90333333333302</v>
      </c>
      <c r="AE642">
        <v>413.57333333333298</v>
      </c>
      <c r="AF642">
        <v>400.36999999999898</v>
      </c>
      <c r="AG642">
        <v>391.90333333333302</v>
      </c>
      <c r="AH642">
        <v>387.916666666666</v>
      </c>
      <c r="AI642">
        <v>422.58333333333297</v>
      </c>
      <c r="AJ642">
        <v>380.32666666666597</v>
      </c>
      <c r="AK642">
        <v>408.289999999999</v>
      </c>
      <c r="AL642">
        <v>388.36666666666599</v>
      </c>
      <c r="AM642">
        <v>379.27999999999901</v>
      </c>
      <c r="AN642">
        <v>372.8</v>
      </c>
      <c r="AO642">
        <v>420.046666666666</v>
      </c>
      <c r="AP642">
        <v>353.12333333333299</v>
      </c>
      <c r="AQ642">
        <v>401.44999999999902</v>
      </c>
      <c r="AR642">
        <v>368.35999999999899</v>
      </c>
      <c r="AS642">
        <v>350.62666666666598</v>
      </c>
      <c r="AT642">
        <v>336.45666666666602</v>
      </c>
      <c r="AU642">
        <v>433.49999999999898</v>
      </c>
      <c r="AV642">
        <v>381.546666666666</v>
      </c>
      <c r="AW642">
        <v>416.65333333333302</v>
      </c>
      <c r="AX642">
        <v>393.69</v>
      </c>
      <c r="AY642">
        <v>381.736666666666</v>
      </c>
      <c r="AZ642">
        <v>372.993333333333</v>
      </c>
      <c r="BA642">
        <v>425.42333333333301</v>
      </c>
      <c r="BB642">
        <v>370.969999999999</v>
      </c>
      <c r="BC642">
        <v>408.40333333333302</v>
      </c>
      <c r="BD642">
        <v>383.45999999999901</v>
      </c>
      <c r="BE642">
        <v>370.46666666666601</v>
      </c>
      <c r="BF642">
        <v>360.01666666666603</v>
      </c>
      <c r="BG642" s="14"/>
      <c r="BH642" s="14"/>
      <c r="BI642" s="14"/>
      <c r="BJ642" s="199"/>
      <c r="BK642" s="14"/>
      <c r="BL642" s="14"/>
      <c r="BM642" s="14"/>
      <c r="BN642" s="14"/>
      <c r="BO642" s="14"/>
      <c r="BP642" s="14"/>
      <c r="BQ642" s="14"/>
      <c r="BR642" s="14"/>
      <c r="BS642" s="14"/>
      <c r="BT642" s="14"/>
      <c r="BU642" s="14"/>
      <c r="BV642" s="14"/>
      <c r="BW642" s="14"/>
      <c r="BX642" s="14"/>
      <c r="BY642" s="170"/>
    </row>
    <row r="643" spans="9:77" x14ac:dyDescent="0.25">
      <c r="I643">
        <v>5854</v>
      </c>
      <c r="J643" s="1" t="s">
        <v>819</v>
      </c>
      <c r="K643">
        <v>436.22333333333302</v>
      </c>
      <c r="L643">
        <v>393.96666666666601</v>
      </c>
      <c r="M643">
        <v>421.93</v>
      </c>
      <c r="N643">
        <v>402.00666666666598</v>
      </c>
      <c r="O643">
        <v>392.92</v>
      </c>
      <c r="P643">
        <v>386.44</v>
      </c>
      <c r="Q643">
        <v>415.64999999999901</v>
      </c>
      <c r="R643">
        <v>358.60999999999899</v>
      </c>
      <c r="S643">
        <v>397.69</v>
      </c>
      <c r="T643">
        <v>372.06666666666598</v>
      </c>
      <c r="U643">
        <v>358.363333333333</v>
      </c>
      <c r="V643">
        <v>347.01666666666603</v>
      </c>
      <c r="W643">
        <v>418.52666666666602</v>
      </c>
      <c r="X643">
        <v>389.95999999999901</v>
      </c>
      <c r="Y643">
        <v>401.053333333333</v>
      </c>
      <c r="Z643">
        <v>399.166666666666</v>
      </c>
      <c r="AA643">
        <v>393.55666666666599</v>
      </c>
      <c r="AB643">
        <v>393.55666666666599</v>
      </c>
      <c r="AC643">
        <v>441.789999999999</v>
      </c>
      <c r="AD643">
        <v>397.54333333333301</v>
      </c>
      <c r="AE643">
        <v>427.21333333333303</v>
      </c>
      <c r="AF643">
        <v>414.01</v>
      </c>
      <c r="AG643">
        <v>405.54333333333301</v>
      </c>
      <c r="AH643">
        <v>401.55666666666599</v>
      </c>
      <c r="AI643">
        <v>436.22333333333302</v>
      </c>
      <c r="AJ643">
        <v>393.96666666666601</v>
      </c>
      <c r="AK643">
        <v>421.93</v>
      </c>
      <c r="AL643">
        <v>402.00666666666598</v>
      </c>
      <c r="AM643">
        <v>392.92</v>
      </c>
      <c r="AN643">
        <v>386.44</v>
      </c>
      <c r="AO643">
        <v>433.68666666666599</v>
      </c>
      <c r="AP643">
        <v>366.76333333333298</v>
      </c>
      <c r="AQ643">
        <v>415.08999999999901</v>
      </c>
      <c r="AR643">
        <v>382</v>
      </c>
      <c r="AS643">
        <v>364.26666666666603</v>
      </c>
      <c r="AT643">
        <v>350.09666666666601</v>
      </c>
      <c r="AU643">
        <v>447.14</v>
      </c>
      <c r="AV643">
        <v>395.18666666666599</v>
      </c>
      <c r="AW643">
        <v>430.29333333333301</v>
      </c>
      <c r="AX643">
        <v>407.33</v>
      </c>
      <c r="AY643">
        <v>395.37666666666598</v>
      </c>
      <c r="AZ643">
        <v>386.63333333333298</v>
      </c>
      <c r="BA643">
        <v>439.06333333333299</v>
      </c>
      <c r="BB643">
        <v>384.61</v>
      </c>
      <c r="BC643">
        <v>422.04333333333301</v>
      </c>
      <c r="BD643">
        <v>397.1</v>
      </c>
      <c r="BE643">
        <v>384.106666666666</v>
      </c>
      <c r="BF643">
        <v>373.65666666666601</v>
      </c>
      <c r="BG643" s="14"/>
      <c r="BH643" s="14"/>
      <c r="BI643" s="14"/>
      <c r="BJ643" s="199"/>
      <c r="BK643" s="14"/>
      <c r="BL643" s="14"/>
      <c r="BM643" s="14"/>
      <c r="BN643" s="14"/>
      <c r="BO643" s="14"/>
      <c r="BP643" s="14"/>
      <c r="BQ643" s="14"/>
      <c r="BR643" s="14"/>
      <c r="BS643" s="14"/>
      <c r="BT643" s="14"/>
      <c r="BU643" s="14"/>
      <c r="BV643" s="14"/>
      <c r="BW643" s="14"/>
      <c r="BX643" s="14"/>
      <c r="BY643" s="170"/>
    </row>
    <row r="644" spans="9:77" x14ac:dyDescent="0.25">
      <c r="I644">
        <v>5856</v>
      </c>
      <c r="J644" s="1" t="s">
        <v>820</v>
      </c>
      <c r="K644">
        <v>423.113333333333</v>
      </c>
      <c r="L644">
        <v>380.856666666666</v>
      </c>
      <c r="M644">
        <v>408.81999999999903</v>
      </c>
      <c r="N644">
        <v>388.89666666666602</v>
      </c>
      <c r="O644">
        <v>379.81</v>
      </c>
      <c r="P644">
        <v>373.33</v>
      </c>
      <c r="Q644">
        <v>402.539999999999</v>
      </c>
      <c r="R644">
        <v>345.49999999999898</v>
      </c>
      <c r="S644">
        <v>384.58</v>
      </c>
      <c r="T644">
        <v>358.95666666666602</v>
      </c>
      <c r="U644">
        <v>345.25333333333299</v>
      </c>
      <c r="V644">
        <v>333.90666666666601</v>
      </c>
      <c r="W644">
        <v>405.416666666666</v>
      </c>
      <c r="X644">
        <v>376.849999999999</v>
      </c>
      <c r="Y644">
        <v>387.94333333333299</v>
      </c>
      <c r="Z644">
        <v>386.05666666666599</v>
      </c>
      <c r="AA644">
        <v>380.44666666666598</v>
      </c>
      <c r="AB644">
        <v>380.44666666666598</v>
      </c>
      <c r="AC644">
        <v>428.67999999999898</v>
      </c>
      <c r="AD644">
        <v>384.433333333333</v>
      </c>
      <c r="AE644">
        <v>414.10333333333301</v>
      </c>
      <c r="AF644">
        <v>400.9</v>
      </c>
      <c r="AG644">
        <v>392.433333333333</v>
      </c>
      <c r="AH644">
        <v>388.44666666666598</v>
      </c>
      <c r="AI644">
        <v>423.113333333333</v>
      </c>
      <c r="AJ644">
        <v>380.856666666666</v>
      </c>
      <c r="AK644">
        <v>408.81999999999903</v>
      </c>
      <c r="AL644">
        <v>388.89666666666602</v>
      </c>
      <c r="AM644">
        <v>379.81</v>
      </c>
      <c r="AN644">
        <v>373.33</v>
      </c>
      <c r="AO644">
        <v>420.57666666666597</v>
      </c>
      <c r="AP644">
        <v>353.65333333333302</v>
      </c>
      <c r="AQ644">
        <v>401.979999999999</v>
      </c>
      <c r="AR644">
        <v>368.89</v>
      </c>
      <c r="AS644">
        <v>351.15666666666601</v>
      </c>
      <c r="AT644">
        <v>336.986666666666</v>
      </c>
      <c r="AU644">
        <v>434.03</v>
      </c>
      <c r="AV644">
        <v>382.07666666666597</v>
      </c>
      <c r="AW644">
        <v>417.183333333333</v>
      </c>
      <c r="AX644">
        <v>394.22</v>
      </c>
      <c r="AY644">
        <v>382.26666666666603</v>
      </c>
      <c r="AZ644">
        <v>373.52333333333303</v>
      </c>
      <c r="BA644">
        <v>425.95333333333298</v>
      </c>
      <c r="BB644">
        <v>371.5</v>
      </c>
      <c r="BC644">
        <v>408.933333333333</v>
      </c>
      <c r="BD644">
        <v>383.99</v>
      </c>
      <c r="BE644">
        <v>370.99666666666599</v>
      </c>
      <c r="BF644">
        <v>360.546666666666</v>
      </c>
      <c r="BG644" s="14"/>
      <c r="BH644" s="14"/>
      <c r="BI644" s="14"/>
      <c r="BJ644" s="199"/>
      <c r="BK644" s="14"/>
      <c r="BL644" s="14"/>
      <c r="BM644" s="14"/>
      <c r="BN644" s="14"/>
      <c r="BO644" s="14"/>
      <c r="BP644" s="14"/>
      <c r="BQ644" s="14"/>
      <c r="BR644" s="14"/>
      <c r="BS644" s="14"/>
      <c r="BT644" s="14"/>
      <c r="BU644" s="14"/>
      <c r="BV644" s="14"/>
      <c r="BW644" s="14"/>
      <c r="BX644" s="14"/>
      <c r="BY644" s="170"/>
    </row>
    <row r="645" spans="9:77" x14ac:dyDescent="0.25">
      <c r="I645">
        <v>5863</v>
      </c>
      <c r="J645" s="1" t="s">
        <v>821</v>
      </c>
      <c r="K645">
        <v>422.58333333333297</v>
      </c>
      <c r="L645">
        <v>380.32666666666597</v>
      </c>
      <c r="M645">
        <v>408.289999999999</v>
      </c>
      <c r="N645">
        <v>388.36666666666599</v>
      </c>
      <c r="O645">
        <v>379.27999999999901</v>
      </c>
      <c r="P645">
        <v>372.8</v>
      </c>
      <c r="Q645">
        <v>402.00999999999902</v>
      </c>
      <c r="R645">
        <v>344.969999999999</v>
      </c>
      <c r="S645">
        <v>384.04999999999899</v>
      </c>
      <c r="T645">
        <v>358.42666666666599</v>
      </c>
      <c r="U645">
        <v>344.72333333333302</v>
      </c>
      <c r="V645">
        <v>333.37666666666598</v>
      </c>
      <c r="W645">
        <v>404.88666666666597</v>
      </c>
      <c r="X645">
        <v>376.31999999999903</v>
      </c>
      <c r="Y645">
        <v>387.41333333333301</v>
      </c>
      <c r="Z645">
        <v>385.52666666666602</v>
      </c>
      <c r="AA645">
        <v>379.916666666666</v>
      </c>
      <c r="AB645">
        <v>379.916666666666</v>
      </c>
      <c r="AC645">
        <v>428.14999999999901</v>
      </c>
      <c r="AD645">
        <v>383.90333333333302</v>
      </c>
      <c r="AE645">
        <v>413.57333333333298</v>
      </c>
      <c r="AF645">
        <v>400.36999999999898</v>
      </c>
      <c r="AG645">
        <v>391.90333333333302</v>
      </c>
      <c r="AH645">
        <v>387.916666666666</v>
      </c>
      <c r="AI645">
        <v>422.58333333333297</v>
      </c>
      <c r="AJ645">
        <v>380.32666666666597</v>
      </c>
      <c r="AK645">
        <v>408.289999999999</v>
      </c>
      <c r="AL645">
        <v>388.36666666666599</v>
      </c>
      <c r="AM645">
        <v>379.27999999999901</v>
      </c>
      <c r="AN645">
        <v>372.8</v>
      </c>
      <c r="AO645">
        <v>420.046666666666</v>
      </c>
      <c r="AP645">
        <v>353.12333333333299</v>
      </c>
      <c r="AQ645">
        <v>401.44999999999902</v>
      </c>
      <c r="AR645">
        <v>368.35999999999899</v>
      </c>
      <c r="AS645">
        <v>350.62666666666598</v>
      </c>
      <c r="AT645">
        <v>336.45666666666602</v>
      </c>
      <c r="AU645">
        <v>433.49999999999898</v>
      </c>
      <c r="AV645">
        <v>381.546666666666</v>
      </c>
      <c r="AW645">
        <v>416.65333333333302</v>
      </c>
      <c r="AX645">
        <v>393.69</v>
      </c>
      <c r="AY645">
        <v>381.736666666666</v>
      </c>
      <c r="AZ645">
        <v>372.993333333333</v>
      </c>
      <c r="BA645">
        <v>425.42333333333301</v>
      </c>
      <c r="BB645">
        <v>370.969999999999</v>
      </c>
      <c r="BC645">
        <v>408.40333333333302</v>
      </c>
      <c r="BD645">
        <v>383.45999999999901</v>
      </c>
      <c r="BE645">
        <v>370.46666666666601</v>
      </c>
      <c r="BF645">
        <v>360.01666666666603</v>
      </c>
      <c r="BG645" s="14"/>
      <c r="BH645" s="14"/>
      <c r="BI645" s="14"/>
      <c r="BJ645" s="199"/>
      <c r="BK645" s="14"/>
      <c r="BL645" s="14"/>
      <c r="BM645" s="14"/>
      <c r="BN645" s="14"/>
      <c r="BO645" s="14"/>
      <c r="BP645" s="14"/>
      <c r="BQ645" s="14"/>
      <c r="BR645" s="14"/>
      <c r="BS645" s="14"/>
      <c r="BT645" s="14"/>
      <c r="BU645" s="14"/>
      <c r="BV645" s="14"/>
      <c r="BW645" s="14"/>
      <c r="BX645" s="14"/>
      <c r="BY645" s="170"/>
    </row>
    <row r="646" spans="9:77" x14ac:dyDescent="0.25">
      <c r="I646">
        <v>5871</v>
      </c>
      <c r="J646" s="1" t="s">
        <v>822</v>
      </c>
      <c r="K646">
        <v>361.85333333333301</v>
      </c>
      <c r="L646">
        <v>319.59666666666601</v>
      </c>
      <c r="M646">
        <v>347.56</v>
      </c>
      <c r="N646">
        <v>327.63666666666597</v>
      </c>
      <c r="O646">
        <v>318.55</v>
      </c>
      <c r="P646">
        <v>312.07</v>
      </c>
      <c r="Q646">
        <v>341.27999999999901</v>
      </c>
      <c r="R646">
        <v>284.23999999999899</v>
      </c>
      <c r="S646">
        <v>323.32</v>
      </c>
      <c r="T646">
        <v>297.69666666666598</v>
      </c>
      <c r="U646">
        <v>283.993333333333</v>
      </c>
      <c r="V646">
        <v>272.64666666666602</v>
      </c>
      <c r="W646">
        <v>344.15666666666601</v>
      </c>
      <c r="X646">
        <v>315.58999999999901</v>
      </c>
      <c r="Y646">
        <v>326.683333333333</v>
      </c>
      <c r="Z646">
        <v>324.796666666666</v>
      </c>
      <c r="AA646">
        <v>319.18666666666599</v>
      </c>
      <c r="AB646">
        <v>319.18666666666599</v>
      </c>
      <c r="AC646">
        <v>367.41999999999899</v>
      </c>
      <c r="AD646">
        <v>323.17333333333301</v>
      </c>
      <c r="AE646">
        <v>352.84333333333302</v>
      </c>
      <c r="AF646">
        <v>339.64</v>
      </c>
      <c r="AG646">
        <v>331.17333333333301</v>
      </c>
      <c r="AH646">
        <v>327.18666666666599</v>
      </c>
      <c r="AI646">
        <v>361.85333333333301</v>
      </c>
      <c r="AJ646">
        <v>319.59666666666601</v>
      </c>
      <c r="AK646">
        <v>347.56</v>
      </c>
      <c r="AL646">
        <v>327.63666666666597</v>
      </c>
      <c r="AM646">
        <v>318.55</v>
      </c>
      <c r="AN646">
        <v>312.07</v>
      </c>
      <c r="AO646">
        <v>359.31666666666598</v>
      </c>
      <c r="AP646">
        <v>292.39333333333298</v>
      </c>
      <c r="AQ646">
        <v>340.719999999999</v>
      </c>
      <c r="AR646">
        <v>307.63</v>
      </c>
      <c r="AS646">
        <v>289.89666666666602</v>
      </c>
      <c r="AT646">
        <v>275.72666666666601</v>
      </c>
      <c r="AU646">
        <v>372.77</v>
      </c>
      <c r="AV646">
        <v>320.81666666666598</v>
      </c>
      <c r="AW646">
        <v>355.92333333333301</v>
      </c>
      <c r="AX646">
        <v>332.96</v>
      </c>
      <c r="AY646">
        <v>321.00666666666598</v>
      </c>
      <c r="AZ646">
        <v>312.26333333333298</v>
      </c>
      <c r="BA646">
        <v>364.69333333333299</v>
      </c>
      <c r="BB646">
        <v>310.24</v>
      </c>
      <c r="BC646">
        <v>347.67333333333301</v>
      </c>
      <c r="BD646">
        <v>322.73</v>
      </c>
      <c r="BE646">
        <v>309.736666666666</v>
      </c>
      <c r="BF646">
        <v>299.28666666666601</v>
      </c>
      <c r="BG646" s="14"/>
      <c r="BH646" s="14"/>
      <c r="BI646" s="14"/>
      <c r="BJ646" s="199"/>
      <c r="BK646" s="14"/>
      <c r="BL646" s="14"/>
      <c r="BM646" s="14"/>
      <c r="BN646" s="14"/>
      <c r="BO646" s="14"/>
      <c r="BP646" s="14"/>
      <c r="BQ646" s="14"/>
      <c r="BR646" s="14"/>
      <c r="BS646" s="14"/>
      <c r="BT646" s="14"/>
      <c r="BU646" s="14"/>
      <c r="BV646" s="14"/>
      <c r="BW646" s="14"/>
      <c r="BX646" s="14"/>
      <c r="BY646" s="170"/>
    </row>
    <row r="647" spans="9:77" x14ac:dyDescent="0.25">
      <c r="I647">
        <v>5874</v>
      </c>
      <c r="J647" s="1" t="s">
        <v>823</v>
      </c>
      <c r="K647">
        <v>361.183333333333</v>
      </c>
      <c r="L647">
        <v>318.92666666666599</v>
      </c>
      <c r="M647">
        <v>346.88999999999902</v>
      </c>
      <c r="N647">
        <v>326.96666666666601</v>
      </c>
      <c r="O647">
        <v>317.88</v>
      </c>
      <c r="P647">
        <v>311.39999999999998</v>
      </c>
      <c r="Q647">
        <v>340.60999999999899</v>
      </c>
      <c r="R647">
        <v>283.56999999999903</v>
      </c>
      <c r="S647">
        <v>322.64999999999901</v>
      </c>
      <c r="T647">
        <v>297.02666666666602</v>
      </c>
      <c r="U647">
        <v>283.32333333333298</v>
      </c>
      <c r="V647">
        <v>271.97666666666601</v>
      </c>
      <c r="W647">
        <v>343.486666666666</v>
      </c>
      <c r="X647">
        <v>314.91999999999899</v>
      </c>
      <c r="Y647">
        <v>326.01333333333298</v>
      </c>
      <c r="Z647">
        <v>324.12666666666598</v>
      </c>
      <c r="AA647">
        <v>318.51666666666603</v>
      </c>
      <c r="AB647">
        <v>318.51666666666603</v>
      </c>
      <c r="AC647">
        <v>366.74999999999898</v>
      </c>
      <c r="AD647">
        <v>322.50333333333299</v>
      </c>
      <c r="AE647">
        <v>352.17333333333301</v>
      </c>
      <c r="AF647">
        <v>338.969999999999</v>
      </c>
      <c r="AG647">
        <v>330.50333333333299</v>
      </c>
      <c r="AH647">
        <v>326.51666666666603</v>
      </c>
      <c r="AI647">
        <v>361.183333333333</v>
      </c>
      <c r="AJ647">
        <v>318.92666666666599</v>
      </c>
      <c r="AK647">
        <v>346.88999999999902</v>
      </c>
      <c r="AL647">
        <v>326.96666666666601</v>
      </c>
      <c r="AM647">
        <v>317.88</v>
      </c>
      <c r="AN647">
        <v>311.39999999999998</v>
      </c>
      <c r="AO647">
        <v>358.64666666666602</v>
      </c>
      <c r="AP647">
        <v>291.72333333333302</v>
      </c>
      <c r="AQ647">
        <v>340.04999999999899</v>
      </c>
      <c r="AR647">
        <v>306.95999999999901</v>
      </c>
      <c r="AS647">
        <v>289.22666666666601</v>
      </c>
      <c r="AT647">
        <v>275.05666666666599</v>
      </c>
      <c r="AU647">
        <v>372.099999999999</v>
      </c>
      <c r="AV647">
        <v>320.14666666666602</v>
      </c>
      <c r="AW647">
        <v>355.25333333333299</v>
      </c>
      <c r="AX647">
        <v>332.29</v>
      </c>
      <c r="AY647">
        <v>320.33666666666602</v>
      </c>
      <c r="AZ647">
        <v>311.59333333333302</v>
      </c>
      <c r="BA647">
        <v>364.02333333333303</v>
      </c>
      <c r="BB647">
        <v>309.56999999999903</v>
      </c>
      <c r="BC647">
        <v>347.00333333333299</v>
      </c>
      <c r="BD647">
        <v>322.05999999999898</v>
      </c>
      <c r="BE647">
        <v>309.06666666666598</v>
      </c>
      <c r="BF647">
        <v>298.61666666666599</v>
      </c>
      <c r="BG647" s="14"/>
      <c r="BH647" s="14"/>
      <c r="BI647" s="14"/>
      <c r="BJ647" s="199"/>
      <c r="BK647" s="14"/>
      <c r="BL647" s="14"/>
      <c r="BM647" s="14"/>
      <c r="BN647" s="14"/>
      <c r="BO647" s="14"/>
      <c r="BP647" s="14"/>
      <c r="BQ647" s="14"/>
      <c r="BR647" s="14"/>
      <c r="BS647" s="14"/>
      <c r="BT647" s="14"/>
      <c r="BU647" s="14"/>
      <c r="BV647" s="14"/>
      <c r="BW647" s="14"/>
      <c r="BX647" s="14"/>
      <c r="BY647" s="170"/>
    </row>
    <row r="648" spans="9:77" x14ac:dyDescent="0.25">
      <c r="I648">
        <v>5881</v>
      </c>
      <c r="J648" s="1" t="s">
        <v>824</v>
      </c>
      <c r="K648">
        <v>398.46333333333303</v>
      </c>
      <c r="L648">
        <v>356.20666666666602</v>
      </c>
      <c r="M648">
        <v>384.16999999999899</v>
      </c>
      <c r="N648">
        <v>364.24666666666599</v>
      </c>
      <c r="O648">
        <v>355.159999999999</v>
      </c>
      <c r="P648">
        <v>348.68</v>
      </c>
      <c r="Q648">
        <v>377.88999999999902</v>
      </c>
      <c r="R648">
        <v>320.849999999999</v>
      </c>
      <c r="S648">
        <v>359.92999999999898</v>
      </c>
      <c r="T648">
        <v>334.30666666666599</v>
      </c>
      <c r="U648">
        <v>320.60333333333301</v>
      </c>
      <c r="V648">
        <v>309.25666666666598</v>
      </c>
      <c r="W648">
        <v>380.76666666666603</v>
      </c>
      <c r="X648">
        <v>352.19999999999902</v>
      </c>
      <c r="Y648">
        <v>363.29333333333301</v>
      </c>
      <c r="Z648">
        <v>361.40666666666601</v>
      </c>
      <c r="AA648">
        <v>355.796666666666</v>
      </c>
      <c r="AB648">
        <v>355.796666666666</v>
      </c>
      <c r="AC648">
        <v>404.02999999999901</v>
      </c>
      <c r="AD648">
        <v>359.78333333333302</v>
      </c>
      <c r="AE648">
        <v>389.45333333333298</v>
      </c>
      <c r="AF648">
        <v>376.24999999999898</v>
      </c>
      <c r="AG648">
        <v>367.78333333333302</v>
      </c>
      <c r="AH648">
        <v>363.796666666666</v>
      </c>
      <c r="AI648">
        <v>398.46333333333303</v>
      </c>
      <c r="AJ648">
        <v>356.20666666666602</v>
      </c>
      <c r="AK648">
        <v>384.16999999999899</v>
      </c>
      <c r="AL648">
        <v>364.24666666666599</v>
      </c>
      <c r="AM648">
        <v>355.159999999999</v>
      </c>
      <c r="AN648">
        <v>348.68</v>
      </c>
      <c r="AO648">
        <v>395.92666666666599</v>
      </c>
      <c r="AP648">
        <v>329.00333333333299</v>
      </c>
      <c r="AQ648">
        <v>377.32999999999902</v>
      </c>
      <c r="AR648">
        <v>344.23999999999899</v>
      </c>
      <c r="AS648">
        <v>326.50666666666598</v>
      </c>
      <c r="AT648">
        <v>312.33666666666602</v>
      </c>
      <c r="AU648">
        <v>409.37999999999897</v>
      </c>
      <c r="AV648">
        <v>357.42666666666599</v>
      </c>
      <c r="AW648">
        <v>392.53333333333302</v>
      </c>
      <c r="AX648">
        <v>369.56999999999903</v>
      </c>
      <c r="AY648">
        <v>357.61666666666599</v>
      </c>
      <c r="AZ648">
        <v>348.87333333333299</v>
      </c>
      <c r="BA648">
        <v>401.303333333333</v>
      </c>
      <c r="BB648">
        <v>346.849999999999</v>
      </c>
      <c r="BC648">
        <v>384.28333333333302</v>
      </c>
      <c r="BD648">
        <v>359.33999999999901</v>
      </c>
      <c r="BE648">
        <v>346.34666666666601</v>
      </c>
      <c r="BF648">
        <v>335.89666666666602</v>
      </c>
      <c r="BG648" s="14"/>
      <c r="BH648" s="14"/>
      <c r="BI648" s="14"/>
      <c r="BJ648" s="199"/>
      <c r="BK648" s="14"/>
      <c r="BL648" s="14"/>
      <c r="BM648" s="14"/>
      <c r="BN648" s="14"/>
      <c r="BO648" s="14"/>
      <c r="BP648" s="14"/>
      <c r="BQ648" s="14"/>
      <c r="BR648" s="14"/>
      <c r="BS648" s="14"/>
      <c r="BT648" s="14"/>
      <c r="BU648" s="14"/>
      <c r="BV648" s="14"/>
      <c r="BW648" s="14"/>
      <c r="BX648" s="14"/>
      <c r="BY648" s="170"/>
    </row>
    <row r="649" spans="9:77" x14ac:dyDescent="0.25">
      <c r="I649">
        <v>5882</v>
      </c>
      <c r="J649" s="1" t="s">
        <v>825</v>
      </c>
      <c r="K649">
        <v>398.46333333333303</v>
      </c>
      <c r="L649">
        <v>356.20666666666602</v>
      </c>
      <c r="M649">
        <v>384.16999999999899</v>
      </c>
      <c r="N649">
        <v>364.24666666666599</v>
      </c>
      <c r="O649">
        <v>355.159999999999</v>
      </c>
      <c r="P649">
        <v>348.68</v>
      </c>
      <c r="Q649">
        <v>377.88999999999902</v>
      </c>
      <c r="R649">
        <v>320.849999999999</v>
      </c>
      <c r="S649">
        <v>359.92999999999898</v>
      </c>
      <c r="T649">
        <v>334.30666666666599</v>
      </c>
      <c r="U649">
        <v>320.60333333333301</v>
      </c>
      <c r="V649">
        <v>309.25666666666598</v>
      </c>
      <c r="W649">
        <v>380.76666666666603</v>
      </c>
      <c r="X649">
        <v>352.19999999999902</v>
      </c>
      <c r="Y649">
        <v>363.29333333333301</v>
      </c>
      <c r="Z649">
        <v>361.40666666666601</v>
      </c>
      <c r="AA649">
        <v>355.796666666666</v>
      </c>
      <c r="AB649">
        <v>355.796666666666</v>
      </c>
      <c r="AC649">
        <v>404.02999999999901</v>
      </c>
      <c r="AD649">
        <v>359.78333333333302</v>
      </c>
      <c r="AE649">
        <v>389.45333333333298</v>
      </c>
      <c r="AF649">
        <v>376.24999999999898</v>
      </c>
      <c r="AG649">
        <v>367.78333333333302</v>
      </c>
      <c r="AH649">
        <v>363.796666666666</v>
      </c>
      <c r="AI649">
        <v>398.46333333333303</v>
      </c>
      <c r="AJ649">
        <v>356.20666666666602</v>
      </c>
      <c r="AK649">
        <v>384.16999999999899</v>
      </c>
      <c r="AL649">
        <v>364.24666666666599</v>
      </c>
      <c r="AM649">
        <v>355.159999999999</v>
      </c>
      <c r="AN649">
        <v>348.68</v>
      </c>
      <c r="AO649">
        <v>395.92666666666599</v>
      </c>
      <c r="AP649">
        <v>329.00333333333299</v>
      </c>
      <c r="AQ649">
        <v>377.32999999999902</v>
      </c>
      <c r="AR649">
        <v>344.23999999999899</v>
      </c>
      <c r="AS649">
        <v>326.50666666666598</v>
      </c>
      <c r="AT649">
        <v>312.33666666666602</v>
      </c>
      <c r="AU649">
        <v>409.37999999999897</v>
      </c>
      <c r="AV649">
        <v>357.42666666666599</v>
      </c>
      <c r="AW649">
        <v>392.53333333333302</v>
      </c>
      <c r="AX649">
        <v>369.56999999999903</v>
      </c>
      <c r="AY649">
        <v>357.61666666666599</v>
      </c>
      <c r="AZ649">
        <v>348.87333333333299</v>
      </c>
      <c r="BA649">
        <v>401.303333333333</v>
      </c>
      <c r="BB649">
        <v>346.849999999999</v>
      </c>
      <c r="BC649">
        <v>384.28333333333302</v>
      </c>
      <c r="BD649">
        <v>359.33999999999901</v>
      </c>
      <c r="BE649">
        <v>346.34666666666601</v>
      </c>
      <c r="BF649">
        <v>335.89666666666602</v>
      </c>
      <c r="BG649" s="14"/>
      <c r="BH649" s="14"/>
      <c r="BI649" s="14"/>
      <c r="BJ649" s="199"/>
      <c r="BK649" s="14"/>
      <c r="BL649" s="14"/>
      <c r="BM649" s="14"/>
      <c r="BN649" s="14"/>
      <c r="BO649" s="14"/>
      <c r="BP649" s="14"/>
      <c r="BQ649" s="14"/>
      <c r="BR649" s="14"/>
      <c r="BS649" s="14"/>
      <c r="BT649" s="14"/>
      <c r="BU649" s="14"/>
      <c r="BV649" s="14"/>
      <c r="BW649" s="14"/>
      <c r="BX649" s="14"/>
      <c r="BY649" s="170"/>
    </row>
    <row r="650" spans="9:77" x14ac:dyDescent="0.25">
      <c r="I650">
        <v>5883</v>
      </c>
      <c r="J650" s="1" t="s">
        <v>826</v>
      </c>
      <c r="K650">
        <v>347.89333333333298</v>
      </c>
      <c r="L650">
        <v>305.63666666666597</v>
      </c>
      <c r="M650">
        <v>333.599999999999</v>
      </c>
      <c r="N650">
        <v>313.67666666666599</v>
      </c>
      <c r="O650">
        <v>304.58999999999997</v>
      </c>
      <c r="P650">
        <v>298.11</v>
      </c>
      <c r="Q650">
        <v>327.31999999999903</v>
      </c>
      <c r="R650">
        <v>270.27999999999901</v>
      </c>
      <c r="S650">
        <v>309.36</v>
      </c>
      <c r="T650">
        <v>283.736666666666</v>
      </c>
      <c r="U650">
        <v>270.03333333333302</v>
      </c>
      <c r="V650">
        <v>258.68666666666599</v>
      </c>
      <c r="W650">
        <v>330.19666666666598</v>
      </c>
      <c r="X650">
        <v>301.62999999999897</v>
      </c>
      <c r="Y650">
        <v>312.72333333333302</v>
      </c>
      <c r="Z650">
        <v>310.83666666666602</v>
      </c>
      <c r="AA650">
        <v>305.22666666666601</v>
      </c>
      <c r="AB650">
        <v>305.22666666666601</v>
      </c>
      <c r="AC650">
        <v>353.45999999999901</v>
      </c>
      <c r="AD650">
        <v>309.21333333333303</v>
      </c>
      <c r="AE650">
        <v>338.88333333333298</v>
      </c>
      <c r="AF650">
        <v>325.68</v>
      </c>
      <c r="AG650">
        <v>317.21333333333303</v>
      </c>
      <c r="AH650">
        <v>313.22666666666601</v>
      </c>
      <c r="AI650">
        <v>347.89333333333298</v>
      </c>
      <c r="AJ650">
        <v>305.63666666666597</v>
      </c>
      <c r="AK650">
        <v>333.599999999999</v>
      </c>
      <c r="AL650">
        <v>313.67666666666599</v>
      </c>
      <c r="AM650">
        <v>304.58999999999997</v>
      </c>
      <c r="AN650">
        <v>298.11</v>
      </c>
      <c r="AO650">
        <v>345.356666666666</v>
      </c>
      <c r="AP650">
        <v>278.433333333333</v>
      </c>
      <c r="AQ650">
        <v>326.75999999999902</v>
      </c>
      <c r="AR650">
        <v>293.67</v>
      </c>
      <c r="AS650">
        <v>275.93666666666599</v>
      </c>
      <c r="AT650">
        <v>261.76666666666603</v>
      </c>
      <c r="AU650">
        <v>358.81</v>
      </c>
      <c r="AV650">
        <v>306.856666666666</v>
      </c>
      <c r="AW650">
        <v>341.96333333333303</v>
      </c>
      <c r="AX650">
        <v>319</v>
      </c>
      <c r="AY650">
        <v>307.046666666666</v>
      </c>
      <c r="AZ650">
        <v>298.303333333333</v>
      </c>
      <c r="BA650">
        <v>350.73333333333301</v>
      </c>
      <c r="BB650">
        <v>296.27999999999997</v>
      </c>
      <c r="BC650">
        <v>333.71333333333303</v>
      </c>
      <c r="BD650">
        <v>308.76999999999902</v>
      </c>
      <c r="BE650">
        <v>295.77666666666602</v>
      </c>
      <c r="BF650">
        <v>285.32666666666597</v>
      </c>
      <c r="BG650" s="14"/>
      <c r="BH650" s="14"/>
      <c r="BI650" s="14"/>
      <c r="BJ650" s="199"/>
      <c r="BK650" s="14"/>
      <c r="BL650" s="14"/>
      <c r="BM650" s="14"/>
      <c r="BN650" s="14"/>
      <c r="BO650" s="14"/>
      <c r="BP650" s="14"/>
      <c r="BQ650" s="14"/>
      <c r="BR650" s="14"/>
      <c r="BS650" s="14"/>
      <c r="BT650" s="14"/>
      <c r="BU650" s="14"/>
      <c r="BV650" s="14"/>
      <c r="BW650" s="14"/>
      <c r="BX650" s="14"/>
      <c r="BY650" s="170"/>
    </row>
    <row r="651" spans="9:77" x14ac:dyDescent="0.25">
      <c r="I651">
        <v>5884</v>
      </c>
      <c r="J651" s="1" t="s">
        <v>827</v>
      </c>
      <c r="K651">
        <v>436.22333333333302</v>
      </c>
      <c r="L651">
        <v>393.96666666666601</v>
      </c>
      <c r="M651">
        <v>421.93</v>
      </c>
      <c r="N651">
        <v>402.00666666666598</v>
      </c>
      <c r="O651">
        <v>392.92</v>
      </c>
      <c r="P651">
        <v>386.44</v>
      </c>
      <c r="Q651">
        <v>415.64999999999901</v>
      </c>
      <c r="R651">
        <v>358.60999999999899</v>
      </c>
      <c r="S651">
        <v>397.69</v>
      </c>
      <c r="T651">
        <v>372.06666666666598</v>
      </c>
      <c r="U651">
        <v>358.363333333333</v>
      </c>
      <c r="V651">
        <v>347.01666666666603</v>
      </c>
      <c r="W651">
        <v>418.52666666666602</v>
      </c>
      <c r="X651">
        <v>389.95999999999901</v>
      </c>
      <c r="Y651">
        <v>401.053333333333</v>
      </c>
      <c r="Z651">
        <v>399.166666666666</v>
      </c>
      <c r="AA651">
        <v>393.55666666666599</v>
      </c>
      <c r="AB651">
        <v>393.55666666666599</v>
      </c>
      <c r="AC651">
        <v>441.789999999999</v>
      </c>
      <c r="AD651">
        <v>397.54333333333301</v>
      </c>
      <c r="AE651">
        <v>427.21333333333303</v>
      </c>
      <c r="AF651">
        <v>414.01</v>
      </c>
      <c r="AG651">
        <v>405.54333333333301</v>
      </c>
      <c r="AH651">
        <v>401.55666666666599</v>
      </c>
      <c r="AI651">
        <v>436.22333333333302</v>
      </c>
      <c r="AJ651">
        <v>393.96666666666601</v>
      </c>
      <c r="AK651">
        <v>421.93</v>
      </c>
      <c r="AL651">
        <v>402.00666666666598</v>
      </c>
      <c r="AM651">
        <v>392.92</v>
      </c>
      <c r="AN651">
        <v>386.44</v>
      </c>
      <c r="AO651">
        <v>433.68666666666599</v>
      </c>
      <c r="AP651">
        <v>366.76333333333298</v>
      </c>
      <c r="AQ651">
        <v>415.08999999999901</v>
      </c>
      <c r="AR651">
        <v>382</v>
      </c>
      <c r="AS651">
        <v>364.26666666666603</v>
      </c>
      <c r="AT651">
        <v>350.09666666666601</v>
      </c>
      <c r="AU651">
        <v>447.14</v>
      </c>
      <c r="AV651">
        <v>395.18666666666599</v>
      </c>
      <c r="AW651">
        <v>430.29333333333301</v>
      </c>
      <c r="AX651">
        <v>407.33</v>
      </c>
      <c r="AY651">
        <v>395.37666666666598</v>
      </c>
      <c r="AZ651">
        <v>386.63333333333298</v>
      </c>
      <c r="BA651">
        <v>439.06333333333299</v>
      </c>
      <c r="BB651">
        <v>384.61</v>
      </c>
      <c r="BC651">
        <v>422.04333333333301</v>
      </c>
      <c r="BD651">
        <v>397.1</v>
      </c>
      <c r="BE651">
        <v>384.106666666666</v>
      </c>
      <c r="BF651">
        <v>373.65666666666601</v>
      </c>
      <c r="BG651" s="14"/>
      <c r="BH651" s="14"/>
      <c r="BI651" s="14"/>
      <c r="BJ651" s="199"/>
      <c r="BK651" s="14"/>
      <c r="BL651" s="14"/>
      <c r="BM651" s="14"/>
      <c r="BN651" s="14"/>
      <c r="BO651" s="14"/>
      <c r="BP651" s="14"/>
      <c r="BQ651" s="14"/>
      <c r="BR651" s="14"/>
      <c r="BS651" s="14"/>
      <c r="BT651" s="14"/>
      <c r="BU651" s="14"/>
      <c r="BV651" s="14"/>
      <c r="BW651" s="14"/>
      <c r="BX651" s="14"/>
      <c r="BY651" s="170"/>
    </row>
    <row r="652" spans="9:77" x14ac:dyDescent="0.25">
      <c r="I652">
        <v>5892</v>
      </c>
      <c r="J652" s="1" t="s">
        <v>828</v>
      </c>
      <c r="K652">
        <v>436.22333333333302</v>
      </c>
      <c r="L652">
        <v>393.96666666666601</v>
      </c>
      <c r="M652">
        <v>421.93</v>
      </c>
      <c r="N652">
        <v>402.00666666666598</v>
      </c>
      <c r="O652">
        <v>392.92</v>
      </c>
      <c r="P652">
        <v>386.44</v>
      </c>
      <c r="Q652">
        <v>415.64999999999901</v>
      </c>
      <c r="R652">
        <v>358.60999999999899</v>
      </c>
      <c r="S652">
        <v>397.69</v>
      </c>
      <c r="T652">
        <v>372.06666666666598</v>
      </c>
      <c r="U652">
        <v>358.363333333333</v>
      </c>
      <c r="V652">
        <v>347.01666666666603</v>
      </c>
      <c r="W652">
        <v>418.52666666666602</v>
      </c>
      <c r="X652">
        <v>389.95999999999901</v>
      </c>
      <c r="Y652">
        <v>401.053333333333</v>
      </c>
      <c r="Z652">
        <v>399.166666666666</v>
      </c>
      <c r="AA652">
        <v>393.55666666666599</v>
      </c>
      <c r="AB652">
        <v>393.55666666666599</v>
      </c>
      <c r="AC652">
        <v>441.789999999999</v>
      </c>
      <c r="AD652">
        <v>397.54333333333301</v>
      </c>
      <c r="AE652">
        <v>427.21333333333303</v>
      </c>
      <c r="AF652">
        <v>414.01</v>
      </c>
      <c r="AG652">
        <v>405.54333333333301</v>
      </c>
      <c r="AH652">
        <v>401.55666666666599</v>
      </c>
      <c r="AI652">
        <v>436.22333333333302</v>
      </c>
      <c r="AJ652">
        <v>393.96666666666601</v>
      </c>
      <c r="AK652">
        <v>421.93</v>
      </c>
      <c r="AL652">
        <v>402.00666666666598</v>
      </c>
      <c r="AM652">
        <v>392.92</v>
      </c>
      <c r="AN652">
        <v>386.44</v>
      </c>
      <c r="AO652">
        <v>433.68666666666599</v>
      </c>
      <c r="AP652">
        <v>366.76333333333298</v>
      </c>
      <c r="AQ652">
        <v>415.08999999999901</v>
      </c>
      <c r="AR652">
        <v>382</v>
      </c>
      <c r="AS652">
        <v>364.26666666666603</v>
      </c>
      <c r="AT652">
        <v>350.09666666666601</v>
      </c>
      <c r="AU652">
        <v>447.14</v>
      </c>
      <c r="AV652">
        <v>395.18666666666599</v>
      </c>
      <c r="AW652">
        <v>430.29333333333301</v>
      </c>
      <c r="AX652">
        <v>407.33</v>
      </c>
      <c r="AY652">
        <v>395.37666666666598</v>
      </c>
      <c r="AZ652">
        <v>386.63333333333298</v>
      </c>
      <c r="BA652">
        <v>439.06333333333299</v>
      </c>
      <c r="BB652">
        <v>384.61</v>
      </c>
      <c r="BC652">
        <v>422.04333333333301</v>
      </c>
      <c r="BD652">
        <v>397.1</v>
      </c>
      <c r="BE652">
        <v>384.106666666666</v>
      </c>
      <c r="BF652">
        <v>373.65666666666601</v>
      </c>
      <c r="BG652" s="14"/>
      <c r="BH652" s="14"/>
      <c r="BI652" s="14"/>
      <c r="BJ652" s="199"/>
      <c r="BK652" s="14"/>
      <c r="BL652" s="14"/>
      <c r="BM652" s="14"/>
      <c r="BN652" s="14"/>
      <c r="BO652" s="14"/>
      <c r="BP652" s="14"/>
      <c r="BQ652" s="14"/>
      <c r="BR652" s="14"/>
      <c r="BS652" s="14"/>
      <c r="BT652" s="14"/>
      <c r="BU652" s="14"/>
      <c r="BV652" s="14"/>
      <c r="BW652" s="14"/>
      <c r="BX652" s="14"/>
      <c r="BY652" s="170"/>
    </row>
    <row r="653" spans="9:77" x14ac:dyDescent="0.25">
      <c r="I653">
        <v>5900</v>
      </c>
      <c r="J653" s="1" t="s">
        <v>829</v>
      </c>
      <c r="K653">
        <v>283.67333333333301</v>
      </c>
      <c r="L653">
        <v>241.416666666666</v>
      </c>
      <c r="M653">
        <v>269.37999999999897</v>
      </c>
      <c r="N653">
        <v>249.456666666666</v>
      </c>
      <c r="O653">
        <v>240.37</v>
      </c>
      <c r="P653">
        <v>233.89</v>
      </c>
      <c r="Q653">
        <v>263.099999999999</v>
      </c>
      <c r="R653">
        <v>206.05999999999901</v>
      </c>
      <c r="S653">
        <v>245.13999999999899</v>
      </c>
      <c r="T653">
        <v>219.516666666666</v>
      </c>
      <c r="U653">
        <v>205.81333333333299</v>
      </c>
      <c r="V653">
        <v>194.46666666666599</v>
      </c>
      <c r="W653">
        <v>265.97666666666601</v>
      </c>
      <c r="X653">
        <v>237.409999999999</v>
      </c>
      <c r="Y653">
        <v>248.50333333333299</v>
      </c>
      <c r="Z653">
        <v>246.61666666666599</v>
      </c>
      <c r="AA653">
        <v>241.00666666666601</v>
      </c>
      <c r="AB653">
        <v>241.00666666666601</v>
      </c>
      <c r="AC653">
        <v>289.23999999999899</v>
      </c>
      <c r="AD653">
        <v>244.993333333333</v>
      </c>
      <c r="AE653">
        <v>274.66333333333301</v>
      </c>
      <c r="AF653">
        <v>261.45999999999901</v>
      </c>
      <c r="AG653">
        <v>252.993333333333</v>
      </c>
      <c r="AH653">
        <v>249.00666666666601</v>
      </c>
      <c r="AI653">
        <v>283.67333333333301</v>
      </c>
      <c r="AJ653">
        <v>241.416666666666</v>
      </c>
      <c r="AK653">
        <v>269.37999999999897</v>
      </c>
      <c r="AL653">
        <v>249.456666666666</v>
      </c>
      <c r="AM653">
        <v>240.37</v>
      </c>
      <c r="AN653">
        <v>233.89</v>
      </c>
      <c r="AO653">
        <v>281.13666666666597</v>
      </c>
      <c r="AP653">
        <v>214.213333333333</v>
      </c>
      <c r="AQ653">
        <v>262.539999999999</v>
      </c>
      <c r="AR653">
        <v>229.44999999999899</v>
      </c>
      <c r="AS653">
        <v>211.71666666666599</v>
      </c>
      <c r="AT653">
        <v>197.546666666666</v>
      </c>
      <c r="AU653">
        <v>294.58999999999901</v>
      </c>
      <c r="AV653">
        <v>242.636666666666</v>
      </c>
      <c r="AW653">
        <v>277.743333333333</v>
      </c>
      <c r="AX653">
        <v>254.78</v>
      </c>
      <c r="AY653">
        <v>242.826666666666</v>
      </c>
      <c r="AZ653">
        <v>234.083333333333</v>
      </c>
      <c r="BA653">
        <v>286.51333333333298</v>
      </c>
      <c r="BB653">
        <v>232.06</v>
      </c>
      <c r="BC653">
        <v>269.493333333333</v>
      </c>
      <c r="BD653">
        <v>244.54999999999899</v>
      </c>
      <c r="BE653">
        <v>231.55666666666599</v>
      </c>
      <c r="BF653">
        <v>221.106666666666</v>
      </c>
      <c r="BG653" s="14"/>
      <c r="BH653" s="14"/>
      <c r="BI653" s="14"/>
      <c r="BJ653" s="199"/>
      <c r="BK653" s="14"/>
      <c r="BL653" s="14"/>
      <c r="BM653" s="14"/>
      <c r="BN653" s="14"/>
      <c r="BO653" s="14"/>
      <c r="BP653" s="14"/>
      <c r="BQ653" s="14"/>
      <c r="BR653" s="14"/>
      <c r="BS653" s="14"/>
      <c r="BT653" s="14"/>
      <c r="BU653" s="14"/>
      <c r="BV653" s="14"/>
      <c r="BW653" s="14"/>
      <c r="BX653" s="14"/>
      <c r="BY653" s="170"/>
    </row>
    <row r="654" spans="9:77" x14ac:dyDescent="0.25">
      <c r="I654">
        <v>5932</v>
      </c>
      <c r="J654" s="1" t="s">
        <v>830</v>
      </c>
      <c r="K654">
        <v>260.13333333333298</v>
      </c>
      <c r="L654">
        <v>217.87666666666601</v>
      </c>
      <c r="M654">
        <v>245.83999999999901</v>
      </c>
      <c r="N654">
        <v>225.916666666666</v>
      </c>
      <c r="O654">
        <v>216.82999999999899</v>
      </c>
      <c r="P654">
        <v>210.349999999999</v>
      </c>
      <c r="Q654">
        <v>239.55999999999901</v>
      </c>
      <c r="R654">
        <v>182.51999999999899</v>
      </c>
      <c r="S654">
        <v>221.599999999999</v>
      </c>
      <c r="T654">
        <v>195.97666666666601</v>
      </c>
      <c r="U654">
        <v>182.273333333333</v>
      </c>
      <c r="V654">
        <v>170.92666666666599</v>
      </c>
      <c r="W654">
        <v>242.43666666666601</v>
      </c>
      <c r="X654">
        <v>213.86999999999901</v>
      </c>
      <c r="Y654">
        <v>224.963333333333</v>
      </c>
      <c r="Z654">
        <v>223.076666666666</v>
      </c>
      <c r="AA654">
        <v>217.46666666666599</v>
      </c>
      <c r="AB654">
        <v>217.46666666666599</v>
      </c>
      <c r="AC654">
        <v>265.69999999999902</v>
      </c>
      <c r="AD654">
        <v>221.45333333333301</v>
      </c>
      <c r="AE654">
        <v>251.12333333333299</v>
      </c>
      <c r="AF654">
        <v>237.91999999999899</v>
      </c>
      <c r="AG654">
        <v>229.45333333333301</v>
      </c>
      <c r="AH654">
        <v>225.46666666666599</v>
      </c>
      <c r="AI654">
        <v>260.13333333333298</v>
      </c>
      <c r="AJ654">
        <v>217.87666666666601</v>
      </c>
      <c r="AK654">
        <v>245.83999999999901</v>
      </c>
      <c r="AL654">
        <v>225.916666666666</v>
      </c>
      <c r="AM654">
        <v>216.82999999999899</v>
      </c>
      <c r="AN654">
        <v>210.349999999999</v>
      </c>
      <c r="AO654">
        <v>257.59666666666601</v>
      </c>
      <c r="AP654">
        <v>190.67333333333301</v>
      </c>
      <c r="AQ654">
        <v>238.99999999999901</v>
      </c>
      <c r="AR654">
        <v>205.909999999999</v>
      </c>
      <c r="AS654">
        <v>188.17666666666599</v>
      </c>
      <c r="AT654">
        <v>174.00666666666601</v>
      </c>
      <c r="AU654">
        <v>271.04999999999899</v>
      </c>
      <c r="AV654">
        <v>219.09666666666601</v>
      </c>
      <c r="AW654">
        <v>254.20333333333301</v>
      </c>
      <c r="AX654">
        <v>231.23999999999899</v>
      </c>
      <c r="AY654">
        <v>219.28666666666601</v>
      </c>
      <c r="AZ654">
        <v>210.54333333333301</v>
      </c>
      <c r="BA654">
        <v>262.97333333333302</v>
      </c>
      <c r="BB654">
        <v>208.51999999999899</v>
      </c>
      <c r="BC654">
        <v>245.95333333333301</v>
      </c>
      <c r="BD654">
        <v>221.009999999999</v>
      </c>
      <c r="BE654">
        <v>208.016666666666</v>
      </c>
      <c r="BF654">
        <v>197.56666666666601</v>
      </c>
      <c r="BG654" s="14"/>
      <c r="BH654" s="14"/>
      <c r="BI654" s="14"/>
      <c r="BJ654" s="199"/>
      <c r="BK654" s="14"/>
      <c r="BL654" s="14"/>
      <c r="BM654" s="14"/>
      <c r="BN654" s="14"/>
      <c r="BO654" s="14"/>
      <c r="BP654" s="14"/>
      <c r="BQ654" s="14"/>
      <c r="BR654" s="14"/>
      <c r="BS654" s="14"/>
      <c r="BT654" s="14"/>
      <c r="BU654" s="14"/>
      <c r="BV654" s="14"/>
      <c r="BW654" s="14"/>
      <c r="BX654" s="14"/>
      <c r="BY654" s="170"/>
    </row>
    <row r="655" spans="9:77" x14ac:dyDescent="0.25">
      <c r="I655">
        <v>5935</v>
      </c>
      <c r="J655" s="1" t="s">
        <v>831</v>
      </c>
      <c r="K655">
        <v>238.22333333333299</v>
      </c>
      <c r="L655">
        <v>195.96666666666599</v>
      </c>
      <c r="M655">
        <v>223.92999999999901</v>
      </c>
      <c r="N655">
        <v>204.00666666666601</v>
      </c>
      <c r="O655">
        <v>194.91999999999899</v>
      </c>
      <c r="P655">
        <v>188.44</v>
      </c>
      <c r="Q655">
        <v>217.64999999999901</v>
      </c>
      <c r="R655">
        <v>160.60999999999899</v>
      </c>
      <c r="S655">
        <v>199.689999999999</v>
      </c>
      <c r="T655">
        <v>174.06666666666601</v>
      </c>
      <c r="U655">
        <v>160.363333333333</v>
      </c>
      <c r="V655">
        <v>149.016666666666</v>
      </c>
      <c r="W655">
        <v>220.52666666666599</v>
      </c>
      <c r="X655">
        <v>191.95999999999901</v>
      </c>
      <c r="Y655">
        <v>203.053333333333</v>
      </c>
      <c r="Z655">
        <v>201.166666666666</v>
      </c>
      <c r="AA655">
        <v>195.55666666666599</v>
      </c>
      <c r="AB655">
        <v>195.55666666666599</v>
      </c>
      <c r="AC655">
        <v>243.789999999999</v>
      </c>
      <c r="AD655">
        <v>199.54333333333301</v>
      </c>
      <c r="AE655">
        <v>229.213333333333</v>
      </c>
      <c r="AF655">
        <v>216.009999999999</v>
      </c>
      <c r="AG655">
        <v>207.54333333333301</v>
      </c>
      <c r="AH655">
        <v>203.55666666666599</v>
      </c>
      <c r="AI655">
        <v>238.22333333333299</v>
      </c>
      <c r="AJ655">
        <v>195.96666666666599</v>
      </c>
      <c r="AK655">
        <v>223.92999999999901</v>
      </c>
      <c r="AL655">
        <v>204.00666666666601</v>
      </c>
      <c r="AM655">
        <v>194.91999999999899</v>
      </c>
      <c r="AN655">
        <v>188.44</v>
      </c>
      <c r="AO655">
        <v>235.68666666666601</v>
      </c>
      <c r="AP655">
        <v>168.76333333333301</v>
      </c>
      <c r="AQ655">
        <v>217.08999999999901</v>
      </c>
      <c r="AR655">
        <v>183.99999999999901</v>
      </c>
      <c r="AS655">
        <v>166.266666666666</v>
      </c>
      <c r="AT655">
        <v>152.09666666666601</v>
      </c>
      <c r="AU655">
        <v>249.13999999999899</v>
      </c>
      <c r="AV655">
        <v>197.18666666666601</v>
      </c>
      <c r="AW655">
        <v>232.29333333333301</v>
      </c>
      <c r="AX655">
        <v>209.32999999999899</v>
      </c>
      <c r="AY655">
        <v>197.37666666666601</v>
      </c>
      <c r="AZ655">
        <v>188.63333333333301</v>
      </c>
      <c r="BA655">
        <v>241.06333333333299</v>
      </c>
      <c r="BB655">
        <v>186.60999999999899</v>
      </c>
      <c r="BC655">
        <v>224.04333333333301</v>
      </c>
      <c r="BD655">
        <v>199.099999999999</v>
      </c>
      <c r="BE655">
        <v>186.106666666666</v>
      </c>
      <c r="BF655">
        <v>175.65666666666601</v>
      </c>
      <c r="BG655" s="14"/>
      <c r="BH655" s="14"/>
      <c r="BI655" s="14"/>
      <c r="BJ655" s="199"/>
      <c r="BK655" s="14"/>
      <c r="BL655" s="14"/>
      <c r="BM655" s="14"/>
      <c r="BN655" s="14"/>
      <c r="BO655" s="14"/>
      <c r="BP655" s="14"/>
      <c r="BQ655" s="14"/>
      <c r="BR655" s="14"/>
      <c r="BS655" s="14"/>
      <c r="BT655" s="14"/>
      <c r="BU655" s="14"/>
      <c r="BV655" s="14"/>
      <c r="BW655" s="14"/>
      <c r="BX655" s="14"/>
      <c r="BY655" s="170"/>
    </row>
    <row r="656" spans="9:77" x14ac:dyDescent="0.25">
      <c r="I656">
        <v>5953</v>
      </c>
      <c r="J656" s="1" t="s">
        <v>832</v>
      </c>
      <c r="K656">
        <v>347.89333333333298</v>
      </c>
      <c r="L656">
        <v>305.63666666666597</v>
      </c>
      <c r="M656">
        <v>333.599999999999</v>
      </c>
      <c r="N656">
        <v>313.67666666666599</v>
      </c>
      <c r="O656">
        <v>304.58999999999997</v>
      </c>
      <c r="P656">
        <v>298.11</v>
      </c>
      <c r="Q656">
        <v>327.31999999999903</v>
      </c>
      <c r="R656">
        <v>270.27999999999901</v>
      </c>
      <c r="S656">
        <v>309.36</v>
      </c>
      <c r="T656">
        <v>283.736666666666</v>
      </c>
      <c r="U656">
        <v>270.03333333333302</v>
      </c>
      <c r="V656">
        <v>258.68666666666599</v>
      </c>
      <c r="W656">
        <v>330.19666666666598</v>
      </c>
      <c r="X656">
        <v>301.62999999999897</v>
      </c>
      <c r="Y656">
        <v>312.72333333333302</v>
      </c>
      <c r="Z656">
        <v>310.83666666666602</v>
      </c>
      <c r="AA656">
        <v>305.22666666666601</v>
      </c>
      <c r="AB656">
        <v>305.22666666666601</v>
      </c>
      <c r="AC656">
        <v>353.45999999999901</v>
      </c>
      <c r="AD656">
        <v>309.21333333333303</v>
      </c>
      <c r="AE656">
        <v>338.88333333333298</v>
      </c>
      <c r="AF656">
        <v>325.68</v>
      </c>
      <c r="AG656">
        <v>317.21333333333303</v>
      </c>
      <c r="AH656">
        <v>313.22666666666601</v>
      </c>
      <c r="AI656">
        <v>347.89333333333298</v>
      </c>
      <c r="AJ656">
        <v>305.63666666666597</v>
      </c>
      <c r="AK656">
        <v>333.599999999999</v>
      </c>
      <c r="AL656">
        <v>313.67666666666599</v>
      </c>
      <c r="AM656">
        <v>304.58999999999997</v>
      </c>
      <c r="AN656">
        <v>298.11</v>
      </c>
      <c r="AO656">
        <v>345.356666666666</v>
      </c>
      <c r="AP656">
        <v>278.433333333333</v>
      </c>
      <c r="AQ656">
        <v>326.75999999999902</v>
      </c>
      <c r="AR656">
        <v>293.67</v>
      </c>
      <c r="AS656">
        <v>275.93666666666599</v>
      </c>
      <c r="AT656">
        <v>261.76666666666603</v>
      </c>
      <c r="AU656">
        <v>358.81</v>
      </c>
      <c r="AV656">
        <v>306.856666666666</v>
      </c>
      <c r="AW656">
        <v>341.96333333333303</v>
      </c>
      <c r="AX656">
        <v>319</v>
      </c>
      <c r="AY656">
        <v>307.046666666666</v>
      </c>
      <c r="AZ656">
        <v>298.303333333333</v>
      </c>
      <c r="BA656">
        <v>350.73333333333301</v>
      </c>
      <c r="BB656">
        <v>296.27999999999997</v>
      </c>
      <c r="BC656">
        <v>333.71333333333303</v>
      </c>
      <c r="BD656">
        <v>308.76999999999902</v>
      </c>
      <c r="BE656">
        <v>295.77666666666602</v>
      </c>
      <c r="BF656">
        <v>285.32666666666597</v>
      </c>
      <c r="BG656" s="14"/>
      <c r="BH656" s="14"/>
      <c r="BI656" s="14"/>
      <c r="BJ656" s="199"/>
      <c r="BK656" s="14"/>
      <c r="BL656" s="14"/>
      <c r="BM656" s="14"/>
      <c r="BN656" s="14"/>
      <c r="BO656" s="14"/>
      <c r="BP656" s="14"/>
      <c r="BQ656" s="14"/>
      <c r="BR656" s="14"/>
      <c r="BS656" s="14"/>
      <c r="BT656" s="14"/>
      <c r="BU656" s="14"/>
      <c r="BV656" s="14"/>
      <c r="BW656" s="14"/>
      <c r="BX656" s="14"/>
      <c r="BY656" s="170"/>
    </row>
    <row r="657" spans="9:77" x14ac:dyDescent="0.25">
      <c r="I657">
        <v>5960</v>
      </c>
      <c r="J657" s="1" t="s">
        <v>833</v>
      </c>
      <c r="K657">
        <v>283.98333333333301</v>
      </c>
      <c r="L657">
        <v>241.72666666666601</v>
      </c>
      <c r="M657">
        <v>269.69</v>
      </c>
      <c r="N657">
        <v>249.766666666666</v>
      </c>
      <c r="O657">
        <v>240.68</v>
      </c>
      <c r="P657">
        <v>234.2</v>
      </c>
      <c r="Q657">
        <v>263.409999999999</v>
      </c>
      <c r="R657">
        <v>206.36999999999901</v>
      </c>
      <c r="S657">
        <v>245.45</v>
      </c>
      <c r="T657">
        <v>219.826666666666</v>
      </c>
      <c r="U657">
        <v>206.12333333333299</v>
      </c>
      <c r="V657">
        <v>194.77666666666599</v>
      </c>
      <c r="W657">
        <v>266.28666666666601</v>
      </c>
      <c r="X657">
        <v>237.719999999999</v>
      </c>
      <c r="Y657">
        <v>248.81333333333299</v>
      </c>
      <c r="Z657">
        <v>246.92666666666599</v>
      </c>
      <c r="AA657">
        <v>241.31666666666601</v>
      </c>
      <c r="AB657">
        <v>241.31666666666601</v>
      </c>
      <c r="AC657">
        <v>289.54999999999899</v>
      </c>
      <c r="AD657">
        <v>245.303333333333</v>
      </c>
      <c r="AE657">
        <v>274.97333333333302</v>
      </c>
      <c r="AF657">
        <v>261.77</v>
      </c>
      <c r="AG657">
        <v>253.303333333333</v>
      </c>
      <c r="AH657">
        <v>249.31666666666601</v>
      </c>
      <c r="AI657">
        <v>283.98333333333301</v>
      </c>
      <c r="AJ657">
        <v>241.72666666666601</v>
      </c>
      <c r="AK657">
        <v>269.69</v>
      </c>
      <c r="AL657">
        <v>249.766666666666</v>
      </c>
      <c r="AM657">
        <v>240.68</v>
      </c>
      <c r="AN657">
        <v>234.2</v>
      </c>
      <c r="AO657">
        <v>281.44666666666598</v>
      </c>
      <c r="AP657">
        <v>214.523333333333</v>
      </c>
      <c r="AQ657">
        <v>262.849999999999</v>
      </c>
      <c r="AR657">
        <v>229.76</v>
      </c>
      <c r="AS657">
        <v>212.02666666666599</v>
      </c>
      <c r="AT657">
        <v>197.856666666666</v>
      </c>
      <c r="AU657">
        <v>294.89999999999998</v>
      </c>
      <c r="AV657">
        <v>242.946666666666</v>
      </c>
      <c r="AW657">
        <v>278.053333333333</v>
      </c>
      <c r="AX657">
        <v>255.09</v>
      </c>
      <c r="AY657">
        <v>243.136666666666</v>
      </c>
      <c r="AZ657">
        <v>234.393333333333</v>
      </c>
      <c r="BA657">
        <v>286.82333333333298</v>
      </c>
      <c r="BB657">
        <v>232.37</v>
      </c>
      <c r="BC657">
        <v>269.803333333333</v>
      </c>
      <c r="BD657">
        <v>244.86</v>
      </c>
      <c r="BE657">
        <v>231.86666666666599</v>
      </c>
      <c r="BF657">
        <v>221.416666666666</v>
      </c>
      <c r="BG657" s="14"/>
      <c r="BH657" s="14"/>
      <c r="BI657" s="14"/>
      <c r="BJ657" s="199"/>
      <c r="BK657" s="14"/>
      <c r="BL657" s="14"/>
      <c r="BM657" s="14"/>
      <c r="BN657" s="14"/>
      <c r="BO657" s="14"/>
      <c r="BP657" s="14"/>
      <c r="BQ657" s="14"/>
      <c r="BR657" s="14"/>
      <c r="BS657" s="14"/>
      <c r="BT657" s="14"/>
      <c r="BU657" s="14"/>
      <c r="BV657" s="14"/>
      <c r="BW657" s="14"/>
      <c r="BX657" s="14"/>
      <c r="BY657" s="170"/>
    </row>
    <row r="658" spans="9:77" x14ac:dyDescent="0.25">
      <c r="I658">
        <v>5970</v>
      </c>
      <c r="J658" s="1" t="s">
        <v>834</v>
      </c>
      <c r="K658">
        <v>282.94333333333299</v>
      </c>
      <c r="L658">
        <v>240.68666666666601</v>
      </c>
      <c r="M658">
        <v>268.64999999999901</v>
      </c>
      <c r="N658">
        <v>248.72666666666601</v>
      </c>
      <c r="O658">
        <v>239.63999999999899</v>
      </c>
      <c r="P658">
        <v>233.16</v>
      </c>
      <c r="Q658">
        <v>262.36999999999898</v>
      </c>
      <c r="R658">
        <v>205.32999999999899</v>
      </c>
      <c r="S658">
        <v>244.409999999999</v>
      </c>
      <c r="T658">
        <v>218.78666666666601</v>
      </c>
      <c r="U658">
        <v>205.083333333333</v>
      </c>
      <c r="V658">
        <v>193.736666666666</v>
      </c>
      <c r="W658">
        <v>265.24666666666599</v>
      </c>
      <c r="X658">
        <v>236.67999999999901</v>
      </c>
      <c r="Y658">
        <v>247.773333333333</v>
      </c>
      <c r="Z658">
        <v>245.886666666666</v>
      </c>
      <c r="AA658">
        <v>240.27666666666599</v>
      </c>
      <c r="AB658">
        <v>240.27666666666599</v>
      </c>
      <c r="AC658">
        <v>288.50999999999902</v>
      </c>
      <c r="AD658">
        <v>244.26333333333301</v>
      </c>
      <c r="AE658">
        <v>273.933333333333</v>
      </c>
      <c r="AF658">
        <v>260.729999999999</v>
      </c>
      <c r="AG658">
        <v>252.26333333333301</v>
      </c>
      <c r="AH658">
        <v>248.27666666666599</v>
      </c>
      <c r="AI658">
        <v>282.94333333333299</v>
      </c>
      <c r="AJ658">
        <v>240.68666666666601</v>
      </c>
      <c r="AK658">
        <v>268.64999999999901</v>
      </c>
      <c r="AL658">
        <v>248.72666666666601</v>
      </c>
      <c r="AM658">
        <v>239.63999999999899</v>
      </c>
      <c r="AN658">
        <v>233.16</v>
      </c>
      <c r="AO658">
        <v>280.40666666666601</v>
      </c>
      <c r="AP658">
        <v>213.48333333333301</v>
      </c>
      <c r="AQ658">
        <v>261.80999999999898</v>
      </c>
      <c r="AR658">
        <v>228.719999999999</v>
      </c>
      <c r="AS658">
        <v>210.986666666666</v>
      </c>
      <c r="AT658">
        <v>196.81666666666601</v>
      </c>
      <c r="AU658">
        <v>293.85999999999899</v>
      </c>
      <c r="AV658">
        <v>241.90666666666601</v>
      </c>
      <c r="AW658">
        <v>277.01333333333298</v>
      </c>
      <c r="AX658">
        <v>254.05</v>
      </c>
      <c r="AY658">
        <v>242.09666666666601</v>
      </c>
      <c r="AZ658">
        <v>233.35333333333301</v>
      </c>
      <c r="BA658">
        <v>285.78333333333302</v>
      </c>
      <c r="BB658">
        <v>231.32999999999899</v>
      </c>
      <c r="BC658">
        <v>268.76333333333298</v>
      </c>
      <c r="BD658">
        <v>243.819999999999</v>
      </c>
      <c r="BE658">
        <v>230.826666666666</v>
      </c>
      <c r="BF658">
        <v>220.37666666666601</v>
      </c>
      <c r="BG658" s="14"/>
      <c r="BH658" s="14"/>
      <c r="BI658" s="14"/>
      <c r="BJ658" s="199"/>
      <c r="BK658" s="14"/>
      <c r="BL658" s="14"/>
      <c r="BM658" s="14"/>
      <c r="BN658" s="14"/>
      <c r="BO658" s="14"/>
      <c r="BP658" s="14"/>
      <c r="BQ658" s="14"/>
      <c r="BR658" s="14"/>
      <c r="BS658" s="14"/>
      <c r="BT658" s="14"/>
      <c r="BU658" s="14"/>
      <c r="BV658" s="14"/>
      <c r="BW658" s="14"/>
      <c r="BX658" s="14"/>
      <c r="BY658" s="170"/>
    </row>
    <row r="659" spans="9:77" x14ac:dyDescent="0.25">
      <c r="I659">
        <v>5985</v>
      </c>
      <c r="J659" s="1" t="s">
        <v>835</v>
      </c>
      <c r="K659">
        <v>282.94333333333299</v>
      </c>
      <c r="L659">
        <v>240.68666666666601</v>
      </c>
      <c r="M659">
        <v>268.64999999999901</v>
      </c>
      <c r="N659">
        <v>248.72666666666601</v>
      </c>
      <c r="O659">
        <v>239.63999999999899</v>
      </c>
      <c r="P659">
        <v>233.16</v>
      </c>
      <c r="Q659">
        <v>262.36999999999898</v>
      </c>
      <c r="R659">
        <v>205.32999999999899</v>
      </c>
      <c r="S659">
        <v>244.409999999999</v>
      </c>
      <c r="T659">
        <v>218.78666666666601</v>
      </c>
      <c r="U659">
        <v>205.083333333333</v>
      </c>
      <c r="V659">
        <v>193.736666666666</v>
      </c>
      <c r="W659">
        <v>265.24666666666599</v>
      </c>
      <c r="X659">
        <v>236.67999999999901</v>
      </c>
      <c r="Y659">
        <v>247.773333333333</v>
      </c>
      <c r="Z659">
        <v>245.886666666666</v>
      </c>
      <c r="AA659">
        <v>240.27666666666599</v>
      </c>
      <c r="AB659">
        <v>240.27666666666599</v>
      </c>
      <c r="AC659">
        <v>288.50999999999902</v>
      </c>
      <c r="AD659">
        <v>244.26333333333301</v>
      </c>
      <c r="AE659">
        <v>273.933333333333</v>
      </c>
      <c r="AF659">
        <v>260.729999999999</v>
      </c>
      <c r="AG659">
        <v>252.26333333333301</v>
      </c>
      <c r="AH659">
        <v>248.27666666666599</v>
      </c>
      <c r="AI659">
        <v>282.94333333333299</v>
      </c>
      <c r="AJ659">
        <v>240.68666666666601</v>
      </c>
      <c r="AK659">
        <v>268.64999999999901</v>
      </c>
      <c r="AL659">
        <v>248.72666666666601</v>
      </c>
      <c r="AM659">
        <v>239.63999999999899</v>
      </c>
      <c r="AN659">
        <v>233.16</v>
      </c>
      <c r="AO659">
        <v>280.40666666666601</v>
      </c>
      <c r="AP659">
        <v>213.48333333333301</v>
      </c>
      <c r="AQ659">
        <v>261.80999999999898</v>
      </c>
      <c r="AR659">
        <v>228.719999999999</v>
      </c>
      <c r="AS659">
        <v>210.986666666666</v>
      </c>
      <c r="AT659">
        <v>196.81666666666601</v>
      </c>
      <c r="AU659">
        <v>293.85999999999899</v>
      </c>
      <c r="AV659">
        <v>241.90666666666601</v>
      </c>
      <c r="AW659">
        <v>277.01333333333298</v>
      </c>
      <c r="AX659">
        <v>254.05</v>
      </c>
      <c r="AY659">
        <v>242.09666666666601</v>
      </c>
      <c r="AZ659">
        <v>233.35333333333301</v>
      </c>
      <c r="BA659">
        <v>285.78333333333302</v>
      </c>
      <c r="BB659">
        <v>231.32999999999899</v>
      </c>
      <c r="BC659">
        <v>268.76333333333298</v>
      </c>
      <c r="BD659">
        <v>243.819999999999</v>
      </c>
      <c r="BE659">
        <v>230.826666666666</v>
      </c>
      <c r="BF659">
        <v>220.37666666666601</v>
      </c>
      <c r="BG659" s="14"/>
      <c r="BH659" s="14"/>
      <c r="BI659" s="14"/>
      <c r="BJ659" s="199"/>
      <c r="BK659" s="14"/>
      <c r="BL659" s="14"/>
      <c r="BM659" s="14"/>
      <c r="BN659" s="14"/>
      <c r="BO659" s="14"/>
      <c r="BP659" s="14"/>
      <c r="BQ659" s="14"/>
      <c r="BR659" s="14"/>
      <c r="BS659" s="14"/>
      <c r="BT659" s="14"/>
      <c r="BU659" s="14"/>
      <c r="BV659" s="14"/>
      <c r="BW659" s="14"/>
      <c r="BX659" s="14"/>
      <c r="BY659" s="170"/>
    </row>
    <row r="660" spans="9:77" x14ac:dyDescent="0.25">
      <c r="I660">
        <v>6000</v>
      </c>
      <c r="J660" s="1" t="s">
        <v>836</v>
      </c>
      <c r="K660">
        <v>527.986666666666</v>
      </c>
      <c r="L660">
        <v>500.00333333333299</v>
      </c>
      <c r="M660">
        <v>517.62666666666598</v>
      </c>
      <c r="N660">
        <v>505.10999999999899</v>
      </c>
      <c r="O660">
        <v>499.35</v>
      </c>
      <c r="P660">
        <v>494.92333333333301</v>
      </c>
      <c r="Q660">
        <v>503.87666666666598</v>
      </c>
      <c r="R660">
        <v>455.22</v>
      </c>
      <c r="S660">
        <v>486.736666666666</v>
      </c>
      <c r="T660">
        <v>466.49666666666599</v>
      </c>
      <c r="U660">
        <v>455.81</v>
      </c>
      <c r="V660">
        <v>448.19</v>
      </c>
      <c r="W660">
        <v>507.38</v>
      </c>
      <c r="X660">
        <v>480.69999999999902</v>
      </c>
      <c r="Y660">
        <v>490.66333333333301</v>
      </c>
      <c r="Z660">
        <v>488.916666666666</v>
      </c>
      <c r="AA660">
        <v>483.93</v>
      </c>
      <c r="AB660">
        <v>483.93</v>
      </c>
      <c r="AC660">
        <v>529.46</v>
      </c>
      <c r="AD660">
        <v>498.236666666666</v>
      </c>
      <c r="AE660">
        <v>517.84333333333302</v>
      </c>
      <c r="AF660">
        <v>509.106666666666</v>
      </c>
      <c r="AG660">
        <v>503.42</v>
      </c>
      <c r="AH660">
        <v>500.73333333333301</v>
      </c>
      <c r="AI660">
        <v>527.986666666666</v>
      </c>
      <c r="AJ660">
        <v>500.00333333333299</v>
      </c>
      <c r="AK660">
        <v>517.62666666666598</v>
      </c>
      <c r="AL660">
        <v>505.10999999999899</v>
      </c>
      <c r="AM660">
        <v>499.35</v>
      </c>
      <c r="AN660">
        <v>494.92333333333301</v>
      </c>
      <c r="AO660">
        <v>517.75999999999897</v>
      </c>
      <c r="AP660">
        <v>458.04999999999899</v>
      </c>
      <c r="AQ660">
        <v>499.25999999999902</v>
      </c>
      <c r="AR660">
        <v>470.433333333333</v>
      </c>
      <c r="AS660">
        <v>456.69999999999902</v>
      </c>
      <c r="AT660">
        <v>447.19666666666598</v>
      </c>
      <c r="AU660">
        <v>532.50666666666598</v>
      </c>
      <c r="AV660">
        <v>488.12666666666598</v>
      </c>
      <c r="AW660">
        <v>517.30999999999904</v>
      </c>
      <c r="AX660">
        <v>498.493333333333</v>
      </c>
      <c r="AY660">
        <v>488.60999999999899</v>
      </c>
      <c r="AZ660">
        <v>481.97666666666601</v>
      </c>
      <c r="BA660">
        <v>521.486666666666</v>
      </c>
      <c r="BB660">
        <v>476.113333333333</v>
      </c>
      <c r="BC660">
        <v>505.83666666666602</v>
      </c>
      <c r="BD660">
        <v>486.17666666666599</v>
      </c>
      <c r="BE660">
        <v>476.22333333333302</v>
      </c>
      <c r="BF660">
        <v>468.8</v>
      </c>
      <c r="BG660" s="14"/>
      <c r="BH660" s="14"/>
      <c r="BI660" s="14"/>
      <c r="BJ660" s="199"/>
      <c r="BK660" s="14"/>
      <c r="BL660" s="14"/>
      <c r="BM660" s="14"/>
      <c r="BN660" s="14"/>
      <c r="BO660" s="14"/>
      <c r="BP660" s="14"/>
      <c r="BQ660" s="14"/>
      <c r="BR660" s="14"/>
      <c r="BS660" s="14"/>
      <c r="BT660" s="14"/>
      <c r="BU660" s="14"/>
      <c r="BV660" s="14"/>
      <c r="BW660" s="14"/>
      <c r="BX660" s="14"/>
      <c r="BY660" s="170"/>
    </row>
    <row r="661" spans="9:77" x14ac:dyDescent="0.25">
      <c r="I661">
        <v>6040</v>
      </c>
      <c r="J661" s="1" t="s">
        <v>837</v>
      </c>
      <c r="K661">
        <v>564.40666666666596</v>
      </c>
      <c r="L661">
        <v>536.42333333333295</v>
      </c>
      <c r="M661">
        <v>554.04666666666606</v>
      </c>
      <c r="N661">
        <v>541.52999999999895</v>
      </c>
      <c r="O661">
        <v>535.77</v>
      </c>
      <c r="P661">
        <v>531.34333333333302</v>
      </c>
      <c r="Q661">
        <v>540.29666666666606</v>
      </c>
      <c r="R661">
        <v>491.64</v>
      </c>
      <c r="S661">
        <v>523.15666666666596</v>
      </c>
      <c r="T661">
        <v>502.916666666666</v>
      </c>
      <c r="U661">
        <v>492.23</v>
      </c>
      <c r="V661">
        <v>484.61</v>
      </c>
      <c r="W661">
        <v>543.79999999999995</v>
      </c>
      <c r="X661">
        <v>517.12</v>
      </c>
      <c r="Y661">
        <v>527.08333333333303</v>
      </c>
      <c r="Z661">
        <v>525.33666666666602</v>
      </c>
      <c r="AA661">
        <v>520.35</v>
      </c>
      <c r="AB661">
        <v>520.35</v>
      </c>
      <c r="AC661">
        <v>565.88</v>
      </c>
      <c r="AD661">
        <v>534.65666666666596</v>
      </c>
      <c r="AE661">
        <v>554.26333333333298</v>
      </c>
      <c r="AF661">
        <v>545.52666666666596</v>
      </c>
      <c r="AG661">
        <v>539.84</v>
      </c>
      <c r="AH661">
        <v>537.15333333333297</v>
      </c>
      <c r="AI661">
        <v>564.40666666666596</v>
      </c>
      <c r="AJ661">
        <v>536.42333333333295</v>
      </c>
      <c r="AK661">
        <v>554.04666666666606</v>
      </c>
      <c r="AL661">
        <v>541.52999999999895</v>
      </c>
      <c r="AM661">
        <v>535.77</v>
      </c>
      <c r="AN661">
        <v>531.34333333333302</v>
      </c>
      <c r="AO661">
        <v>554.17999999999995</v>
      </c>
      <c r="AP661">
        <v>494.47</v>
      </c>
      <c r="AQ661">
        <v>535.67999999999995</v>
      </c>
      <c r="AR661">
        <v>506.85333333333301</v>
      </c>
      <c r="AS661">
        <v>493.11999999999898</v>
      </c>
      <c r="AT661">
        <v>483.61666666666599</v>
      </c>
      <c r="AU661">
        <v>568.92666666666605</v>
      </c>
      <c r="AV661">
        <v>524.54666666666606</v>
      </c>
      <c r="AW661">
        <v>553.73</v>
      </c>
      <c r="AX661">
        <v>534.91333333333296</v>
      </c>
      <c r="AY661">
        <v>525.02999999999895</v>
      </c>
      <c r="AZ661">
        <v>518.39666666666596</v>
      </c>
      <c r="BA661">
        <v>557.90666666666596</v>
      </c>
      <c r="BB661">
        <v>512.53333333333296</v>
      </c>
      <c r="BC661">
        <v>542.25666666666598</v>
      </c>
      <c r="BD661">
        <v>522.59666666666601</v>
      </c>
      <c r="BE661">
        <v>512.64333333333298</v>
      </c>
      <c r="BF661">
        <v>505.22</v>
      </c>
      <c r="BG661" s="14"/>
      <c r="BH661" s="14"/>
      <c r="BI661" s="14"/>
      <c r="BJ661" s="199"/>
      <c r="BK661" s="14"/>
      <c r="BL661" s="14"/>
      <c r="BM661" s="14"/>
      <c r="BN661" s="14"/>
      <c r="BO661" s="14"/>
      <c r="BP661" s="14"/>
      <c r="BQ661" s="14"/>
      <c r="BR661" s="14"/>
      <c r="BS661" s="14"/>
      <c r="BT661" s="14"/>
      <c r="BU661" s="14"/>
      <c r="BV661" s="14"/>
      <c r="BW661" s="14"/>
      <c r="BX661" s="14"/>
      <c r="BY661" s="170"/>
    </row>
    <row r="662" spans="9:77" x14ac:dyDescent="0.25">
      <c r="I662">
        <v>6051</v>
      </c>
      <c r="J662" s="1" t="s">
        <v>838</v>
      </c>
      <c r="K662">
        <v>493.56666666666598</v>
      </c>
      <c r="L662">
        <v>465.58333333333297</v>
      </c>
      <c r="M662">
        <v>483.20666666666602</v>
      </c>
      <c r="N662">
        <v>470.69</v>
      </c>
      <c r="O662">
        <v>464.93</v>
      </c>
      <c r="P662">
        <v>460.50333333333299</v>
      </c>
      <c r="Q662">
        <v>469.45666666666602</v>
      </c>
      <c r="R662">
        <v>420.8</v>
      </c>
      <c r="S662">
        <v>452.31666666666598</v>
      </c>
      <c r="T662">
        <v>432.07666666666597</v>
      </c>
      <c r="U662">
        <v>421.39</v>
      </c>
      <c r="V662">
        <v>413.77</v>
      </c>
      <c r="W662">
        <v>472.96</v>
      </c>
      <c r="X662">
        <v>446.27999999999901</v>
      </c>
      <c r="Y662">
        <v>456.243333333333</v>
      </c>
      <c r="Z662">
        <v>454.49666666666599</v>
      </c>
      <c r="AA662">
        <v>449.51</v>
      </c>
      <c r="AB662">
        <v>449.51</v>
      </c>
      <c r="AC662">
        <v>495.04</v>
      </c>
      <c r="AD662">
        <v>463.81666666666598</v>
      </c>
      <c r="AE662">
        <v>483.42333333333301</v>
      </c>
      <c r="AF662">
        <v>474.68666666666599</v>
      </c>
      <c r="AG662">
        <v>469</v>
      </c>
      <c r="AH662">
        <v>466.31333333333299</v>
      </c>
      <c r="AI662">
        <v>493.56666666666598</v>
      </c>
      <c r="AJ662">
        <v>465.58333333333297</v>
      </c>
      <c r="AK662">
        <v>483.20666666666602</v>
      </c>
      <c r="AL662">
        <v>470.69</v>
      </c>
      <c r="AM662">
        <v>464.93</v>
      </c>
      <c r="AN662">
        <v>460.50333333333299</v>
      </c>
      <c r="AO662">
        <v>483.33999999999901</v>
      </c>
      <c r="AP662">
        <v>423.63</v>
      </c>
      <c r="AQ662">
        <v>464.84</v>
      </c>
      <c r="AR662">
        <v>436.01333333333298</v>
      </c>
      <c r="AS662">
        <v>422.27999999999901</v>
      </c>
      <c r="AT662">
        <v>412.77666666666602</v>
      </c>
      <c r="AU662">
        <v>498.08666666666602</v>
      </c>
      <c r="AV662">
        <v>453.70666666666602</v>
      </c>
      <c r="AW662">
        <v>482.89</v>
      </c>
      <c r="AX662">
        <v>464.07333333333298</v>
      </c>
      <c r="AY662">
        <v>454.18999999999897</v>
      </c>
      <c r="AZ662">
        <v>447.55666666666599</v>
      </c>
      <c r="BA662">
        <v>487.06666666666598</v>
      </c>
      <c r="BB662">
        <v>441.69333333333299</v>
      </c>
      <c r="BC662">
        <v>471.416666666666</v>
      </c>
      <c r="BD662">
        <v>451.75666666666598</v>
      </c>
      <c r="BE662">
        <v>441.803333333333</v>
      </c>
      <c r="BF662">
        <v>434.38</v>
      </c>
      <c r="BG662" s="14"/>
      <c r="BH662" s="14"/>
      <c r="BI662" s="14"/>
      <c r="BJ662" s="199"/>
      <c r="BK662" s="14"/>
      <c r="BL662" s="14"/>
      <c r="BM662" s="14"/>
      <c r="BN662" s="14"/>
      <c r="BO662" s="14"/>
      <c r="BP662" s="14"/>
      <c r="BQ662" s="14"/>
      <c r="BR662" s="14"/>
      <c r="BS662" s="14"/>
      <c r="BT662" s="14"/>
      <c r="BU662" s="14"/>
      <c r="BV662" s="14"/>
      <c r="BW662" s="14"/>
      <c r="BX662" s="14"/>
      <c r="BY662" s="170"/>
    </row>
    <row r="663" spans="9:77" x14ac:dyDescent="0.25">
      <c r="I663">
        <v>6052</v>
      </c>
      <c r="J663" s="1" t="s">
        <v>839</v>
      </c>
      <c r="K663">
        <v>509.47666666666601</v>
      </c>
      <c r="L663">
        <v>481.493333333333</v>
      </c>
      <c r="M663">
        <v>499.11666666666599</v>
      </c>
      <c r="N663">
        <v>486.599999999999</v>
      </c>
      <c r="O663">
        <v>480.83999999999901</v>
      </c>
      <c r="P663">
        <v>476.41333333333301</v>
      </c>
      <c r="Q663">
        <v>485.36666666666599</v>
      </c>
      <c r="R663">
        <v>436.70999999999901</v>
      </c>
      <c r="S663">
        <v>468.22666666666601</v>
      </c>
      <c r="T663">
        <v>447.986666666666</v>
      </c>
      <c r="U663">
        <v>437.29999999999899</v>
      </c>
      <c r="V663">
        <v>429.67999999999898</v>
      </c>
      <c r="W663">
        <v>488.86999999999898</v>
      </c>
      <c r="X663">
        <v>462.18999999999897</v>
      </c>
      <c r="Y663">
        <v>472.15333333333302</v>
      </c>
      <c r="Z663">
        <v>470.40666666666601</v>
      </c>
      <c r="AA663">
        <v>465.41999999999899</v>
      </c>
      <c r="AB663">
        <v>465.41999999999899</v>
      </c>
      <c r="AC663">
        <v>510.94999999999902</v>
      </c>
      <c r="AD663">
        <v>479.72666666666601</v>
      </c>
      <c r="AE663">
        <v>499.33333333333297</v>
      </c>
      <c r="AF663">
        <v>490.59666666666601</v>
      </c>
      <c r="AG663">
        <v>484.909999999999</v>
      </c>
      <c r="AH663">
        <v>482.22333333333302</v>
      </c>
      <c r="AI663">
        <v>509.47666666666601</v>
      </c>
      <c r="AJ663">
        <v>481.493333333333</v>
      </c>
      <c r="AK663">
        <v>499.11666666666599</v>
      </c>
      <c r="AL663">
        <v>486.599999999999</v>
      </c>
      <c r="AM663">
        <v>480.83999999999901</v>
      </c>
      <c r="AN663">
        <v>476.41333333333301</v>
      </c>
      <c r="AO663">
        <v>499.24999999999898</v>
      </c>
      <c r="AP663">
        <v>439.539999999999</v>
      </c>
      <c r="AQ663">
        <v>480.74999999999898</v>
      </c>
      <c r="AR663">
        <v>451.92333333333301</v>
      </c>
      <c r="AS663">
        <v>438.18999999999897</v>
      </c>
      <c r="AT663">
        <v>428.68666666666599</v>
      </c>
      <c r="AU663">
        <v>513.99666666666599</v>
      </c>
      <c r="AV663">
        <v>469.61666666666599</v>
      </c>
      <c r="AW663">
        <v>498.79999999999899</v>
      </c>
      <c r="AX663">
        <v>479.98333333333301</v>
      </c>
      <c r="AY663">
        <v>470.099999999999</v>
      </c>
      <c r="AZ663">
        <v>463.46666666666601</v>
      </c>
      <c r="BA663">
        <v>502.97666666666601</v>
      </c>
      <c r="BB663">
        <v>457.60333333333301</v>
      </c>
      <c r="BC663">
        <v>487.32666666666597</v>
      </c>
      <c r="BD663">
        <v>467.666666666666</v>
      </c>
      <c r="BE663">
        <v>457.71333333333303</v>
      </c>
      <c r="BF663">
        <v>450.289999999999</v>
      </c>
      <c r="BG663" s="14"/>
      <c r="BH663" s="14"/>
      <c r="BI663" s="14"/>
      <c r="BJ663" s="199"/>
      <c r="BK663" s="14"/>
      <c r="BL663" s="14"/>
      <c r="BM663" s="14"/>
      <c r="BN663" s="14"/>
      <c r="BO663" s="14"/>
      <c r="BP663" s="14"/>
      <c r="BQ663" s="14"/>
      <c r="BR663" s="14"/>
      <c r="BS663" s="14"/>
      <c r="BT663" s="14"/>
      <c r="BU663" s="14"/>
      <c r="BV663" s="14"/>
      <c r="BW663" s="14"/>
      <c r="BX663" s="14"/>
      <c r="BY663" s="170"/>
    </row>
    <row r="664" spans="9:77" x14ac:dyDescent="0.25">
      <c r="I664">
        <v>6064</v>
      </c>
      <c r="J664" s="1" t="s">
        <v>840</v>
      </c>
      <c r="K664">
        <v>540.92666666666605</v>
      </c>
      <c r="L664">
        <v>512.94333333333304</v>
      </c>
      <c r="M664">
        <v>530.56666666666604</v>
      </c>
      <c r="N664">
        <v>518.04999999999905</v>
      </c>
      <c r="O664">
        <v>512.29</v>
      </c>
      <c r="P664">
        <v>507.863333333333</v>
      </c>
      <c r="Q664">
        <v>516.81666666666604</v>
      </c>
      <c r="R664">
        <v>468.16</v>
      </c>
      <c r="S664">
        <v>499.67666666666599</v>
      </c>
      <c r="T664">
        <v>479.43666666666599</v>
      </c>
      <c r="U664">
        <v>468.75</v>
      </c>
      <c r="V664">
        <v>461.13</v>
      </c>
      <c r="W664">
        <v>520.32000000000005</v>
      </c>
      <c r="X664">
        <v>493.63999999999902</v>
      </c>
      <c r="Y664">
        <v>503.60333333333301</v>
      </c>
      <c r="Z664">
        <v>501.856666666666</v>
      </c>
      <c r="AA664">
        <v>496.87</v>
      </c>
      <c r="AB664">
        <v>496.87</v>
      </c>
      <c r="AC664">
        <v>542.4</v>
      </c>
      <c r="AD664">
        <v>511.17666666666599</v>
      </c>
      <c r="AE664">
        <v>530.78333333333296</v>
      </c>
      <c r="AF664">
        <v>522.04666666666606</v>
      </c>
      <c r="AG664">
        <v>516.36</v>
      </c>
      <c r="AH664">
        <v>513.67333333333295</v>
      </c>
      <c r="AI664">
        <v>540.92666666666605</v>
      </c>
      <c r="AJ664">
        <v>512.94333333333304</v>
      </c>
      <c r="AK664">
        <v>530.56666666666604</v>
      </c>
      <c r="AL664">
        <v>518.04999999999905</v>
      </c>
      <c r="AM664">
        <v>512.29</v>
      </c>
      <c r="AN664">
        <v>507.863333333333</v>
      </c>
      <c r="AO664">
        <v>530.70000000000005</v>
      </c>
      <c r="AP664">
        <v>470.99</v>
      </c>
      <c r="AQ664">
        <v>512.20000000000005</v>
      </c>
      <c r="AR664">
        <v>483.37333333333299</v>
      </c>
      <c r="AS664">
        <v>469.63999999999902</v>
      </c>
      <c r="AT664">
        <v>460.13666666666597</v>
      </c>
      <c r="AU664">
        <v>545.44666666666603</v>
      </c>
      <c r="AV664">
        <v>501.06666666666598</v>
      </c>
      <c r="AW664">
        <v>530.25</v>
      </c>
      <c r="AX664">
        <v>511.433333333333</v>
      </c>
      <c r="AY664">
        <v>501.54999999999899</v>
      </c>
      <c r="AZ664">
        <v>494.916666666666</v>
      </c>
      <c r="BA664">
        <v>534.42666666666605</v>
      </c>
      <c r="BB664">
        <v>489.053333333333</v>
      </c>
      <c r="BC664">
        <v>518.77666666666596</v>
      </c>
      <c r="BD664">
        <v>499.11666666666599</v>
      </c>
      <c r="BE664">
        <v>489.16333333333301</v>
      </c>
      <c r="BF664">
        <v>481.74</v>
      </c>
      <c r="BG664" s="14"/>
      <c r="BH664" s="14"/>
      <c r="BI664" s="14"/>
      <c r="BJ664" s="199"/>
      <c r="BK664" s="14"/>
      <c r="BL664" s="14"/>
      <c r="BM664" s="14"/>
      <c r="BN664" s="14"/>
      <c r="BO664" s="14"/>
      <c r="BP664" s="14"/>
      <c r="BQ664" s="14"/>
      <c r="BR664" s="14"/>
      <c r="BS664" s="14"/>
      <c r="BT664" s="14"/>
      <c r="BU664" s="14"/>
      <c r="BV664" s="14"/>
      <c r="BW664" s="14"/>
      <c r="BX664" s="14"/>
      <c r="BY664" s="170"/>
    </row>
    <row r="665" spans="9:77" x14ac:dyDescent="0.25">
      <c r="I665">
        <v>6070</v>
      </c>
      <c r="J665" s="1" t="s">
        <v>841</v>
      </c>
      <c r="K665">
        <v>541.09666666666601</v>
      </c>
      <c r="L665">
        <v>513.113333333333</v>
      </c>
      <c r="M665">
        <v>530.736666666666</v>
      </c>
      <c r="N665">
        <v>518.22</v>
      </c>
      <c r="O665">
        <v>512.46</v>
      </c>
      <c r="P665">
        <v>508.03333333333302</v>
      </c>
      <c r="Q665">
        <v>516.986666666666</v>
      </c>
      <c r="R665">
        <v>468.33</v>
      </c>
      <c r="S665">
        <v>499.84666666666601</v>
      </c>
      <c r="T665">
        <v>479.606666666666</v>
      </c>
      <c r="U665">
        <v>468.92</v>
      </c>
      <c r="V665">
        <v>461.3</v>
      </c>
      <c r="W665">
        <v>520.49</v>
      </c>
      <c r="X665">
        <v>493.80999999999898</v>
      </c>
      <c r="Y665">
        <v>503.77333333333303</v>
      </c>
      <c r="Z665">
        <v>502.02666666666602</v>
      </c>
      <c r="AA665">
        <v>497.04</v>
      </c>
      <c r="AB665">
        <v>497.04</v>
      </c>
      <c r="AC665">
        <v>542.57000000000005</v>
      </c>
      <c r="AD665">
        <v>511.34666666666601</v>
      </c>
      <c r="AE665">
        <v>530.95333333333303</v>
      </c>
      <c r="AF665">
        <v>522.21666666666601</v>
      </c>
      <c r="AG665">
        <v>516.52999999999895</v>
      </c>
      <c r="AH665">
        <v>513.84333333333302</v>
      </c>
      <c r="AI665">
        <v>541.09666666666601</v>
      </c>
      <c r="AJ665">
        <v>513.113333333333</v>
      </c>
      <c r="AK665">
        <v>530.736666666666</v>
      </c>
      <c r="AL665">
        <v>518.22</v>
      </c>
      <c r="AM665">
        <v>512.46</v>
      </c>
      <c r="AN665">
        <v>508.03333333333302</v>
      </c>
      <c r="AO665">
        <v>530.86999999999898</v>
      </c>
      <c r="AP665">
        <v>471.159999999999</v>
      </c>
      <c r="AQ665">
        <v>512.37</v>
      </c>
      <c r="AR665">
        <v>483.54333333333301</v>
      </c>
      <c r="AS665">
        <v>469.80999999999898</v>
      </c>
      <c r="AT665">
        <v>460.30666666666599</v>
      </c>
      <c r="AU665">
        <v>545.61666666666599</v>
      </c>
      <c r="AV665">
        <v>501.236666666666</v>
      </c>
      <c r="AW665">
        <v>530.41999999999996</v>
      </c>
      <c r="AX665">
        <v>511.60333333333301</v>
      </c>
      <c r="AY665">
        <v>501.719999999999</v>
      </c>
      <c r="AZ665">
        <v>495.08666666666602</v>
      </c>
      <c r="BA665">
        <v>534.59666666666601</v>
      </c>
      <c r="BB665">
        <v>489.22333333333302</v>
      </c>
      <c r="BC665">
        <v>518.94666666666603</v>
      </c>
      <c r="BD665">
        <v>499.28666666666601</v>
      </c>
      <c r="BE665">
        <v>489.33333333333297</v>
      </c>
      <c r="BF665">
        <v>481.91</v>
      </c>
      <c r="BG665" s="14"/>
      <c r="BH665" s="14"/>
      <c r="BI665" s="14"/>
      <c r="BJ665" s="199"/>
      <c r="BK665" s="14"/>
      <c r="BL665" s="14"/>
      <c r="BM665" s="14"/>
      <c r="BN665" s="14"/>
      <c r="BO665" s="14"/>
      <c r="BP665" s="14"/>
      <c r="BQ665" s="14"/>
      <c r="BR665" s="14"/>
      <c r="BS665" s="14"/>
      <c r="BT665" s="14"/>
      <c r="BU665" s="14"/>
      <c r="BV665" s="14"/>
      <c r="BW665" s="14"/>
      <c r="BX665" s="14"/>
      <c r="BY665" s="170"/>
    </row>
    <row r="666" spans="9:77" x14ac:dyDescent="0.25">
      <c r="I666">
        <v>6091</v>
      </c>
      <c r="J666" s="1" t="s">
        <v>842</v>
      </c>
      <c r="K666">
        <v>527.986666666666</v>
      </c>
      <c r="L666">
        <v>500.00333333333299</v>
      </c>
      <c r="M666">
        <v>517.62666666666598</v>
      </c>
      <c r="N666">
        <v>505.10999999999899</v>
      </c>
      <c r="O666">
        <v>499.35</v>
      </c>
      <c r="P666">
        <v>494.92333333333301</v>
      </c>
      <c r="Q666">
        <v>503.87666666666598</v>
      </c>
      <c r="R666">
        <v>455.22</v>
      </c>
      <c r="S666">
        <v>486.736666666666</v>
      </c>
      <c r="T666">
        <v>466.49666666666599</v>
      </c>
      <c r="U666">
        <v>455.81</v>
      </c>
      <c r="V666">
        <v>448.19</v>
      </c>
      <c r="W666">
        <v>507.38</v>
      </c>
      <c r="X666">
        <v>480.69999999999902</v>
      </c>
      <c r="Y666">
        <v>490.66333333333301</v>
      </c>
      <c r="Z666">
        <v>488.916666666666</v>
      </c>
      <c r="AA666">
        <v>483.93</v>
      </c>
      <c r="AB666">
        <v>483.93</v>
      </c>
      <c r="AC666">
        <v>529.46</v>
      </c>
      <c r="AD666">
        <v>498.236666666666</v>
      </c>
      <c r="AE666">
        <v>517.84333333333302</v>
      </c>
      <c r="AF666">
        <v>509.106666666666</v>
      </c>
      <c r="AG666">
        <v>503.42</v>
      </c>
      <c r="AH666">
        <v>500.73333333333301</v>
      </c>
      <c r="AI666">
        <v>527.986666666666</v>
      </c>
      <c r="AJ666">
        <v>500.00333333333299</v>
      </c>
      <c r="AK666">
        <v>517.62666666666598</v>
      </c>
      <c r="AL666">
        <v>505.10999999999899</v>
      </c>
      <c r="AM666">
        <v>499.35</v>
      </c>
      <c r="AN666">
        <v>494.92333333333301</v>
      </c>
      <c r="AO666">
        <v>517.75999999999897</v>
      </c>
      <c r="AP666">
        <v>458.04999999999899</v>
      </c>
      <c r="AQ666">
        <v>499.25999999999902</v>
      </c>
      <c r="AR666">
        <v>470.433333333333</v>
      </c>
      <c r="AS666">
        <v>456.69999999999902</v>
      </c>
      <c r="AT666">
        <v>447.19666666666598</v>
      </c>
      <c r="AU666">
        <v>532.50666666666598</v>
      </c>
      <c r="AV666">
        <v>488.12666666666598</v>
      </c>
      <c r="AW666">
        <v>517.30999999999904</v>
      </c>
      <c r="AX666">
        <v>498.493333333333</v>
      </c>
      <c r="AY666">
        <v>488.60999999999899</v>
      </c>
      <c r="AZ666">
        <v>481.97666666666601</v>
      </c>
      <c r="BA666">
        <v>521.486666666666</v>
      </c>
      <c r="BB666">
        <v>476.113333333333</v>
      </c>
      <c r="BC666">
        <v>505.83666666666602</v>
      </c>
      <c r="BD666">
        <v>486.17666666666599</v>
      </c>
      <c r="BE666">
        <v>476.22333333333302</v>
      </c>
      <c r="BF666">
        <v>468.8</v>
      </c>
      <c r="BG666" s="14"/>
      <c r="BH666" s="14"/>
      <c r="BI666" s="14"/>
      <c r="BJ666" s="199"/>
      <c r="BK666" s="14"/>
      <c r="BL666" s="14"/>
      <c r="BM666" s="14"/>
      <c r="BN666" s="14"/>
      <c r="BO666" s="14"/>
      <c r="BP666" s="14"/>
      <c r="BQ666" s="14"/>
      <c r="BR666" s="14"/>
      <c r="BS666" s="14"/>
      <c r="BT666" s="14"/>
      <c r="BU666" s="14"/>
      <c r="BV666" s="14"/>
      <c r="BW666" s="14"/>
      <c r="BX666" s="14"/>
      <c r="BY666" s="170"/>
    </row>
    <row r="667" spans="9:77" x14ac:dyDescent="0.25">
      <c r="I667">
        <v>6092</v>
      </c>
      <c r="J667" s="1" t="s">
        <v>843</v>
      </c>
      <c r="K667">
        <v>394.22666666666601</v>
      </c>
      <c r="L667">
        <v>366.243333333333</v>
      </c>
      <c r="M667">
        <v>383.86666666666599</v>
      </c>
      <c r="N667">
        <v>371.35</v>
      </c>
      <c r="O667">
        <v>365.59</v>
      </c>
      <c r="P667">
        <v>361.16333333333301</v>
      </c>
      <c r="Q667">
        <v>370.11666666666599</v>
      </c>
      <c r="R667">
        <v>321.45999999999998</v>
      </c>
      <c r="S667">
        <v>352.97666666666601</v>
      </c>
      <c r="T667">
        <v>332.736666666666</v>
      </c>
      <c r="U667">
        <v>322.05</v>
      </c>
      <c r="V667">
        <v>314.43</v>
      </c>
      <c r="W667">
        <v>373.62</v>
      </c>
      <c r="X667">
        <v>346.94</v>
      </c>
      <c r="Y667">
        <v>356.90333333333302</v>
      </c>
      <c r="Z667">
        <v>355.15666666666601</v>
      </c>
      <c r="AA667">
        <v>350.17</v>
      </c>
      <c r="AB667">
        <v>350.17</v>
      </c>
      <c r="AC667">
        <v>395.7</v>
      </c>
      <c r="AD667">
        <v>364.47666666666601</v>
      </c>
      <c r="AE667">
        <v>384.08333333333297</v>
      </c>
      <c r="AF667">
        <v>375.34666666666601</v>
      </c>
      <c r="AG667">
        <v>369.66</v>
      </c>
      <c r="AH667">
        <v>366.97333333333302</v>
      </c>
      <c r="AI667">
        <v>394.22666666666601</v>
      </c>
      <c r="AJ667">
        <v>366.243333333333</v>
      </c>
      <c r="AK667">
        <v>383.86666666666599</v>
      </c>
      <c r="AL667">
        <v>371.35</v>
      </c>
      <c r="AM667">
        <v>365.59</v>
      </c>
      <c r="AN667">
        <v>361.16333333333301</v>
      </c>
      <c r="AO667">
        <v>384</v>
      </c>
      <c r="AP667">
        <v>324.29000000000002</v>
      </c>
      <c r="AQ667">
        <v>365.5</v>
      </c>
      <c r="AR667">
        <v>336.67333333333301</v>
      </c>
      <c r="AS667">
        <v>322.94</v>
      </c>
      <c r="AT667">
        <v>313.43666666666599</v>
      </c>
      <c r="AU667">
        <v>398.74666666666599</v>
      </c>
      <c r="AV667">
        <v>354.36666666666599</v>
      </c>
      <c r="AW667">
        <v>383.55</v>
      </c>
      <c r="AX667">
        <v>364.73333333333301</v>
      </c>
      <c r="AY667">
        <v>354.85</v>
      </c>
      <c r="AZ667">
        <v>348.21666666666601</v>
      </c>
      <c r="BA667">
        <v>387.72666666666601</v>
      </c>
      <c r="BB667">
        <v>342.35333333333301</v>
      </c>
      <c r="BC667">
        <v>372.07666666666597</v>
      </c>
      <c r="BD667">
        <v>352.416666666666</v>
      </c>
      <c r="BE667">
        <v>342.46333333333303</v>
      </c>
      <c r="BF667">
        <v>335.04</v>
      </c>
      <c r="BG667" s="14"/>
      <c r="BH667" s="14"/>
      <c r="BI667" s="14"/>
      <c r="BJ667" s="199"/>
      <c r="BK667" s="14"/>
      <c r="BL667" s="14"/>
      <c r="BM667" s="14"/>
      <c r="BN667" s="14"/>
      <c r="BO667" s="14"/>
      <c r="BP667" s="14"/>
      <c r="BQ667" s="14"/>
      <c r="BR667" s="14"/>
      <c r="BS667" s="14"/>
      <c r="BT667" s="14"/>
      <c r="BU667" s="14"/>
      <c r="BV667" s="14"/>
      <c r="BW667" s="14"/>
      <c r="BX667" s="14"/>
      <c r="BY667" s="170"/>
    </row>
    <row r="668" spans="9:77" x14ac:dyDescent="0.25">
      <c r="I668">
        <v>6093</v>
      </c>
      <c r="J668" s="1" t="s">
        <v>844</v>
      </c>
      <c r="K668">
        <v>541.09666666666601</v>
      </c>
      <c r="L668">
        <v>513.113333333333</v>
      </c>
      <c r="M668">
        <v>530.736666666666</v>
      </c>
      <c r="N668">
        <v>518.22</v>
      </c>
      <c r="O668">
        <v>512.46</v>
      </c>
      <c r="P668">
        <v>508.03333333333302</v>
      </c>
      <c r="Q668">
        <v>516.986666666666</v>
      </c>
      <c r="R668">
        <v>468.33</v>
      </c>
      <c r="S668">
        <v>499.84666666666601</v>
      </c>
      <c r="T668">
        <v>479.606666666666</v>
      </c>
      <c r="U668">
        <v>468.92</v>
      </c>
      <c r="V668">
        <v>461.3</v>
      </c>
      <c r="W668">
        <v>520.49</v>
      </c>
      <c r="X668">
        <v>493.80999999999898</v>
      </c>
      <c r="Y668">
        <v>503.77333333333303</v>
      </c>
      <c r="Z668">
        <v>502.02666666666602</v>
      </c>
      <c r="AA668">
        <v>497.04</v>
      </c>
      <c r="AB668">
        <v>497.04</v>
      </c>
      <c r="AC668">
        <v>542.57000000000005</v>
      </c>
      <c r="AD668">
        <v>511.34666666666601</v>
      </c>
      <c r="AE668">
        <v>530.95333333333303</v>
      </c>
      <c r="AF668">
        <v>522.21666666666601</v>
      </c>
      <c r="AG668">
        <v>516.52999999999895</v>
      </c>
      <c r="AH668">
        <v>513.84333333333302</v>
      </c>
      <c r="AI668">
        <v>541.09666666666601</v>
      </c>
      <c r="AJ668">
        <v>513.113333333333</v>
      </c>
      <c r="AK668">
        <v>530.736666666666</v>
      </c>
      <c r="AL668">
        <v>518.22</v>
      </c>
      <c r="AM668">
        <v>512.46</v>
      </c>
      <c r="AN668">
        <v>508.03333333333302</v>
      </c>
      <c r="AO668">
        <v>530.86999999999898</v>
      </c>
      <c r="AP668">
        <v>471.159999999999</v>
      </c>
      <c r="AQ668">
        <v>512.37</v>
      </c>
      <c r="AR668">
        <v>483.54333333333301</v>
      </c>
      <c r="AS668">
        <v>469.80999999999898</v>
      </c>
      <c r="AT668">
        <v>460.30666666666599</v>
      </c>
      <c r="AU668">
        <v>545.61666666666599</v>
      </c>
      <c r="AV668">
        <v>501.236666666666</v>
      </c>
      <c r="AW668">
        <v>530.41999999999996</v>
      </c>
      <c r="AX668">
        <v>511.60333333333301</v>
      </c>
      <c r="AY668">
        <v>501.719999999999</v>
      </c>
      <c r="AZ668">
        <v>495.08666666666602</v>
      </c>
      <c r="BA668">
        <v>534.59666666666601</v>
      </c>
      <c r="BB668">
        <v>489.22333333333302</v>
      </c>
      <c r="BC668">
        <v>518.94666666666603</v>
      </c>
      <c r="BD668">
        <v>499.28666666666601</v>
      </c>
      <c r="BE668">
        <v>489.33333333333297</v>
      </c>
      <c r="BF668">
        <v>481.91</v>
      </c>
      <c r="BG668" s="14"/>
      <c r="BH668" s="14"/>
      <c r="BI668" s="14"/>
      <c r="BJ668" s="199"/>
      <c r="BK668" s="14"/>
      <c r="BL668" s="14"/>
      <c r="BM668" s="14"/>
      <c r="BN668" s="14"/>
      <c r="BO668" s="14"/>
      <c r="BP668" s="14"/>
      <c r="BQ668" s="14"/>
      <c r="BR668" s="14"/>
      <c r="BS668" s="14"/>
      <c r="BT668" s="14"/>
      <c r="BU668" s="14"/>
      <c r="BV668" s="14"/>
      <c r="BW668" s="14"/>
      <c r="BX668" s="14"/>
      <c r="BY668" s="170"/>
    </row>
    <row r="669" spans="9:77" x14ac:dyDescent="0.25">
      <c r="I669">
        <v>6094</v>
      </c>
      <c r="J669" s="1" t="s">
        <v>845</v>
      </c>
      <c r="K669">
        <v>541.09666666666601</v>
      </c>
      <c r="L669">
        <v>513.113333333333</v>
      </c>
      <c r="M669">
        <v>530.736666666666</v>
      </c>
      <c r="N669">
        <v>518.22</v>
      </c>
      <c r="O669">
        <v>512.46</v>
      </c>
      <c r="P669">
        <v>508.03333333333302</v>
      </c>
      <c r="Q669">
        <v>516.986666666666</v>
      </c>
      <c r="R669">
        <v>468.33</v>
      </c>
      <c r="S669">
        <v>499.84666666666601</v>
      </c>
      <c r="T669">
        <v>479.606666666666</v>
      </c>
      <c r="U669">
        <v>468.92</v>
      </c>
      <c r="V669">
        <v>461.3</v>
      </c>
      <c r="W669">
        <v>520.49</v>
      </c>
      <c r="X669">
        <v>493.80999999999898</v>
      </c>
      <c r="Y669">
        <v>503.77333333333303</v>
      </c>
      <c r="Z669">
        <v>502.02666666666602</v>
      </c>
      <c r="AA669">
        <v>497.04</v>
      </c>
      <c r="AB669">
        <v>497.04</v>
      </c>
      <c r="AC669">
        <v>542.57000000000005</v>
      </c>
      <c r="AD669">
        <v>511.34666666666601</v>
      </c>
      <c r="AE669">
        <v>530.95333333333303</v>
      </c>
      <c r="AF669">
        <v>522.21666666666601</v>
      </c>
      <c r="AG669">
        <v>516.52999999999895</v>
      </c>
      <c r="AH669">
        <v>513.84333333333302</v>
      </c>
      <c r="AI669">
        <v>541.09666666666601</v>
      </c>
      <c r="AJ669">
        <v>513.113333333333</v>
      </c>
      <c r="AK669">
        <v>530.736666666666</v>
      </c>
      <c r="AL669">
        <v>518.22</v>
      </c>
      <c r="AM669">
        <v>512.46</v>
      </c>
      <c r="AN669">
        <v>508.03333333333302</v>
      </c>
      <c r="AO669">
        <v>530.86999999999898</v>
      </c>
      <c r="AP669">
        <v>471.159999999999</v>
      </c>
      <c r="AQ669">
        <v>512.37</v>
      </c>
      <c r="AR669">
        <v>483.54333333333301</v>
      </c>
      <c r="AS669">
        <v>469.80999999999898</v>
      </c>
      <c r="AT669">
        <v>460.30666666666599</v>
      </c>
      <c r="AU669">
        <v>545.61666666666599</v>
      </c>
      <c r="AV669">
        <v>501.236666666666</v>
      </c>
      <c r="AW669">
        <v>530.41999999999996</v>
      </c>
      <c r="AX669">
        <v>511.60333333333301</v>
      </c>
      <c r="AY669">
        <v>501.719999999999</v>
      </c>
      <c r="AZ669">
        <v>495.08666666666602</v>
      </c>
      <c r="BA669">
        <v>534.59666666666601</v>
      </c>
      <c r="BB669">
        <v>489.22333333333302</v>
      </c>
      <c r="BC669">
        <v>518.94666666666603</v>
      </c>
      <c r="BD669">
        <v>499.28666666666601</v>
      </c>
      <c r="BE669">
        <v>489.33333333333297</v>
      </c>
      <c r="BF669">
        <v>481.91</v>
      </c>
      <c r="BG669" s="14"/>
      <c r="BH669" s="14"/>
      <c r="BI669" s="14"/>
      <c r="BJ669" s="199"/>
      <c r="BK669" s="14"/>
      <c r="BL669" s="14"/>
      <c r="BM669" s="14"/>
      <c r="BN669" s="14"/>
      <c r="BO669" s="14"/>
      <c r="BP669" s="14"/>
      <c r="BQ669" s="14"/>
      <c r="BR669" s="14"/>
      <c r="BS669" s="14"/>
      <c r="BT669" s="14"/>
      <c r="BU669" s="14"/>
      <c r="BV669" s="14"/>
      <c r="BW669" s="14"/>
      <c r="BX669" s="14"/>
      <c r="BY669" s="170"/>
    </row>
    <row r="670" spans="9:77" x14ac:dyDescent="0.25">
      <c r="I670">
        <v>6100</v>
      </c>
      <c r="J670" s="1" t="s">
        <v>846</v>
      </c>
      <c r="K670">
        <v>521.57666666666603</v>
      </c>
      <c r="L670">
        <v>493.59333333333302</v>
      </c>
      <c r="M670">
        <v>511.21666666666601</v>
      </c>
      <c r="N670">
        <v>498.69999999999902</v>
      </c>
      <c r="O670">
        <v>492.94</v>
      </c>
      <c r="P670">
        <v>488.51333333333298</v>
      </c>
      <c r="Q670">
        <v>497.46666666666601</v>
      </c>
      <c r="R670">
        <v>448.81</v>
      </c>
      <c r="S670">
        <v>480.32666666666597</v>
      </c>
      <c r="T670">
        <v>460.08666666666602</v>
      </c>
      <c r="U670">
        <v>449.39999999999901</v>
      </c>
      <c r="V670">
        <v>441.77999999999901</v>
      </c>
      <c r="W670">
        <v>500.969999999999</v>
      </c>
      <c r="X670">
        <v>474.289999999999</v>
      </c>
      <c r="Y670">
        <v>484.25333333333299</v>
      </c>
      <c r="Z670">
        <v>482.50666666666598</v>
      </c>
      <c r="AA670">
        <v>477.51999999999902</v>
      </c>
      <c r="AB670">
        <v>477.51999999999902</v>
      </c>
      <c r="AC670">
        <v>523.04999999999905</v>
      </c>
      <c r="AD670">
        <v>491.82666666666597</v>
      </c>
      <c r="AE670">
        <v>511.433333333333</v>
      </c>
      <c r="AF670">
        <v>502.69666666666598</v>
      </c>
      <c r="AG670">
        <v>497.00999999999902</v>
      </c>
      <c r="AH670">
        <v>494.32333333333298</v>
      </c>
      <c r="AI670">
        <v>521.57666666666603</v>
      </c>
      <c r="AJ670">
        <v>493.59333333333302</v>
      </c>
      <c r="AK670">
        <v>511.21666666666601</v>
      </c>
      <c r="AL670">
        <v>498.69999999999902</v>
      </c>
      <c r="AM670">
        <v>492.94</v>
      </c>
      <c r="AN670">
        <v>488.51333333333298</v>
      </c>
      <c r="AO670">
        <v>511.349999999999</v>
      </c>
      <c r="AP670">
        <v>451.63999999999902</v>
      </c>
      <c r="AQ670">
        <v>492.849999999999</v>
      </c>
      <c r="AR670">
        <v>464.02333333333303</v>
      </c>
      <c r="AS670">
        <v>450.289999999999</v>
      </c>
      <c r="AT670">
        <v>440.78666666666601</v>
      </c>
      <c r="AU670">
        <v>526.09666666666601</v>
      </c>
      <c r="AV670">
        <v>481.71666666666601</v>
      </c>
      <c r="AW670">
        <v>510.89999999999901</v>
      </c>
      <c r="AX670">
        <v>492.08333333333297</v>
      </c>
      <c r="AY670">
        <v>482.19999999999902</v>
      </c>
      <c r="AZ670">
        <v>475.56666666666598</v>
      </c>
      <c r="BA670">
        <v>515.07666666666603</v>
      </c>
      <c r="BB670">
        <v>469.70333333333298</v>
      </c>
      <c r="BC670">
        <v>499.42666666666599</v>
      </c>
      <c r="BD670">
        <v>479.76666666666603</v>
      </c>
      <c r="BE670">
        <v>469.81333333333299</v>
      </c>
      <c r="BF670">
        <v>462.38999999999902</v>
      </c>
      <c r="BG670" s="14"/>
      <c r="BH670" s="14"/>
      <c r="BI670" s="14"/>
      <c r="BJ670" s="199"/>
      <c r="BK670" s="14"/>
      <c r="BL670" s="14"/>
      <c r="BM670" s="14"/>
      <c r="BN670" s="14"/>
      <c r="BO670" s="14"/>
      <c r="BP670" s="14"/>
      <c r="BQ670" s="14"/>
      <c r="BR670" s="14"/>
      <c r="BS670" s="14"/>
      <c r="BT670" s="14"/>
      <c r="BU670" s="14"/>
      <c r="BV670" s="14"/>
      <c r="BW670" s="14"/>
      <c r="BX670" s="14"/>
      <c r="BY670" s="170"/>
    </row>
    <row r="671" spans="9:77" x14ac:dyDescent="0.25">
      <c r="I671">
        <v>6200</v>
      </c>
      <c r="J671" s="1" t="s">
        <v>847</v>
      </c>
      <c r="K671">
        <v>615.68333333333305</v>
      </c>
      <c r="L671">
        <v>589.64333333333298</v>
      </c>
      <c r="M671">
        <v>605.43333333333305</v>
      </c>
      <c r="N671">
        <v>593.91999999999996</v>
      </c>
      <c r="O671">
        <v>589.19666666666603</v>
      </c>
      <c r="P671">
        <v>585.98</v>
      </c>
      <c r="Q671">
        <v>592.47333333333302</v>
      </c>
      <c r="R671">
        <v>547.11999999999898</v>
      </c>
      <c r="S671">
        <v>576.5</v>
      </c>
      <c r="T671">
        <v>556.73</v>
      </c>
      <c r="U671">
        <v>546.70333333333303</v>
      </c>
      <c r="V671">
        <v>539.66333333333296</v>
      </c>
      <c r="W671">
        <v>596.46333333333303</v>
      </c>
      <c r="X671">
        <v>571.65333333333297</v>
      </c>
      <c r="Y671">
        <v>581.24</v>
      </c>
      <c r="Z671">
        <v>579.33000000000004</v>
      </c>
      <c r="AA671">
        <v>574.51333333333298</v>
      </c>
      <c r="AB671">
        <v>574.51333333333298</v>
      </c>
      <c r="AC671">
        <v>620.93333333333305</v>
      </c>
      <c r="AD671">
        <v>591.99</v>
      </c>
      <c r="AE671">
        <v>609.42999999999995</v>
      </c>
      <c r="AF671">
        <v>601.31333333333305</v>
      </c>
      <c r="AG671">
        <v>596.37333333333299</v>
      </c>
      <c r="AH671">
        <v>594.09666666666601</v>
      </c>
      <c r="AI671">
        <v>615.68333333333305</v>
      </c>
      <c r="AJ671">
        <v>589.64333333333298</v>
      </c>
      <c r="AK671">
        <v>605.43333333333305</v>
      </c>
      <c r="AL671">
        <v>593.91999999999996</v>
      </c>
      <c r="AM671">
        <v>589.19666666666603</v>
      </c>
      <c r="AN671">
        <v>585.98</v>
      </c>
      <c r="AO671">
        <v>613.06666666666604</v>
      </c>
      <c r="AP671">
        <v>556.63666666666597</v>
      </c>
      <c r="AQ671">
        <v>596.18999999999903</v>
      </c>
      <c r="AR671">
        <v>568.13666666666597</v>
      </c>
      <c r="AS671">
        <v>554.97666666666601</v>
      </c>
      <c r="AT671">
        <v>546.13</v>
      </c>
      <c r="AU671">
        <v>629.41999999999905</v>
      </c>
      <c r="AV671">
        <v>586.03999999999905</v>
      </c>
      <c r="AW671">
        <v>615.11666666666599</v>
      </c>
      <c r="AX671">
        <v>596.05333333333294</v>
      </c>
      <c r="AY671">
        <v>586.33333333333303</v>
      </c>
      <c r="AZ671">
        <v>579.46666666666601</v>
      </c>
      <c r="BA671">
        <v>616.39999999999895</v>
      </c>
      <c r="BB671">
        <v>571.59666666666601</v>
      </c>
      <c r="BC671">
        <v>601.21666666666601</v>
      </c>
      <c r="BD671">
        <v>581.57000000000005</v>
      </c>
      <c r="BE671">
        <v>571.64666666666596</v>
      </c>
      <c r="BF671">
        <v>564.486666666666</v>
      </c>
      <c r="BG671" s="14"/>
      <c r="BH671" s="14"/>
      <c r="BI671" s="14"/>
      <c r="BJ671" s="199"/>
      <c r="BK671" s="14"/>
      <c r="BL671" s="14"/>
      <c r="BM671" s="14"/>
      <c r="BN671" s="14"/>
      <c r="BO671" s="14"/>
      <c r="BP671" s="14"/>
      <c r="BQ671" s="14"/>
      <c r="BR671" s="14"/>
      <c r="BS671" s="14"/>
      <c r="BT671" s="14"/>
      <c r="BU671" s="14"/>
      <c r="BV671" s="14"/>
      <c r="BW671" s="14"/>
      <c r="BX671" s="14"/>
      <c r="BY671" s="170"/>
    </row>
    <row r="672" spans="9:77" x14ac:dyDescent="0.25">
      <c r="I672">
        <v>6230</v>
      </c>
      <c r="J672" s="1" t="s">
        <v>848</v>
      </c>
      <c r="K672">
        <v>644.16333333333296</v>
      </c>
      <c r="L672">
        <v>618.12333333333299</v>
      </c>
      <c r="M672">
        <v>633.91333333333296</v>
      </c>
      <c r="N672">
        <v>622.4</v>
      </c>
      <c r="O672">
        <v>617.67666666666605</v>
      </c>
      <c r="P672">
        <v>614.46</v>
      </c>
      <c r="Q672">
        <v>620.95333333333303</v>
      </c>
      <c r="R672">
        <v>575.599999999999</v>
      </c>
      <c r="S672">
        <v>604.98</v>
      </c>
      <c r="T672">
        <v>585.21</v>
      </c>
      <c r="U672">
        <v>575.18333333333305</v>
      </c>
      <c r="V672">
        <v>568.14333333333298</v>
      </c>
      <c r="W672">
        <v>624.94333333333304</v>
      </c>
      <c r="X672">
        <v>600.13333333333298</v>
      </c>
      <c r="Y672">
        <v>609.72</v>
      </c>
      <c r="Z672">
        <v>607.80999999999995</v>
      </c>
      <c r="AA672">
        <v>602.993333333333</v>
      </c>
      <c r="AB672">
        <v>602.993333333333</v>
      </c>
      <c r="AC672">
        <v>649.41333333333296</v>
      </c>
      <c r="AD672">
        <v>620.47</v>
      </c>
      <c r="AE672">
        <v>637.91</v>
      </c>
      <c r="AF672">
        <v>629.79333333333295</v>
      </c>
      <c r="AG672">
        <v>624.85333333333301</v>
      </c>
      <c r="AH672">
        <v>622.57666666666603</v>
      </c>
      <c r="AI672">
        <v>644.16333333333296</v>
      </c>
      <c r="AJ672">
        <v>618.12333333333299</v>
      </c>
      <c r="AK672">
        <v>633.91333333333296</v>
      </c>
      <c r="AL672">
        <v>622.4</v>
      </c>
      <c r="AM672">
        <v>617.67666666666605</v>
      </c>
      <c r="AN672">
        <v>614.46</v>
      </c>
      <c r="AO672">
        <v>641.54666666666606</v>
      </c>
      <c r="AP672">
        <v>585.11666666666599</v>
      </c>
      <c r="AQ672">
        <v>624.66999999999905</v>
      </c>
      <c r="AR672">
        <v>596.61666666666599</v>
      </c>
      <c r="AS672">
        <v>583.45666666666602</v>
      </c>
      <c r="AT672">
        <v>574.61</v>
      </c>
      <c r="AU672">
        <v>657.89999999999895</v>
      </c>
      <c r="AV672">
        <v>614.51999999999896</v>
      </c>
      <c r="AW672">
        <v>643.59666666666601</v>
      </c>
      <c r="AX672">
        <v>624.53333333333296</v>
      </c>
      <c r="AY672">
        <v>614.81333333333305</v>
      </c>
      <c r="AZ672">
        <v>607.94666666666603</v>
      </c>
      <c r="BA672">
        <v>644.87999999999897</v>
      </c>
      <c r="BB672">
        <v>600.07666666666603</v>
      </c>
      <c r="BC672">
        <v>629.69666666666603</v>
      </c>
      <c r="BD672">
        <v>610.04999999999995</v>
      </c>
      <c r="BE672">
        <v>600.12666666666598</v>
      </c>
      <c r="BF672">
        <v>592.96666666666601</v>
      </c>
      <c r="BG672" s="14"/>
      <c r="BH672" s="14"/>
      <c r="BI672" s="14"/>
      <c r="BJ672" s="199"/>
      <c r="BK672" s="14"/>
      <c r="BL672" s="14"/>
      <c r="BM672" s="14"/>
      <c r="BN672" s="14"/>
      <c r="BO672" s="14"/>
      <c r="BP672" s="14"/>
      <c r="BQ672" s="14"/>
      <c r="BR672" s="14"/>
      <c r="BS672" s="14"/>
      <c r="BT672" s="14"/>
      <c r="BU672" s="14"/>
      <c r="BV672" s="14"/>
      <c r="BW672" s="14"/>
      <c r="BX672" s="14"/>
      <c r="BY672" s="170"/>
    </row>
    <row r="673" spans="9:77" x14ac:dyDescent="0.25">
      <c r="I673">
        <v>6240</v>
      </c>
      <c r="J673" s="1" t="s">
        <v>849</v>
      </c>
      <c r="K673">
        <v>657.95333333333303</v>
      </c>
      <c r="L673">
        <v>631.91333333333296</v>
      </c>
      <c r="M673">
        <v>647.70333333333303</v>
      </c>
      <c r="N673">
        <v>636.19000000000005</v>
      </c>
      <c r="O673">
        <v>631.46666666666601</v>
      </c>
      <c r="P673">
        <v>628.25</v>
      </c>
      <c r="Q673">
        <v>634.743333333333</v>
      </c>
      <c r="R673">
        <v>589.38999999999896</v>
      </c>
      <c r="S673">
        <v>618.77</v>
      </c>
      <c r="T673">
        <v>599</v>
      </c>
      <c r="U673">
        <v>588.97333333333302</v>
      </c>
      <c r="V673">
        <v>581.93333333333305</v>
      </c>
      <c r="W673">
        <v>638.73333333333301</v>
      </c>
      <c r="X673">
        <v>613.92333333333295</v>
      </c>
      <c r="Y673">
        <v>623.51</v>
      </c>
      <c r="Z673">
        <v>621.6</v>
      </c>
      <c r="AA673">
        <v>616.78333333333296</v>
      </c>
      <c r="AB673">
        <v>616.78333333333296</v>
      </c>
      <c r="AC673">
        <v>663.20333333333303</v>
      </c>
      <c r="AD673">
        <v>634.25999999999897</v>
      </c>
      <c r="AE673">
        <v>651.70000000000005</v>
      </c>
      <c r="AF673">
        <v>643.58333333333303</v>
      </c>
      <c r="AG673">
        <v>638.64333333333298</v>
      </c>
      <c r="AH673">
        <v>636.36666666666599</v>
      </c>
      <c r="AI673">
        <v>657.95333333333303</v>
      </c>
      <c r="AJ673">
        <v>631.91333333333296</v>
      </c>
      <c r="AK673">
        <v>647.70333333333303</v>
      </c>
      <c r="AL673">
        <v>636.19000000000005</v>
      </c>
      <c r="AM673">
        <v>631.46666666666601</v>
      </c>
      <c r="AN673">
        <v>628.25</v>
      </c>
      <c r="AO673">
        <v>655.33666666666602</v>
      </c>
      <c r="AP673">
        <v>598.90666666666596</v>
      </c>
      <c r="AQ673">
        <v>638.45999999999901</v>
      </c>
      <c r="AR673">
        <v>610.40666666666596</v>
      </c>
      <c r="AS673">
        <v>597.24666666666599</v>
      </c>
      <c r="AT673">
        <v>588.4</v>
      </c>
      <c r="AU673">
        <v>671.68999999999903</v>
      </c>
      <c r="AV673">
        <v>628.30999999999904</v>
      </c>
      <c r="AW673">
        <v>657.38666666666597</v>
      </c>
      <c r="AX673">
        <v>638.32333333333304</v>
      </c>
      <c r="AY673">
        <v>628.60333333333301</v>
      </c>
      <c r="AZ673">
        <v>621.736666666666</v>
      </c>
      <c r="BA673">
        <v>658.66999999999905</v>
      </c>
      <c r="BB673">
        <v>613.86666666666599</v>
      </c>
      <c r="BC673">
        <v>643.486666666666</v>
      </c>
      <c r="BD673">
        <v>623.84</v>
      </c>
      <c r="BE673">
        <v>613.91666666666595</v>
      </c>
      <c r="BF673">
        <v>606.75666666666598</v>
      </c>
      <c r="BG673" s="14"/>
      <c r="BH673" s="14"/>
      <c r="BI673" s="14"/>
      <c r="BJ673" s="199"/>
      <c r="BK673" s="14"/>
      <c r="BL673" s="14"/>
      <c r="BM673" s="14"/>
      <c r="BN673" s="14"/>
      <c r="BO673" s="14"/>
      <c r="BP673" s="14"/>
      <c r="BQ673" s="14"/>
      <c r="BR673" s="14"/>
      <c r="BS673" s="14"/>
      <c r="BT673" s="14"/>
      <c r="BU673" s="14"/>
      <c r="BV673" s="14"/>
      <c r="BW673" s="14"/>
      <c r="BX673" s="14"/>
      <c r="BY673" s="170"/>
    </row>
    <row r="674" spans="9:77" x14ac:dyDescent="0.25">
      <c r="I674">
        <v>6261</v>
      </c>
      <c r="J674" s="1" t="s">
        <v>850</v>
      </c>
      <c r="K674">
        <v>577.57333333333304</v>
      </c>
      <c r="L674">
        <v>551.53333333333296</v>
      </c>
      <c r="M674">
        <v>567.32333333333304</v>
      </c>
      <c r="N674">
        <v>555.80999999999995</v>
      </c>
      <c r="O674">
        <v>551.08666666666602</v>
      </c>
      <c r="P674">
        <v>547.87</v>
      </c>
      <c r="Q674">
        <v>554.363333333333</v>
      </c>
      <c r="R674">
        <v>509.01</v>
      </c>
      <c r="S674">
        <v>538.39</v>
      </c>
      <c r="T674">
        <v>518.62</v>
      </c>
      <c r="U674">
        <v>508.59333333333302</v>
      </c>
      <c r="V674">
        <v>501.553333333333</v>
      </c>
      <c r="W674">
        <v>558.35333333333301</v>
      </c>
      <c r="X674">
        <v>533.54333333333295</v>
      </c>
      <c r="Y674">
        <v>543.13</v>
      </c>
      <c r="Z674">
        <v>541.22</v>
      </c>
      <c r="AA674">
        <v>536.40333333333297</v>
      </c>
      <c r="AB674">
        <v>536.40333333333297</v>
      </c>
      <c r="AC674">
        <v>582.82333333333304</v>
      </c>
      <c r="AD674">
        <v>553.88</v>
      </c>
      <c r="AE674">
        <v>571.32000000000005</v>
      </c>
      <c r="AF674">
        <v>563.20333333333303</v>
      </c>
      <c r="AG674">
        <v>558.26333333333298</v>
      </c>
      <c r="AH674">
        <v>555.986666666666</v>
      </c>
      <c r="AI674">
        <v>577.57333333333304</v>
      </c>
      <c r="AJ674">
        <v>551.53333333333296</v>
      </c>
      <c r="AK674">
        <v>567.32333333333304</v>
      </c>
      <c r="AL674">
        <v>555.80999999999995</v>
      </c>
      <c r="AM674">
        <v>551.08666666666602</v>
      </c>
      <c r="AN674">
        <v>547.87</v>
      </c>
      <c r="AO674">
        <v>574.95666666666602</v>
      </c>
      <c r="AP674">
        <v>518.52666666666596</v>
      </c>
      <c r="AQ674">
        <v>558.08000000000004</v>
      </c>
      <c r="AR674">
        <v>530.02666666666596</v>
      </c>
      <c r="AS674">
        <v>516.86666666666599</v>
      </c>
      <c r="AT674">
        <v>508.02</v>
      </c>
      <c r="AU674">
        <v>591.30999999999995</v>
      </c>
      <c r="AV674">
        <v>547.92999999999995</v>
      </c>
      <c r="AW674">
        <v>577.00666666666598</v>
      </c>
      <c r="AX674">
        <v>557.94333333333304</v>
      </c>
      <c r="AY674">
        <v>548.22333333333302</v>
      </c>
      <c r="AZ674">
        <v>541.356666666666</v>
      </c>
      <c r="BA674">
        <v>578.28999999999905</v>
      </c>
      <c r="BB674">
        <v>533.486666666666</v>
      </c>
      <c r="BC674">
        <v>563.106666666666</v>
      </c>
      <c r="BD674">
        <v>543.46</v>
      </c>
      <c r="BE674">
        <v>533.53666666666595</v>
      </c>
      <c r="BF674">
        <v>526.37666666666598</v>
      </c>
      <c r="BG674" s="14"/>
      <c r="BH674" s="14"/>
      <c r="BI674" s="14"/>
      <c r="BJ674" s="199"/>
      <c r="BK674" s="14"/>
      <c r="BL674" s="14"/>
      <c r="BM674" s="14"/>
      <c r="BN674" s="14"/>
      <c r="BO674" s="14"/>
      <c r="BP674" s="14"/>
      <c r="BQ674" s="14"/>
      <c r="BR674" s="14"/>
      <c r="BS674" s="14"/>
      <c r="BT674" s="14"/>
      <c r="BU674" s="14"/>
      <c r="BV674" s="14"/>
      <c r="BW674" s="14"/>
      <c r="BX674" s="14"/>
      <c r="BY674" s="170"/>
    </row>
    <row r="675" spans="9:77" x14ac:dyDescent="0.25">
      <c r="I675">
        <v>6270</v>
      </c>
      <c r="J675" s="1" t="s">
        <v>851</v>
      </c>
      <c r="K675">
        <v>609.46333333333303</v>
      </c>
      <c r="L675">
        <v>583.42333333333295</v>
      </c>
      <c r="M675">
        <v>599.21333333333303</v>
      </c>
      <c r="N675">
        <v>587.70000000000005</v>
      </c>
      <c r="O675">
        <v>582.97666666666601</v>
      </c>
      <c r="P675">
        <v>579.75999999999897</v>
      </c>
      <c r="Q675">
        <v>586.25333333333299</v>
      </c>
      <c r="R675">
        <v>540.89999999999895</v>
      </c>
      <c r="S675">
        <v>570.28</v>
      </c>
      <c r="T675">
        <v>550.50999999999897</v>
      </c>
      <c r="U675">
        <v>540.48333333333301</v>
      </c>
      <c r="V675">
        <v>533.44333333333304</v>
      </c>
      <c r="W675">
        <v>590.243333333333</v>
      </c>
      <c r="X675">
        <v>565.43333333333305</v>
      </c>
      <c r="Y675">
        <v>575.02</v>
      </c>
      <c r="Z675">
        <v>573.11</v>
      </c>
      <c r="AA675">
        <v>568.29333333333295</v>
      </c>
      <c r="AB675">
        <v>568.29333333333295</v>
      </c>
      <c r="AC675">
        <v>614.71333333333303</v>
      </c>
      <c r="AD675">
        <v>585.76999999999896</v>
      </c>
      <c r="AE675">
        <v>603.21</v>
      </c>
      <c r="AF675">
        <v>595.09333333333302</v>
      </c>
      <c r="AG675">
        <v>590.15333333333297</v>
      </c>
      <c r="AH675">
        <v>587.87666666666598</v>
      </c>
      <c r="AI675">
        <v>609.46333333333303</v>
      </c>
      <c r="AJ675">
        <v>583.42333333333295</v>
      </c>
      <c r="AK675">
        <v>599.21333333333303</v>
      </c>
      <c r="AL675">
        <v>587.70000000000005</v>
      </c>
      <c r="AM675">
        <v>582.97666666666601</v>
      </c>
      <c r="AN675">
        <v>579.75999999999897</v>
      </c>
      <c r="AO675">
        <v>606.84666666666601</v>
      </c>
      <c r="AP675">
        <v>550.41666666666595</v>
      </c>
      <c r="AQ675">
        <v>589.969999999999</v>
      </c>
      <c r="AR675">
        <v>561.91666666666595</v>
      </c>
      <c r="AS675">
        <v>548.75666666666598</v>
      </c>
      <c r="AT675">
        <v>539.91</v>
      </c>
      <c r="AU675">
        <v>623.19999999999902</v>
      </c>
      <c r="AV675">
        <v>579.81999999999903</v>
      </c>
      <c r="AW675">
        <v>608.89666666666596</v>
      </c>
      <c r="AX675">
        <v>589.83333333333303</v>
      </c>
      <c r="AY675">
        <v>580.113333333333</v>
      </c>
      <c r="AZ675">
        <v>573.24666666666599</v>
      </c>
      <c r="BA675">
        <v>610.17999999999904</v>
      </c>
      <c r="BB675">
        <v>565.37666666666598</v>
      </c>
      <c r="BC675">
        <v>594.99666666666599</v>
      </c>
      <c r="BD675">
        <v>575.35</v>
      </c>
      <c r="BE675">
        <v>565.42666666666605</v>
      </c>
      <c r="BF675">
        <v>558.26666666666597</v>
      </c>
      <c r="BG675" s="14"/>
      <c r="BH675" s="14"/>
      <c r="BI675" s="14"/>
      <c r="BJ675" s="199"/>
      <c r="BK675" s="14"/>
      <c r="BL675" s="14"/>
      <c r="BM675" s="14"/>
      <c r="BN675" s="14"/>
      <c r="BO675" s="14"/>
      <c r="BP675" s="14"/>
      <c r="BQ675" s="14"/>
      <c r="BR675" s="14"/>
      <c r="BS675" s="14"/>
      <c r="BT675" s="14"/>
      <c r="BU675" s="14"/>
      <c r="BV675" s="14"/>
      <c r="BW675" s="14"/>
      <c r="BX675" s="14"/>
      <c r="BY675" s="170"/>
    </row>
    <row r="676" spans="9:77" x14ac:dyDescent="0.25">
      <c r="I676">
        <v>6280</v>
      </c>
      <c r="J676" s="1" t="s">
        <v>852</v>
      </c>
      <c r="K676">
        <v>552.12333333333299</v>
      </c>
      <c r="L676">
        <v>526.08333333333303</v>
      </c>
      <c r="M676">
        <v>541.87333333333299</v>
      </c>
      <c r="N676">
        <v>530.36</v>
      </c>
      <c r="O676">
        <v>525.63666666666597</v>
      </c>
      <c r="P676">
        <v>522.41999999999996</v>
      </c>
      <c r="Q676">
        <v>528.91333333333296</v>
      </c>
      <c r="R676">
        <v>483.56</v>
      </c>
      <c r="S676">
        <v>512.94000000000005</v>
      </c>
      <c r="T676">
        <v>493.17</v>
      </c>
      <c r="U676">
        <v>483.14333333333298</v>
      </c>
      <c r="V676">
        <v>476.10333333333301</v>
      </c>
      <c r="W676">
        <v>532.90333333333297</v>
      </c>
      <c r="X676">
        <v>508.09333333333302</v>
      </c>
      <c r="Y676">
        <v>517.67999999999995</v>
      </c>
      <c r="Z676">
        <v>515.77</v>
      </c>
      <c r="AA676">
        <v>510.95333333333298</v>
      </c>
      <c r="AB676">
        <v>510.95333333333298</v>
      </c>
      <c r="AC676">
        <v>557.37333333333299</v>
      </c>
      <c r="AD676">
        <v>528.42999999999995</v>
      </c>
      <c r="AE676">
        <v>545.87</v>
      </c>
      <c r="AF676">
        <v>537.75333333333299</v>
      </c>
      <c r="AG676">
        <v>532.81333333333305</v>
      </c>
      <c r="AH676">
        <v>530.53666666666595</v>
      </c>
      <c r="AI676">
        <v>552.12333333333299</v>
      </c>
      <c r="AJ676">
        <v>526.08333333333303</v>
      </c>
      <c r="AK676">
        <v>541.87333333333299</v>
      </c>
      <c r="AL676">
        <v>530.36</v>
      </c>
      <c r="AM676">
        <v>525.63666666666597</v>
      </c>
      <c r="AN676">
        <v>522.41999999999996</v>
      </c>
      <c r="AO676">
        <v>549.50666666666598</v>
      </c>
      <c r="AP676">
        <v>493.07666666666597</v>
      </c>
      <c r="AQ676">
        <v>532.63</v>
      </c>
      <c r="AR676">
        <v>504.57666666666597</v>
      </c>
      <c r="AS676">
        <v>491.416666666666</v>
      </c>
      <c r="AT676">
        <v>482.57</v>
      </c>
      <c r="AU676">
        <v>565.86</v>
      </c>
      <c r="AV676">
        <v>522.48</v>
      </c>
      <c r="AW676">
        <v>551.55666666666605</v>
      </c>
      <c r="AX676">
        <v>532.493333333333</v>
      </c>
      <c r="AY676">
        <v>522.77333333333297</v>
      </c>
      <c r="AZ676">
        <v>515.90666666666596</v>
      </c>
      <c r="BA676">
        <v>552.83999999999901</v>
      </c>
      <c r="BB676">
        <v>508.03666666666601</v>
      </c>
      <c r="BC676">
        <v>537.65666666666596</v>
      </c>
      <c r="BD676">
        <v>518.01</v>
      </c>
      <c r="BE676">
        <v>508.08666666666602</v>
      </c>
      <c r="BF676">
        <v>500.92666666666599</v>
      </c>
      <c r="BG676" s="14"/>
      <c r="BH676" s="14"/>
      <c r="BI676" s="14"/>
      <c r="BJ676" s="199"/>
      <c r="BK676" s="14"/>
      <c r="BL676" s="14"/>
      <c r="BM676" s="14"/>
      <c r="BN676" s="14"/>
      <c r="BO676" s="14"/>
      <c r="BP676" s="14"/>
      <c r="BQ676" s="14"/>
      <c r="BR676" s="14"/>
      <c r="BS676" s="14"/>
      <c r="BT676" s="14"/>
      <c r="BU676" s="14"/>
      <c r="BV676" s="14"/>
      <c r="BW676" s="14"/>
      <c r="BX676" s="14"/>
      <c r="BY676" s="170"/>
    </row>
    <row r="677" spans="9:77" x14ac:dyDescent="0.25">
      <c r="I677">
        <v>6300</v>
      </c>
      <c r="J677" s="1" t="s">
        <v>853</v>
      </c>
      <c r="K677">
        <v>526.03333333333296</v>
      </c>
      <c r="L677">
        <v>499.993333333333</v>
      </c>
      <c r="M677">
        <v>515.78333333333296</v>
      </c>
      <c r="N677">
        <v>504.27</v>
      </c>
      <c r="O677">
        <v>499.546666666666</v>
      </c>
      <c r="P677">
        <v>496.33</v>
      </c>
      <c r="Q677">
        <v>502.82333333333298</v>
      </c>
      <c r="R677">
        <v>457.469999999999</v>
      </c>
      <c r="S677">
        <v>486.85</v>
      </c>
      <c r="T677">
        <v>467.08</v>
      </c>
      <c r="U677">
        <v>457.053333333333</v>
      </c>
      <c r="V677">
        <v>450.01333333333298</v>
      </c>
      <c r="W677">
        <v>506.81333333333299</v>
      </c>
      <c r="X677">
        <v>482.00333333333299</v>
      </c>
      <c r="Y677">
        <v>491.59</v>
      </c>
      <c r="Z677">
        <v>489.68</v>
      </c>
      <c r="AA677">
        <v>484.863333333333</v>
      </c>
      <c r="AB677">
        <v>484.863333333333</v>
      </c>
      <c r="AC677">
        <v>531.28333333333296</v>
      </c>
      <c r="AD677">
        <v>502.34</v>
      </c>
      <c r="AE677">
        <v>519.78</v>
      </c>
      <c r="AF677">
        <v>511.66333333333301</v>
      </c>
      <c r="AG677">
        <v>506.72333333333302</v>
      </c>
      <c r="AH677">
        <v>504.44666666666598</v>
      </c>
      <c r="AI677">
        <v>526.03333333333296</v>
      </c>
      <c r="AJ677">
        <v>499.993333333333</v>
      </c>
      <c r="AK677">
        <v>515.78333333333296</v>
      </c>
      <c r="AL677">
        <v>504.27</v>
      </c>
      <c r="AM677">
        <v>499.546666666666</v>
      </c>
      <c r="AN677">
        <v>496.33</v>
      </c>
      <c r="AO677">
        <v>523.41666666666595</v>
      </c>
      <c r="AP677">
        <v>466.986666666666</v>
      </c>
      <c r="AQ677">
        <v>506.539999999999</v>
      </c>
      <c r="AR677">
        <v>478.486666666666</v>
      </c>
      <c r="AS677">
        <v>465.32666666666597</v>
      </c>
      <c r="AT677">
        <v>456.48</v>
      </c>
      <c r="AU677">
        <v>539.76999999999896</v>
      </c>
      <c r="AV677">
        <v>496.38999999999902</v>
      </c>
      <c r="AW677">
        <v>525.46666666666601</v>
      </c>
      <c r="AX677">
        <v>506.40333333333302</v>
      </c>
      <c r="AY677">
        <v>496.683333333333</v>
      </c>
      <c r="AZ677">
        <v>489.81666666666598</v>
      </c>
      <c r="BA677">
        <v>526.75</v>
      </c>
      <c r="BB677">
        <v>481.94666666666598</v>
      </c>
      <c r="BC677">
        <v>511.56666666666598</v>
      </c>
      <c r="BD677">
        <v>491.92</v>
      </c>
      <c r="BE677">
        <v>481.99666666666599</v>
      </c>
      <c r="BF677">
        <v>474.83666666666602</v>
      </c>
      <c r="BG677" s="14"/>
      <c r="BH677" s="14"/>
      <c r="BI677" s="14"/>
      <c r="BJ677" s="199"/>
      <c r="BK677" s="14"/>
      <c r="BL677" s="14"/>
      <c r="BM677" s="14"/>
      <c r="BN677" s="14"/>
      <c r="BO677" s="14"/>
      <c r="BP677" s="14"/>
      <c r="BQ677" s="14"/>
      <c r="BR677" s="14"/>
      <c r="BS677" s="14"/>
      <c r="BT677" s="14"/>
      <c r="BU677" s="14"/>
      <c r="BV677" s="14"/>
      <c r="BW677" s="14"/>
      <c r="BX677" s="14"/>
      <c r="BY677" s="170"/>
    </row>
    <row r="678" spans="9:77" x14ac:dyDescent="0.25">
      <c r="I678">
        <v>6310</v>
      </c>
      <c r="J678" s="1" t="s">
        <v>854</v>
      </c>
      <c r="K678">
        <v>436.64333333333298</v>
      </c>
      <c r="L678">
        <v>410.60333333333301</v>
      </c>
      <c r="M678">
        <v>426.39333333333298</v>
      </c>
      <c r="N678">
        <v>414.88</v>
      </c>
      <c r="O678">
        <v>410.15666666666601</v>
      </c>
      <c r="P678">
        <v>406.94</v>
      </c>
      <c r="Q678">
        <v>413.433333333333</v>
      </c>
      <c r="R678">
        <v>368.07999999999902</v>
      </c>
      <c r="S678">
        <v>397.46</v>
      </c>
      <c r="T678">
        <v>377.69</v>
      </c>
      <c r="U678">
        <v>367.66333333333301</v>
      </c>
      <c r="V678">
        <v>360.62333333333299</v>
      </c>
      <c r="W678">
        <v>417.42333333333301</v>
      </c>
      <c r="X678">
        <v>392.613333333333</v>
      </c>
      <c r="Y678">
        <v>402.2</v>
      </c>
      <c r="Z678">
        <v>400.29</v>
      </c>
      <c r="AA678">
        <v>395.47333333333302</v>
      </c>
      <c r="AB678">
        <v>395.47333333333302</v>
      </c>
      <c r="AC678">
        <v>441.89333333333298</v>
      </c>
      <c r="AD678">
        <v>412.95</v>
      </c>
      <c r="AE678">
        <v>430.39</v>
      </c>
      <c r="AF678">
        <v>422.27333333333303</v>
      </c>
      <c r="AG678">
        <v>417.33333333333297</v>
      </c>
      <c r="AH678">
        <v>415.05666666666599</v>
      </c>
      <c r="AI678">
        <v>436.64333333333298</v>
      </c>
      <c r="AJ678">
        <v>410.60333333333301</v>
      </c>
      <c r="AK678">
        <v>426.39333333333298</v>
      </c>
      <c r="AL678">
        <v>414.88</v>
      </c>
      <c r="AM678">
        <v>410.15666666666601</v>
      </c>
      <c r="AN678">
        <v>406.94</v>
      </c>
      <c r="AO678">
        <v>434.02666666666602</v>
      </c>
      <c r="AP678">
        <v>377.59666666666601</v>
      </c>
      <c r="AQ678">
        <v>417.14999999999901</v>
      </c>
      <c r="AR678">
        <v>389.09666666666601</v>
      </c>
      <c r="AS678">
        <v>375.93666666666599</v>
      </c>
      <c r="AT678">
        <v>367.09</v>
      </c>
      <c r="AU678">
        <v>450.38</v>
      </c>
      <c r="AV678">
        <v>406.99999999999898</v>
      </c>
      <c r="AW678">
        <v>436.07666666666597</v>
      </c>
      <c r="AX678">
        <v>417.01333333333298</v>
      </c>
      <c r="AY678">
        <v>407.29333333333301</v>
      </c>
      <c r="AZ678">
        <v>400.42666666666599</v>
      </c>
      <c r="BA678">
        <v>437.35999999999899</v>
      </c>
      <c r="BB678">
        <v>392.55666666666599</v>
      </c>
      <c r="BC678">
        <v>422.17666666666599</v>
      </c>
      <c r="BD678">
        <v>402.53</v>
      </c>
      <c r="BE678">
        <v>392.606666666666</v>
      </c>
      <c r="BF678">
        <v>385.44666666666598</v>
      </c>
      <c r="BG678" s="14"/>
      <c r="BH678" s="14"/>
      <c r="BI678" s="14"/>
      <c r="BJ678" s="199"/>
      <c r="BK678" s="14"/>
      <c r="BL678" s="14"/>
      <c r="BM678" s="14"/>
      <c r="BN678" s="14"/>
      <c r="BO678" s="14"/>
      <c r="BP678" s="14"/>
      <c r="BQ678" s="14"/>
      <c r="BR678" s="14"/>
      <c r="BS678" s="14"/>
      <c r="BT678" s="14"/>
      <c r="BU678" s="14"/>
      <c r="BV678" s="14"/>
      <c r="BW678" s="14"/>
      <c r="BX678" s="14"/>
      <c r="BY678" s="170"/>
    </row>
    <row r="679" spans="9:77" x14ac:dyDescent="0.25">
      <c r="I679">
        <v>6320</v>
      </c>
      <c r="J679" s="1" t="s">
        <v>855</v>
      </c>
      <c r="K679">
        <v>436.64333333333298</v>
      </c>
      <c r="L679">
        <v>410.60333333333301</v>
      </c>
      <c r="M679">
        <v>426.39333333333298</v>
      </c>
      <c r="N679">
        <v>414.88</v>
      </c>
      <c r="O679">
        <v>410.15666666666601</v>
      </c>
      <c r="P679">
        <v>406.94</v>
      </c>
      <c r="Q679">
        <v>413.433333333333</v>
      </c>
      <c r="R679">
        <v>368.07999999999902</v>
      </c>
      <c r="S679">
        <v>397.46</v>
      </c>
      <c r="T679">
        <v>377.69</v>
      </c>
      <c r="U679">
        <v>367.66333333333301</v>
      </c>
      <c r="V679">
        <v>360.62333333333299</v>
      </c>
      <c r="W679">
        <v>417.42333333333301</v>
      </c>
      <c r="X679">
        <v>392.613333333333</v>
      </c>
      <c r="Y679">
        <v>402.2</v>
      </c>
      <c r="Z679">
        <v>400.29</v>
      </c>
      <c r="AA679">
        <v>395.47333333333302</v>
      </c>
      <c r="AB679">
        <v>395.47333333333302</v>
      </c>
      <c r="AC679">
        <v>441.89333333333298</v>
      </c>
      <c r="AD679">
        <v>412.95</v>
      </c>
      <c r="AE679">
        <v>430.39</v>
      </c>
      <c r="AF679">
        <v>422.27333333333303</v>
      </c>
      <c r="AG679">
        <v>417.33333333333297</v>
      </c>
      <c r="AH679">
        <v>415.05666666666599</v>
      </c>
      <c r="AI679">
        <v>436.64333333333298</v>
      </c>
      <c r="AJ679">
        <v>410.60333333333301</v>
      </c>
      <c r="AK679">
        <v>426.39333333333298</v>
      </c>
      <c r="AL679">
        <v>414.88</v>
      </c>
      <c r="AM679">
        <v>410.15666666666601</v>
      </c>
      <c r="AN679">
        <v>406.94</v>
      </c>
      <c r="AO679">
        <v>434.02666666666602</v>
      </c>
      <c r="AP679">
        <v>377.59666666666601</v>
      </c>
      <c r="AQ679">
        <v>417.14999999999901</v>
      </c>
      <c r="AR679">
        <v>389.09666666666601</v>
      </c>
      <c r="AS679">
        <v>375.93666666666599</v>
      </c>
      <c r="AT679">
        <v>367.09</v>
      </c>
      <c r="AU679">
        <v>450.38</v>
      </c>
      <c r="AV679">
        <v>406.99999999999898</v>
      </c>
      <c r="AW679">
        <v>436.07666666666597</v>
      </c>
      <c r="AX679">
        <v>417.01333333333298</v>
      </c>
      <c r="AY679">
        <v>407.29333333333301</v>
      </c>
      <c r="AZ679">
        <v>400.42666666666599</v>
      </c>
      <c r="BA679">
        <v>437.35999999999899</v>
      </c>
      <c r="BB679">
        <v>392.55666666666599</v>
      </c>
      <c r="BC679">
        <v>422.17666666666599</v>
      </c>
      <c r="BD679">
        <v>402.53</v>
      </c>
      <c r="BE679">
        <v>392.606666666666</v>
      </c>
      <c r="BF679">
        <v>385.44666666666598</v>
      </c>
      <c r="BG679" s="14"/>
      <c r="BH679" s="14"/>
      <c r="BI679" s="14"/>
      <c r="BJ679" s="199"/>
      <c r="BK679" s="14"/>
      <c r="BL679" s="14"/>
      <c r="BM679" s="14"/>
      <c r="BN679" s="14"/>
      <c r="BO679" s="14"/>
      <c r="BP679" s="14"/>
      <c r="BQ679" s="14"/>
      <c r="BR679" s="14"/>
      <c r="BS679" s="14"/>
      <c r="BT679" s="14"/>
      <c r="BU679" s="14"/>
      <c r="BV679" s="14"/>
      <c r="BW679" s="14"/>
      <c r="BX679" s="14"/>
      <c r="BY679" s="170"/>
    </row>
    <row r="680" spans="9:77" x14ac:dyDescent="0.25">
      <c r="I680">
        <v>6330</v>
      </c>
      <c r="J680" s="1" t="s">
        <v>856</v>
      </c>
      <c r="K680">
        <v>609.70333333333303</v>
      </c>
      <c r="L680">
        <v>583.66333333333296</v>
      </c>
      <c r="M680">
        <v>599.45333333333303</v>
      </c>
      <c r="N680">
        <v>587.94000000000005</v>
      </c>
      <c r="O680">
        <v>583.21666666666601</v>
      </c>
      <c r="P680">
        <v>580</v>
      </c>
      <c r="Q680">
        <v>586.493333333333</v>
      </c>
      <c r="R680">
        <v>541.13999999999896</v>
      </c>
      <c r="S680">
        <v>570.52</v>
      </c>
      <c r="T680">
        <v>550.75</v>
      </c>
      <c r="U680">
        <v>540.72333333333302</v>
      </c>
      <c r="V680">
        <v>533.68333333333305</v>
      </c>
      <c r="W680">
        <v>590.48333333333301</v>
      </c>
      <c r="X680">
        <v>565.67333333333295</v>
      </c>
      <c r="Y680">
        <v>575.26</v>
      </c>
      <c r="Z680">
        <v>573.35</v>
      </c>
      <c r="AA680">
        <v>568.53333333333296</v>
      </c>
      <c r="AB680">
        <v>568.53333333333296</v>
      </c>
      <c r="AC680">
        <v>614.95333333333303</v>
      </c>
      <c r="AD680">
        <v>586.00999999999897</v>
      </c>
      <c r="AE680">
        <v>603.45000000000005</v>
      </c>
      <c r="AF680">
        <v>595.33333333333303</v>
      </c>
      <c r="AG680">
        <v>590.39333333333298</v>
      </c>
      <c r="AH680">
        <v>588.11666666666599</v>
      </c>
      <c r="AI680">
        <v>609.70333333333303</v>
      </c>
      <c r="AJ680">
        <v>583.66333333333296</v>
      </c>
      <c r="AK680">
        <v>599.45333333333303</v>
      </c>
      <c r="AL680">
        <v>587.94000000000005</v>
      </c>
      <c r="AM680">
        <v>583.21666666666601</v>
      </c>
      <c r="AN680">
        <v>580</v>
      </c>
      <c r="AO680">
        <v>607.08666666666602</v>
      </c>
      <c r="AP680">
        <v>550.65666666666596</v>
      </c>
      <c r="AQ680">
        <v>590.20999999999901</v>
      </c>
      <c r="AR680">
        <v>562.15666666666596</v>
      </c>
      <c r="AS680">
        <v>548.99666666666599</v>
      </c>
      <c r="AT680">
        <v>540.15</v>
      </c>
      <c r="AU680">
        <v>623.43999999999903</v>
      </c>
      <c r="AV680">
        <v>580.05999999999904</v>
      </c>
      <c r="AW680">
        <v>609.13666666666597</v>
      </c>
      <c r="AX680">
        <v>590.07333333333304</v>
      </c>
      <c r="AY680">
        <v>580.35333333333301</v>
      </c>
      <c r="AZ680">
        <v>573.486666666666</v>
      </c>
      <c r="BA680">
        <v>610.41999999999905</v>
      </c>
      <c r="BB680">
        <v>565.61666666666599</v>
      </c>
      <c r="BC680">
        <v>595.236666666666</v>
      </c>
      <c r="BD680">
        <v>575.59</v>
      </c>
      <c r="BE680">
        <v>565.66666666666595</v>
      </c>
      <c r="BF680">
        <v>558.50666666666598</v>
      </c>
      <c r="BG680" s="14"/>
      <c r="BH680" s="14"/>
      <c r="BI680" s="14"/>
      <c r="BJ680" s="199"/>
      <c r="BK680" s="14"/>
      <c r="BL680" s="14"/>
      <c r="BM680" s="14"/>
      <c r="BN680" s="14"/>
      <c r="BO680" s="14"/>
      <c r="BP680" s="14"/>
      <c r="BQ680" s="14"/>
      <c r="BR680" s="14"/>
      <c r="BS680" s="14"/>
      <c r="BT680" s="14"/>
      <c r="BU680" s="14"/>
      <c r="BV680" s="14"/>
      <c r="BW680" s="14"/>
      <c r="BX680" s="14"/>
      <c r="BY680" s="170"/>
    </row>
    <row r="681" spans="9:77" x14ac:dyDescent="0.25">
      <c r="I681">
        <v>6340</v>
      </c>
      <c r="J681" s="1" t="s">
        <v>857</v>
      </c>
      <c r="K681">
        <v>609.70333333333303</v>
      </c>
      <c r="L681">
        <v>583.66333333333296</v>
      </c>
      <c r="M681">
        <v>599.45333333333303</v>
      </c>
      <c r="N681">
        <v>587.94000000000005</v>
      </c>
      <c r="O681">
        <v>583.21666666666601</v>
      </c>
      <c r="P681">
        <v>580</v>
      </c>
      <c r="Q681">
        <v>586.493333333333</v>
      </c>
      <c r="R681">
        <v>541.13999999999896</v>
      </c>
      <c r="S681">
        <v>570.52</v>
      </c>
      <c r="T681">
        <v>550.75</v>
      </c>
      <c r="U681">
        <v>540.72333333333302</v>
      </c>
      <c r="V681">
        <v>533.68333333333305</v>
      </c>
      <c r="W681">
        <v>590.48333333333301</v>
      </c>
      <c r="X681">
        <v>565.67333333333295</v>
      </c>
      <c r="Y681">
        <v>575.26</v>
      </c>
      <c r="Z681">
        <v>573.35</v>
      </c>
      <c r="AA681">
        <v>568.53333333333296</v>
      </c>
      <c r="AB681">
        <v>568.53333333333296</v>
      </c>
      <c r="AC681">
        <v>614.95333333333303</v>
      </c>
      <c r="AD681">
        <v>586.00999999999897</v>
      </c>
      <c r="AE681">
        <v>603.45000000000005</v>
      </c>
      <c r="AF681">
        <v>595.33333333333303</v>
      </c>
      <c r="AG681">
        <v>590.39333333333298</v>
      </c>
      <c r="AH681">
        <v>588.11666666666599</v>
      </c>
      <c r="AI681">
        <v>609.70333333333303</v>
      </c>
      <c r="AJ681">
        <v>583.66333333333296</v>
      </c>
      <c r="AK681">
        <v>599.45333333333303</v>
      </c>
      <c r="AL681">
        <v>587.94000000000005</v>
      </c>
      <c r="AM681">
        <v>583.21666666666601</v>
      </c>
      <c r="AN681">
        <v>580</v>
      </c>
      <c r="AO681">
        <v>607.08666666666602</v>
      </c>
      <c r="AP681">
        <v>550.65666666666596</v>
      </c>
      <c r="AQ681">
        <v>590.20999999999901</v>
      </c>
      <c r="AR681">
        <v>562.15666666666596</v>
      </c>
      <c r="AS681">
        <v>548.99666666666599</v>
      </c>
      <c r="AT681">
        <v>540.15</v>
      </c>
      <c r="AU681">
        <v>623.43999999999903</v>
      </c>
      <c r="AV681">
        <v>580.05999999999904</v>
      </c>
      <c r="AW681">
        <v>609.13666666666597</v>
      </c>
      <c r="AX681">
        <v>590.07333333333304</v>
      </c>
      <c r="AY681">
        <v>580.35333333333301</v>
      </c>
      <c r="AZ681">
        <v>573.486666666666</v>
      </c>
      <c r="BA681">
        <v>610.41999999999905</v>
      </c>
      <c r="BB681">
        <v>565.61666666666599</v>
      </c>
      <c r="BC681">
        <v>595.236666666666</v>
      </c>
      <c r="BD681">
        <v>575.59</v>
      </c>
      <c r="BE681">
        <v>565.66666666666595</v>
      </c>
      <c r="BF681">
        <v>558.50666666666598</v>
      </c>
      <c r="BG681" s="14"/>
      <c r="BH681" s="14"/>
      <c r="BI681" s="14"/>
      <c r="BJ681" s="199"/>
      <c r="BK681" s="14"/>
      <c r="BL681" s="14"/>
      <c r="BM681" s="14"/>
      <c r="BN681" s="14"/>
      <c r="BO681" s="14"/>
      <c r="BP681" s="14"/>
      <c r="BQ681" s="14"/>
      <c r="BR681" s="14"/>
      <c r="BS681" s="14"/>
      <c r="BT681" s="14"/>
      <c r="BU681" s="14"/>
      <c r="BV681" s="14"/>
      <c r="BW681" s="14"/>
      <c r="BX681" s="14"/>
      <c r="BY681" s="170"/>
    </row>
    <row r="682" spans="9:77" x14ac:dyDescent="0.25">
      <c r="I682">
        <v>6360</v>
      </c>
      <c r="J682" s="1" t="s">
        <v>858</v>
      </c>
      <c r="K682">
        <v>629.33333333333303</v>
      </c>
      <c r="L682">
        <v>603.29333333333295</v>
      </c>
      <c r="M682">
        <v>619.08333333333303</v>
      </c>
      <c r="N682">
        <v>607.57000000000005</v>
      </c>
      <c r="O682">
        <v>602.84666666666601</v>
      </c>
      <c r="P682">
        <v>599.63</v>
      </c>
      <c r="Q682">
        <v>606.12333333333299</v>
      </c>
      <c r="R682">
        <v>560.76999999999896</v>
      </c>
      <c r="S682">
        <v>590.15</v>
      </c>
      <c r="T682">
        <v>570.38</v>
      </c>
      <c r="U682">
        <v>560.35333333333301</v>
      </c>
      <c r="V682">
        <v>553.31333333333305</v>
      </c>
      <c r="W682">
        <v>610.113333333333</v>
      </c>
      <c r="X682">
        <v>585.30333333333294</v>
      </c>
      <c r="Y682">
        <v>594.89</v>
      </c>
      <c r="Z682">
        <v>592.98</v>
      </c>
      <c r="AA682">
        <v>588.16333333333296</v>
      </c>
      <c r="AB682">
        <v>588.16333333333296</v>
      </c>
      <c r="AC682">
        <v>634.58333333333303</v>
      </c>
      <c r="AD682">
        <v>605.64</v>
      </c>
      <c r="AE682">
        <v>623.08000000000004</v>
      </c>
      <c r="AF682">
        <v>614.96333333333303</v>
      </c>
      <c r="AG682">
        <v>610.02333333333297</v>
      </c>
      <c r="AH682">
        <v>607.74666666666599</v>
      </c>
      <c r="AI682">
        <v>629.33333333333303</v>
      </c>
      <c r="AJ682">
        <v>603.29333333333295</v>
      </c>
      <c r="AK682">
        <v>619.08333333333303</v>
      </c>
      <c r="AL682">
        <v>607.57000000000005</v>
      </c>
      <c r="AM682">
        <v>602.84666666666601</v>
      </c>
      <c r="AN682">
        <v>599.63</v>
      </c>
      <c r="AO682">
        <v>626.71666666666601</v>
      </c>
      <c r="AP682">
        <v>570.28666666666595</v>
      </c>
      <c r="AQ682">
        <v>609.84</v>
      </c>
      <c r="AR682">
        <v>581.78666666666595</v>
      </c>
      <c r="AS682">
        <v>568.62666666666598</v>
      </c>
      <c r="AT682">
        <v>559.78</v>
      </c>
      <c r="AU682">
        <v>643.07000000000005</v>
      </c>
      <c r="AV682">
        <v>599.69000000000005</v>
      </c>
      <c r="AW682">
        <v>628.76666666666597</v>
      </c>
      <c r="AX682">
        <v>609.70333333333303</v>
      </c>
      <c r="AY682">
        <v>599.98333333333301</v>
      </c>
      <c r="AZ682">
        <v>593.11666666666599</v>
      </c>
      <c r="BA682">
        <v>630.04999999999905</v>
      </c>
      <c r="BB682">
        <v>585.24666666666599</v>
      </c>
      <c r="BC682">
        <v>614.86666666666599</v>
      </c>
      <c r="BD682">
        <v>595.22</v>
      </c>
      <c r="BE682">
        <v>585.29666666666606</v>
      </c>
      <c r="BF682">
        <v>578.13666666666597</v>
      </c>
      <c r="BG682" s="14"/>
      <c r="BH682" s="14"/>
      <c r="BI682" s="14"/>
      <c r="BJ682" s="199"/>
      <c r="BK682" s="14"/>
      <c r="BL682" s="14"/>
      <c r="BM682" s="14"/>
      <c r="BN682" s="14"/>
      <c r="BO682" s="14"/>
      <c r="BP682" s="14"/>
      <c r="BQ682" s="14"/>
      <c r="BR682" s="14"/>
      <c r="BS682" s="14"/>
      <c r="BT682" s="14"/>
      <c r="BU682" s="14"/>
      <c r="BV682" s="14"/>
      <c r="BW682" s="14"/>
      <c r="BX682" s="14"/>
      <c r="BY682" s="170"/>
    </row>
    <row r="683" spans="9:77" x14ac:dyDescent="0.25">
      <c r="I683">
        <v>6372</v>
      </c>
      <c r="J683" s="1" t="s">
        <v>859</v>
      </c>
      <c r="K683">
        <v>643.45333333333303</v>
      </c>
      <c r="L683">
        <v>617.41333333333296</v>
      </c>
      <c r="M683">
        <v>633.20333333333303</v>
      </c>
      <c r="N683">
        <v>621.69000000000005</v>
      </c>
      <c r="O683">
        <v>616.96666666666601</v>
      </c>
      <c r="P683">
        <v>613.75</v>
      </c>
      <c r="Q683">
        <v>620.243333333333</v>
      </c>
      <c r="R683">
        <v>574.88999999999896</v>
      </c>
      <c r="S683">
        <v>604.27</v>
      </c>
      <c r="T683">
        <v>584.5</v>
      </c>
      <c r="U683">
        <v>574.47333333333302</v>
      </c>
      <c r="V683">
        <v>567.43333333333305</v>
      </c>
      <c r="W683">
        <v>624.23333333333301</v>
      </c>
      <c r="X683">
        <v>599.42333333333295</v>
      </c>
      <c r="Y683">
        <v>609.01</v>
      </c>
      <c r="Z683">
        <v>607.1</v>
      </c>
      <c r="AA683">
        <v>602.28333333333296</v>
      </c>
      <c r="AB683">
        <v>602.28333333333296</v>
      </c>
      <c r="AC683">
        <v>648.70333333333303</v>
      </c>
      <c r="AD683">
        <v>619.75999999999897</v>
      </c>
      <c r="AE683">
        <v>637.20000000000005</v>
      </c>
      <c r="AF683">
        <v>629.08333333333303</v>
      </c>
      <c r="AG683">
        <v>624.14333333333298</v>
      </c>
      <c r="AH683">
        <v>621.86666666666599</v>
      </c>
      <c r="AI683">
        <v>643.45333333333303</v>
      </c>
      <c r="AJ683">
        <v>617.41333333333296</v>
      </c>
      <c r="AK683">
        <v>633.20333333333303</v>
      </c>
      <c r="AL683">
        <v>621.69000000000005</v>
      </c>
      <c r="AM683">
        <v>616.96666666666601</v>
      </c>
      <c r="AN683">
        <v>613.75</v>
      </c>
      <c r="AO683">
        <v>640.83666666666602</v>
      </c>
      <c r="AP683">
        <v>584.40666666666596</v>
      </c>
      <c r="AQ683">
        <v>623.95999999999901</v>
      </c>
      <c r="AR683">
        <v>595.90666666666596</v>
      </c>
      <c r="AS683">
        <v>582.74666666666599</v>
      </c>
      <c r="AT683">
        <v>573.9</v>
      </c>
      <c r="AU683">
        <v>657.18999999999903</v>
      </c>
      <c r="AV683">
        <v>613.80999999999904</v>
      </c>
      <c r="AW683">
        <v>642.88666666666597</v>
      </c>
      <c r="AX683">
        <v>623.82333333333304</v>
      </c>
      <c r="AY683">
        <v>614.10333333333301</v>
      </c>
      <c r="AZ683">
        <v>607.236666666666</v>
      </c>
      <c r="BA683">
        <v>644.16999999999905</v>
      </c>
      <c r="BB683">
        <v>599.36666666666599</v>
      </c>
      <c r="BC683">
        <v>628.986666666666</v>
      </c>
      <c r="BD683">
        <v>609.34</v>
      </c>
      <c r="BE683">
        <v>599.41666666666595</v>
      </c>
      <c r="BF683">
        <v>592.25666666666598</v>
      </c>
      <c r="BG683" s="14"/>
      <c r="BH683" s="14"/>
      <c r="BI683" s="14"/>
      <c r="BJ683" s="199"/>
      <c r="BK683" s="14"/>
      <c r="BL683" s="14"/>
      <c r="BM683" s="14"/>
      <c r="BN683" s="14"/>
      <c r="BO683" s="14"/>
      <c r="BP683" s="14"/>
      <c r="BQ683" s="14"/>
      <c r="BR683" s="14"/>
      <c r="BS683" s="14"/>
      <c r="BT683" s="14"/>
      <c r="BU683" s="14"/>
      <c r="BV683" s="14"/>
      <c r="BW683" s="14"/>
      <c r="BX683" s="14"/>
      <c r="BY683" s="170"/>
    </row>
    <row r="684" spans="9:77" x14ac:dyDescent="0.25">
      <c r="I684">
        <v>6392</v>
      </c>
      <c r="J684" s="1" t="s">
        <v>860</v>
      </c>
      <c r="K684">
        <v>643.76333333333298</v>
      </c>
      <c r="L684">
        <v>617.72333333333302</v>
      </c>
      <c r="M684">
        <v>633.51333333333298</v>
      </c>
      <c r="N684">
        <v>622</v>
      </c>
      <c r="O684">
        <v>617.27666666666596</v>
      </c>
      <c r="P684">
        <v>614.05999999999995</v>
      </c>
      <c r="Q684">
        <v>620.55333333333294</v>
      </c>
      <c r="R684">
        <v>575.20000000000005</v>
      </c>
      <c r="S684">
        <v>604.58000000000004</v>
      </c>
      <c r="T684">
        <v>584.80999999999995</v>
      </c>
      <c r="U684">
        <v>574.78333333333296</v>
      </c>
      <c r="V684">
        <v>567.743333333333</v>
      </c>
      <c r="W684">
        <v>624.54333333333295</v>
      </c>
      <c r="X684">
        <v>599.73333333333301</v>
      </c>
      <c r="Y684">
        <v>609.32000000000005</v>
      </c>
      <c r="Z684">
        <v>607.41</v>
      </c>
      <c r="AA684">
        <v>602.59333333333302</v>
      </c>
      <c r="AB684">
        <v>602.59333333333302</v>
      </c>
      <c r="AC684">
        <v>649.01333333333298</v>
      </c>
      <c r="AD684">
        <v>620.07000000000005</v>
      </c>
      <c r="AE684">
        <v>637.51</v>
      </c>
      <c r="AF684">
        <v>629.39333333333298</v>
      </c>
      <c r="AG684">
        <v>624.45333333333303</v>
      </c>
      <c r="AH684">
        <v>622.17666666666605</v>
      </c>
      <c r="AI684">
        <v>643.76333333333298</v>
      </c>
      <c r="AJ684">
        <v>617.72333333333302</v>
      </c>
      <c r="AK684">
        <v>633.51333333333298</v>
      </c>
      <c r="AL684">
        <v>622</v>
      </c>
      <c r="AM684">
        <v>617.27666666666596</v>
      </c>
      <c r="AN684">
        <v>614.05999999999995</v>
      </c>
      <c r="AO684">
        <v>641.14666666666596</v>
      </c>
      <c r="AP684">
        <v>584.71666666666601</v>
      </c>
      <c r="AQ684">
        <v>624.27</v>
      </c>
      <c r="AR684">
        <v>596.21666666666601</v>
      </c>
      <c r="AS684">
        <v>583.05666666666605</v>
      </c>
      <c r="AT684">
        <v>574.21</v>
      </c>
      <c r="AU684">
        <v>657.5</v>
      </c>
      <c r="AV684">
        <v>614.12</v>
      </c>
      <c r="AW684">
        <v>643.19666666666603</v>
      </c>
      <c r="AX684">
        <v>624.13333333333298</v>
      </c>
      <c r="AY684">
        <v>614.41333333333296</v>
      </c>
      <c r="AZ684">
        <v>607.54666666666606</v>
      </c>
      <c r="BA684">
        <v>644.48</v>
      </c>
      <c r="BB684">
        <v>599.67666666666605</v>
      </c>
      <c r="BC684">
        <v>629.29666666666606</v>
      </c>
      <c r="BD684">
        <v>609.65</v>
      </c>
      <c r="BE684">
        <v>599.72666666666601</v>
      </c>
      <c r="BF684">
        <v>592.56666666666604</v>
      </c>
      <c r="BG684" s="14"/>
      <c r="BH684" s="14"/>
      <c r="BI684" s="14"/>
      <c r="BJ684" s="199"/>
      <c r="BK684" s="14"/>
      <c r="BL684" s="14"/>
      <c r="BM684" s="14"/>
      <c r="BN684" s="14"/>
      <c r="BO684" s="14"/>
      <c r="BP684" s="14"/>
      <c r="BQ684" s="14"/>
      <c r="BR684" s="14"/>
      <c r="BS684" s="14"/>
      <c r="BT684" s="14"/>
      <c r="BU684" s="14"/>
      <c r="BV684" s="14"/>
      <c r="BW684" s="14"/>
      <c r="BX684" s="14"/>
      <c r="BY684" s="170"/>
    </row>
    <row r="685" spans="9:77" x14ac:dyDescent="0.25">
      <c r="I685">
        <v>6400</v>
      </c>
      <c r="J685" s="1" t="s">
        <v>861</v>
      </c>
      <c r="K685">
        <v>436.64333333333298</v>
      </c>
      <c r="L685">
        <v>410.60333333333301</v>
      </c>
      <c r="M685">
        <v>426.39333333333298</v>
      </c>
      <c r="N685">
        <v>414.88</v>
      </c>
      <c r="O685">
        <v>410.15666666666601</v>
      </c>
      <c r="P685">
        <v>406.94</v>
      </c>
      <c r="Q685">
        <v>413.433333333333</v>
      </c>
      <c r="R685">
        <v>368.07999999999902</v>
      </c>
      <c r="S685">
        <v>397.46</v>
      </c>
      <c r="T685">
        <v>377.69</v>
      </c>
      <c r="U685">
        <v>367.66333333333301</v>
      </c>
      <c r="V685">
        <v>360.62333333333299</v>
      </c>
      <c r="W685">
        <v>417.42333333333301</v>
      </c>
      <c r="X685">
        <v>392.613333333333</v>
      </c>
      <c r="Y685">
        <v>402.2</v>
      </c>
      <c r="Z685">
        <v>400.29</v>
      </c>
      <c r="AA685">
        <v>395.47333333333302</v>
      </c>
      <c r="AB685">
        <v>395.47333333333302</v>
      </c>
      <c r="AC685">
        <v>441.89333333333298</v>
      </c>
      <c r="AD685">
        <v>412.95</v>
      </c>
      <c r="AE685">
        <v>430.39</v>
      </c>
      <c r="AF685">
        <v>422.27333333333303</v>
      </c>
      <c r="AG685">
        <v>417.33333333333297</v>
      </c>
      <c r="AH685">
        <v>415.05666666666599</v>
      </c>
      <c r="AI685">
        <v>436.64333333333298</v>
      </c>
      <c r="AJ685">
        <v>410.60333333333301</v>
      </c>
      <c r="AK685">
        <v>426.39333333333298</v>
      </c>
      <c r="AL685">
        <v>414.88</v>
      </c>
      <c r="AM685">
        <v>410.15666666666601</v>
      </c>
      <c r="AN685">
        <v>406.94</v>
      </c>
      <c r="AO685">
        <v>434.02666666666602</v>
      </c>
      <c r="AP685">
        <v>377.59666666666601</v>
      </c>
      <c r="AQ685">
        <v>417.14999999999901</v>
      </c>
      <c r="AR685">
        <v>389.09666666666601</v>
      </c>
      <c r="AS685">
        <v>375.93666666666599</v>
      </c>
      <c r="AT685">
        <v>367.09</v>
      </c>
      <c r="AU685">
        <v>450.38</v>
      </c>
      <c r="AV685">
        <v>406.99999999999898</v>
      </c>
      <c r="AW685">
        <v>436.07666666666597</v>
      </c>
      <c r="AX685">
        <v>417.01333333333298</v>
      </c>
      <c r="AY685">
        <v>407.29333333333301</v>
      </c>
      <c r="AZ685">
        <v>400.42666666666599</v>
      </c>
      <c r="BA685">
        <v>437.35999999999899</v>
      </c>
      <c r="BB685">
        <v>392.55666666666599</v>
      </c>
      <c r="BC685">
        <v>422.17666666666599</v>
      </c>
      <c r="BD685">
        <v>402.53</v>
      </c>
      <c r="BE685">
        <v>392.606666666666</v>
      </c>
      <c r="BF685">
        <v>385.44666666666598</v>
      </c>
      <c r="BG685" s="14"/>
      <c r="BH685" s="14"/>
      <c r="BI685" s="14"/>
      <c r="BJ685" s="199"/>
      <c r="BK685" s="14"/>
      <c r="BL685" s="14"/>
      <c r="BM685" s="14"/>
      <c r="BN685" s="14"/>
      <c r="BO685" s="14"/>
      <c r="BP685" s="14"/>
      <c r="BQ685" s="14"/>
      <c r="BR685" s="14"/>
      <c r="BS685" s="14"/>
      <c r="BT685" s="14"/>
      <c r="BU685" s="14"/>
      <c r="BV685" s="14"/>
      <c r="BW685" s="14"/>
      <c r="BX685" s="14"/>
      <c r="BY685" s="170"/>
    </row>
    <row r="686" spans="9:77" x14ac:dyDescent="0.25">
      <c r="I686">
        <v>6430</v>
      </c>
      <c r="J686" s="1" t="s">
        <v>862</v>
      </c>
      <c r="K686">
        <v>370.85333333333301</v>
      </c>
      <c r="L686">
        <v>344.81333333333299</v>
      </c>
      <c r="M686">
        <v>360.60333333333301</v>
      </c>
      <c r="N686">
        <v>349.09</v>
      </c>
      <c r="O686">
        <v>344.36666666666599</v>
      </c>
      <c r="P686">
        <v>341.15</v>
      </c>
      <c r="Q686">
        <v>347.64333333333298</v>
      </c>
      <c r="R686">
        <v>302.29000000000002</v>
      </c>
      <c r="S686">
        <v>331.67</v>
      </c>
      <c r="T686">
        <v>311.89999999999998</v>
      </c>
      <c r="U686">
        <v>301.87333333333299</v>
      </c>
      <c r="V686">
        <v>294.83333333333297</v>
      </c>
      <c r="W686">
        <v>351.63333333333298</v>
      </c>
      <c r="X686">
        <v>326.82333333333298</v>
      </c>
      <c r="Y686">
        <v>336.41</v>
      </c>
      <c r="Z686">
        <v>334.5</v>
      </c>
      <c r="AA686">
        <v>329.683333333333</v>
      </c>
      <c r="AB686">
        <v>329.683333333333</v>
      </c>
      <c r="AC686">
        <v>376.10333333333301</v>
      </c>
      <c r="AD686">
        <v>347.16</v>
      </c>
      <c r="AE686">
        <v>364.6</v>
      </c>
      <c r="AF686">
        <v>356.48333333333301</v>
      </c>
      <c r="AG686">
        <v>351.54333333333301</v>
      </c>
      <c r="AH686">
        <v>349.26666666666603</v>
      </c>
      <c r="AI686">
        <v>370.85333333333301</v>
      </c>
      <c r="AJ686">
        <v>344.81333333333299</v>
      </c>
      <c r="AK686">
        <v>360.60333333333301</v>
      </c>
      <c r="AL686">
        <v>349.09</v>
      </c>
      <c r="AM686">
        <v>344.36666666666599</v>
      </c>
      <c r="AN686">
        <v>341.15</v>
      </c>
      <c r="AO686">
        <v>368.236666666666</v>
      </c>
      <c r="AP686">
        <v>311.80666666666599</v>
      </c>
      <c r="AQ686">
        <v>351.36</v>
      </c>
      <c r="AR686">
        <v>323.30666666666599</v>
      </c>
      <c r="AS686">
        <v>310.14666666666602</v>
      </c>
      <c r="AT686">
        <v>301.3</v>
      </c>
      <c r="AU686">
        <v>384.59</v>
      </c>
      <c r="AV686">
        <v>341.20999999999901</v>
      </c>
      <c r="AW686">
        <v>370.28666666666601</v>
      </c>
      <c r="AX686">
        <v>351.22333333333302</v>
      </c>
      <c r="AY686">
        <v>341.50333333333299</v>
      </c>
      <c r="AZ686">
        <v>334.63666666666597</v>
      </c>
      <c r="BA686">
        <v>371.56999999999903</v>
      </c>
      <c r="BB686">
        <v>326.76666666666603</v>
      </c>
      <c r="BC686">
        <v>356.38666666666597</v>
      </c>
      <c r="BD686">
        <v>336.74</v>
      </c>
      <c r="BE686">
        <v>326.81666666666598</v>
      </c>
      <c r="BF686">
        <v>319.65666666666601</v>
      </c>
      <c r="BG686" s="14"/>
      <c r="BH686" s="14"/>
      <c r="BI686" s="14"/>
      <c r="BJ686" s="199"/>
      <c r="BK686" s="14"/>
      <c r="BL686" s="14"/>
      <c r="BM686" s="14"/>
      <c r="BN686" s="14"/>
      <c r="BO686" s="14"/>
      <c r="BP686" s="14"/>
      <c r="BQ686" s="14"/>
      <c r="BR686" s="14"/>
      <c r="BS686" s="14"/>
      <c r="BT686" s="14"/>
      <c r="BU686" s="14"/>
      <c r="BV686" s="14"/>
      <c r="BW686" s="14"/>
      <c r="BX686" s="14"/>
      <c r="BY686" s="170"/>
    </row>
    <row r="687" spans="9:77" x14ac:dyDescent="0.25">
      <c r="I687">
        <v>6440</v>
      </c>
      <c r="J687" s="1" t="s">
        <v>863</v>
      </c>
      <c r="K687">
        <v>362.56333333333299</v>
      </c>
      <c r="L687">
        <v>320.30666666666599</v>
      </c>
      <c r="M687">
        <v>348.26999999999902</v>
      </c>
      <c r="N687">
        <v>328.34666666666601</v>
      </c>
      <c r="O687">
        <v>319.25999999999902</v>
      </c>
      <c r="P687">
        <v>312.77999999999901</v>
      </c>
      <c r="Q687">
        <v>341.98999999999899</v>
      </c>
      <c r="R687">
        <v>284.94999999999902</v>
      </c>
      <c r="S687">
        <v>324.02999999999901</v>
      </c>
      <c r="T687">
        <v>298.40666666666601</v>
      </c>
      <c r="U687">
        <v>284.70333333333298</v>
      </c>
      <c r="V687">
        <v>273.356666666666</v>
      </c>
      <c r="W687">
        <v>344.86666666666599</v>
      </c>
      <c r="X687">
        <v>316.29999999999899</v>
      </c>
      <c r="Y687">
        <v>327.39333333333298</v>
      </c>
      <c r="Z687">
        <v>325.50666666666598</v>
      </c>
      <c r="AA687">
        <v>319.89666666666602</v>
      </c>
      <c r="AB687">
        <v>319.89666666666602</v>
      </c>
      <c r="AC687">
        <v>368.12999999999897</v>
      </c>
      <c r="AD687">
        <v>323.88333333333298</v>
      </c>
      <c r="AE687">
        <v>353.553333333333</v>
      </c>
      <c r="AF687">
        <v>340.349999999999</v>
      </c>
      <c r="AG687">
        <v>331.88333333333298</v>
      </c>
      <c r="AH687">
        <v>327.89666666666602</v>
      </c>
      <c r="AI687">
        <v>362.56333333333299</v>
      </c>
      <c r="AJ687">
        <v>320.30666666666599</v>
      </c>
      <c r="AK687">
        <v>348.26999999999902</v>
      </c>
      <c r="AL687">
        <v>328.34666666666601</v>
      </c>
      <c r="AM687">
        <v>319.25999999999902</v>
      </c>
      <c r="AN687">
        <v>312.77999999999901</v>
      </c>
      <c r="AO687">
        <v>360.02666666666602</v>
      </c>
      <c r="AP687">
        <v>293.10333333333301</v>
      </c>
      <c r="AQ687">
        <v>341.42999999999898</v>
      </c>
      <c r="AR687">
        <v>308.33999999999901</v>
      </c>
      <c r="AS687">
        <v>290.606666666666</v>
      </c>
      <c r="AT687">
        <v>276.43666666666599</v>
      </c>
      <c r="AU687">
        <v>373.479999999999</v>
      </c>
      <c r="AV687">
        <v>321.52666666666602</v>
      </c>
      <c r="AW687">
        <v>356.63333333333298</v>
      </c>
      <c r="AX687">
        <v>333.66999999999899</v>
      </c>
      <c r="AY687">
        <v>321.71666666666601</v>
      </c>
      <c r="AZ687">
        <v>312.97333333333302</v>
      </c>
      <c r="BA687">
        <v>365.40333333333302</v>
      </c>
      <c r="BB687">
        <v>310.94999999999902</v>
      </c>
      <c r="BC687">
        <v>348.38333333333298</v>
      </c>
      <c r="BD687">
        <v>323.43999999999897</v>
      </c>
      <c r="BE687">
        <v>310.44666666666598</v>
      </c>
      <c r="BF687">
        <v>299.99666666666599</v>
      </c>
      <c r="BG687" s="14"/>
      <c r="BH687" s="14"/>
      <c r="BI687" s="14"/>
      <c r="BJ687" s="199"/>
      <c r="BK687" s="14"/>
      <c r="BL687" s="14"/>
      <c r="BM687" s="14"/>
      <c r="BN687" s="14"/>
      <c r="BO687" s="14"/>
      <c r="BP687" s="14"/>
      <c r="BQ687" s="14"/>
      <c r="BR687" s="14"/>
      <c r="BS687" s="14"/>
      <c r="BT687" s="14"/>
      <c r="BU687" s="14"/>
      <c r="BV687" s="14"/>
      <c r="BW687" s="14"/>
      <c r="BX687" s="14"/>
      <c r="BY687" s="170"/>
    </row>
    <row r="688" spans="9:77" x14ac:dyDescent="0.25">
      <c r="I688">
        <v>6470</v>
      </c>
      <c r="J688" s="1" t="s">
        <v>864</v>
      </c>
      <c r="K688">
        <v>357.90333333333302</v>
      </c>
      <c r="L688">
        <v>315.64666666666602</v>
      </c>
      <c r="M688">
        <v>343.60999999999899</v>
      </c>
      <c r="N688">
        <v>323.68666666666599</v>
      </c>
      <c r="O688">
        <v>314.60000000000002</v>
      </c>
      <c r="P688">
        <v>308.12</v>
      </c>
      <c r="Q688">
        <v>337.32999999999902</v>
      </c>
      <c r="R688">
        <v>280.289999999999</v>
      </c>
      <c r="S688">
        <v>319.37</v>
      </c>
      <c r="T688">
        <v>293.74666666666599</v>
      </c>
      <c r="U688">
        <v>280.04333333333301</v>
      </c>
      <c r="V688">
        <v>268.69666666666598</v>
      </c>
      <c r="W688">
        <v>340.20666666666602</v>
      </c>
      <c r="X688">
        <v>311.63999999999902</v>
      </c>
      <c r="Y688">
        <v>322.73333333333301</v>
      </c>
      <c r="Z688">
        <v>320.84666666666601</v>
      </c>
      <c r="AA688">
        <v>315.236666666666</v>
      </c>
      <c r="AB688">
        <v>315.236666666666</v>
      </c>
      <c r="AC688">
        <v>363.469999999999</v>
      </c>
      <c r="AD688">
        <v>319.22333333333302</v>
      </c>
      <c r="AE688">
        <v>348.89333333333298</v>
      </c>
      <c r="AF688">
        <v>335.69</v>
      </c>
      <c r="AG688">
        <v>327.22333333333302</v>
      </c>
      <c r="AH688">
        <v>323.236666666666</v>
      </c>
      <c r="AI688">
        <v>357.90333333333302</v>
      </c>
      <c r="AJ688">
        <v>315.64666666666602</v>
      </c>
      <c r="AK688">
        <v>343.60999999999899</v>
      </c>
      <c r="AL688">
        <v>323.68666666666599</v>
      </c>
      <c r="AM688">
        <v>314.60000000000002</v>
      </c>
      <c r="AN688">
        <v>308.12</v>
      </c>
      <c r="AO688">
        <v>355.36666666666599</v>
      </c>
      <c r="AP688">
        <v>288.44333333333299</v>
      </c>
      <c r="AQ688">
        <v>336.76999999999902</v>
      </c>
      <c r="AR688">
        <v>303.68</v>
      </c>
      <c r="AS688">
        <v>285.94666666666598</v>
      </c>
      <c r="AT688">
        <v>271.77666666666602</v>
      </c>
      <c r="AU688">
        <v>368.81999999999903</v>
      </c>
      <c r="AV688">
        <v>316.86666666666599</v>
      </c>
      <c r="AW688">
        <v>351.97333333333302</v>
      </c>
      <c r="AX688">
        <v>329.01</v>
      </c>
      <c r="AY688">
        <v>317.05666666666599</v>
      </c>
      <c r="AZ688">
        <v>308.31333333333299</v>
      </c>
      <c r="BA688">
        <v>360.743333333333</v>
      </c>
      <c r="BB688">
        <v>306.29000000000002</v>
      </c>
      <c r="BC688">
        <v>343.72333333333302</v>
      </c>
      <c r="BD688">
        <v>318.77999999999901</v>
      </c>
      <c r="BE688">
        <v>305.78666666666601</v>
      </c>
      <c r="BF688">
        <v>295.33666666666602</v>
      </c>
      <c r="BG688" s="14"/>
      <c r="BH688" s="14"/>
      <c r="BI688" s="14"/>
      <c r="BJ688" s="199"/>
      <c r="BK688" s="14"/>
      <c r="BL688" s="14"/>
      <c r="BM688" s="14"/>
      <c r="BN688" s="14"/>
      <c r="BO688" s="14"/>
      <c r="BP688" s="14"/>
      <c r="BQ688" s="14"/>
      <c r="BR688" s="14"/>
      <c r="BS688" s="14"/>
      <c r="BT688" s="14"/>
      <c r="BU688" s="14"/>
      <c r="BV688" s="14"/>
      <c r="BW688" s="14"/>
      <c r="BX688" s="14"/>
      <c r="BY688" s="170"/>
    </row>
    <row r="689" spans="9:77" x14ac:dyDescent="0.25">
      <c r="I689">
        <v>6500</v>
      </c>
      <c r="J689" s="1" t="s">
        <v>865</v>
      </c>
      <c r="K689">
        <v>619.35333333333301</v>
      </c>
      <c r="L689">
        <v>593.31333333333305</v>
      </c>
      <c r="M689">
        <v>609.10333333333301</v>
      </c>
      <c r="N689">
        <v>597.58999999999901</v>
      </c>
      <c r="O689">
        <v>592.86666666666599</v>
      </c>
      <c r="P689">
        <v>589.64999999999895</v>
      </c>
      <c r="Q689">
        <v>596.14333333333298</v>
      </c>
      <c r="R689">
        <v>550.78999999999905</v>
      </c>
      <c r="S689">
        <v>580.16999999999905</v>
      </c>
      <c r="T689">
        <v>560.39999999999895</v>
      </c>
      <c r="U689">
        <v>550.37333333333299</v>
      </c>
      <c r="V689">
        <v>543.33333333333303</v>
      </c>
      <c r="W689">
        <v>600.13333333333298</v>
      </c>
      <c r="X689">
        <v>575.32333333333304</v>
      </c>
      <c r="Y689">
        <v>584.90999999999894</v>
      </c>
      <c r="Z689">
        <v>582.99999999999898</v>
      </c>
      <c r="AA689">
        <v>578.18333333333305</v>
      </c>
      <c r="AB689">
        <v>578.18333333333305</v>
      </c>
      <c r="AC689">
        <v>624.60333333333301</v>
      </c>
      <c r="AD689">
        <v>595.65999999999894</v>
      </c>
      <c r="AE689">
        <v>613.1</v>
      </c>
      <c r="AF689">
        <v>604.98333333333301</v>
      </c>
      <c r="AG689">
        <v>600.04333333333295</v>
      </c>
      <c r="AH689">
        <v>597.76666666666597</v>
      </c>
      <c r="AI689">
        <v>619.35333333333301</v>
      </c>
      <c r="AJ689">
        <v>593.31333333333305</v>
      </c>
      <c r="AK689">
        <v>609.10333333333301</v>
      </c>
      <c r="AL689">
        <v>597.58999999999901</v>
      </c>
      <c r="AM689">
        <v>592.86666666666599</v>
      </c>
      <c r="AN689">
        <v>589.64999999999895</v>
      </c>
      <c r="AO689">
        <v>616.736666666666</v>
      </c>
      <c r="AP689">
        <v>560.30666666666605</v>
      </c>
      <c r="AQ689">
        <v>599.85999999999899</v>
      </c>
      <c r="AR689">
        <v>571.80666666666605</v>
      </c>
      <c r="AS689">
        <v>558.64666666666596</v>
      </c>
      <c r="AT689">
        <v>549.79999999999905</v>
      </c>
      <c r="AU689">
        <v>633.08999999999901</v>
      </c>
      <c r="AV689">
        <v>589.70999999999901</v>
      </c>
      <c r="AW689">
        <v>618.78666666666595</v>
      </c>
      <c r="AX689">
        <v>599.72333333333302</v>
      </c>
      <c r="AY689">
        <v>590.00333333333299</v>
      </c>
      <c r="AZ689">
        <v>583.13666666666597</v>
      </c>
      <c r="BA689">
        <v>620.06999999999903</v>
      </c>
      <c r="BB689">
        <v>575.26666666666597</v>
      </c>
      <c r="BC689">
        <v>604.88666666666597</v>
      </c>
      <c r="BD689">
        <v>585.23999999999899</v>
      </c>
      <c r="BE689">
        <v>575.31666666666604</v>
      </c>
      <c r="BF689">
        <v>568.15666666666596</v>
      </c>
      <c r="BG689" s="14"/>
      <c r="BH689" s="14"/>
      <c r="BI689" s="14"/>
      <c r="BJ689" s="199"/>
      <c r="BK689" s="14"/>
      <c r="BL689" s="14"/>
      <c r="BM689" s="14"/>
      <c r="BN689" s="14"/>
      <c r="BO689" s="14"/>
      <c r="BP689" s="14"/>
      <c r="BQ689" s="14"/>
      <c r="BR689" s="14"/>
      <c r="BS689" s="14"/>
      <c r="BT689" s="14"/>
      <c r="BU689" s="14"/>
      <c r="BV689" s="14"/>
      <c r="BW689" s="14"/>
      <c r="BX689" s="14"/>
      <c r="BY689" s="170"/>
    </row>
    <row r="690" spans="9:77" x14ac:dyDescent="0.25">
      <c r="I690">
        <v>6510</v>
      </c>
      <c r="J690" s="1" t="s">
        <v>866</v>
      </c>
      <c r="K690">
        <v>683.45666666666602</v>
      </c>
      <c r="L690">
        <v>655.47333333333302</v>
      </c>
      <c r="M690">
        <v>673.09666666666601</v>
      </c>
      <c r="N690">
        <v>660.57999999999902</v>
      </c>
      <c r="O690">
        <v>654.81999999999903</v>
      </c>
      <c r="P690">
        <v>650.39333333333298</v>
      </c>
      <c r="Q690">
        <v>659.34666666666601</v>
      </c>
      <c r="R690">
        <v>610.69000000000005</v>
      </c>
      <c r="S690">
        <v>642.20666666666602</v>
      </c>
      <c r="T690">
        <v>621.96666666666601</v>
      </c>
      <c r="U690">
        <v>611.27999999999895</v>
      </c>
      <c r="V690">
        <v>603.65999999999894</v>
      </c>
      <c r="W690">
        <v>662.849999999999</v>
      </c>
      <c r="X690">
        <v>636.16999999999905</v>
      </c>
      <c r="Y690">
        <v>646.13333333333298</v>
      </c>
      <c r="Z690">
        <v>644.38666666666597</v>
      </c>
      <c r="AA690">
        <v>639.39999999999895</v>
      </c>
      <c r="AB690">
        <v>639.39999999999895</v>
      </c>
      <c r="AC690">
        <v>684.92999999999904</v>
      </c>
      <c r="AD690">
        <v>653.70666666666602</v>
      </c>
      <c r="AE690">
        <v>673.31333333333305</v>
      </c>
      <c r="AF690">
        <v>664.57666666666603</v>
      </c>
      <c r="AG690">
        <v>658.88999999999896</v>
      </c>
      <c r="AH690">
        <v>656.20333333333303</v>
      </c>
      <c r="AI690">
        <v>683.45666666666602</v>
      </c>
      <c r="AJ690">
        <v>655.47333333333302</v>
      </c>
      <c r="AK690">
        <v>673.09666666666601</v>
      </c>
      <c r="AL690">
        <v>660.57999999999902</v>
      </c>
      <c r="AM690">
        <v>654.81999999999903</v>
      </c>
      <c r="AN690">
        <v>650.39333333333298</v>
      </c>
      <c r="AO690">
        <v>673.229999999999</v>
      </c>
      <c r="AP690">
        <v>613.51999999999896</v>
      </c>
      <c r="AQ690">
        <v>654.729999999999</v>
      </c>
      <c r="AR690">
        <v>625.90333333333297</v>
      </c>
      <c r="AS690">
        <v>612.16999999999905</v>
      </c>
      <c r="AT690">
        <v>602.66666666666595</v>
      </c>
      <c r="AU690">
        <v>687.97666666666601</v>
      </c>
      <c r="AV690">
        <v>643.59666666666601</v>
      </c>
      <c r="AW690">
        <v>672.77999999999895</v>
      </c>
      <c r="AX690">
        <v>653.96333333333303</v>
      </c>
      <c r="AY690">
        <v>644.07999999999902</v>
      </c>
      <c r="AZ690">
        <v>637.44666666666603</v>
      </c>
      <c r="BA690">
        <v>676.95666666666602</v>
      </c>
      <c r="BB690">
        <v>631.58333333333303</v>
      </c>
      <c r="BC690">
        <v>661.30666666666605</v>
      </c>
      <c r="BD690">
        <v>641.64666666666596</v>
      </c>
      <c r="BE690">
        <v>631.69333333333304</v>
      </c>
      <c r="BF690">
        <v>624.26999999999896</v>
      </c>
      <c r="BG690" s="14"/>
      <c r="BH690" s="14"/>
      <c r="BI690" s="14"/>
      <c r="BJ690" s="199"/>
      <c r="BK690" s="14"/>
      <c r="BL690" s="14"/>
      <c r="BM690" s="14"/>
      <c r="BN690" s="14"/>
      <c r="BO690" s="14"/>
      <c r="BP690" s="14"/>
      <c r="BQ690" s="14"/>
      <c r="BR690" s="14"/>
      <c r="BS690" s="14"/>
      <c r="BT690" s="14"/>
      <c r="BU690" s="14"/>
      <c r="BV690" s="14"/>
      <c r="BW690" s="14"/>
      <c r="BX690" s="14"/>
      <c r="BY690" s="170"/>
    </row>
    <row r="691" spans="9:77" x14ac:dyDescent="0.25">
      <c r="I691">
        <v>6520</v>
      </c>
      <c r="J691" s="1" t="s">
        <v>867</v>
      </c>
      <c r="K691">
        <v>679.51333333333298</v>
      </c>
      <c r="L691">
        <v>653.47333333333302</v>
      </c>
      <c r="M691">
        <v>669.26333333333298</v>
      </c>
      <c r="N691">
        <v>657.75</v>
      </c>
      <c r="O691">
        <v>653.02666666666596</v>
      </c>
      <c r="P691">
        <v>649.80999999999904</v>
      </c>
      <c r="Q691">
        <v>656.30333333333294</v>
      </c>
      <c r="R691">
        <v>610.94999999999902</v>
      </c>
      <c r="S691">
        <v>640.33000000000004</v>
      </c>
      <c r="T691">
        <v>620.55999999999904</v>
      </c>
      <c r="U691">
        <v>610.53333333333296</v>
      </c>
      <c r="V691">
        <v>603.493333333333</v>
      </c>
      <c r="W691">
        <v>660.29333333333295</v>
      </c>
      <c r="X691">
        <v>635.48333333333301</v>
      </c>
      <c r="Y691">
        <v>645.07000000000005</v>
      </c>
      <c r="Z691">
        <v>643.15999999999894</v>
      </c>
      <c r="AA691">
        <v>638.34333333333302</v>
      </c>
      <c r="AB691">
        <v>638.34333333333302</v>
      </c>
      <c r="AC691">
        <v>684.76333333333298</v>
      </c>
      <c r="AD691">
        <v>655.81999999999903</v>
      </c>
      <c r="AE691">
        <v>673.26</v>
      </c>
      <c r="AF691">
        <v>665.14333333333298</v>
      </c>
      <c r="AG691">
        <v>660.20333333333303</v>
      </c>
      <c r="AH691">
        <v>657.92666666666605</v>
      </c>
      <c r="AI691">
        <v>679.51333333333298</v>
      </c>
      <c r="AJ691">
        <v>653.47333333333302</v>
      </c>
      <c r="AK691">
        <v>669.26333333333298</v>
      </c>
      <c r="AL691">
        <v>657.75</v>
      </c>
      <c r="AM691">
        <v>653.02666666666596</v>
      </c>
      <c r="AN691">
        <v>649.80999999999904</v>
      </c>
      <c r="AO691">
        <v>676.89666666666596</v>
      </c>
      <c r="AP691">
        <v>620.46666666666601</v>
      </c>
      <c r="AQ691">
        <v>660.01999999999896</v>
      </c>
      <c r="AR691">
        <v>631.96666666666601</v>
      </c>
      <c r="AS691">
        <v>618.80666666666605</v>
      </c>
      <c r="AT691">
        <v>609.96</v>
      </c>
      <c r="AU691">
        <v>693.24999999999898</v>
      </c>
      <c r="AV691">
        <v>649.86999999999898</v>
      </c>
      <c r="AW691">
        <v>678.94666666666603</v>
      </c>
      <c r="AX691">
        <v>659.88333333333298</v>
      </c>
      <c r="AY691">
        <v>650.16333333333296</v>
      </c>
      <c r="AZ691">
        <v>643.29666666666606</v>
      </c>
      <c r="BA691">
        <v>680.229999999999</v>
      </c>
      <c r="BB691">
        <v>635.42666666666605</v>
      </c>
      <c r="BC691">
        <v>665.04666666666606</v>
      </c>
      <c r="BD691">
        <v>645.39999999999895</v>
      </c>
      <c r="BE691">
        <v>635.47666666666601</v>
      </c>
      <c r="BF691">
        <v>628.31666666666604</v>
      </c>
      <c r="BG691" s="14"/>
      <c r="BH691" s="14"/>
      <c r="BI691" s="14"/>
      <c r="BJ691" s="199"/>
      <c r="BK691" s="14"/>
      <c r="BL691" s="14"/>
      <c r="BM691" s="14"/>
      <c r="BN691" s="14"/>
      <c r="BO691" s="14"/>
      <c r="BP691" s="14"/>
      <c r="BQ691" s="14"/>
      <c r="BR691" s="14"/>
      <c r="BS691" s="14"/>
      <c r="BT691" s="14"/>
      <c r="BU691" s="14"/>
      <c r="BV691" s="14"/>
      <c r="BW691" s="14"/>
      <c r="BX691" s="14"/>
      <c r="BY691" s="170"/>
    </row>
    <row r="692" spans="9:77" x14ac:dyDescent="0.25">
      <c r="I692">
        <v>6534</v>
      </c>
      <c r="J692" s="1" t="s">
        <v>868</v>
      </c>
      <c r="K692">
        <v>644.16333333333296</v>
      </c>
      <c r="L692">
        <v>618.12333333333299</v>
      </c>
      <c r="M692">
        <v>633.91333333333296</v>
      </c>
      <c r="N692">
        <v>622.4</v>
      </c>
      <c r="O692">
        <v>617.67666666666605</v>
      </c>
      <c r="P692">
        <v>614.46</v>
      </c>
      <c r="Q692">
        <v>620.95333333333303</v>
      </c>
      <c r="R692">
        <v>575.599999999999</v>
      </c>
      <c r="S692">
        <v>604.98</v>
      </c>
      <c r="T692">
        <v>585.21</v>
      </c>
      <c r="U692">
        <v>575.18333333333305</v>
      </c>
      <c r="V692">
        <v>568.14333333333298</v>
      </c>
      <c r="W692">
        <v>624.94333333333304</v>
      </c>
      <c r="X692">
        <v>600.13333333333298</v>
      </c>
      <c r="Y692">
        <v>609.72</v>
      </c>
      <c r="Z692">
        <v>607.80999999999995</v>
      </c>
      <c r="AA692">
        <v>602.993333333333</v>
      </c>
      <c r="AB692">
        <v>602.993333333333</v>
      </c>
      <c r="AC692">
        <v>649.41333333333296</v>
      </c>
      <c r="AD692">
        <v>620.47</v>
      </c>
      <c r="AE692">
        <v>637.91</v>
      </c>
      <c r="AF692">
        <v>629.79333333333295</v>
      </c>
      <c r="AG692">
        <v>624.85333333333301</v>
      </c>
      <c r="AH692">
        <v>622.57666666666603</v>
      </c>
      <c r="AI692">
        <v>644.16333333333296</v>
      </c>
      <c r="AJ692">
        <v>618.12333333333299</v>
      </c>
      <c r="AK692">
        <v>633.91333333333296</v>
      </c>
      <c r="AL692">
        <v>622.4</v>
      </c>
      <c r="AM692">
        <v>617.67666666666605</v>
      </c>
      <c r="AN692">
        <v>614.46</v>
      </c>
      <c r="AO692">
        <v>641.54666666666606</v>
      </c>
      <c r="AP692">
        <v>585.11666666666599</v>
      </c>
      <c r="AQ692">
        <v>624.66999999999905</v>
      </c>
      <c r="AR692">
        <v>596.61666666666599</v>
      </c>
      <c r="AS692">
        <v>583.45666666666602</v>
      </c>
      <c r="AT692">
        <v>574.61</v>
      </c>
      <c r="AU692">
        <v>657.89999999999895</v>
      </c>
      <c r="AV692">
        <v>614.51999999999896</v>
      </c>
      <c r="AW692">
        <v>643.59666666666601</v>
      </c>
      <c r="AX692">
        <v>624.53333333333296</v>
      </c>
      <c r="AY692">
        <v>614.81333333333305</v>
      </c>
      <c r="AZ692">
        <v>607.94666666666603</v>
      </c>
      <c r="BA692">
        <v>644.87999999999897</v>
      </c>
      <c r="BB692">
        <v>600.07666666666603</v>
      </c>
      <c r="BC692">
        <v>629.69666666666603</v>
      </c>
      <c r="BD692">
        <v>610.04999999999995</v>
      </c>
      <c r="BE692">
        <v>600.12666666666598</v>
      </c>
      <c r="BF692">
        <v>592.96666666666601</v>
      </c>
      <c r="BG692" s="14"/>
      <c r="BH692" s="14"/>
      <c r="BI692" s="14"/>
      <c r="BJ692" s="199"/>
      <c r="BK692" s="14"/>
      <c r="BL692" s="14"/>
      <c r="BM692" s="14"/>
      <c r="BN692" s="14"/>
      <c r="BO692" s="14"/>
      <c r="BP692" s="14"/>
      <c r="BQ692" s="14"/>
      <c r="BR692" s="14"/>
      <c r="BS692" s="14"/>
      <c r="BT692" s="14"/>
      <c r="BU692" s="14"/>
      <c r="BV692" s="14"/>
      <c r="BW692" s="14"/>
      <c r="BX692" s="14"/>
      <c r="BY692" s="170"/>
    </row>
    <row r="693" spans="9:77" x14ac:dyDescent="0.25">
      <c r="I693">
        <v>6535</v>
      </c>
      <c r="J693" s="1" t="s">
        <v>869</v>
      </c>
      <c r="K693">
        <v>657.95333333333303</v>
      </c>
      <c r="L693">
        <v>631.91333333333296</v>
      </c>
      <c r="M693">
        <v>647.70333333333303</v>
      </c>
      <c r="N693">
        <v>636.19000000000005</v>
      </c>
      <c r="O693">
        <v>631.46666666666601</v>
      </c>
      <c r="P693">
        <v>628.25</v>
      </c>
      <c r="Q693">
        <v>634.743333333333</v>
      </c>
      <c r="R693">
        <v>589.38999999999896</v>
      </c>
      <c r="S693">
        <v>618.77</v>
      </c>
      <c r="T693">
        <v>599</v>
      </c>
      <c r="U693">
        <v>588.97333333333302</v>
      </c>
      <c r="V693">
        <v>581.93333333333305</v>
      </c>
      <c r="W693">
        <v>638.73333333333301</v>
      </c>
      <c r="X693">
        <v>613.92333333333295</v>
      </c>
      <c r="Y693">
        <v>623.51</v>
      </c>
      <c r="Z693">
        <v>621.6</v>
      </c>
      <c r="AA693">
        <v>616.78333333333296</v>
      </c>
      <c r="AB693">
        <v>616.78333333333296</v>
      </c>
      <c r="AC693">
        <v>663.20333333333303</v>
      </c>
      <c r="AD693">
        <v>634.25999999999897</v>
      </c>
      <c r="AE693">
        <v>651.70000000000005</v>
      </c>
      <c r="AF693">
        <v>643.58333333333303</v>
      </c>
      <c r="AG693">
        <v>638.64333333333298</v>
      </c>
      <c r="AH693">
        <v>636.36666666666599</v>
      </c>
      <c r="AI693">
        <v>657.95333333333303</v>
      </c>
      <c r="AJ693">
        <v>631.91333333333296</v>
      </c>
      <c r="AK693">
        <v>647.70333333333303</v>
      </c>
      <c r="AL693">
        <v>636.19000000000005</v>
      </c>
      <c r="AM693">
        <v>631.46666666666601</v>
      </c>
      <c r="AN693">
        <v>628.25</v>
      </c>
      <c r="AO693">
        <v>655.33666666666602</v>
      </c>
      <c r="AP693">
        <v>598.90666666666596</v>
      </c>
      <c r="AQ693">
        <v>638.45999999999901</v>
      </c>
      <c r="AR693">
        <v>610.40666666666596</v>
      </c>
      <c r="AS693">
        <v>597.24666666666599</v>
      </c>
      <c r="AT693">
        <v>588.4</v>
      </c>
      <c r="AU693">
        <v>671.68999999999903</v>
      </c>
      <c r="AV693">
        <v>628.30999999999904</v>
      </c>
      <c r="AW693">
        <v>657.38666666666597</v>
      </c>
      <c r="AX693">
        <v>638.32333333333304</v>
      </c>
      <c r="AY693">
        <v>628.60333333333301</v>
      </c>
      <c r="AZ693">
        <v>621.736666666666</v>
      </c>
      <c r="BA693">
        <v>658.66999999999905</v>
      </c>
      <c r="BB693">
        <v>613.86666666666599</v>
      </c>
      <c r="BC693">
        <v>643.486666666666</v>
      </c>
      <c r="BD693">
        <v>623.84</v>
      </c>
      <c r="BE693">
        <v>613.91666666666595</v>
      </c>
      <c r="BF693">
        <v>606.75666666666598</v>
      </c>
      <c r="BG693" s="14"/>
      <c r="BH693" s="14"/>
      <c r="BI693" s="14"/>
      <c r="BJ693" s="199"/>
      <c r="BK693" s="14"/>
      <c r="BL693" s="14"/>
      <c r="BM693" s="14"/>
      <c r="BN693" s="14"/>
      <c r="BO693" s="14"/>
      <c r="BP693" s="14"/>
      <c r="BQ693" s="14"/>
      <c r="BR693" s="14"/>
      <c r="BS693" s="14"/>
      <c r="BT693" s="14"/>
      <c r="BU693" s="14"/>
      <c r="BV693" s="14"/>
      <c r="BW693" s="14"/>
      <c r="BX693" s="14"/>
      <c r="BY693" s="170"/>
    </row>
    <row r="694" spans="9:77" x14ac:dyDescent="0.25">
      <c r="I694">
        <v>6541</v>
      </c>
      <c r="J694" s="1" t="s">
        <v>870</v>
      </c>
      <c r="K694">
        <v>619.35333333333301</v>
      </c>
      <c r="L694">
        <v>593.31333333333305</v>
      </c>
      <c r="M694">
        <v>609.10333333333301</v>
      </c>
      <c r="N694">
        <v>597.58999999999901</v>
      </c>
      <c r="O694">
        <v>592.86666666666599</v>
      </c>
      <c r="P694">
        <v>589.64999999999895</v>
      </c>
      <c r="Q694">
        <v>596.14333333333298</v>
      </c>
      <c r="R694">
        <v>550.78999999999905</v>
      </c>
      <c r="S694">
        <v>580.16999999999905</v>
      </c>
      <c r="T694">
        <v>560.39999999999895</v>
      </c>
      <c r="U694">
        <v>550.37333333333299</v>
      </c>
      <c r="V694">
        <v>543.33333333333303</v>
      </c>
      <c r="W694">
        <v>600.13333333333298</v>
      </c>
      <c r="X694">
        <v>575.32333333333304</v>
      </c>
      <c r="Y694">
        <v>584.90999999999894</v>
      </c>
      <c r="Z694">
        <v>582.99999999999898</v>
      </c>
      <c r="AA694">
        <v>578.18333333333305</v>
      </c>
      <c r="AB694">
        <v>578.18333333333305</v>
      </c>
      <c r="AC694">
        <v>624.60333333333301</v>
      </c>
      <c r="AD694">
        <v>595.65999999999894</v>
      </c>
      <c r="AE694">
        <v>613.1</v>
      </c>
      <c r="AF694">
        <v>604.98333333333301</v>
      </c>
      <c r="AG694">
        <v>600.04333333333295</v>
      </c>
      <c r="AH694">
        <v>597.76666666666597</v>
      </c>
      <c r="AI694">
        <v>619.35333333333301</v>
      </c>
      <c r="AJ694">
        <v>593.31333333333305</v>
      </c>
      <c r="AK694">
        <v>609.10333333333301</v>
      </c>
      <c r="AL694">
        <v>597.58999999999901</v>
      </c>
      <c r="AM694">
        <v>592.86666666666599</v>
      </c>
      <c r="AN694">
        <v>589.64999999999895</v>
      </c>
      <c r="AO694">
        <v>616.736666666666</v>
      </c>
      <c r="AP694">
        <v>560.30666666666605</v>
      </c>
      <c r="AQ694">
        <v>599.85999999999899</v>
      </c>
      <c r="AR694">
        <v>571.80666666666605</v>
      </c>
      <c r="AS694">
        <v>558.64666666666596</v>
      </c>
      <c r="AT694">
        <v>549.79999999999905</v>
      </c>
      <c r="AU694">
        <v>633.08999999999901</v>
      </c>
      <c r="AV694">
        <v>589.70999999999901</v>
      </c>
      <c r="AW694">
        <v>618.78666666666595</v>
      </c>
      <c r="AX694">
        <v>599.72333333333302</v>
      </c>
      <c r="AY694">
        <v>590.00333333333299</v>
      </c>
      <c r="AZ694">
        <v>583.13666666666597</v>
      </c>
      <c r="BA694">
        <v>620.06999999999903</v>
      </c>
      <c r="BB694">
        <v>575.26666666666597</v>
      </c>
      <c r="BC694">
        <v>604.88666666666597</v>
      </c>
      <c r="BD694">
        <v>585.23999999999899</v>
      </c>
      <c r="BE694">
        <v>575.31666666666604</v>
      </c>
      <c r="BF694">
        <v>568.15666666666596</v>
      </c>
      <c r="BG694" s="14"/>
      <c r="BH694" s="14"/>
      <c r="BI694" s="14"/>
      <c r="BJ694" s="199"/>
      <c r="BK694" s="14"/>
      <c r="BL694" s="14"/>
      <c r="BM694" s="14"/>
      <c r="BN694" s="14"/>
      <c r="BO694" s="14"/>
      <c r="BP694" s="14"/>
      <c r="BQ694" s="14"/>
      <c r="BR694" s="14"/>
      <c r="BS694" s="14"/>
      <c r="BT694" s="14"/>
      <c r="BU694" s="14"/>
      <c r="BV694" s="14"/>
      <c r="BW694" s="14"/>
      <c r="BX694" s="14"/>
      <c r="BY694" s="170"/>
    </row>
    <row r="695" spans="9:77" x14ac:dyDescent="0.25">
      <c r="I695">
        <v>6560</v>
      </c>
      <c r="J695" s="1" t="s">
        <v>871</v>
      </c>
      <c r="K695">
        <v>623.236666666666</v>
      </c>
      <c r="L695">
        <v>595.25333333333299</v>
      </c>
      <c r="M695">
        <v>612.87666666666598</v>
      </c>
      <c r="N695">
        <v>600.35999999999899</v>
      </c>
      <c r="O695">
        <v>594.599999999999</v>
      </c>
      <c r="P695">
        <v>590.17333333333295</v>
      </c>
      <c r="Q695">
        <v>599.12666666666598</v>
      </c>
      <c r="R695">
        <v>550.47</v>
      </c>
      <c r="S695">
        <v>581.986666666666</v>
      </c>
      <c r="T695">
        <v>561.74666666666599</v>
      </c>
      <c r="U695">
        <v>551.05999999999904</v>
      </c>
      <c r="V695">
        <v>543.43999999999903</v>
      </c>
      <c r="W695">
        <v>602.62999999999897</v>
      </c>
      <c r="X695">
        <v>575.94999999999902</v>
      </c>
      <c r="Y695">
        <v>585.91333333333296</v>
      </c>
      <c r="Z695">
        <v>584.16666666666595</v>
      </c>
      <c r="AA695">
        <v>579.17999999999904</v>
      </c>
      <c r="AB695">
        <v>579.17999999999904</v>
      </c>
      <c r="AC695">
        <v>624.70999999999901</v>
      </c>
      <c r="AD695">
        <v>593.486666666666</v>
      </c>
      <c r="AE695">
        <v>613.09333333333302</v>
      </c>
      <c r="AF695">
        <v>604.356666666666</v>
      </c>
      <c r="AG695">
        <v>598.66999999999905</v>
      </c>
      <c r="AH695">
        <v>595.98333333333301</v>
      </c>
      <c r="AI695">
        <v>623.236666666666</v>
      </c>
      <c r="AJ695">
        <v>595.25333333333299</v>
      </c>
      <c r="AK695">
        <v>612.87666666666598</v>
      </c>
      <c r="AL695">
        <v>600.35999999999899</v>
      </c>
      <c r="AM695">
        <v>594.599999999999</v>
      </c>
      <c r="AN695">
        <v>590.17333333333295</v>
      </c>
      <c r="AO695">
        <v>613.00999999999897</v>
      </c>
      <c r="AP695">
        <v>553.29999999999905</v>
      </c>
      <c r="AQ695">
        <v>594.50999999999897</v>
      </c>
      <c r="AR695">
        <v>565.68333333333305</v>
      </c>
      <c r="AS695">
        <v>551.94999999999902</v>
      </c>
      <c r="AT695">
        <v>542.44666666666603</v>
      </c>
      <c r="AU695">
        <v>627.75666666666598</v>
      </c>
      <c r="AV695">
        <v>583.37666666666598</v>
      </c>
      <c r="AW695">
        <v>612.55999999999904</v>
      </c>
      <c r="AX695">
        <v>593.743333333333</v>
      </c>
      <c r="AY695">
        <v>583.85999999999899</v>
      </c>
      <c r="AZ695">
        <v>577.22666666666601</v>
      </c>
      <c r="BA695">
        <v>616.736666666666</v>
      </c>
      <c r="BB695">
        <v>571.363333333333</v>
      </c>
      <c r="BC695">
        <v>601.08666666666602</v>
      </c>
      <c r="BD695">
        <v>581.42666666666605</v>
      </c>
      <c r="BE695">
        <v>571.47333333333302</v>
      </c>
      <c r="BF695">
        <v>564.04999999999905</v>
      </c>
      <c r="BG695" s="14"/>
      <c r="BH695" s="14"/>
      <c r="BI695" s="14"/>
      <c r="BJ695" s="199"/>
      <c r="BK695" s="14"/>
      <c r="BL695" s="14"/>
      <c r="BM695" s="14"/>
      <c r="BN695" s="14"/>
      <c r="BO695" s="14"/>
      <c r="BP695" s="14"/>
      <c r="BQ695" s="14"/>
      <c r="BR695" s="14"/>
      <c r="BS695" s="14"/>
      <c r="BT695" s="14"/>
      <c r="BU695" s="14"/>
      <c r="BV695" s="14"/>
      <c r="BW695" s="14"/>
      <c r="BX695" s="14"/>
      <c r="BY695" s="170"/>
    </row>
    <row r="696" spans="9:77" x14ac:dyDescent="0.25">
      <c r="I696">
        <v>6580</v>
      </c>
      <c r="J696" s="1" t="s">
        <v>872</v>
      </c>
      <c r="K696">
        <v>564.09666666666601</v>
      </c>
      <c r="L696">
        <v>536.113333333333</v>
      </c>
      <c r="M696">
        <v>553.736666666666</v>
      </c>
      <c r="N696">
        <v>541.22</v>
      </c>
      <c r="O696">
        <v>535.46</v>
      </c>
      <c r="P696">
        <v>531.03333333333296</v>
      </c>
      <c r="Q696">
        <v>539.986666666666</v>
      </c>
      <c r="R696">
        <v>491.33</v>
      </c>
      <c r="S696">
        <v>522.84666666666601</v>
      </c>
      <c r="T696">
        <v>502.606666666666</v>
      </c>
      <c r="U696">
        <v>491.92</v>
      </c>
      <c r="V696">
        <v>484.3</v>
      </c>
      <c r="W696">
        <v>543.49</v>
      </c>
      <c r="X696">
        <v>516.80999999999995</v>
      </c>
      <c r="Y696">
        <v>526.77333333333297</v>
      </c>
      <c r="Z696">
        <v>525.02666666666596</v>
      </c>
      <c r="AA696">
        <v>520.04</v>
      </c>
      <c r="AB696">
        <v>520.04</v>
      </c>
      <c r="AC696">
        <v>565.57000000000005</v>
      </c>
      <c r="AD696">
        <v>534.34666666666601</v>
      </c>
      <c r="AE696">
        <v>553.95333333333303</v>
      </c>
      <c r="AF696">
        <v>545.21666666666601</v>
      </c>
      <c r="AG696">
        <v>539.53</v>
      </c>
      <c r="AH696">
        <v>536.84333333333302</v>
      </c>
      <c r="AI696">
        <v>564.09666666666601</v>
      </c>
      <c r="AJ696">
        <v>536.113333333333</v>
      </c>
      <c r="AK696">
        <v>553.736666666666</v>
      </c>
      <c r="AL696">
        <v>541.22</v>
      </c>
      <c r="AM696">
        <v>535.46</v>
      </c>
      <c r="AN696">
        <v>531.03333333333296</v>
      </c>
      <c r="AO696">
        <v>553.87</v>
      </c>
      <c r="AP696">
        <v>494.16</v>
      </c>
      <c r="AQ696">
        <v>535.37</v>
      </c>
      <c r="AR696">
        <v>506.54333333333301</v>
      </c>
      <c r="AS696">
        <v>492.81</v>
      </c>
      <c r="AT696">
        <v>483.30666666666599</v>
      </c>
      <c r="AU696">
        <v>568.61666666666599</v>
      </c>
      <c r="AV696">
        <v>524.236666666666</v>
      </c>
      <c r="AW696">
        <v>553.41999999999996</v>
      </c>
      <c r="AX696">
        <v>534.60333333333301</v>
      </c>
      <c r="AY696">
        <v>524.72</v>
      </c>
      <c r="AZ696">
        <v>518.08666666666602</v>
      </c>
      <c r="BA696">
        <v>557.59666666666601</v>
      </c>
      <c r="BB696">
        <v>512.22333333333302</v>
      </c>
      <c r="BC696">
        <v>541.94666666666603</v>
      </c>
      <c r="BD696">
        <v>522.28666666666595</v>
      </c>
      <c r="BE696">
        <v>512.33333333333303</v>
      </c>
      <c r="BF696">
        <v>504.91</v>
      </c>
      <c r="BG696" s="14"/>
      <c r="BH696" s="14"/>
      <c r="BI696" s="14"/>
      <c r="BJ696" s="199"/>
      <c r="BK696" s="14"/>
      <c r="BL696" s="14"/>
      <c r="BM696" s="14"/>
      <c r="BN696" s="14"/>
      <c r="BO696" s="14"/>
      <c r="BP696" s="14"/>
      <c r="BQ696" s="14"/>
      <c r="BR696" s="14"/>
      <c r="BS696" s="14"/>
      <c r="BT696" s="14"/>
      <c r="BU696" s="14"/>
      <c r="BV696" s="14"/>
      <c r="BW696" s="14"/>
      <c r="BX696" s="14"/>
      <c r="BY696" s="170"/>
    </row>
    <row r="697" spans="9:77" x14ac:dyDescent="0.25">
      <c r="I697">
        <v>6600</v>
      </c>
      <c r="J697" s="1" t="s">
        <v>873</v>
      </c>
      <c r="K697">
        <v>615.75666666666598</v>
      </c>
      <c r="L697">
        <v>587.77333333333297</v>
      </c>
      <c r="M697">
        <v>605.39666666666596</v>
      </c>
      <c r="N697">
        <v>592.87999999999897</v>
      </c>
      <c r="O697">
        <v>587.11999999999898</v>
      </c>
      <c r="P697">
        <v>582.69333333333304</v>
      </c>
      <c r="Q697">
        <v>591.64666666666596</v>
      </c>
      <c r="R697">
        <v>542.99</v>
      </c>
      <c r="S697">
        <v>574.50666666666598</v>
      </c>
      <c r="T697">
        <v>554.26666666666597</v>
      </c>
      <c r="U697">
        <v>543.57999999999902</v>
      </c>
      <c r="V697">
        <v>535.95999999999901</v>
      </c>
      <c r="W697">
        <v>595.14999999999895</v>
      </c>
      <c r="X697">
        <v>568.469999999999</v>
      </c>
      <c r="Y697">
        <v>578.43333333333305</v>
      </c>
      <c r="Z697">
        <v>576.68666666666604</v>
      </c>
      <c r="AA697">
        <v>571.69999999999902</v>
      </c>
      <c r="AB697">
        <v>571.69999999999902</v>
      </c>
      <c r="AC697">
        <v>617.229999999999</v>
      </c>
      <c r="AD697">
        <v>586.00666666666598</v>
      </c>
      <c r="AE697">
        <v>605.613333333333</v>
      </c>
      <c r="AF697">
        <v>596.87666666666598</v>
      </c>
      <c r="AG697">
        <v>591.18999999999903</v>
      </c>
      <c r="AH697">
        <v>588.50333333333299</v>
      </c>
      <c r="AI697">
        <v>615.75666666666598</v>
      </c>
      <c r="AJ697">
        <v>587.77333333333297</v>
      </c>
      <c r="AK697">
        <v>605.39666666666596</v>
      </c>
      <c r="AL697">
        <v>592.87999999999897</v>
      </c>
      <c r="AM697">
        <v>587.11999999999898</v>
      </c>
      <c r="AN697">
        <v>582.69333333333304</v>
      </c>
      <c r="AO697">
        <v>605.52999999999895</v>
      </c>
      <c r="AP697">
        <v>545.81999999999903</v>
      </c>
      <c r="AQ697">
        <v>587.02999999999895</v>
      </c>
      <c r="AR697">
        <v>558.20333333333303</v>
      </c>
      <c r="AS697">
        <v>544.469999999999</v>
      </c>
      <c r="AT697">
        <v>534.96666666666601</v>
      </c>
      <c r="AU697">
        <v>620.27666666666596</v>
      </c>
      <c r="AV697">
        <v>575.89666666666596</v>
      </c>
      <c r="AW697">
        <v>605.07999999999902</v>
      </c>
      <c r="AX697">
        <v>586.26333333333298</v>
      </c>
      <c r="AY697">
        <v>576.37999999999897</v>
      </c>
      <c r="AZ697">
        <v>569.74666666666599</v>
      </c>
      <c r="BA697">
        <v>609.25666666666598</v>
      </c>
      <c r="BB697">
        <v>563.88333333333298</v>
      </c>
      <c r="BC697">
        <v>593.606666666666</v>
      </c>
      <c r="BD697">
        <v>573.94666666666603</v>
      </c>
      <c r="BE697">
        <v>563.993333333333</v>
      </c>
      <c r="BF697">
        <v>556.56999999999903</v>
      </c>
      <c r="BG697" s="14"/>
      <c r="BH697" s="14"/>
      <c r="BI697" s="14"/>
      <c r="BJ697" s="199"/>
      <c r="BK697" s="14"/>
      <c r="BL697" s="14"/>
      <c r="BM697" s="14"/>
      <c r="BN697" s="14"/>
      <c r="BO697" s="14"/>
      <c r="BP697" s="14"/>
      <c r="BQ697" s="14"/>
      <c r="BR697" s="14"/>
      <c r="BS697" s="14"/>
      <c r="BT697" s="14"/>
      <c r="BU697" s="14"/>
      <c r="BV697" s="14"/>
      <c r="BW697" s="14"/>
      <c r="BX697" s="14"/>
      <c r="BY697" s="170"/>
    </row>
    <row r="698" spans="9:77" x14ac:dyDescent="0.25">
      <c r="I698">
        <v>6621</v>
      </c>
      <c r="J698" s="1" t="s">
        <v>874</v>
      </c>
      <c r="K698">
        <v>633.49666666666599</v>
      </c>
      <c r="L698">
        <v>605.51333333333298</v>
      </c>
      <c r="M698">
        <v>623.136666666667</v>
      </c>
      <c r="N698">
        <v>610.62</v>
      </c>
      <c r="O698">
        <v>604.86</v>
      </c>
      <c r="P698">
        <v>600.43333333333305</v>
      </c>
      <c r="Q698">
        <v>609.38666666666597</v>
      </c>
      <c r="R698">
        <v>560.73</v>
      </c>
      <c r="S698">
        <v>592.24666666666599</v>
      </c>
      <c r="T698">
        <v>572.00666666666598</v>
      </c>
      <c r="U698">
        <v>561.32000000000005</v>
      </c>
      <c r="V698">
        <v>553.70000000000005</v>
      </c>
      <c r="W698">
        <v>612.89</v>
      </c>
      <c r="X698">
        <v>586.21</v>
      </c>
      <c r="Y698">
        <v>596.17333333333295</v>
      </c>
      <c r="Z698">
        <v>594.42666666666605</v>
      </c>
      <c r="AA698">
        <v>589.44000000000005</v>
      </c>
      <c r="AB698">
        <v>589.44000000000005</v>
      </c>
      <c r="AC698">
        <v>634.97</v>
      </c>
      <c r="AD698">
        <v>603.74666666666599</v>
      </c>
      <c r="AE698">
        <v>623.35333333333301</v>
      </c>
      <c r="AF698">
        <v>614.61666666666599</v>
      </c>
      <c r="AG698">
        <v>608.92999999999995</v>
      </c>
      <c r="AH698">
        <v>606.243333333333</v>
      </c>
      <c r="AI698">
        <v>633.49666666666599</v>
      </c>
      <c r="AJ698">
        <v>605.51333333333298</v>
      </c>
      <c r="AK698">
        <v>623.136666666667</v>
      </c>
      <c r="AL698">
        <v>610.62</v>
      </c>
      <c r="AM698">
        <v>604.86</v>
      </c>
      <c r="AN698">
        <v>600.43333333333305</v>
      </c>
      <c r="AO698">
        <v>623.26999999999896</v>
      </c>
      <c r="AP698">
        <v>563.55999999999995</v>
      </c>
      <c r="AQ698">
        <v>604.77</v>
      </c>
      <c r="AR698">
        <v>575.94333333333304</v>
      </c>
      <c r="AS698">
        <v>562.21</v>
      </c>
      <c r="AT698">
        <v>552.70666666666602</v>
      </c>
      <c r="AU698">
        <v>638.01666666666597</v>
      </c>
      <c r="AV698">
        <v>593.63666666666597</v>
      </c>
      <c r="AW698">
        <v>622.82000000000005</v>
      </c>
      <c r="AX698">
        <v>604.00333333333299</v>
      </c>
      <c r="AY698">
        <v>594.12</v>
      </c>
      <c r="AZ698">
        <v>587.486666666666</v>
      </c>
      <c r="BA698">
        <v>626.99666666666599</v>
      </c>
      <c r="BB698">
        <v>581.62333333333299</v>
      </c>
      <c r="BC698">
        <v>611.34666666666601</v>
      </c>
      <c r="BD698">
        <v>591.68666666666604</v>
      </c>
      <c r="BE698">
        <v>581.73333333333301</v>
      </c>
      <c r="BF698">
        <v>574.30999999999995</v>
      </c>
      <c r="BG698" s="14"/>
      <c r="BH698" s="14"/>
      <c r="BI698" s="14"/>
      <c r="BJ698" s="199"/>
      <c r="BK698" s="14"/>
      <c r="BL698" s="14"/>
      <c r="BM698" s="14"/>
      <c r="BN698" s="14"/>
      <c r="BO698" s="14"/>
      <c r="BP698" s="14"/>
      <c r="BQ698" s="14"/>
      <c r="BR698" s="14"/>
      <c r="BS698" s="14"/>
      <c r="BT698" s="14"/>
      <c r="BU698" s="14"/>
      <c r="BV698" s="14"/>
      <c r="BW698" s="14"/>
      <c r="BX698" s="14"/>
      <c r="BY698" s="170"/>
    </row>
    <row r="699" spans="9:77" x14ac:dyDescent="0.25">
      <c r="I699">
        <v>6622</v>
      </c>
      <c r="J699" s="1" t="s">
        <v>875</v>
      </c>
      <c r="K699">
        <v>633.49666666666599</v>
      </c>
      <c r="L699">
        <v>605.51333333333298</v>
      </c>
      <c r="M699">
        <v>623.136666666667</v>
      </c>
      <c r="N699">
        <v>610.62</v>
      </c>
      <c r="O699">
        <v>604.86</v>
      </c>
      <c r="P699">
        <v>600.43333333333305</v>
      </c>
      <c r="Q699">
        <v>609.38666666666597</v>
      </c>
      <c r="R699">
        <v>560.73</v>
      </c>
      <c r="S699">
        <v>592.24666666666599</v>
      </c>
      <c r="T699">
        <v>572.00666666666598</v>
      </c>
      <c r="U699">
        <v>561.32000000000005</v>
      </c>
      <c r="V699">
        <v>553.70000000000005</v>
      </c>
      <c r="W699">
        <v>612.89</v>
      </c>
      <c r="X699">
        <v>586.21</v>
      </c>
      <c r="Y699">
        <v>596.17333333333295</v>
      </c>
      <c r="Z699">
        <v>594.42666666666605</v>
      </c>
      <c r="AA699">
        <v>589.44000000000005</v>
      </c>
      <c r="AB699">
        <v>589.44000000000005</v>
      </c>
      <c r="AC699">
        <v>634.97</v>
      </c>
      <c r="AD699">
        <v>603.74666666666599</v>
      </c>
      <c r="AE699">
        <v>623.35333333333301</v>
      </c>
      <c r="AF699">
        <v>614.61666666666599</v>
      </c>
      <c r="AG699">
        <v>608.92999999999995</v>
      </c>
      <c r="AH699">
        <v>606.243333333333</v>
      </c>
      <c r="AI699">
        <v>633.49666666666599</v>
      </c>
      <c r="AJ699">
        <v>605.51333333333298</v>
      </c>
      <c r="AK699">
        <v>623.136666666667</v>
      </c>
      <c r="AL699">
        <v>610.62</v>
      </c>
      <c r="AM699">
        <v>604.86</v>
      </c>
      <c r="AN699">
        <v>600.43333333333305</v>
      </c>
      <c r="AO699">
        <v>623.26999999999896</v>
      </c>
      <c r="AP699">
        <v>563.55999999999995</v>
      </c>
      <c r="AQ699">
        <v>604.77</v>
      </c>
      <c r="AR699">
        <v>575.94333333333304</v>
      </c>
      <c r="AS699">
        <v>562.21</v>
      </c>
      <c r="AT699">
        <v>552.70666666666602</v>
      </c>
      <c r="AU699">
        <v>638.01666666666597</v>
      </c>
      <c r="AV699">
        <v>593.63666666666597</v>
      </c>
      <c r="AW699">
        <v>622.82000000000005</v>
      </c>
      <c r="AX699">
        <v>604.00333333333299</v>
      </c>
      <c r="AY699">
        <v>594.12</v>
      </c>
      <c r="AZ699">
        <v>587.486666666666</v>
      </c>
      <c r="BA699">
        <v>626.99666666666599</v>
      </c>
      <c r="BB699">
        <v>581.62333333333299</v>
      </c>
      <c r="BC699">
        <v>611.34666666666601</v>
      </c>
      <c r="BD699">
        <v>591.68666666666604</v>
      </c>
      <c r="BE699">
        <v>581.73333333333301</v>
      </c>
      <c r="BF699">
        <v>574.30999999999995</v>
      </c>
      <c r="BG699" s="14"/>
      <c r="BH699" s="14"/>
      <c r="BI699" s="14"/>
      <c r="BJ699" s="199"/>
      <c r="BK699" s="14"/>
      <c r="BL699" s="14"/>
      <c r="BM699" s="14"/>
      <c r="BN699" s="14"/>
      <c r="BO699" s="14"/>
      <c r="BP699" s="14"/>
      <c r="BQ699" s="14"/>
      <c r="BR699" s="14"/>
      <c r="BS699" s="14"/>
      <c r="BT699" s="14"/>
      <c r="BU699" s="14"/>
      <c r="BV699" s="14"/>
      <c r="BW699" s="14"/>
      <c r="BX699" s="14"/>
      <c r="BY699" s="170"/>
    </row>
    <row r="700" spans="9:77" x14ac:dyDescent="0.25">
      <c r="I700">
        <v>6623</v>
      </c>
      <c r="J700" s="1" t="s">
        <v>876</v>
      </c>
      <c r="K700">
        <v>722.31666666666604</v>
      </c>
      <c r="L700">
        <v>694.33333333333303</v>
      </c>
      <c r="M700">
        <v>711.95666666666602</v>
      </c>
      <c r="N700">
        <v>699.44</v>
      </c>
      <c r="O700">
        <v>693.68</v>
      </c>
      <c r="P700">
        <v>689.25333333333299</v>
      </c>
      <c r="Q700">
        <v>698.20666666666602</v>
      </c>
      <c r="R700">
        <v>649.54999999999995</v>
      </c>
      <c r="S700">
        <v>681.06666666666604</v>
      </c>
      <c r="T700">
        <v>660.82666666666603</v>
      </c>
      <c r="U700">
        <v>650.14</v>
      </c>
      <c r="V700">
        <v>642.52</v>
      </c>
      <c r="W700">
        <v>701.71</v>
      </c>
      <c r="X700">
        <v>675.02999999999895</v>
      </c>
      <c r="Y700">
        <v>684.993333333333</v>
      </c>
      <c r="Z700">
        <v>683.24666666666599</v>
      </c>
      <c r="AA700">
        <v>678.26</v>
      </c>
      <c r="AB700">
        <v>678.26</v>
      </c>
      <c r="AC700">
        <v>723.79</v>
      </c>
      <c r="AD700">
        <v>692.56666666666604</v>
      </c>
      <c r="AE700">
        <v>712.17333333333295</v>
      </c>
      <c r="AF700">
        <v>703.43666666666604</v>
      </c>
      <c r="AG700">
        <v>697.75</v>
      </c>
      <c r="AH700">
        <v>695.06333333333305</v>
      </c>
      <c r="AI700">
        <v>722.31666666666604</v>
      </c>
      <c r="AJ700">
        <v>694.33333333333303</v>
      </c>
      <c r="AK700">
        <v>711.95666666666602</v>
      </c>
      <c r="AL700">
        <v>699.44</v>
      </c>
      <c r="AM700">
        <v>693.68</v>
      </c>
      <c r="AN700">
        <v>689.25333333333299</v>
      </c>
      <c r="AO700">
        <v>712.08999999999901</v>
      </c>
      <c r="AP700">
        <v>652.38</v>
      </c>
      <c r="AQ700">
        <v>693.59</v>
      </c>
      <c r="AR700">
        <v>664.76333333333298</v>
      </c>
      <c r="AS700">
        <v>651.02999999999895</v>
      </c>
      <c r="AT700">
        <v>641.52666666666596</v>
      </c>
      <c r="AU700">
        <v>726.83666666666602</v>
      </c>
      <c r="AV700">
        <v>682.45666666666602</v>
      </c>
      <c r="AW700">
        <v>711.64</v>
      </c>
      <c r="AX700">
        <v>692.82333333333304</v>
      </c>
      <c r="AY700">
        <v>682.93999999999903</v>
      </c>
      <c r="AZ700">
        <v>676.30666666666605</v>
      </c>
      <c r="BA700">
        <v>715.81666666666604</v>
      </c>
      <c r="BB700">
        <v>670.44333333333304</v>
      </c>
      <c r="BC700">
        <v>700.16666666666595</v>
      </c>
      <c r="BD700">
        <v>680.50666666666598</v>
      </c>
      <c r="BE700">
        <v>670.55333333333294</v>
      </c>
      <c r="BF700">
        <v>663.13</v>
      </c>
      <c r="BG700" s="14"/>
      <c r="BH700" s="14"/>
      <c r="BI700" s="14"/>
      <c r="BJ700" s="199"/>
      <c r="BK700" s="14"/>
      <c r="BL700" s="14"/>
      <c r="BM700" s="14"/>
      <c r="BN700" s="14"/>
      <c r="BO700" s="14"/>
      <c r="BP700" s="14"/>
      <c r="BQ700" s="14"/>
      <c r="BR700" s="14"/>
      <c r="BS700" s="14"/>
      <c r="BT700" s="14"/>
      <c r="BU700" s="14"/>
      <c r="BV700" s="14"/>
      <c r="BW700" s="14"/>
      <c r="BX700" s="14"/>
      <c r="BY700" s="170"/>
    </row>
    <row r="701" spans="9:77" x14ac:dyDescent="0.25">
      <c r="I701">
        <v>6630</v>
      </c>
      <c r="J701" s="1" t="s">
        <v>877</v>
      </c>
      <c r="K701">
        <v>662.77666666666596</v>
      </c>
      <c r="L701">
        <v>634.79333333333295</v>
      </c>
      <c r="M701">
        <v>652.41666666666595</v>
      </c>
      <c r="N701">
        <v>639.89999999999895</v>
      </c>
      <c r="O701">
        <v>634.13999999999896</v>
      </c>
      <c r="P701">
        <v>629.71333333333303</v>
      </c>
      <c r="Q701">
        <v>638.66666666666595</v>
      </c>
      <c r="R701">
        <v>590.00999999999897</v>
      </c>
      <c r="S701">
        <v>621.52666666666596</v>
      </c>
      <c r="T701">
        <v>601.28666666666595</v>
      </c>
      <c r="U701">
        <v>590.599999999999</v>
      </c>
      <c r="V701">
        <v>582.979999999999</v>
      </c>
      <c r="W701">
        <v>642.16999999999905</v>
      </c>
      <c r="X701">
        <v>615.48999999999899</v>
      </c>
      <c r="Y701">
        <v>625.45333333333303</v>
      </c>
      <c r="Z701">
        <v>623.70666666666602</v>
      </c>
      <c r="AA701">
        <v>618.719999999999</v>
      </c>
      <c r="AB701">
        <v>618.719999999999</v>
      </c>
      <c r="AC701">
        <v>664.24999999999898</v>
      </c>
      <c r="AD701">
        <v>633.02666666666596</v>
      </c>
      <c r="AE701">
        <v>652.63333333333298</v>
      </c>
      <c r="AF701">
        <v>643.89666666666596</v>
      </c>
      <c r="AG701">
        <v>638.20999999999901</v>
      </c>
      <c r="AH701">
        <v>635.52333333333297</v>
      </c>
      <c r="AI701">
        <v>662.77666666666596</v>
      </c>
      <c r="AJ701">
        <v>634.79333333333295</v>
      </c>
      <c r="AK701">
        <v>652.41666666666595</v>
      </c>
      <c r="AL701">
        <v>639.89999999999895</v>
      </c>
      <c r="AM701">
        <v>634.13999999999896</v>
      </c>
      <c r="AN701">
        <v>629.71333333333303</v>
      </c>
      <c r="AO701">
        <v>652.54999999999905</v>
      </c>
      <c r="AP701">
        <v>592.83999999999901</v>
      </c>
      <c r="AQ701">
        <v>634.04999999999905</v>
      </c>
      <c r="AR701">
        <v>605.22333333333302</v>
      </c>
      <c r="AS701">
        <v>591.48999999999899</v>
      </c>
      <c r="AT701">
        <v>581.986666666666</v>
      </c>
      <c r="AU701">
        <v>667.29666666666606</v>
      </c>
      <c r="AV701">
        <v>622.91666666666595</v>
      </c>
      <c r="AW701">
        <v>652.099999999999</v>
      </c>
      <c r="AX701">
        <v>633.28333333333296</v>
      </c>
      <c r="AY701">
        <v>623.39999999999895</v>
      </c>
      <c r="AZ701">
        <v>616.76666666666597</v>
      </c>
      <c r="BA701">
        <v>656.27666666666596</v>
      </c>
      <c r="BB701">
        <v>610.90333333333297</v>
      </c>
      <c r="BC701">
        <v>640.62666666666598</v>
      </c>
      <c r="BD701">
        <v>620.96666666666601</v>
      </c>
      <c r="BE701">
        <v>611.01333333333298</v>
      </c>
      <c r="BF701">
        <v>603.58999999999901</v>
      </c>
      <c r="BG701" s="14"/>
      <c r="BH701" s="14"/>
      <c r="BI701" s="14"/>
      <c r="BJ701" s="199"/>
      <c r="BK701" s="14"/>
      <c r="BL701" s="14"/>
      <c r="BM701" s="14"/>
      <c r="BN701" s="14"/>
      <c r="BO701" s="14"/>
      <c r="BP701" s="14"/>
      <c r="BQ701" s="14"/>
      <c r="BR701" s="14"/>
      <c r="BS701" s="14"/>
      <c r="BT701" s="14"/>
      <c r="BU701" s="14"/>
      <c r="BV701" s="14"/>
      <c r="BW701" s="14"/>
      <c r="BX701" s="14"/>
      <c r="BY701" s="170"/>
    </row>
    <row r="702" spans="9:77" x14ac:dyDescent="0.25">
      <c r="I702">
        <v>6640</v>
      </c>
      <c r="J702" s="1" t="s">
        <v>878</v>
      </c>
      <c r="K702">
        <v>564.09666666666601</v>
      </c>
      <c r="L702">
        <v>536.113333333333</v>
      </c>
      <c r="M702">
        <v>553.736666666666</v>
      </c>
      <c r="N702">
        <v>541.22</v>
      </c>
      <c r="O702">
        <v>535.46</v>
      </c>
      <c r="P702">
        <v>531.03333333333296</v>
      </c>
      <c r="Q702">
        <v>539.986666666666</v>
      </c>
      <c r="R702">
        <v>491.33</v>
      </c>
      <c r="S702">
        <v>522.84666666666601</v>
      </c>
      <c r="T702">
        <v>502.606666666666</v>
      </c>
      <c r="U702">
        <v>491.92</v>
      </c>
      <c r="V702">
        <v>484.3</v>
      </c>
      <c r="W702">
        <v>543.49</v>
      </c>
      <c r="X702">
        <v>516.80999999999995</v>
      </c>
      <c r="Y702">
        <v>526.77333333333297</v>
      </c>
      <c r="Z702">
        <v>525.02666666666596</v>
      </c>
      <c r="AA702">
        <v>520.04</v>
      </c>
      <c r="AB702">
        <v>520.04</v>
      </c>
      <c r="AC702">
        <v>565.57000000000005</v>
      </c>
      <c r="AD702">
        <v>534.34666666666601</v>
      </c>
      <c r="AE702">
        <v>553.95333333333303</v>
      </c>
      <c r="AF702">
        <v>545.21666666666601</v>
      </c>
      <c r="AG702">
        <v>539.53</v>
      </c>
      <c r="AH702">
        <v>536.84333333333302</v>
      </c>
      <c r="AI702">
        <v>564.09666666666601</v>
      </c>
      <c r="AJ702">
        <v>536.113333333333</v>
      </c>
      <c r="AK702">
        <v>553.736666666666</v>
      </c>
      <c r="AL702">
        <v>541.22</v>
      </c>
      <c r="AM702">
        <v>535.46</v>
      </c>
      <c r="AN702">
        <v>531.03333333333296</v>
      </c>
      <c r="AO702">
        <v>553.87</v>
      </c>
      <c r="AP702">
        <v>494.16</v>
      </c>
      <c r="AQ702">
        <v>535.37</v>
      </c>
      <c r="AR702">
        <v>506.54333333333301</v>
      </c>
      <c r="AS702">
        <v>492.81</v>
      </c>
      <c r="AT702">
        <v>483.30666666666599</v>
      </c>
      <c r="AU702">
        <v>568.61666666666599</v>
      </c>
      <c r="AV702">
        <v>524.236666666666</v>
      </c>
      <c r="AW702">
        <v>553.41999999999996</v>
      </c>
      <c r="AX702">
        <v>534.60333333333301</v>
      </c>
      <c r="AY702">
        <v>524.72</v>
      </c>
      <c r="AZ702">
        <v>518.08666666666602</v>
      </c>
      <c r="BA702">
        <v>557.59666666666601</v>
      </c>
      <c r="BB702">
        <v>512.22333333333302</v>
      </c>
      <c r="BC702">
        <v>541.94666666666603</v>
      </c>
      <c r="BD702">
        <v>522.28666666666595</v>
      </c>
      <c r="BE702">
        <v>512.33333333333303</v>
      </c>
      <c r="BF702">
        <v>504.91</v>
      </c>
      <c r="BG702" s="14"/>
      <c r="BH702" s="14"/>
      <c r="BI702" s="14"/>
      <c r="BJ702" s="199"/>
      <c r="BK702" s="14"/>
      <c r="BL702" s="14"/>
      <c r="BM702" s="14"/>
      <c r="BN702" s="14"/>
      <c r="BO702" s="14"/>
      <c r="BP702" s="14"/>
      <c r="BQ702" s="14"/>
      <c r="BR702" s="14"/>
      <c r="BS702" s="14"/>
      <c r="BT702" s="14"/>
      <c r="BU702" s="14"/>
      <c r="BV702" s="14"/>
      <c r="BW702" s="14"/>
      <c r="BX702" s="14"/>
      <c r="BY702" s="170"/>
    </row>
    <row r="703" spans="9:77" x14ac:dyDescent="0.25">
      <c r="I703">
        <v>6650</v>
      </c>
      <c r="J703" s="1" t="s">
        <v>879</v>
      </c>
      <c r="K703">
        <v>693.03666666666595</v>
      </c>
      <c r="L703">
        <v>665.05333333333294</v>
      </c>
      <c r="M703">
        <v>682.67666666666605</v>
      </c>
      <c r="N703">
        <v>670.15999999999894</v>
      </c>
      <c r="O703">
        <v>664.39999999999895</v>
      </c>
      <c r="P703">
        <v>659.97333333333302</v>
      </c>
      <c r="Q703">
        <v>668.92666666666605</v>
      </c>
      <c r="R703">
        <v>620.26999999999896</v>
      </c>
      <c r="S703">
        <v>651.78666666666595</v>
      </c>
      <c r="T703">
        <v>631.54666666666606</v>
      </c>
      <c r="U703">
        <v>620.85999999999899</v>
      </c>
      <c r="V703">
        <v>613.23999999999899</v>
      </c>
      <c r="W703">
        <v>672.42999999999904</v>
      </c>
      <c r="X703">
        <v>645.74999999999898</v>
      </c>
      <c r="Y703">
        <v>655.71333333333303</v>
      </c>
      <c r="Z703">
        <v>653.96666666666601</v>
      </c>
      <c r="AA703">
        <v>648.979999999999</v>
      </c>
      <c r="AB703">
        <v>648.979999999999</v>
      </c>
      <c r="AC703">
        <v>694.50999999999897</v>
      </c>
      <c r="AD703">
        <v>663.28666666666595</v>
      </c>
      <c r="AE703">
        <v>682.89333333333298</v>
      </c>
      <c r="AF703">
        <v>674.15666666666596</v>
      </c>
      <c r="AG703">
        <v>668.469999999999</v>
      </c>
      <c r="AH703">
        <v>665.78333333333296</v>
      </c>
      <c r="AI703">
        <v>693.03666666666595</v>
      </c>
      <c r="AJ703">
        <v>665.05333333333294</v>
      </c>
      <c r="AK703">
        <v>682.67666666666605</v>
      </c>
      <c r="AL703">
        <v>670.15999999999894</v>
      </c>
      <c r="AM703">
        <v>664.39999999999895</v>
      </c>
      <c r="AN703">
        <v>659.97333333333302</v>
      </c>
      <c r="AO703">
        <v>682.80999999999904</v>
      </c>
      <c r="AP703">
        <v>623.099999999999</v>
      </c>
      <c r="AQ703">
        <v>664.30999999999904</v>
      </c>
      <c r="AR703">
        <v>635.48333333333301</v>
      </c>
      <c r="AS703">
        <v>621.74999999999898</v>
      </c>
      <c r="AT703">
        <v>612.24666666666599</v>
      </c>
      <c r="AU703">
        <v>697.55666666666605</v>
      </c>
      <c r="AV703">
        <v>653.17666666666605</v>
      </c>
      <c r="AW703">
        <v>682.35999999999899</v>
      </c>
      <c r="AX703">
        <v>663.54333333333295</v>
      </c>
      <c r="AY703">
        <v>653.65999999999894</v>
      </c>
      <c r="AZ703">
        <v>647.02666666666596</v>
      </c>
      <c r="BA703">
        <v>686.53666666666595</v>
      </c>
      <c r="BB703">
        <v>641.16333333333296</v>
      </c>
      <c r="BC703">
        <v>670.88666666666597</v>
      </c>
      <c r="BD703">
        <v>651.22666666666601</v>
      </c>
      <c r="BE703">
        <v>641.27333333333297</v>
      </c>
      <c r="BF703">
        <v>633.849999999999</v>
      </c>
      <c r="BG703" s="14"/>
      <c r="BH703" s="14"/>
      <c r="BI703" s="14"/>
      <c r="BJ703" s="199"/>
      <c r="BK703" s="14"/>
      <c r="BL703" s="14"/>
      <c r="BM703" s="14"/>
      <c r="BN703" s="14"/>
      <c r="BO703" s="14"/>
      <c r="BP703" s="14"/>
      <c r="BQ703" s="14"/>
      <c r="BR703" s="14"/>
      <c r="BS703" s="14"/>
      <c r="BT703" s="14"/>
      <c r="BU703" s="14"/>
      <c r="BV703" s="14"/>
      <c r="BW703" s="14"/>
      <c r="BX703" s="14"/>
      <c r="BY703" s="170"/>
    </row>
    <row r="704" spans="9:77" x14ac:dyDescent="0.25">
      <c r="I704">
        <v>6660</v>
      </c>
      <c r="J704" s="1" t="s">
        <v>880</v>
      </c>
      <c r="K704">
        <v>662.77666666666596</v>
      </c>
      <c r="L704">
        <v>634.79333333333295</v>
      </c>
      <c r="M704">
        <v>652.41666666666595</v>
      </c>
      <c r="N704">
        <v>639.89999999999895</v>
      </c>
      <c r="O704">
        <v>634.13999999999896</v>
      </c>
      <c r="P704">
        <v>629.71333333333303</v>
      </c>
      <c r="Q704">
        <v>638.66666666666595</v>
      </c>
      <c r="R704">
        <v>590.00999999999897</v>
      </c>
      <c r="S704">
        <v>621.52666666666596</v>
      </c>
      <c r="T704">
        <v>601.28666666666595</v>
      </c>
      <c r="U704">
        <v>590.599999999999</v>
      </c>
      <c r="V704">
        <v>582.979999999999</v>
      </c>
      <c r="W704">
        <v>642.16999999999905</v>
      </c>
      <c r="X704">
        <v>615.48999999999899</v>
      </c>
      <c r="Y704">
        <v>625.45333333333303</v>
      </c>
      <c r="Z704">
        <v>623.70666666666602</v>
      </c>
      <c r="AA704">
        <v>618.719999999999</v>
      </c>
      <c r="AB704">
        <v>618.719999999999</v>
      </c>
      <c r="AC704">
        <v>664.24999999999898</v>
      </c>
      <c r="AD704">
        <v>633.02666666666596</v>
      </c>
      <c r="AE704">
        <v>652.63333333333298</v>
      </c>
      <c r="AF704">
        <v>643.89666666666596</v>
      </c>
      <c r="AG704">
        <v>638.20999999999901</v>
      </c>
      <c r="AH704">
        <v>635.52333333333297</v>
      </c>
      <c r="AI704">
        <v>662.77666666666596</v>
      </c>
      <c r="AJ704">
        <v>634.79333333333295</v>
      </c>
      <c r="AK704">
        <v>652.41666666666595</v>
      </c>
      <c r="AL704">
        <v>639.89999999999895</v>
      </c>
      <c r="AM704">
        <v>634.13999999999896</v>
      </c>
      <c r="AN704">
        <v>629.71333333333303</v>
      </c>
      <c r="AO704">
        <v>652.54999999999905</v>
      </c>
      <c r="AP704">
        <v>592.83999999999901</v>
      </c>
      <c r="AQ704">
        <v>634.04999999999905</v>
      </c>
      <c r="AR704">
        <v>605.22333333333302</v>
      </c>
      <c r="AS704">
        <v>591.48999999999899</v>
      </c>
      <c r="AT704">
        <v>581.986666666666</v>
      </c>
      <c r="AU704">
        <v>667.29666666666606</v>
      </c>
      <c r="AV704">
        <v>622.91666666666595</v>
      </c>
      <c r="AW704">
        <v>652.099999999999</v>
      </c>
      <c r="AX704">
        <v>633.28333333333296</v>
      </c>
      <c r="AY704">
        <v>623.39999999999895</v>
      </c>
      <c r="AZ704">
        <v>616.76666666666597</v>
      </c>
      <c r="BA704">
        <v>656.27666666666596</v>
      </c>
      <c r="BB704">
        <v>610.90333333333297</v>
      </c>
      <c r="BC704">
        <v>640.62666666666598</v>
      </c>
      <c r="BD704">
        <v>620.96666666666601</v>
      </c>
      <c r="BE704">
        <v>611.01333333333298</v>
      </c>
      <c r="BF704">
        <v>603.58999999999901</v>
      </c>
      <c r="BG704" s="14"/>
      <c r="BH704" s="14"/>
      <c r="BI704" s="14"/>
      <c r="BJ704" s="199"/>
      <c r="BK704" s="14"/>
      <c r="BL704" s="14"/>
      <c r="BM704" s="14"/>
      <c r="BN704" s="14"/>
      <c r="BO704" s="14"/>
      <c r="BP704" s="14"/>
      <c r="BQ704" s="14"/>
      <c r="BR704" s="14"/>
      <c r="BS704" s="14"/>
      <c r="BT704" s="14"/>
      <c r="BU704" s="14"/>
      <c r="BV704" s="14"/>
      <c r="BW704" s="14"/>
      <c r="BX704" s="14"/>
      <c r="BY704" s="170"/>
    </row>
    <row r="705" spans="9:77" x14ac:dyDescent="0.25">
      <c r="I705">
        <v>6670</v>
      </c>
      <c r="J705" s="1" t="s">
        <v>881</v>
      </c>
      <c r="K705">
        <v>683.86666666666599</v>
      </c>
      <c r="L705">
        <v>655.88333333333298</v>
      </c>
      <c r="M705">
        <v>673.50666666666598</v>
      </c>
      <c r="N705">
        <v>660.99</v>
      </c>
      <c r="O705">
        <v>655.23</v>
      </c>
      <c r="P705">
        <v>650.80333333333294</v>
      </c>
      <c r="Q705">
        <v>659.75666666666598</v>
      </c>
      <c r="R705">
        <v>611.1</v>
      </c>
      <c r="S705">
        <v>642.61666666666599</v>
      </c>
      <c r="T705">
        <v>622.37666666666598</v>
      </c>
      <c r="U705">
        <v>611.69000000000005</v>
      </c>
      <c r="V705">
        <v>604.07000000000005</v>
      </c>
      <c r="W705">
        <v>663.25999999999897</v>
      </c>
      <c r="X705">
        <v>636.57999999999902</v>
      </c>
      <c r="Y705">
        <v>646.54333333333295</v>
      </c>
      <c r="Z705">
        <v>644.79666666666606</v>
      </c>
      <c r="AA705">
        <v>639.80999999999995</v>
      </c>
      <c r="AB705">
        <v>639.80999999999995</v>
      </c>
      <c r="AC705">
        <v>685.34</v>
      </c>
      <c r="AD705">
        <v>654.11666666666599</v>
      </c>
      <c r="AE705">
        <v>673.72333333333302</v>
      </c>
      <c r="AF705">
        <v>664.986666666666</v>
      </c>
      <c r="AG705">
        <v>659.29999999999905</v>
      </c>
      <c r="AH705">
        <v>656.613333333333</v>
      </c>
      <c r="AI705">
        <v>683.86666666666599</v>
      </c>
      <c r="AJ705">
        <v>655.88333333333298</v>
      </c>
      <c r="AK705">
        <v>673.50666666666598</v>
      </c>
      <c r="AL705">
        <v>660.99</v>
      </c>
      <c r="AM705">
        <v>655.23</v>
      </c>
      <c r="AN705">
        <v>650.80333333333294</v>
      </c>
      <c r="AO705">
        <v>673.63999999999896</v>
      </c>
      <c r="AP705">
        <v>613.92999999999904</v>
      </c>
      <c r="AQ705">
        <v>655.13999999999896</v>
      </c>
      <c r="AR705">
        <v>626.31333333333305</v>
      </c>
      <c r="AS705">
        <v>612.57999999999902</v>
      </c>
      <c r="AT705">
        <v>603.07666666666603</v>
      </c>
      <c r="AU705">
        <v>688.38666666666597</v>
      </c>
      <c r="AV705">
        <v>644.00666666666598</v>
      </c>
      <c r="AW705">
        <v>673.19</v>
      </c>
      <c r="AX705">
        <v>654.37333333333299</v>
      </c>
      <c r="AY705">
        <v>644.48999999999899</v>
      </c>
      <c r="AZ705">
        <v>637.856666666666</v>
      </c>
      <c r="BA705">
        <v>677.36666666666599</v>
      </c>
      <c r="BB705">
        <v>631.993333333333</v>
      </c>
      <c r="BC705">
        <v>661.71666666666601</v>
      </c>
      <c r="BD705">
        <v>642.05666666666605</v>
      </c>
      <c r="BE705">
        <v>632.10333333333301</v>
      </c>
      <c r="BF705">
        <v>624.67999999999995</v>
      </c>
      <c r="BG705" s="14"/>
      <c r="BH705" s="14"/>
      <c r="BI705" s="14"/>
      <c r="BJ705" s="199"/>
      <c r="BK705" s="14"/>
      <c r="BL705" s="14"/>
      <c r="BM705" s="14"/>
      <c r="BN705" s="14"/>
      <c r="BO705" s="14"/>
      <c r="BP705" s="14"/>
      <c r="BQ705" s="14"/>
      <c r="BR705" s="14"/>
      <c r="BS705" s="14"/>
      <c r="BT705" s="14"/>
      <c r="BU705" s="14"/>
      <c r="BV705" s="14"/>
      <c r="BW705" s="14"/>
      <c r="BX705" s="14"/>
      <c r="BY705" s="170"/>
    </row>
    <row r="706" spans="9:77" x14ac:dyDescent="0.25">
      <c r="I706">
        <v>6682</v>
      </c>
      <c r="J706" s="1" t="s">
        <v>882</v>
      </c>
      <c r="K706">
        <v>696.39666666666596</v>
      </c>
      <c r="L706">
        <v>668.41333333333296</v>
      </c>
      <c r="M706">
        <v>686.03666666666595</v>
      </c>
      <c r="N706">
        <v>673.51999999999896</v>
      </c>
      <c r="O706">
        <v>667.75999999999897</v>
      </c>
      <c r="P706">
        <v>663.33333333333303</v>
      </c>
      <c r="Q706">
        <v>672.28666666666595</v>
      </c>
      <c r="R706">
        <v>623.63</v>
      </c>
      <c r="S706">
        <v>655.14666666666596</v>
      </c>
      <c r="T706">
        <v>634.90666666666596</v>
      </c>
      <c r="U706">
        <v>624.22</v>
      </c>
      <c r="V706">
        <v>616.6</v>
      </c>
      <c r="W706">
        <v>675.78999999999905</v>
      </c>
      <c r="X706">
        <v>649.10999999999899</v>
      </c>
      <c r="Y706">
        <v>659.07333333333304</v>
      </c>
      <c r="Z706">
        <v>657.32666666666603</v>
      </c>
      <c r="AA706">
        <v>652.34</v>
      </c>
      <c r="AB706">
        <v>652.34</v>
      </c>
      <c r="AC706">
        <v>697.87</v>
      </c>
      <c r="AD706">
        <v>666.64666666666596</v>
      </c>
      <c r="AE706">
        <v>686.25333333333299</v>
      </c>
      <c r="AF706">
        <v>677.51666666666597</v>
      </c>
      <c r="AG706">
        <v>671.82999999999902</v>
      </c>
      <c r="AH706">
        <v>669.14333333333298</v>
      </c>
      <c r="AI706">
        <v>696.39666666666596</v>
      </c>
      <c r="AJ706">
        <v>668.41333333333296</v>
      </c>
      <c r="AK706">
        <v>686.03666666666595</v>
      </c>
      <c r="AL706">
        <v>673.51999999999896</v>
      </c>
      <c r="AM706">
        <v>667.75999999999897</v>
      </c>
      <c r="AN706">
        <v>663.33333333333303</v>
      </c>
      <c r="AO706">
        <v>686.16999999999905</v>
      </c>
      <c r="AP706">
        <v>626.45999999999901</v>
      </c>
      <c r="AQ706">
        <v>667.66999999999905</v>
      </c>
      <c r="AR706">
        <v>638.84333333333302</v>
      </c>
      <c r="AS706">
        <v>625.10999999999899</v>
      </c>
      <c r="AT706">
        <v>615.606666666666</v>
      </c>
      <c r="AU706">
        <v>700.91666666666595</v>
      </c>
      <c r="AV706">
        <v>656.53666666666595</v>
      </c>
      <c r="AW706">
        <v>685.72</v>
      </c>
      <c r="AX706">
        <v>666.90333333333297</v>
      </c>
      <c r="AY706">
        <v>657.01999999999896</v>
      </c>
      <c r="AZ706">
        <v>650.38666666666597</v>
      </c>
      <c r="BA706">
        <v>689.89666666666596</v>
      </c>
      <c r="BB706">
        <v>644.52333333333297</v>
      </c>
      <c r="BC706">
        <v>674.24666666666599</v>
      </c>
      <c r="BD706">
        <v>654.58666666666602</v>
      </c>
      <c r="BE706">
        <v>644.63333333333298</v>
      </c>
      <c r="BF706">
        <v>637.21</v>
      </c>
      <c r="BG706" s="14"/>
      <c r="BH706" s="14"/>
      <c r="BI706" s="14"/>
      <c r="BJ706" s="199"/>
      <c r="BK706" s="14"/>
      <c r="BL706" s="14"/>
      <c r="BM706" s="14"/>
      <c r="BN706" s="14"/>
      <c r="BO706" s="14"/>
      <c r="BP706" s="14"/>
      <c r="BQ706" s="14"/>
      <c r="BR706" s="14"/>
      <c r="BS706" s="14"/>
      <c r="BT706" s="14"/>
      <c r="BU706" s="14"/>
      <c r="BV706" s="14"/>
      <c r="BW706" s="14"/>
      <c r="BX706" s="14"/>
      <c r="BY706" s="170"/>
    </row>
    <row r="707" spans="9:77" x14ac:dyDescent="0.25">
      <c r="I707">
        <v>6683</v>
      </c>
      <c r="J707" s="1" t="s">
        <v>883</v>
      </c>
      <c r="K707">
        <v>637.52666666666596</v>
      </c>
      <c r="L707">
        <v>609.54333333333295</v>
      </c>
      <c r="M707">
        <v>627.16666666666595</v>
      </c>
      <c r="N707">
        <v>614.65</v>
      </c>
      <c r="O707">
        <v>608.89</v>
      </c>
      <c r="P707">
        <v>604.46333333333303</v>
      </c>
      <c r="Q707">
        <v>613.41666666666595</v>
      </c>
      <c r="R707">
        <v>564.76</v>
      </c>
      <c r="S707">
        <v>596.27666666666596</v>
      </c>
      <c r="T707">
        <v>576.03666666666595</v>
      </c>
      <c r="U707">
        <v>565.35</v>
      </c>
      <c r="V707">
        <v>557.73</v>
      </c>
      <c r="W707">
        <v>616.91999999999996</v>
      </c>
      <c r="X707">
        <v>590.24</v>
      </c>
      <c r="Y707">
        <v>600.20333333333303</v>
      </c>
      <c r="Z707">
        <v>598.45666666666602</v>
      </c>
      <c r="AA707">
        <v>593.47</v>
      </c>
      <c r="AB707">
        <v>593.47</v>
      </c>
      <c r="AC707">
        <v>639</v>
      </c>
      <c r="AD707">
        <v>607.77666666666596</v>
      </c>
      <c r="AE707">
        <v>627.38333333333298</v>
      </c>
      <c r="AF707">
        <v>618.64666666666596</v>
      </c>
      <c r="AG707">
        <v>612.96</v>
      </c>
      <c r="AH707">
        <v>610.27333333333297</v>
      </c>
      <c r="AI707">
        <v>637.52666666666596</v>
      </c>
      <c r="AJ707">
        <v>609.54333333333295</v>
      </c>
      <c r="AK707">
        <v>627.16666666666595</v>
      </c>
      <c r="AL707">
        <v>614.65</v>
      </c>
      <c r="AM707">
        <v>608.89</v>
      </c>
      <c r="AN707">
        <v>604.46333333333303</v>
      </c>
      <c r="AO707">
        <v>627.29999999999905</v>
      </c>
      <c r="AP707">
        <v>567.59</v>
      </c>
      <c r="AQ707">
        <v>608.79999999999995</v>
      </c>
      <c r="AR707">
        <v>579.97333333333302</v>
      </c>
      <c r="AS707">
        <v>566.24</v>
      </c>
      <c r="AT707">
        <v>556.736666666666</v>
      </c>
      <c r="AU707">
        <v>642.04666666666606</v>
      </c>
      <c r="AV707">
        <v>597.66666666666595</v>
      </c>
      <c r="AW707">
        <v>626.85</v>
      </c>
      <c r="AX707">
        <v>608.03333333333296</v>
      </c>
      <c r="AY707">
        <v>598.14999999999895</v>
      </c>
      <c r="AZ707">
        <v>591.51666666666597</v>
      </c>
      <c r="BA707">
        <v>631.02666666666596</v>
      </c>
      <c r="BB707">
        <v>585.65333333333297</v>
      </c>
      <c r="BC707">
        <v>615.37666666666598</v>
      </c>
      <c r="BD707">
        <v>595.71666666666601</v>
      </c>
      <c r="BE707">
        <v>585.76333333333298</v>
      </c>
      <c r="BF707">
        <v>578.34</v>
      </c>
      <c r="BG707" s="14"/>
      <c r="BH707" s="14"/>
      <c r="BI707" s="14"/>
      <c r="BJ707" s="199"/>
      <c r="BK707" s="14"/>
      <c r="BL707" s="14"/>
      <c r="BM707" s="14"/>
      <c r="BN707" s="14"/>
      <c r="BO707" s="14"/>
      <c r="BP707" s="14"/>
      <c r="BQ707" s="14"/>
      <c r="BR707" s="14"/>
      <c r="BS707" s="14"/>
      <c r="BT707" s="14"/>
      <c r="BU707" s="14"/>
      <c r="BV707" s="14"/>
      <c r="BW707" s="14"/>
      <c r="BX707" s="14"/>
      <c r="BY707" s="170"/>
    </row>
    <row r="708" spans="9:77" x14ac:dyDescent="0.25">
      <c r="I708">
        <v>6690</v>
      </c>
      <c r="J708" s="1" t="s">
        <v>884</v>
      </c>
      <c r="K708">
        <v>637.52666666666596</v>
      </c>
      <c r="L708">
        <v>609.54333333333295</v>
      </c>
      <c r="M708">
        <v>627.16666666666595</v>
      </c>
      <c r="N708">
        <v>614.65</v>
      </c>
      <c r="O708">
        <v>608.89</v>
      </c>
      <c r="P708">
        <v>604.46333333333303</v>
      </c>
      <c r="Q708">
        <v>613.41666666666595</v>
      </c>
      <c r="R708">
        <v>564.76</v>
      </c>
      <c r="S708">
        <v>596.27666666666596</v>
      </c>
      <c r="T708">
        <v>576.03666666666595</v>
      </c>
      <c r="U708">
        <v>565.35</v>
      </c>
      <c r="V708">
        <v>557.73</v>
      </c>
      <c r="W708">
        <v>616.91999999999996</v>
      </c>
      <c r="X708">
        <v>590.24</v>
      </c>
      <c r="Y708">
        <v>600.20333333333303</v>
      </c>
      <c r="Z708">
        <v>598.45666666666602</v>
      </c>
      <c r="AA708">
        <v>593.47</v>
      </c>
      <c r="AB708">
        <v>593.47</v>
      </c>
      <c r="AC708">
        <v>639</v>
      </c>
      <c r="AD708">
        <v>607.77666666666596</v>
      </c>
      <c r="AE708">
        <v>627.38333333333298</v>
      </c>
      <c r="AF708">
        <v>618.64666666666596</v>
      </c>
      <c r="AG708">
        <v>612.96</v>
      </c>
      <c r="AH708">
        <v>610.27333333333297</v>
      </c>
      <c r="AI708">
        <v>637.52666666666596</v>
      </c>
      <c r="AJ708">
        <v>609.54333333333295</v>
      </c>
      <c r="AK708">
        <v>627.16666666666595</v>
      </c>
      <c r="AL708">
        <v>614.65</v>
      </c>
      <c r="AM708">
        <v>608.89</v>
      </c>
      <c r="AN708">
        <v>604.46333333333303</v>
      </c>
      <c r="AO708">
        <v>627.29999999999905</v>
      </c>
      <c r="AP708">
        <v>567.59</v>
      </c>
      <c r="AQ708">
        <v>608.79999999999995</v>
      </c>
      <c r="AR708">
        <v>579.97333333333302</v>
      </c>
      <c r="AS708">
        <v>566.24</v>
      </c>
      <c r="AT708">
        <v>556.736666666666</v>
      </c>
      <c r="AU708">
        <v>642.04666666666606</v>
      </c>
      <c r="AV708">
        <v>597.66666666666595</v>
      </c>
      <c r="AW708">
        <v>626.85</v>
      </c>
      <c r="AX708">
        <v>608.03333333333296</v>
      </c>
      <c r="AY708">
        <v>598.14999999999895</v>
      </c>
      <c r="AZ708">
        <v>591.51666666666597</v>
      </c>
      <c r="BA708">
        <v>631.02666666666596</v>
      </c>
      <c r="BB708">
        <v>585.65333333333297</v>
      </c>
      <c r="BC708">
        <v>615.37666666666598</v>
      </c>
      <c r="BD708">
        <v>595.71666666666601</v>
      </c>
      <c r="BE708">
        <v>585.76333333333298</v>
      </c>
      <c r="BF708">
        <v>578.34</v>
      </c>
      <c r="BG708" s="14"/>
      <c r="BH708" s="14"/>
      <c r="BI708" s="14"/>
      <c r="BJ708" s="199"/>
      <c r="BK708" s="14"/>
      <c r="BL708" s="14"/>
      <c r="BM708" s="14"/>
      <c r="BN708" s="14"/>
      <c r="BO708" s="14"/>
      <c r="BP708" s="14"/>
      <c r="BQ708" s="14"/>
      <c r="BR708" s="14"/>
      <c r="BS708" s="14"/>
      <c r="BT708" s="14"/>
      <c r="BU708" s="14"/>
      <c r="BV708" s="14"/>
      <c r="BW708" s="14"/>
      <c r="BX708" s="14"/>
      <c r="BY708" s="170"/>
    </row>
    <row r="709" spans="9:77" x14ac:dyDescent="0.25">
      <c r="I709">
        <v>6700</v>
      </c>
      <c r="J709" s="1" t="s">
        <v>885</v>
      </c>
      <c r="K709">
        <v>540.96666666666601</v>
      </c>
      <c r="L709">
        <v>512.98333333333301</v>
      </c>
      <c r="M709">
        <v>530.60666666666702</v>
      </c>
      <c r="N709">
        <v>518.09</v>
      </c>
      <c r="O709">
        <v>512.33000000000004</v>
      </c>
      <c r="P709">
        <v>507.90333333333302</v>
      </c>
      <c r="Q709">
        <v>516.856666666666</v>
      </c>
      <c r="R709">
        <v>468.2</v>
      </c>
      <c r="S709">
        <v>499.71666666666601</v>
      </c>
      <c r="T709">
        <v>479.47666666666601</v>
      </c>
      <c r="U709">
        <v>468.79</v>
      </c>
      <c r="V709">
        <v>461.17</v>
      </c>
      <c r="W709">
        <v>520.36</v>
      </c>
      <c r="X709">
        <v>493.68</v>
      </c>
      <c r="Y709">
        <v>503.64333333333298</v>
      </c>
      <c r="Z709">
        <v>501.89666666666602</v>
      </c>
      <c r="AA709">
        <v>496.91</v>
      </c>
      <c r="AB709">
        <v>496.91</v>
      </c>
      <c r="AC709">
        <v>542.44000000000005</v>
      </c>
      <c r="AD709">
        <v>511.21666666666601</v>
      </c>
      <c r="AE709">
        <v>530.82333333333304</v>
      </c>
      <c r="AF709">
        <v>522.08666666666602</v>
      </c>
      <c r="AG709">
        <v>516.4</v>
      </c>
      <c r="AH709">
        <v>513.71333333333303</v>
      </c>
      <c r="AI709">
        <v>540.96666666666601</v>
      </c>
      <c r="AJ709">
        <v>512.98333333333301</v>
      </c>
      <c r="AK709">
        <v>530.60666666666702</v>
      </c>
      <c r="AL709">
        <v>518.09</v>
      </c>
      <c r="AM709">
        <v>512.33000000000004</v>
      </c>
      <c r="AN709">
        <v>507.90333333333302</v>
      </c>
      <c r="AO709">
        <v>530.74</v>
      </c>
      <c r="AP709">
        <v>471.03</v>
      </c>
      <c r="AQ709">
        <v>512.24</v>
      </c>
      <c r="AR709">
        <v>483.41333333333301</v>
      </c>
      <c r="AS709">
        <v>469.68</v>
      </c>
      <c r="AT709">
        <v>460.17666666666599</v>
      </c>
      <c r="AU709">
        <v>545.486666666666</v>
      </c>
      <c r="AV709">
        <v>501.106666666666</v>
      </c>
      <c r="AW709">
        <v>530.29</v>
      </c>
      <c r="AX709">
        <v>511.47333333333302</v>
      </c>
      <c r="AY709">
        <v>501.59</v>
      </c>
      <c r="AZ709">
        <v>494.95666666666602</v>
      </c>
      <c r="BA709">
        <v>534.46666666666601</v>
      </c>
      <c r="BB709">
        <v>489.09333333333302</v>
      </c>
      <c r="BC709">
        <v>518.81666666666604</v>
      </c>
      <c r="BD709">
        <v>499.15666666666601</v>
      </c>
      <c r="BE709">
        <v>489.20333333333298</v>
      </c>
      <c r="BF709">
        <v>481.78</v>
      </c>
      <c r="BG709" s="14"/>
      <c r="BH709" s="14"/>
      <c r="BI709" s="14"/>
      <c r="BJ709" s="199"/>
      <c r="BK709" s="14"/>
      <c r="BL709" s="14"/>
      <c r="BM709" s="14"/>
      <c r="BN709" s="14"/>
      <c r="BO709" s="14"/>
      <c r="BP709" s="14"/>
      <c r="BQ709" s="14"/>
      <c r="BR709" s="14"/>
      <c r="BS709" s="14"/>
      <c r="BT709" s="14"/>
      <c r="BU709" s="14"/>
      <c r="BV709" s="14"/>
      <c r="BW709" s="14"/>
      <c r="BX709" s="14"/>
      <c r="BY709" s="170"/>
    </row>
    <row r="710" spans="9:77" x14ac:dyDescent="0.25">
      <c r="I710">
        <v>6705</v>
      </c>
      <c r="J710" s="1" t="s">
        <v>886</v>
      </c>
      <c r="K710">
        <v>568.79666666666606</v>
      </c>
      <c r="L710">
        <v>540.81333333333305</v>
      </c>
      <c r="M710">
        <v>558.43666666666604</v>
      </c>
      <c r="N710">
        <v>545.91999999999996</v>
      </c>
      <c r="O710">
        <v>540.16</v>
      </c>
      <c r="P710">
        <v>535.73333333333301</v>
      </c>
      <c r="Q710">
        <v>544.68666666666604</v>
      </c>
      <c r="R710">
        <v>496.03</v>
      </c>
      <c r="S710">
        <v>527.54666666666606</v>
      </c>
      <c r="T710">
        <v>507.30666666666599</v>
      </c>
      <c r="U710">
        <v>496.62</v>
      </c>
      <c r="V710">
        <v>489</v>
      </c>
      <c r="W710">
        <v>548.19000000000005</v>
      </c>
      <c r="X710">
        <v>521.51</v>
      </c>
      <c r="Y710">
        <v>531.47333333333302</v>
      </c>
      <c r="Z710">
        <v>529.72666666666601</v>
      </c>
      <c r="AA710">
        <v>524.74</v>
      </c>
      <c r="AB710">
        <v>524.74</v>
      </c>
      <c r="AC710">
        <v>570.27</v>
      </c>
      <c r="AD710">
        <v>539.04666666666606</v>
      </c>
      <c r="AE710">
        <v>558.65333333333297</v>
      </c>
      <c r="AF710">
        <v>549.91666666666595</v>
      </c>
      <c r="AG710">
        <v>544.23</v>
      </c>
      <c r="AH710">
        <v>541.54333333333295</v>
      </c>
      <c r="AI710">
        <v>568.79666666666606</v>
      </c>
      <c r="AJ710">
        <v>540.81333333333305</v>
      </c>
      <c r="AK710">
        <v>558.43666666666604</v>
      </c>
      <c r="AL710">
        <v>545.91999999999996</v>
      </c>
      <c r="AM710">
        <v>540.16</v>
      </c>
      <c r="AN710">
        <v>535.73333333333301</v>
      </c>
      <c r="AO710">
        <v>558.57000000000005</v>
      </c>
      <c r="AP710">
        <v>498.86</v>
      </c>
      <c r="AQ710">
        <v>540.07000000000005</v>
      </c>
      <c r="AR710">
        <v>511.243333333333</v>
      </c>
      <c r="AS710">
        <v>497.51</v>
      </c>
      <c r="AT710">
        <v>488.00666666666598</v>
      </c>
      <c r="AU710">
        <v>573.31666666666604</v>
      </c>
      <c r="AV710">
        <v>528.93666666666604</v>
      </c>
      <c r="AW710">
        <v>558.12</v>
      </c>
      <c r="AX710">
        <v>539.30333333333294</v>
      </c>
      <c r="AY710">
        <v>529.41999999999996</v>
      </c>
      <c r="AZ710">
        <v>522.78666666666595</v>
      </c>
      <c r="BA710">
        <v>562.29666666666606</v>
      </c>
      <c r="BB710">
        <v>516.92333333333295</v>
      </c>
      <c r="BC710">
        <v>546.64666666666596</v>
      </c>
      <c r="BD710">
        <v>526.986666666666</v>
      </c>
      <c r="BE710">
        <v>517.03333333333296</v>
      </c>
      <c r="BF710">
        <v>509.61</v>
      </c>
      <c r="BG710" s="14"/>
      <c r="BH710" s="14"/>
      <c r="BI710" s="14"/>
      <c r="BJ710" s="199"/>
      <c r="BK710" s="14"/>
      <c r="BL710" s="14"/>
      <c r="BM710" s="14"/>
      <c r="BN710" s="14"/>
      <c r="BO710" s="14"/>
      <c r="BP710" s="14"/>
      <c r="BQ710" s="14"/>
      <c r="BR710" s="14"/>
      <c r="BS710" s="14"/>
      <c r="BT710" s="14"/>
      <c r="BU710" s="14"/>
      <c r="BV710" s="14"/>
      <c r="BW710" s="14"/>
      <c r="BX710" s="14"/>
      <c r="BY710" s="170"/>
    </row>
    <row r="711" spans="9:77" x14ac:dyDescent="0.25">
      <c r="I711">
        <v>6710</v>
      </c>
      <c r="J711" s="1" t="s">
        <v>887</v>
      </c>
      <c r="K711">
        <v>560.00666666666598</v>
      </c>
      <c r="L711">
        <v>532.02333333333297</v>
      </c>
      <c r="M711">
        <v>549.64666666666596</v>
      </c>
      <c r="N711">
        <v>537.13</v>
      </c>
      <c r="O711">
        <v>531.37</v>
      </c>
      <c r="P711">
        <v>526.94333333333304</v>
      </c>
      <c r="Q711">
        <v>535.89666666666596</v>
      </c>
      <c r="R711">
        <v>487.24</v>
      </c>
      <c r="S711">
        <v>518.75666666666598</v>
      </c>
      <c r="T711">
        <v>498.51666666666603</v>
      </c>
      <c r="U711">
        <v>487.83</v>
      </c>
      <c r="V711">
        <v>480.21</v>
      </c>
      <c r="W711">
        <v>539.4</v>
      </c>
      <c r="X711">
        <v>512.72</v>
      </c>
      <c r="Y711">
        <v>522.68333333333305</v>
      </c>
      <c r="Z711">
        <v>520.93666666666604</v>
      </c>
      <c r="AA711">
        <v>515.95000000000005</v>
      </c>
      <c r="AB711">
        <v>515.95000000000005</v>
      </c>
      <c r="AC711">
        <v>561.48</v>
      </c>
      <c r="AD711">
        <v>530.25666666666598</v>
      </c>
      <c r="AE711">
        <v>549.863333333333</v>
      </c>
      <c r="AF711">
        <v>541.12666666666598</v>
      </c>
      <c r="AG711">
        <v>535.44000000000005</v>
      </c>
      <c r="AH711">
        <v>532.75333333333299</v>
      </c>
      <c r="AI711">
        <v>560.00666666666598</v>
      </c>
      <c r="AJ711">
        <v>532.02333333333297</v>
      </c>
      <c r="AK711">
        <v>549.64666666666596</v>
      </c>
      <c r="AL711">
        <v>537.13</v>
      </c>
      <c r="AM711">
        <v>531.37</v>
      </c>
      <c r="AN711">
        <v>526.94333333333304</v>
      </c>
      <c r="AO711">
        <v>549.77999999999895</v>
      </c>
      <c r="AP711">
        <v>490.07</v>
      </c>
      <c r="AQ711">
        <v>531.28</v>
      </c>
      <c r="AR711">
        <v>502.45333333333298</v>
      </c>
      <c r="AS711">
        <v>488.719999999999</v>
      </c>
      <c r="AT711">
        <v>479.21666666666601</v>
      </c>
      <c r="AU711">
        <v>564.52666666666596</v>
      </c>
      <c r="AV711">
        <v>520.14666666666596</v>
      </c>
      <c r="AW711">
        <v>549.33000000000004</v>
      </c>
      <c r="AX711">
        <v>530.51333333333298</v>
      </c>
      <c r="AY711">
        <v>520.63</v>
      </c>
      <c r="AZ711">
        <v>513.99666666666599</v>
      </c>
      <c r="BA711">
        <v>553.50666666666598</v>
      </c>
      <c r="BB711">
        <v>508.13333333333298</v>
      </c>
      <c r="BC711">
        <v>537.856666666666</v>
      </c>
      <c r="BD711">
        <v>518.19666666666603</v>
      </c>
      <c r="BE711">
        <v>508.243333333333</v>
      </c>
      <c r="BF711">
        <v>500.82</v>
      </c>
      <c r="BG711" s="14"/>
      <c r="BH711" s="14"/>
      <c r="BI711" s="14"/>
      <c r="BJ711" s="199"/>
      <c r="BK711" s="14"/>
      <c r="BL711" s="14"/>
      <c r="BM711" s="14"/>
      <c r="BN711" s="14"/>
      <c r="BO711" s="14"/>
      <c r="BP711" s="14"/>
      <c r="BQ711" s="14"/>
      <c r="BR711" s="14"/>
      <c r="BS711" s="14"/>
      <c r="BT711" s="14"/>
      <c r="BU711" s="14"/>
      <c r="BV711" s="14"/>
      <c r="BW711" s="14"/>
      <c r="BX711" s="14"/>
      <c r="BY711" s="170"/>
    </row>
    <row r="712" spans="9:77" x14ac:dyDescent="0.25">
      <c r="I712">
        <v>6715</v>
      </c>
      <c r="J712" s="1" t="s">
        <v>888</v>
      </c>
      <c r="K712">
        <v>597.19666666666603</v>
      </c>
      <c r="L712">
        <v>569.21333333333303</v>
      </c>
      <c r="M712">
        <v>586.83666666666602</v>
      </c>
      <c r="N712">
        <v>574.31999999999903</v>
      </c>
      <c r="O712">
        <v>568.55999999999995</v>
      </c>
      <c r="P712">
        <v>564.13333333333298</v>
      </c>
      <c r="Q712">
        <v>573.08666666666602</v>
      </c>
      <c r="R712">
        <v>524.42999999999995</v>
      </c>
      <c r="S712">
        <v>555.94666666666603</v>
      </c>
      <c r="T712">
        <v>535.70666666666602</v>
      </c>
      <c r="U712">
        <v>525.01999999999896</v>
      </c>
      <c r="V712">
        <v>517.4</v>
      </c>
      <c r="W712">
        <v>576.59</v>
      </c>
      <c r="X712">
        <v>549.90999999999894</v>
      </c>
      <c r="Y712">
        <v>559.87333333333299</v>
      </c>
      <c r="Z712">
        <v>558.12666666666598</v>
      </c>
      <c r="AA712">
        <v>553.14</v>
      </c>
      <c r="AB712">
        <v>553.14</v>
      </c>
      <c r="AC712">
        <v>598.66999999999996</v>
      </c>
      <c r="AD712">
        <v>567.44666666666603</v>
      </c>
      <c r="AE712">
        <v>587.05333333333294</v>
      </c>
      <c r="AF712">
        <v>578.31666666666604</v>
      </c>
      <c r="AG712">
        <v>572.63</v>
      </c>
      <c r="AH712">
        <v>569.94333333333304</v>
      </c>
      <c r="AI712">
        <v>597.19666666666603</v>
      </c>
      <c r="AJ712">
        <v>569.21333333333303</v>
      </c>
      <c r="AK712">
        <v>586.83666666666602</v>
      </c>
      <c r="AL712">
        <v>574.31999999999903</v>
      </c>
      <c r="AM712">
        <v>568.55999999999995</v>
      </c>
      <c r="AN712">
        <v>564.13333333333298</v>
      </c>
      <c r="AO712">
        <v>586.97</v>
      </c>
      <c r="AP712">
        <v>527.25999999999897</v>
      </c>
      <c r="AQ712">
        <v>568.47</v>
      </c>
      <c r="AR712">
        <v>539.64333333333298</v>
      </c>
      <c r="AS712">
        <v>525.90999999999894</v>
      </c>
      <c r="AT712">
        <v>516.40666666666596</v>
      </c>
      <c r="AU712">
        <v>601.71666666666601</v>
      </c>
      <c r="AV712">
        <v>557.33666666666602</v>
      </c>
      <c r="AW712">
        <v>586.51999999999896</v>
      </c>
      <c r="AX712">
        <v>567.70333333333303</v>
      </c>
      <c r="AY712">
        <v>557.81999999999903</v>
      </c>
      <c r="AZ712">
        <v>551.18666666666604</v>
      </c>
      <c r="BA712">
        <v>590.69666666666603</v>
      </c>
      <c r="BB712">
        <v>545.32333333333304</v>
      </c>
      <c r="BC712">
        <v>575.04666666666606</v>
      </c>
      <c r="BD712">
        <v>555.38666666666597</v>
      </c>
      <c r="BE712">
        <v>545.43333333333305</v>
      </c>
      <c r="BF712">
        <v>538.00999999999897</v>
      </c>
      <c r="BG712" s="14"/>
      <c r="BH712" s="14"/>
      <c r="BI712" s="14"/>
      <c r="BJ712" s="199"/>
      <c r="BK712" s="14"/>
      <c r="BL712" s="14"/>
      <c r="BM712" s="14"/>
      <c r="BN712" s="14"/>
      <c r="BO712" s="14"/>
      <c r="BP712" s="14"/>
      <c r="BQ712" s="14"/>
      <c r="BR712" s="14"/>
      <c r="BS712" s="14"/>
      <c r="BT712" s="14"/>
      <c r="BU712" s="14"/>
      <c r="BV712" s="14"/>
      <c r="BW712" s="14"/>
      <c r="BX712" s="14"/>
      <c r="BY712" s="170"/>
    </row>
    <row r="713" spans="9:77" x14ac:dyDescent="0.25">
      <c r="I713">
        <v>6720</v>
      </c>
      <c r="J713" s="1" t="s">
        <v>889</v>
      </c>
      <c r="K713">
        <v>540.96666666666601</v>
      </c>
      <c r="L713">
        <v>512.98333333333301</v>
      </c>
      <c r="M713">
        <v>530.60666666666702</v>
      </c>
      <c r="N713">
        <v>518.09</v>
      </c>
      <c r="O713">
        <v>512.33000000000004</v>
      </c>
      <c r="P713">
        <v>507.90333333333302</v>
      </c>
      <c r="Q713">
        <v>516.856666666666</v>
      </c>
      <c r="R713">
        <v>468.2</v>
      </c>
      <c r="S713">
        <v>499.71666666666601</v>
      </c>
      <c r="T713">
        <v>479.47666666666601</v>
      </c>
      <c r="U713">
        <v>468.79</v>
      </c>
      <c r="V713">
        <v>461.17</v>
      </c>
      <c r="W713">
        <v>520.36</v>
      </c>
      <c r="X713">
        <v>493.68</v>
      </c>
      <c r="Y713">
        <v>503.64333333333298</v>
      </c>
      <c r="Z713">
        <v>501.89666666666602</v>
      </c>
      <c r="AA713">
        <v>496.91</v>
      </c>
      <c r="AB713">
        <v>496.91</v>
      </c>
      <c r="AC713">
        <v>542.44000000000005</v>
      </c>
      <c r="AD713">
        <v>511.21666666666601</v>
      </c>
      <c r="AE713">
        <v>530.82333333333304</v>
      </c>
      <c r="AF713">
        <v>522.08666666666602</v>
      </c>
      <c r="AG713">
        <v>516.4</v>
      </c>
      <c r="AH713">
        <v>513.71333333333303</v>
      </c>
      <c r="AI713">
        <v>540.96666666666601</v>
      </c>
      <c r="AJ713">
        <v>512.98333333333301</v>
      </c>
      <c r="AK713">
        <v>530.60666666666702</v>
      </c>
      <c r="AL713">
        <v>518.09</v>
      </c>
      <c r="AM713">
        <v>512.33000000000004</v>
      </c>
      <c r="AN713">
        <v>507.90333333333302</v>
      </c>
      <c r="AO713">
        <v>530.74</v>
      </c>
      <c r="AP713">
        <v>471.03</v>
      </c>
      <c r="AQ713">
        <v>512.24</v>
      </c>
      <c r="AR713">
        <v>483.41333333333301</v>
      </c>
      <c r="AS713">
        <v>469.68</v>
      </c>
      <c r="AT713">
        <v>460.17666666666599</v>
      </c>
      <c r="AU713">
        <v>545.486666666666</v>
      </c>
      <c r="AV713">
        <v>501.106666666666</v>
      </c>
      <c r="AW713">
        <v>530.29</v>
      </c>
      <c r="AX713">
        <v>511.47333333333302</v>
      </c>
      <c r="AY713">
        <v>501.59</v>
      </c>
      <c r="AZ713">
        <v>494.95666666666602</v>
      </c>
      <c r="BA713">
        <v>534.46666666666601</v>
      </c>
      <c r="BB713">
        <v>489.09333333333302</v>
      </c>
      <c r="BC713">
        <v>518.81666666666604</v>
      </c>
      <c r="BD713">
        <v>499.15666666666601</v>
      </c>
      <c r="BE713">
        <v>489.20333333333298</v>
      </c>
      <c r="BF713">
        <v>481.78</v>
      </c>
      <c r="BG713" s="14"/>
      <c r="BH713" s="14"/>
      <c r="BI713" s="14"/>
      <c r="BJ713" s="199"/>
      <c r="BK713" s="14"/>
      <c r="BL713" s="14"/>
      <c r="BM713" s="14"/>
      <c r="BN713" s="14"/>
      <c r="BO713" s="14"/>
      <c r="BP713" s="14"/>
      <c r="BQ713" s="14"/>
      <c r="BR713" s="14"/>
      <c r="BS713" s="14"/>
      <c r="BT713" s="14"/>
      <c r="BU713" s="14"/>
      <c r="BV713" s="14"/>
      <c r="BW713" s="14"/>
      <c r="BX713" s="14"/>
      <c r="BY713" s="170"/>
    </row>
    <row r="714" spans="9:77" x14ac:dyDescent="0.25">
      <c r="I714">
        <v>6731</v>
      </c>
      <c r="J714" s="1" t="s">
        <v>890</v>
      </c>
      <c r="K714">
        <v>568.79666666666606</v>
      </c>
      <c r="L714">
        <v>540.81333333333305</v>
      </c>
      <c r="M714">
        <v>558.43666666666604</v>
      </c>
      <c r="N714">
        <v>545.91999999999996</v>
      </c>
      <c r="O714">
        <v>540.16</v>
      </c>
      <c r="P714">
        <v>535.73333333333301</v>
      </c>
      <c r="Q714">
        <v>544.68666666666604</v>
      </c>
      <c r="R714">
        <v>496.03</v>
      </c>
      <c r="S714">
        <v>527.54666666666606</v>
      </c>
      <c r="T714">
        <v>507.30666666666599</v>
      </c>
      <c r="U714">
        <v>496.62</v>
      </c>
      <c r="V714">
        <v>489</v>
      </c>
      <c r="W714">
        <v>548.19000000000005</v>
      </c>
      <c r="X714">
        <v>521.51</v>
      </c>
      <c r="Y714">
        <v>531.47333333333302</v>
      </c>
      <c r="Z714">
        <v>529.72666666666601</v>
      </c>
      <c r="AA714">
        <v>524.74</v>
      </c>
      <c r="AB714">
        <v>524.74</v>
      </c>
      <c r="AC714">
        <v>570.27</v>
      </c>
      <c r="AD714">
        <v>539.04666666666606</v>
      </c>
      <c r="AE714">
        <v>558.65333333333297</v>
      </c>
      <c r="AF714">
        <v>549.91666666666595</v>
      </c>
      <c r="AG714">
        <v>544.23</v>
      </c>
      <c r="AH714">
        <v>541.54333333333295</v>
      </c>
      <c r="AI714">
        <v>568.79666666666606</v>
      </c>
      <c r="AJ714">
        <v>540.81333333333305</v>
      </c>
      <c r="AK714">
        <v>558.43666666666604</v>
      </c>
      <c r="AL714">
        <v>545.91999999999996</v>
      </c>
      <c r="AM714">
        <v>540.16</v>
      </c>
      <c r="AN714">
        <v>535.73333333333301</v>
      </c>
      <c r="AO714">
        <v>558.57000000000005</v>
      </c>
      <c r="AP714">
        <v>498.86</v>
      </c>
      <c r="AQ714">
        <v>540.07000000000005</v>
      </c>
      <c r="AR714">
        <v>511.243333333333</v>
      </c>
      <c r="AS714">
        <v>497.51</v>
      </c>
      <c r="AT714">
        <v>488.00666666666598</v>
      </c>
      <c r="AU714">
        <v>573.31666666666604</v>
      </c>
      <c r="AV714">
        <v>528.93666666666604</v>
      </c>
      <c r="AW714">
        <v>558.12</v>
      </c>
      <c r="AX714">
        <v>539.30333333333294</v>
      </c>
      <c r="AY714">
        <v>529.41999999999996</v>
      </c>
      <c r="AZ714">
        <v>522.78666666666595</v>
      </c>
      <c r="BA714">
        <v>562.29666666666606</v>
      </c>
      <c r="BB714">
        <v>516.92333333333295</v>
      </c>
      <c r="BC714">
        <v>546.64666666666596</v>
      </c>
      <c r="BD714">
        <v>526.986666666666</v>
      </c>
      <c r="BE714">
        <v>517.03333333333296</v>
      </c>
      <c r="BF714">
        <v>509.61</v>
      </c>
      <c r="BG714" s="14"/>
      <c r="BH714" s="14"/>
      <c r="BI714" s="14"/>
      <c r="BJ714" s="199"/>
      <c r="BK714" s="14"/>
      <c r="BL714" s="14"/>
      <c r="BM714" s="14"/>
      <c r="BN714" s="14"/>
      <c r="BO714" s="14"/>
      <c r="BP714" s="14"/>
      <c r="BQ714" s="14"/>
      <c r="BR714" s="14"/>
      <c r="BS714" s="14"/>
      <c r="BT714" s="14"/>
      <c r="BU714" s="14"/>
      <c r="BV714" s="14"/>
      <c r="BW714" s="14"/>
      <c r="BX714" s="14"/>
      <c r="BY714" s="170"/>
    </row>
    <row r="715" spans="9:77" x14ac:dyDescent="0.25">
      <c r="I715">
        <v>6740</v>
      </c>
      <c r="J715" s="1" t="s">
        <v>891</v>
      </c>
      <c r="K715">
        <v>598.08666666666602</v>
      </c>
      <c r="L715">
        <v>570.10333333333301</v>
      </c>
      <c r="M715">
        <v>587.72666666666601</v>
      </c>
      <c r="N715">
        <v>575.21</v>
      </c>
      <c r="O715">
        <v>569.45000000000005</v>
      </c>
      <c r="P715">
        <v>565.02333333333297</v>
      </c>
      <c r="Q715">
        <v>573.97666666666601</v>
      </c>
      <c r="R715">
        <v>525.32000000000005</v>
      </c>
      <c r="S715">
        <v>556.83666666666602</v>
      </c>
      <c r="T715">
        <v>536.59666666666601</v>
      </c>
      <c r="U715">
        <v>525.91</v>
      </c>
      <c r="V715">
        <v>518.29</v>
      </c>
      <c r="W715">
        <v>577.48</v>
      </c>
      <c r="X715">
        <v>550.79999999999905</v>
      </c>
      <c r="Y715">
        <v>560.76333333333298</v>
      </c>
      <c r="Z715">
        <v>559.01666666666597</v>
      </c>
      <c r="AA715">
        <v>554.03</v>
      </c>
      <c r="AB715">
        <v>554.03</v>
      </c>
      <c r="AC715">
        <v>599.55999999999995</v>
      </c>
      <c r="AD715">
        <v>568.33666666666602</v>
      </c>
      <c r="AE715">
        <v>587.94333333333304</v>
      </c>
      <c r="AF715">
        <v>579.20666666666602</v>
      </c>
      <c r="AG715">
        <v>573.51999999999896</v>
      </c>
      <c r="AH715">
        <v>570.83333333333303</v>
      </c>
      <c r="AI715">
        <v>598.08666666666602</v>
      </c>
      <c r="AJ715">
        <v>570.10333333333301</v>
      </c>
      <c r="AK715">
        <v>587.72666666666601</v>
      </c>
      <c r="AL715">
        <v>575.21</v>
      </c>
      <c r="AM715">
        <v>569.45000000000005</v>
      </c>
      <c r="AN715">
        <v>565.02333333333297</v>
      </c>
      <c r="AO715">
        <v>587.85999999999899</v>
      </c>
      <c r="AP715">
        <v>528.14999999999895</v>
      </c>
      <c r="AQ715">
        <v>569.36</v>
      </c>
      <c r="AR715">
        <v>540.53333333333296</v>
      </c>
      <c r="AS715">
        <v>526.79999999999905</v>
      </c>
      <c r="AT715">
        <v>517.29666666666606</v>
      </c>
      <c r="AU715">
        <v>602.606666666666</v>
      </c>
      <c r="AV715">
        <v>558.22666666666601</v>
      </c>
      <c r="AW715">
        <v>587.41</v>
      </c>
      <c r="AX715">
        <v>568.59333333333302</v>
      </c>
      <c r="AY715">
        <v>558.70999999999901</v>
      </c>
      <c r="AZ715">
        <v>552.07666666666603</v>
      </c>
      <c r="BA715">
        <v>591.58666666666602</v>
      </c>
      <c r="BB715">
        <v>546.21333333333303</v>
      </c>
      <c r="BC715">
        <v>575.93666666666604</v>
      </c>
      <c r="BD715">
        <v>556.27666666666596</v>
      </c>
      <c r="BE715">
        <v>546.32333333333304</v>
      </c>
      <c r="BF715">
        <v>538.9</v>
      </c>
      <c r="BG715" s="14"/>
      <c r="BH715" s="14"/>
      <c r="BI715" s="14"/>
      <c r="BJ715" s="199"/>
      <c r="BK715" s="14"/>
      <c r="BL715" s="14"/>
      <c r="BM715" s="14"/>
      <c r="BN715" s="14"/>
      <c r="BO715" s="14"/>
      <c r="BP715" s="14"/>
      <c r="BQ715" s="14"/>
      <c r="BR715" s="14"/>
      <c r="BS715" s="14"/>
      <c r="BT715" s="14"/>
      <c r="BU715" s="14"/>
      <c r="BV715" s="14"/>
      <c r="BW715" s="14"/>
      <c r="BX715" s="14"/>
      <c r="BY715" s="170"/>
    </row>
    <row r="716" spans="9:77" x14ac:dyDescent="0.25">
      <c r="I716">
        <v>6752</v>
      </c>
      <c r="J716" s="1" t="s">
        <v>892</v>
      </c>
      <c r="K716">
        <v>683.86666666666599</v>
      </c>
      <c r="L716">
        <v>655.88333333333298</v>
      </c>
      <c r="M716">
        <v>673.50666666666598</v>
      </c>
      <c r="N716">
        <v>660.99</v>
      </c>
      <c r="O716">
        <v>655.23</v>
      </c>
      <c r="P716">
        <v>650.80333333333294</v>
      </c>
      <c r="Q716">
        <v>659.75666666666598</v>
      </c>
      <c r="R716">
        <v>611.1</v>
      </c>
      <c r="S716">
        <v>642.61666666666599</v>
      </c>
      <c r="T716">
        <v>622.37666666666598</v>
      </c>
      <c r="U716">
        <v>611.69000000000005</v>
      </c>
      <c r="V716">
        <v>604.07000000000005</v>
      </c>
      <c r="W716">
        <v>663.25999999999897</v>
      </c>
      <c r="X716">
        <v>636.57999999999902</v>
      </c>
      <c r="Y716">
        <v>646.54333333333295</v>
      </c>
      <c r="Z716">
        <v>644.79666666666606</v>
      </c>
      <c r="AA716">
        <v>639.80999999999995</v>
      </c>
      <c r="AB716">
        <v>639.80999999999995</v>
      </c>
      <c r="AC716">
        <v>685.34</v>
      </c>
      <c r="AD716">
        <v>654.11666666666599</v>
      </c>
      <c r="AE716">
        <v>673.72333333333302</v>
      </c>
      <c r="AF716">
        <v>664.986666666666</v>
      </c>
      <c r="AG716">
        <v>659.29999999999905</v>
      </c>
      <c r="AH716">
        <v>656.613333333333</v>
      </c>
      <c r="AI716">
        <v>683.86666666666599</v>
      </c>
      <c r="AJ716">
        <v>655.88333333333298</v>
      </c>
      <c r="AK716">
        <v>673.50666666666598</v>
      </c>
      <c r="AL716">
        <v>660.99</v>
      </c>
      <c r="AM716">
        <v>655.23</v>
      </c>
      <c r="AN716">
        <v>650.80333333333294</v>
      </c>
      <c r="AO716">
        <v>673.63999999999896</v>
      </c>
      <c r="AP716">
        <v>613.92999999999904</v>
      </c>
      <c r="AQ716">
        <v>655.13999999999896</v>
      </c>
      <c r="AR716">
        <v>626.31333333333305</v>
      </c>
      <c r="AS716">
        <v>612.57999999999902</v>
      </c>
      <c r="AT716">
        <v>603.07666666666603</v>
      </c>
      <c r="AU716">
        <v>688.38666666666597</v>
      </c>
      <c r="AV716">
        <v>644.00666666666598</v>
      </c>
      <c r="AW716">
        <v>673.19</v>
      </c>
      <c r="AX716">
        <v>654.37333333333299</v>
      </c>
      <c r="AY716">
        <v>644.48999999999899</v>
      </c>
      <c r="AZ716">
        <v>637.856666666666</v>
      </c>
      <c r="BA716">
        <v>677.36666666666599</v>
      </c>
      <c r="BB716">
        <v>631.993333333333</v>
      </c>
      <c r="BC716">
        <v>661.71666666666601</v>
      </c>
      <c r="BD716">
        <v>642.05666666666605</v>
      </c>
      <c r="BE716">
        <v>632.10333333333301</v>
      </c>
      <c r="BF716">
        <v>624.67999999999995</v>
      </c>
      <c r="BG716" s="14"/>
      <c r="BH716" s="14"/>
      <c r="BI716" s="14"/>
      <c r="BJ716" s="199"/>
      <c r="BK716" s="14"/>
      <c r="BL716" s="14"/>
      <c r="BM716" s="14"/>
      <c r="BN716" s="14"/>
      <c r="BO716" s="14"/>
      <c r="BP716" s="14"/>
      <c r="BQ716" s="14"/>
      <c r="BR716" s="14"/>
      <c r="BS716" s="14"/>
      <c r="BT716" s="14"/>
      <c r="BU716" s="14"/>
      <c r="BV716" s="14"/>
      <c r="BW716" s="14"/>
      <c r="BX716" s="14"/>
      <c r="BY716" s="170"/>
    </row>
    <row r="717" spans="9:77" x14ac:dyDescent="0.25">
      <c r="I717">
        <v>6753</v>
      </c>
      <c r="J717" s="1" t="s">
        <v>893</v>
      </c>
      <c r="K717">
        <v>696.39666666666596</v>
      </c>
      <c r="L717">
        <v>668.41333333333296</v>
      </c>
      <c r="M717">
        <v>686.03666666666595</v>
      </c>
      <c r="N717">
        <v>673.51999999999896</v>
      </c>
      <c r="O717">
        <v>667.75999999999897</v>
      </c>
      <c r="P717">
        <v>663.33333333333303</v>
      </c>
      <c r="Q717">
        <v>672.28666666666595</v>
      </c>
      <c r="R717">
        <v>623.63</v>
      </c>
      <c r="S717">
        <v>655.14666666666596</v>
      </c>
      <c r="T717">
        <v>634.90666666666596</v>
      </c>
      <c r="U717">
        <v>624.22</v>
      </c>
      <c r="V717">
        <v>616.6</v>
      </c>
      <c r="W717">
        <v>675.78999999999905</v>
      </c>
      <c r="X717">
        <v>649.10999999999899</v>
      </c>
      <c r="Y717">
        <v>659.07333333333304</v>
      </c>
      <c r="Z717">
        <v>657.32666666666603</v>
      </c>
      <c r="AA717">
        <v>652.34</v>
      </c>
      <c r="AB717">
        <v>652.34</v>
      </c>
      <c r="AC717">
        <v>697.87</v>
      </c>
      <c r="AD717">
        <v>666.64666666666596</v>
      </c>
      <c r="AE717">
        <v>686.25333333333299</v>
      </c>
      <c r="AF717">
        <v>677.51666666666597</v>
      </c>
      <c r="AG717">
        <v>671.82999999999902</v>
      </c>
      <c r="AH717">
        <v>669.14333333333298</v>
      </c>
      <c r="AI717">
        <v>696.39666666666596</v>
      </c>
      <c r="AJ717">
        <v>668.41333333333296</v>
      </c>
      <c r="AK717">
        <v>686.03666666666595</v>
      </c>
      <c r="AL717">
        <v>673.51999999999896</v>
      </c>
      <c r="AM717">
        <v>667.75999999999897</v>
      </c>
      <c r="AN717">
        <v>663.33333333333303</v>
      </c>
      <c r="AO717">
        <v>686.16999999999905</v>
      </c>
      <c r="AP717">
        <v>626.45999999999901</v>
      </c>
      <c r="AQ717">
        <v>667.66999999999905</v>
      </c>
      <c r="AR717">
        <v>638.84333333333302</v>
      </c>
      <c r="AS717">
        <v>625.10999999999899</v>
      </c>
      <c r="AT717">
        <v>615.606666666666</v>
      </c>
      <c r="AU717">
        <v>700.91666666666595</v>
      </c>
      <c r="AV717">
        <v>656.53666666666595</v>
      </c>
      <c r="AW717">
        <v>685.72</v>
      </c>
      <c r="AX717">
        <v>666.90333333333297</v>
      </c>
      <c r="AY717">
        <v>657.01999999999896</v>
      </c>
      <c r="AZ717">
        <v>650.38666666666597</v>
      </c>
      <c r="BA717">
        <v>689.89666666666596</v>
      </c>
      <c r="BB717">
        <v>644.52333333333297</v>
      </c>
      <c r="BC717">
        <v>674.24666666666599</v>
      </c>
      <c r="BD717">
        <v>654.58666666666602</v>
      </c>
      <c r="BE717">
        <v>644.63333333333298</v>
      </c>
      <c r="BF717">
        <v>637.21</v>
      </c>
      <c r="BG717" s="14"/>
      <c r="BH717" s="14"/>
      <c r="BI717" s="14"/>
      <c r="BJ717" s="199"/>
      <c r="BK717" s="14"/>
      <c r="BL717" s="14"/>
      <c r="BM717" s="14"/>
      <c r="BN717" s="14"/>
      <c r="BO717" s="14"/>
      <c r="BP717" s="14"/>
      <c r="BQ717" s="14"/>
      <c r="BR717" s="14"/>
      <c r="BS717" s="14"/>
      <c r="BT717" s="14"/>
      <c r="BU717" s="14"/>
      <c r="BV717" s="14"/>
      <c r="BW717" s="14"/>
      <c r="BX717" s="14"/>
      <c r="BY717" s="170"/>
    </row>
    <row r="718" spans="9:77" x14ac:dyDescent="0.25">
      <c r="I718">
        <v>6760</v>
      </c>
      <c r="J718" s="1" t="s">
        <v>894</v>
      </c>
      <c r="K718">
        <v>578.86666666666599</v>
      </c>
      <c r="L718">
        <v>550.88333333333298</v>
      </c>
      <c r="M718">
        <v>568.50666666666598</v>
      </c>
      <c r="N718">
        <v>555.99</v>
      </c>
      <c r="O718">
        <v>550.23</v>
      </c>
      <c r="P718">
        <v>545.80333333333294</v>
      </c>
      <c r="Q718">
        <v>554.75666666666598</v>
      </c>
      <c r="R718">
        <v>506.1</v>
      </c>
      <c r="S718">
        <v>537.61666666666599</v>
      </c>
      <c r="T718">
        <v>517.37666666666598</v>
      </c>
      <c r="U718">
        <v>506.69</v>
      </c>
      <c r="V718">
        <v>499.07</v>
      </c>
      <c r="W718">
        <v>558.26</v>
      </c>
      <c r="X718">
        <v>531.58000000000004</v>
      </c>
      <c r="Y718">
        <v>541.54333333333295</v>
      </c>
      <c r="Z718">
        <v>539.79666666666606</v>
      </c>
      <c r="AA718">
        <v>534.80999999999995</v>
      </c>
      <c r="AB718">
        <v>534.80999999999995</v>
      </c>
      <c r="AC718">
        <v>580.34</v>
      </c>
      <c r="AD718">
        <v>549.11666666666599</v>
      </c>
      <c r="AE718">
        <v>568.72333333333302</v>
      </c>
      <c r="AF718">
        <v>559.986666666666</v>
      </c>
      <c r="AG718">
        <v>554.29999999999995</v>
      </c>
      <c r="AH718">
        <v>551.613333333333</v>
      </c>
      <c r="AI718">
        <v>578.86666666666599</v>
      </c>
      <c r="AJ718">
        <v>550.88333333333298</v>
      </c>
      <c r="AK718">
        <v>568.50666666666598</v>
      </c>
      <c r="AL718">
        <v>555.99</v>
      </c>
      <c r="AM718">
        <v>550.23</v>
      </c>
      <c r="AN718">
        <v>545.80333333333294</v>
      </c>
      <c r="AO718">
        <v>568.64</v>
      </c>
      <c r="AP718">
        <v>508.93</v>
      </c>
      <c r="AQ718">
        <v>550.14</v>
      </c>
      <c r="AR718">
        <v>521.31333333333305</v>
      </c>
      <c r="AS718">
        <v>507.57999999999902</v>
      </c>
      <c r="AT718">
        <v>498.07666666666597</v>
      </c>
      <c r="AU718">
        <v>583.38666666666597</v>
      </c>
      <c r="AV718">
        <v>539.00666666666598</v>
      </c>
      <c r="AW718">
        <v>568.19000000000005</v>
      </c>
      <c r="AX718">
        <v>549.37333333333299</v>
      </c>
      <c r="AY718">
        <v>539.49</v>
      </c>
      <c r="AZ718">
        <v>532.856666666666</v>
      </c>
      <c r="BA718">
        <v>572.36666666666599</v>
      </c>
      <c r="BB718">
        <v>526.993333333333</v>
      </c>
      <c r="BC718">
        <v>556.71666666666601</v>
      </c>
      <c r="BD718">
        <v>537.05666666666605</v>
      </c>
      <c r="BE718">
        <v>527.10333333333301</v>
      </c>
      <c r="BF718">
        <v>519.67999999999995</v>
      </c>
      <c r="BG718" s="14"/>
      <c r="BH718" s="14"/>
      <c r="BI718" s="14"/>
      <c r="BJ718" s="199"/>
      <c r="BK718" s="14"/>
      <c r="BL718" s="14"/>
      <c r="BM718" s="14"/>
      <c r="BN718" s="14"/>
      <c r="BO718" s="14"/>
      <c r="BP718" s="14"/>
      <c r="BQ718" s="14"/>
      <c r="BR718" s="14"/>
      <c r="BS718" s="14"/>
      <c r="BT718" s="14"/>
      <c r="BU718" s="14"/>
      <c r="BV718" s="14"/>
      <c r="BW718" s="14"/>
      <c r="BX718" s="14"/>
      <c r="BY718" s="170"/>
    </row>
    <row r="719" spans="9:77" x14ac:dyDescent="0.25">
      <c r="I719">
        <v>6771</v>
      </c>
      <c r="J719" s="1" t="s">
        <v>895</v>
      </c>
      <c r="K719">
        <v>584.70666666666602</v>
      </c>
      <c r="L719">
        <v>556.72333333333302</v>
      </c>
      <c r="M719">
        <v>574.34666666666703</v>
      </c>
      <c r="N719">
        <v>561.83000000000004</v>
      </c>
      <c r="O719">
        <v>556.07000000000005</v>
      </c>
      <c r="P719">
        <v>551.64333333333298</v>
      </c>
      <c r="Q719">
        <v>560.59666666666601</v>
      </c>
      <c r="R719">
        <v>511.94</v>
      </c>
      <c r="S719">
        <v>543.45666666666602</v>
      </c>
      <c r="T719">
        <v>523.21666666666601</v>
      </c>
      <c r="U719">
        <v>512.53</v>
      </c>
      <c r="V719">
        <v>504.91</v>
      </c>
      <c r="W719">
        <v>564.1</v>
      </c>
      <c r="X719">
        <v>537.41999999999996</v>
      </c>
      <c r="Y719">
        <v>547.38333333333298</v>
      </c>
      <c r="Z719">
        <v>545.63666666666597</v>
      </c>
      <c r="AA719">
        <v>540.65</v>
      </c>
      <c r="AB719">
        <v>540.65</v>
      </c>
      <c r="AC719">
        <v>586.17999999999995</v>
      </c>
      <c r="AD719">
        <v>554.95666666666602</v>
      </c>
      <c r="AE719">
        <v>574.56333333333305</v>
      </c>
      <c r="AF719">
        <v>565.82666666666603</v>
      </c>
      <c r="AG719">
        <v>560.14</v>
      </c>
      <c r="AH719">
        <v>557.45333333333303</v>
      </c>
      <c r="AI719">
        <v>584.70666666666602</v>
      </c>
      <c r="AJ719">
        <v>556.72333333333302</v>
      </c>
      <c r="AK719">
        <v>574.34666666666703</v>
      </c>
      <c r="AL719">
        <v>561.83000000000004</v>
      </c>
      <c r="AM719">
        <v>556.07000000000005</v>
      </c>
      <c r="AN719">
        <v>551.64333333333298</v>
      </c>
      <c r="AO719">
        <v>574.48</v>
      </c>
      <c r="AP719">
        <v>514.77</v>
      </c>
      <c r="AQ719">
        <v>555.98</v>
      </c>
      <c r="AR719">
        <v>527.15333333333297</v>
      </c>
      <c r="AS719">
        <v>513.41999999999996</v>
      </c>
      <c r="AT719">
        <v>503.916666666666</v>
      </c>
      <c r="AU719">
        <v>589.22666666666601</v>
      </c>
      <c r="AV719">
        <v>544.84666666666601</v>
      </c>
      <c r="AW719">
        <v>574.03</v>
      </c>
      <c r="AX719">
        <v>555.21333333333303</v>
      </c>
      <c r="AY719">
        <v>545.33000000000004</v>
      </c>
      <c r="AZ719">
        <v>538.69666666666603</v>
      </c>
      <c r="BA719">
        <v>578.20666666666602</v>
      </c>
      <c r="BB719">
        <v>532.83333333333303</v>
      </c>
      <c r="BC719">
        <v>562.55666666666605</v>
      </c>
      <c r="BD719">
        <v>542.89666666666596</v>
      </c>
      <c r="BE719">
        <v>532.94333333333304</v>
      </c>
      <c r="BF719">
        <v>525.52</v>
      </c>
      <c r="BG719" s="14"/>
      <c r="BH719" s="14"/>
      <c r="BI719" s="14"/>
      <c r="BJ719" s="199"/>
      <c r="BK719" s="14"/>
      <c r="BL719" s="14"/>
      <c r="BM719" s="14"/>
      <c r="BN719" s="14"/>
      <c r="BO719" s="14"/>
      <c r="BP719" s="14"/>
      <c r="BQ719" s="14"/>
      <c r="BR719" s="14"/>
      <c r="BS719" s="14"/>
      <c r="BT719" s="14"/>
      <c r="BU719" s="14"/>
      <c r="BV719" s="14"/>
      <c r="BW719" s="14"/>
      <c r="BX719" s="14"/>
      <c r="BY719" s="170"/>
    </row>
    <row r="720" spans="9:77" x14ac:dyDescent="0.25">
      <c r="I720">
        <v>6780</v>
      </c>
      <c r="J720" s="1" t="s">
        <v>896</v>
      </c>
      <c r="K720">
        <v>568.80333333333294</v>
      </c>
      <c r="L720">
        <v>542.76333333333298</v>
      </c>
      <c r="M720">
        <v>558.55333333333294</v>
      </c>
      <c r="N720">
        <v>547.04</v>
      </c>
      <c r="O720">
        <v>542.31666666666604</v>
      </c>
      <c r="P720">
        <v>539.1</v>
      </c>
      <c r="Q720">
        <v>545.59333333333302</v>
      </c>
      <c r="R720">
        <v>500.24</v>
      </c>
      <c r="S720">
        <v>529.62</v>
      </c>
      <c r="T720">
        <v>509.85</v>
      </c>
      <c r="U720">
        <v>499.82333333333298</v>
      </c>
      <c r="V720">
        <v>492.78333333333302</v>
      </c>
      <c r="W720">
        <v>549.58333333333303</v>
      </c>
      <c r="X720">
        <v>524.77333333333297</v>
      </c>
      <c r="Y720">
        <v>534.36</v>
      </c>
      <c r="Z720">
        <v>532.45000000000005</v>
      </c>
      <c r="AA720">
        <v>527.63333333333298</v>
      </c>
      <c r="AB720">
        <v>527.63333333333298</v>
      </c>
      <c r="AC720">
        <v>574.05333333333294</v>
      </c>
      <c r="AD720">
        <v>545.11</v>
      </c>
      <c r="AE720">
        <v>562.54999999999995</v>
      </c>
      <c r="AF720">
        <v>554.43333333333305</v>
      </c>
      <c r="AG720">
        <v>549.493333333333</v>
      </c>
      <c r="AH720">
        <v>547.21666666666601</v>
      </c>
      <c r="AI720">
        <v>568.80333333333294</v>
      </c>
      <c r="AJ720">
        <v>542.76333333333298</v>
      </c>
      <c r="AK720">
        <v>558.55333333333294</v>
      </c>
      <c r="AL720">
        <v>547.04</v>
      </c>
      <c r="AM720">
        <v>542.31666666666604</v>
      </c>
      <c r="AN720">
        <v>539.1</v>
      </c>
      <c r="AO720">
        <v>566.18666666666604</v>
      </c>
      <c r="AP720">
        <v>509.75666666666598</v>
      </c>
      <c r="AQ720">
        <v>549.30999999999995</v>
      </c>
      <c r="AR720">
        <v>521.25666666666598</v>
      </c>
      <c r="AS720">
        <v>508.09666666666601</v>
      </c>
      <c r="AT720">
        <v>499.25</v>
      </c>
      <c r="AU720">
        <v>582.54</v>
      </c>
      <c r="AV720">
        <v>539.16</v>
      </c>
      <c r="AW720">
        <v>568.236666666666</v>
      </c>
      <c r="AX720">
        <v>549.17333333333295</v>
      </c>
      <c r="AY720">
        <v>539.45333333333303</v>
      </c>
      <c r="AZ720">
        <v>532.58666666666602</v>
      </c>
      <c r="BA720">
        <v>569.51999999999896</v>
      </c>
      <c r="BB720">
        <v>524.71666666666601</v>
      </c>
      <c r="BC720">
        <v>554.33666666666602</v>
      </c>
      <c r="BD720">
        <v>534.69000000000005</v>
      </c>
      <c r="BE720">
        <v>524.76666666666597</v>
      </c>
      <c r="BF720">
        <v>517.606666666666</v>
      </c>
      <c r="BG720" s="14"/>
      <c r="BH720" s="14"/>
      <c r="BI720" s="14"/>
      <c r="BJ720" s="199"/>
      <c r="BK720" s="14"/>
      <c r="BL720" s="14"/>
      <c r="BM720" s="14"/>
      <c r="BN720" s="14"/>
      <c r="BO720" s="14"/>
      <c r="BP720" s="14"/>
      <c r="BQ720" s="14"/>
      <c r="BR720" s="14"/>
      <c r="BS720" s="14"/>
      <c r="BT720" s="14"/>
      <c r="BU720" s="14"/>
      <c r="BV720" s="14"/>
      <c r="BW720" s="14"/>
      <c r="BX720" s="14"/>
      <c r="BY720" s="170"/>
    </row>
    <row r="721" spans="9:77" x14ac:dyDescent="0.25">
      <c r="I721">
        <v>6791</v>
      </c>
      <c r="J721" s="1"/>
      <c r="K721">
        <v>495.76333333333298</v>
      </c>
      <c r="L721">
        <v>469.72333333333302</v>
      </c>
      <c r="M721">
        <v>485.51333333333298</v>
      </c>
      <c r="N721">
        <v>473.99999999999898</v>
      </c>
      <c r="O721">
        <v>469.27666666666602</v>
      </c>
      <c r="P721">
        <v>466.06</v>
      </c>
      <c r="Q721">
        <v>472.553333333333</v>
      </c>
      <c r="R721">
        <v>427.19999999999902</v>
      </c>
      <c r="S721">
        <v>456.58</v>
      </c>
      <c r="T721">
        <v>436.80999999999898</v>
      </c>
      <c r="U721">
        <v>426.78333333333302</v>
      </c>
      <c r="V721">
        <v>419.743333333333</v>
      </c>
      <c r="W721">
        <v>476.54333333333301</v>
      </c>
      <c r="X721">
        <v>451.73333333333301</v>
      </c>
      <c r="Y721">
        <v>461.32</v>
      </c>
      <c r="Z721">
        <v>459.409999999999</v>
      </c>
      <c r="AA721">
        <v>454.59333333333302</v>
      </c>
      <c r="AB721">
        <v>454.59333333333302</v>
      </c>
      <c r="AC721">
        <v>501.01333333333298</v>
      </c>
      <c r="AD721">
        <v>472.06999999999903</v>
      </c>
      <c r="AE721">
        <v>489.51</v>
      </c>
      <c r="AF721">
        <v>481.39333333333298</v>
      </c>
      <c r="AG721">
        <v>476.45333333333298</v>
      </c>
      <c r="AH721">
        <v>474.17666666666599</v>
      </c>
      <c r="AI721">
        <v>495.76333333333298</v>
      </c>
      <c r="AJ721">
        <v>469.72333333333302</v>
      </c>
      <c r="AK721">
        <v>485.51333333333298</v>
      </c>
      <c r="AL721">
        <v>473.99999999999898</v>
      </c>
      <c r="AM721">
        <v>469.27666666666602</v>
      </c>
      <c r="AN721">
        <v>466.06</v>
      </c>
      <c r="AO721">
        <v>493.14666666666602</v>
      </c>
      <c r="AP721">
        <v>436.71666666666601</v>
      </c>
      <c r="AQ721">
        <v>476.26999999999902</v>
      </c>
      <c r="AR721">
        <v>448.21666666666601</v>
      </c>
      <c r="AS721">
        <v>435.05666666666599</v>
      </c>
      <c r="AT721">
        <v>426.21</v>
      </c>
      <c r="AU721">
        <v>509.49999999999898</v>
      </c>
      <c r="AV721">
        <v>466.11999999999898</v>
      </c>
      <c r="AW721">
        <v>495.19666666666598</v>
      </c>
      <c r="AX721">
        <v>476.13333333333298</v>
      </c>
      <c r="AY721">
        <v>466.41333333333301</v>
      </c>
      <c r="AZ721">
        <v>459.546666666666</v>
      </c>
      <c r="BA721">
        <v>496.479999999999</v>
      </c>
      <c r="BB721">
        <v>451.67666666666599</v>
      </c>
      <c r="BC721">
        <v>481.296666666666</v>
      </c>
      <c r="BD721">
        <v>461.64999999999901</v>
      </c>
      <c r="BE721">
        <v>451.72666666666601</v>
      </c>
      <c r="BF721">
        <v>444.56666666666598</v>
      </c>
      <c r="BG721" s="14"/>
      <c r="BH721" s="14"/>
      <c r="BI721" s="14"/>
      <c r="BJ721" s="199"/>
      <c r="BK721" s="14"/>
      <c r="BL721" s="14"/>
      <c r="BM721" s="14"/>
      <c r="BN721" s="14"/>
      <c r="BO721" s="14"/>
      <c r="BP721" s="14"/>
      <c r="BQ721" s="14"/>
      <c r="BR721" s="14"/>
      <c r="BS721" s="14"/>
      <c r="BT721" s="14"/>
      <c r="BU721" s="14"/>
      <c r="BV721" s="14"/>
      <c r="BW721" s="14"/>
      <c r="BX721" s="14"/>
      <c r="BY721" s="170"/>
    </row>
    <row r="722" spans="9:77" x14ac:dyDescent="0.25">
      <c r="I722">
        <v>6792</v>
      </c>
      <c r="J722" s="1" t="s">
        <v>897</v>
      </c>
      <c r="K722">
        <v>453.42333333333301</v>
      </c>
      <c r="L722">
        <v>427.38333333333298</v>
      </c>
      <c r="M722">
        <v>443.17333333333301</v>
      </c>
      <c r="N722">
        <v>431.66</v>
      </c>
      <c r="O722">
        <v>426.93666666666599</v>
      </c>
      <c r="P722">
        <v>423.72</v>
      </c>
      <c r="Q722">
        <v>430.21333333333303</v>
      </c>
      <c r="R722">
        <v>384.86</v>
      </c>
      <c r="S722">
        <v>414.24</v>
      </c>
      <c r="T722">
        <v>394.47</v>
      </c>
      <c r="U722">
        <v>384.44333333333299</v>
      </c>
      <c r="V722">
        <v>377.40333333333302</v>
      </c>
      <c r="W722">
        <v>434.20333333333298</v>
      </c>
      <c r="X722">
        <v>409.39333333333298</v>
      </c>
      <c r="Y722">
        <v>418.98</v>
      </c>
      <c r="Z722">
        <v>417.07</v>
      </c>
      <c r="AA722">
        <v>412.25333333333299</v>
      </c>
      <c r="AB722">
        <v>412.25333333333299</v>
      </c>
      <c r="AC722">
        <v>458.67333333333301</v>
      </c>
      <c r="AD722">
        <v>429.73</v>
      </c>
      <c r="AE722">
        <v>447.17</v>
      </c>
      <c r="AF722">
        <v>439.053333333333</v>
      </c>
      <c r="AG722">
        <v>434.113333333333</v>
      </c>
      <c r="AH722">
        <v>431.83666666666602</v>
      </c>
      <c r="AI722">
        <v>453.42333333333301</v>
      </c>
      <c r="AJ722">
        <v>427.38333333333298</v>
      </c>
      <c r="AK722">
        <v>443.17333333333301</v>
      </c>
      <c r="AL722">
        <v>431.66</v>
      </c>
      <c r="AM722">
        <v>426.93666666666599</v>
      </c>
      <c r="AN722">
        <v>423.72</v>
      </c>
      <c r="AO722">
        <v>450.80666666666599</v>
      </c>
      <c r="AP722">
        <v>394.37666666666598</v>
      </c>
      <c r="AQ722">
        <v>433.93</v>
      </c>
      <c r="AR722">
        <v>405.87666666666598</v>
      </c>
      <c r="AS722">
        <v>392.71666666666601</v>
      </c>
      <c r="AT722">
        <v>383.87</v>
      </c>
      <c r="AU722">
        <v>467.16</v>
      </c>
      <c r="AV722">
        <v>423.78</v>
      </c>
      <c r="AW722">
        <v>452.856666666666</v>
      </c>
      <c r="AX722">
        <v>433.79333333333301</v>
      </c>
      <c r="AY722">
        <v>424.07333333333298</v>
      </c>
      <c r="AZ722">
        <v>417.20666666666602</v>
      </c>
      <c r="BA722">
        <v>454.14</v>
      </c>
      <c r="BB722">
        <v>409.33666666666602</v>
      </c>
      <c r="BC722">
        <v>438.95666666666602</v>
      </c>
      <c r="BD722">
        <v>419.31</v>
      </c>
      <c r="BE722">
        <v>409.38666666666597</v>
      </c>
      <c r="BF722">
        <v>402.22666666666601</v>
      </c>
      <c r="BG722" s="14"/>
      <c r="BH722" s="14"/>
      <c r="BI722" s="14"/>
      <c r="BJ722" s="199"/>
      <c r="BK722" s="14"/>
      <c r="BL722" s="14"/>
      <c r="BM722" s="14"/>
      <c r="BN722" s="14"/>
      <c r="BO722" s="14"/>
      <c r="BP722" s="14"/>
      <c r="BQ722" s="14"/>
      <c r="BR722" s="14"/>
      <c r="BS722" s="14"/>
      <c r="BT722" s="14"/>
      <c r="BU722" s="14"/>
      <c r="BV722" s="14"/>
      <c r="BW722" s="14"/>
      <c r="BX722" s="14"/>
      <c r="BY722" s="170"/>
    </row>
    <row r="723" spans="9:77" x14ac:dyDescent="0.25">
      <c r="I723">
        <v>6800</v>
      </c>
      <c r="J723" s="1" t="s">
        <v>898</v>
      </c>
      <c r="K723">
        <v>627.69000000000005</v>
      </c>
      <c r="L723">
        <v>597.01333333333298</v>
      </c>
      <c r="M723">
        <v>616.61</v>
      </c>
      <c r="N723">
        <v>602.613333333333</v>
      </c>
      <c r="O723">
        <v>596.42666666666605</v>
      </c>
      <c r="P723">
        <v>591.89333333333298</v>
      </c>
      <c r="Q723">
        <v>608.00333333333299</v>
      </c>
      <c r="R723">
        <v>556.75666666666598</v>
      </c>
      <c r="S723">
        <v>591.41333333333296</v>
      </c>
      <c r="T723">
        <v>568.50333333333299</v>
      </c>
      <c r="U723">
        <v>556.75666666666598</v>
      </c>
      <c r="V723">
        <v>547.71666666666601</v>
      </c>
      <c r="W723">
        <v>611.45666666666602</v>
      </c>
      <c r="X723">
        <v>584.25666666666598</v>
      </c>
      <c r="Y723">
        <v>594.856666666666</v>
      </c>
      <c r="Z723">
        <v>592.96666666666601</v>
      </c>
      <c r="AA723">
        <v>587.63999999999896</v>
      </c>
      <c r="AB723">
        <v>587.63999999999896</v>
      </c>
      <c r="AC723">
        <v>630.33333333333303</v>
      </c>
      <c r="AD723">
        <v>596.02666666666596</v>
      </c>
      <c r="AE723">
        <v>617.90666666666596</v>
      </c>
      <c r="AF723">
        <v>607.856666666666</v>
      </c>
      <c r="AG723">
        <v>601.67999999999995</v>
      </c>
      <c r="AH723">
        <v>598.74666666666599</v>
      </c>
      <c r="AI723">
        <v>627.69000000000005</v>
      </c>
      <c r="AJ723">
        <v>597.01333333333298</v>
      </c>
      <c r="AK723">
        <v>616.61</v>
      </c>
      <c r="AL723">
        <v>602.613333333333</v>
      </c>
      <c r="AM723">
        <v>596.42666666666605</v>
      </c>
      <c r="AN723">
        <v>591.89333333333298</v>
      </c>
      <c r="AO723">
        <v>622.33333333333303</v>
      </c>
      <c r="AP723">
        <v>558.89</v>
      </c>
      <c r="AQ723">
        <v>604.12666666666598</v>
      </c>
      <c r="AR723">
        <v>573.40666666666596</v>
      </c>
      <c r="AS723">
        <v>556.986666666666</v>
      </c>
      <c r="AT723">
        <v>544.87666666666598</v>
      </c>
      <c r="AU723">
        <v>635.84333333333302</v>
      </c>
      <c r="AV723">
        <v>586.39666666666596</v>
      </c>
      <c r="AW723">
        <v>620.21</v>
      </c>
      <c r="AX723">
        <v>598.30666666666605</v>
      </c>
      <c r="AY723">
        <v>587.01666666666597</v>
      </c>
      <c r="AZ723">
        <v>579.00999999999897</v>
      </c>
      <c r="BA723">
        <v>627.57333333333304</v>
      </c>
      <c r="BB723">
        <v>576.71666666666601</v>
      </c>
      <c r="BC723">
        <v>611.01666666666597</v>
      </c>
      <c r="BD723">
        <v>588.38666666666597</v>
      </c>
      <c r="BE723">
        <v>576.59333333333302</v>
      </c>
      <c r="BF723">
        <v>568.16666666666595</v>
      </c>
      <c r="BG723" s="14"/>
      <c r="BH723" s="14"/>
      <c r="BI723" s="14"/>
      <c r="BJ723" s="199"/>
      <c r="BK723" s="14"/>
      <c r="BL723" s="14"/>
      <c r="BM723" s="14"/>
      <c r="BN723" s="14"/>
      <c r="BO723" s="14"/>
      <c r="BP723" s="14"/>
      <c r="BQ723" s="14"/>
      <c r="BR723" s="14"/>
      <c r="BS723" s="14"/>
      <c r="BT723" s="14"/>
      <c r="BU723" s="14"/>
      <c r="BV723" s="14"/>
      <c r="BW723" s="14"/>
      <c r="BX723" s="14"/>
      <c r="BY723" s="170"/>
    </row>
    <row r="724" spans="9:77" x14ac:dyDescent="0.25">
      <c r="I724">
        <v>6818</v>
      </c>
      <c r="J724" s="1" t="s">
        <v>899</v>
      </c>
      <c r="K724">
        <v>633.79666666666606</v>
      </c>
      <c r="L724">
        <v>605.81333333333305</v>
      </c>
      <c r="M724">
        <v>623.43666666666604</v>
      </c>
      <c r="N724">
        <v>610.91999999999996</v>
      </c>
      <c r="O724">
        <v>605.16</v>
      </c>
      <c r="P724">
        <v>600.73333333333301</v>
      </c>
      <c r="Q724">
        <v>609.68666666666604</v>
      </c>
      <c r="R724">
        <v>561.03</v>
      </c>
      <c r="S724">
        <v>592.54666666666606</v>
      </c>
      <c r="T724">
        <v>572.30666666666605</v>
      </c>
      <c r="U724">
        <v>561.62</v>
      </c>
      <c r="V724">
        <v>554</v>
      </c>
      <c r="W724">
        <v>613.19000000000005</v>
      </c>
      <c r="X724">
        <v>586.50999999999897</v>
      </c>
      <c r="Y724">
        <v>596.47333333333302</v>
      </c>
      <c r="Z724">
        <v>594.72666666666601</v>
      </c>
      <c r="AA724">
        <v>589.74</v>
      </c>
      <c r="AB724">
        <v>589.74</v>
      </c>
      <c r="AC724">
        <v>635.27</v>
      </c>
      <c r="AD724">
        <v>604.04666666666606</v>
      </c>
      <c r="AE724">
        <v>623.65333333333297</v>
      </c>
      <c r="AF724">
        <v>614.91666666666595</v>
      </c>
      <c r="AG724">
        <v>609.23</v>
      </c>
      <c r="AH724">
        <v>606.54333333333295</v>
      </c>
      <c r="AI724">
        <v>633.79666666666606</v>
      </c>
      <c r="AJ724">
        <v>605.81333333333305</v>
      </c>
      <c r="AK724">
        <v>623.43666666666604</v>
      </c>
      <c r="AL724">
        <v>610.91999999999996</v>
      </c>
      <c r="AM724">
        <v>605.16</v>
      </c>
      <c r="AN724">
        <v>600.73333333333301</v>
      </c>
      <c r="AO724">
        <v>623.56999999999903</v>
      </c>
      <c r="AP724">
        <v>563.86</v>
      </c>
      <c r="AQ724">
        <v>605.07000000000005</v>
      </c>
      <c r="AR724">
        <v>576.243333333333</v>
      </c>
      <c r="AS724">
        <v>562.50999999999897</v>
      </c>
      <c r="AT724">
        <v>553.00666666666598</v>
      </c>
      <c r="AU724">
        <v>638.31666666666604</v>
      </c>
      <c r="AV724">
        <v>593.93666666666604</v>
      </c>
      <c r="AW724">
        <v>623.12</v>
      </c>
      <c r="AX724">
        <v>604.30333333333294</v>
      </c>
      <c r="AY724">
        <v>594.41999999999905</v>
      </c>
      <c r="AZ724">
        <v>587.78666666666595</v>
      </c>
      <c r="BA724">
        <v>627.29666666666606</v>
      </c>
      <c r="BB724">
        <v>581.92333333333295</v>
      </c>
      <c r="BC724">
        <v>611.64666666666596</v>
      </c>
      <c r="BD724">
        <v>591.986666666666</v>
      </c>
      <c r="BE724">
        <v>582.03333333333296</v>
      </c>
      <c r="BF724">
        <v>574.61</v>
      </c>
      <c r="BG724" s="14"/>
      <c r="BH724" s="14"/>
      <c r="BI724" s="14"/>
      <c r="BJ724" s="199"/>
      <c r="BK724" s="14"/>
      <c r="BL724" s="14"/>
      <c r="BM724" s="14"/>
      <c r="BN724" s="14"/>
      <c r="BO724" s="14"/>
      <c r="BP724" s="14"/>
      <c r="BQ724" s="14"/>
      <c r="BR724" s="14"/>
      <c r="BS724" s="14"/>
      <c r="BT724" s="14"/>
      <c r="BU724" s="14"/>
      <c r="BV724" s="14"/>
      <c r="BW724" s="14"/>
      <c r="BX724" s="14"/>
      <c r="BY724" s="170"/>
    </row>
    <row r="725" spans="9:77" x14ac:dyDescent="0.25">
      <c r="I725">
        <v>6823</v>
      </c>
      <c r="J725" s="1" t="s">
        <v>900</v>
      </c>
      <c r="K725">
        <v>659.05999999999904</v>
      </c>
      <c r="L725">
        <v>628.38333333333298</v>
      </c>
      <c r="M725">
        <v>647.979999999999</v>
      </c>
      <c r="N725">
        <v>633.98333333333301</v>
      </c>
      <c r="O725">
        <v>627.79666666666606</v>
      </c>
      <c r="P725">
        <v>623.26333333333298</v>
      </c>
      <c r="Q725">
        <v>639.37333333333299</v>
      </c>
      <c r="R725">
        <v>588.12666666666598</v>
      </c>
      <c r="S725">
        <v>622.78333333333296</v>
      </c>
      <c r="T725">
        <v>599.87333333333299</v>
      </c>
      <c r="U725">
        <v>588.12666666666598</v>
      </c>
      <c r="V725">
        <v>579.08666666666602</v>
      </c>
      <c r="W725">
        <v>642.82666666666603</v>
      </c>
      <c r="X725">
        <v>615.62666666666598</v>
      </c>
      <c r="Y725">
        <v>626.22666666666601</v>
      </c>
      <c r="Z725">
        <v>624.33666666666602</v>
      </c>
      <c r="AA725">
        <v>619.00999999999897</v>
      </c>
      <c r="AB725">
        <v>619.00999999999897</v>
      </c>
      <c r="AC725">
        <v>661.70333333333303</v>
      </c>
      <c r="AD725">
        <v>627.39666666666596</v>
      </c>
      <c r="AE725">
        <v>649.27666666666596</v>
      </c>
      <c r="AF725">
        <v>639.22666666666601</v>
      </c>
      <c r="AG725">
        <v>633.04999999999905</v>
      </c>
      <c r="AH725">
        <v>630.11666666666599</v>
      </c>
      <c r="AI725">
        <v>659.05999999999904</v>
      </c>
      <c r="AJ725">
        <v>628.38333333333298</v>
      </c>
      <c r="AK725">
        <v>647.979999999999</v>
      </c>
      <c r="AL725">
        <v>633.98333333333301</v>
      </c>
      <c r="AM725">
        <v>627.79666666666606</v>
      </c>
      <c r="AN725">
        <v>623.26333333333298</v>
      </c>
      <c r="AO725">
        <v>653.70333333333303</v>
      </c>
      <c r="AP725">
        <v>590.25999999999897</v>
      </c>
      <c r="AQ725">
        <v>635.49666666666599</v>
      </c>
      <c r="AR725">
        <v>604.77666666666596</v>
      </c>
      <c r="AS725">
        <v>588.356666666666</v>
      </c>
      <c r="AT725">
        <v>576.24666666666599</v>
      </c>
      <c r="AU725">
        <v>667.21333333333303</v>
      </c>
      <c r="AV725">
        <v>617.76666666666597</v>
      </c>
      <c r="AW725">
        <v>651.57999999999902</v>
      </c>
      <c r="AX725">
        <v>629.67666666666605</v>
      </c>
      <c r="AY725">
        <v>618.38666666666597</v>
      </c>
      <c r="AZ725">
        <v>610.37999999999897</v>
      </c>
      <c r="BA725">
        <v>658.94333333333304</v>
      </c>
      <c r="BB725">
        <v>608.08666666666602</v>
      </c>
      <c r="BC725">
        <v>642.38666666666597</v>
      </c>
      <c r="BD725">
        <v>619.75666666666598</v>
      </c>
      <c r="BE725">
        <v>607.96333333333303</v>
      </c>
      <c r="BF725">
        <v>599.53666666666595</v>
      </c>
      <c r="BG725" s="14"/>
      <c r="BH725" s="14"/>
      <c r="BI725" s="14"/>
      <c r="BJ725" s="199"/>
      <c r="BK725" s="14"/>
      <c r="BL725" s="14"/>
      <c r="BM725" s="14"/>
      <c r="BN725" s="14"/>
      <c r="BO725" s="14"/>
      <c r="BP725" s="14"/>
      <c r="BQ725" s="14"/>
      <c r="BR725" s="14"/>
      <c r="BS725" s="14"/>
      <c r="BT725" s="14"/>
      <c r="BU725" s="14"/>
      <c r="BV725" s="14"/>
      <c r="BW725" s="14"/>
      <c r="BX725" s="14"/>
      <c r="BY725" s="170"/>
    </row>
    <row r="726" spans="9:77" x14ac:dyDescent="0.25">
      <c r="I726">
        <v>6830</v>
      </c>
      <c r="J726" s="1" t="s">
        <v>901</v>
      </c>
      <c r="K726">
        <v>570.95000000000005</v>
      </c>
      <c r="L726">
        <v>540.27333333333297</v>
      </c>
      <c r="M726">
        <v>559.87</v>
      </c>
      <c r="N726">
        <v>545.87333333333299</v>
      </c>
      <c r="O726">
        <v>539.68666666666604</v>
      </c>
      <c r="P726">
        <v>535.15333333333297</v>
      </c>
      <c r="Q726">
        <v>551.26333333333298</v>
      </c>
      <c r="R726">
        <v>500.01666666666603</v>
      </c>
      <c r="S726">
        <v>534.67333333333295</v>
      </c>
      <c r="T726">
        <v>511.76333333333298</v>
      </c>
      <c r="U726">
        <v>500.01666666666603</v>
      </c>
      <c r="V726">
        <v>490.97666666666601</v>
      </c>
      <c r="W726">
        <v>554.71666666666601</v>
      </c>
      <c r="X726">
        <v>527.51666666666597</v>
      </c>
      <c r="Y726">
        <v>538.11666666666599</v>
      </c>
      <c r="Z726">
        <v>536.22666666666601</v>
      </c>
      <c r="AA726">
        <v>530.89999999999895</v>
      </c>
      <c r="AB726">
        <v>530.89999999999895</v>
      </c>
      <c r="AC726">
        <v>573.59333333333302</v>
      </c>
      <c r="AD726">
        <v>539.28666666666595</v>
      </c>
      <c r="AE726">
        <v>561.16666666666595</v>
      </c>
      <c r="AF726">
        <v>551.11666666666599</v>
      </c>
      <c r="AG726">
        <v>544.94000000000005</v>
      </c>
      <c r="AH726">
        <v>542.00666666666598</v>
      </c>
      <c r="AI726">
        <v>570.95000000000005</v>
      </c>
      <c r="AJ726">
        <v>540.27333333333297</v>
      </c>
      <c r="AK726">
        <v>559.87</v>
      </c>
      <c r="AL726">
        <v>545.87333333333299</v>
      </c>
      <c r="AM726">
        <v>539.68666666666604</v>
      </c>
      <c r="AN726">
        <v>535.15333333333297</v>
      </c>
      <c r="AO726">
        <v>565.59333333333302</v>
      </c>
      <c r="AP726">
        <v>502.15</v>
      </c>
      <c r="AQ726">
        <v>547.38666666666597</v>
      </c>
      <c r="AR726">
        <v>516.66666666666595</v>
      </c>
      <c r="AS726">
        <v>500.24666666666599</v>
      </c>
      <c r="AT726">
        <v>488.13666666666597</v>
      </c>
      <c r="AU726">
        <v>579.10333333333301</v>
      </c>
      <c r="AV726">
        <v>529.65666666666596</v>
      </c>
      <c r="AW726">
        <v>563.47</v>
      </c>
      <c r="AX726">
        <v>541.56666666666604</v>
      </c>
      <c r="AY726">
        <v>530.27666666666596</v>
      </c>
      <c r="AZ726">
        <v>522.26999999999896</v>
      </c>
      <c r="BA726">
        <v>570.83333333333303</v>
      </c>
      <c r="BB726">
        <v>519.97666666666601</v>
      </c>
      <c r="BC726">
        <v>554.27666666666596</v>
      </c>
      <c r="BD726">
        <v>531.64666666666596</v>
      </c>
      <c r="BE726">
        <v>519.85333333333301</v>
      </c>
      <c r="BF726">
        <v>511.42666666666599</v>
      </c>
      <c r="BG726" s="14"/>
      <c r="BH726" s="14"/>
      <c r="BI726" s="14"/>
      <c r="BJ726" s="199"/>
      <c r="BK726" s="14"/>
      <c r="BL726" s="14"/>
      <c r="BM726" s="14"/>
      <c r="BN726" s="14"/>
      <c r="BO726" s="14"/>
      <c r="BP726" s="14"/>
      <c r="BQ726" s="14"/>
      <c r="BR726" s="14"/>
      <c r="BS726" s="14"/>
      <c r="BT726" s="14"/>
      <c r="BU726" s="14"/>
      <c r="BV726" s="14"/>
      <c r="BW726" s="14"/>
      <c r="BX726" s="14"/>
      <c r="BY726" s="170"/>
    </row>
    <row r="727" spans="9:77" x14ac:dyDescent="0.25">
      <c r="I727">
        <v>6840</v>
      </c>
      <c r="J727" s="1" t="s">
        <v>902</v>
      </c>
      <c r="K727">
        <v>567.27999999999895</v>
      </c>
      <c r="L727">
        <v>536.60333333333301</v>
      </c>
      <c r="M727">
        <v>556.19999999999902</v>
      </c>
      <c r="N727">
        <v>542.20333333333303</v>
      </c>
      <c r="O727">
        <v>536.01666666666597</v>
      </c>
      <c r="P727">
        <v>531.48333333333301</v>
      </c>
      <c r="Q727">
        <v>547.59333333333302</v>
      </c>
      <c r="R727">
        <v>496.34666666666601</v>
      </c>
      <c r="S727">
        <v>531.00333333333299</v>
      </c>
      <c r="T727">
        <v>508.09333333333302</v>
      </c>
      <c r="U727">
        <v>496.34666666666601</v>
      </c>
      <c r="V727">
        <v>487.30666666666599</v>
      </c>
      <c r="W727">
        <v>551.04666666666606</v>
      </c>
      <c r="X727">
        <v>523.84666666666601</v>
      </c>
      <c r="Y727">
        <v>534.44666666666603</v>
      </c>
      <c r="Z727">
        <v>532.55666666666605</v>
      </c>
      <c r="AA727">
        <v>527.229999999999</v>
      </c>
      <c r="AB727">
        <v>527.229999999999</v>
      </c>
      <c r="AC727">
        <v>569.92333333333295</v>
      </c>
      <c r="AD727">
        <v>535.61666666666599</v>
      </c>
      <c r="AE727">
        <v>557.49666666666599</v>
      </c>
      <c r="AF727">
        <v>547.44666666666603</v>
      </c>
      <c r="AG727">
        <v>541.26999999999896</v>
      </c>
      <c r="AH727">
        <v>538.33666666666602</v>
      </c>
      <c r="AI727">
        <v>567.27999999999895</v>
      </c>
      <c r="AJ727">
        <v>536.60333333333301</v>
      </c>
      <c r="AK727">
        <v>556.19999999999902</v>
      </c>
      <c r="AL727">
        <v>542.20333333333303</v>
      </c>
      <c r="AM727">
        <v>536.01666666666597</v>
      </c>
      <c r="AN727">
        <v>531.48333333333301</v>
      </c>
      <c r="AO727">
        <v>561.92333333333295</v>
      </c>
      <c r="AP727">
        <v>498.479999999999</v>
      </c>
      <c r="AQ727">
        <v>543.71666666666601</v>
      </c>
      <c r="AR727">
        <v>512.99666666666599</v>
      </c>
      <c r="AS727">
        <v>496.57666666666597</v>
      </c>
      <c r="AT727">
        <v>484.46666666666601</v>
      </c>
      <c r="AU727">
        <v>575.43333333333305</v>
      </c>
      <c r="AV727">
        <v>525.986666666666</v>
      </c>
      <c r="AW727">
        <v>559.79999999999905</v>
      </c>
      <c r="AX727">
        <v>537.89666666666596</v>
      </c>
      <c r="AY727">
        <v>526.606666666666</v>
      </c>
      <c r="AZ727">
        <v>518.599999999999</v>
      </c>
      <c r="BA727">
        <v>567.16333333333296</v>
      </c>
      <c r="BB727">
        <v>516.30666666666605</v>
      </c>
      <c r="BC727">
        <v>550.606666666666</v>
      </c>
      <c r="BD727">
        <v>527.97666666666601</v>
      </c>
      <c r="BE727">
        <v>516.18333333333305</v>
      </c>
      <c r="BF727">
        <v>507.75666666666598</v>
      </c>
      <c r="BG727" s="14"/>
      <c r="BH727" s="14"/>
      <c r="BI727" s="14"/>
      <c r="BJ727" s="199"/>
      <c r="BK727" s="14"/>
      <c r="BL727" s="14"/>
      <c r="BM727" s="14"/>
      <c r="BN727" s="14"/>
      <c r="BO727" s="14"/>
      <c r="BP727" s="14"/>
      <c r="BQ727" s="14"/>
      <c r="BR727" s="14"/>
      <c r="BS727" s="14"/>
      <c r="BT727" s="14"/>
      <c r="BU727" s="14"/>
      <c r="BV727" s="14"/>
      <c r="BW727" s="14"/>
      <c r="BX727" s="14"/>
      <c r="BY727" s="170"/>
    </row>
    <row r="728" spans="9:77" x14ac:dyDescent="0.25">
      <c r="I728">
        <v>6851</v>
      </c>
      <c r="J728" s="1" t="s">
        <v>903</v>
      </c>
      <c r="K728">
        <v>601.80999999999904</v>
      </c>
      <c r="L728">
        <v>571.13333333333298</v>
      </c>
      <c r="M728">
        <v>590.73</v>
      </c>
      <c r="N728">
        <v>576.73333333333301</v>
      </c>
      <c r="O728">
        <v>570.54666666666606</v>
      </c>
      <c r="P728">
        <v>566.01333333333298</v>
      </c>
      <c r="Q728">
        <v>582.12333333333299</v>
      </c>
      <c r="R728">
        <v>530.87666666666598</v>
      </c>
      <c r="S728">
        <v>565.53333333333296</v>
      </c>
      <c r="T728">
        <v>542.62333333333299</v>
      </c>
      <c r="U728">
        <v>530.87666666666598</v>
      </c>
      <c r="V728">
        <v>521.83666666666602</v>
      </c>
      <c r="W728">
        <v>585.57666666666603</v>
      </c>
      <c r="X728">
        <v>558.37666666666598</v>
      </c>
      <c r="Y728">
        <v>568.97666666666601</v>
      </c>
      <c r="Z728">
        <v>567.08666666666602</v>
      </c>
      <c r="AA728">
        <v>561.75999999999897</v>
      </c>
      <c r="AB728">
        <v>561.75999999999897</v>
      </c>
      <c r="AC728">
        <v>604.45333333333303</v>
      </c>
      <c r="AD728">
        <v>570.14666666666596</v>
      </c>
      <c r="AE728">
        <v>592.02666666666596</v>
      </c>
      <c r="AF728">
        <v>581.97666666666601</v>
      </c>
      <c r="AG728">
        <v>575.79999999999905</v>
      </c>
      <c r="AH728">
        <v>572.86666666666599</v>
      </c>
      <c r="AI728">
        <v>601.80999999999904</v>
      </c>
      <c r="AJ728">
        <v>571.13333333333298</v>
      </c>
      <c r="AK728">
        <v>590.73</v>
      </c>
      <c r="AL728">
        <v>576.73333333333301</v>
      </c>
      <c r="AM728">
        <v>570.54666666666606</v>
      </c>
      <c r="AN728">
        <v>566.01333333333298</v>
      </c>
      <c r="AO728">
        <v>596.45333333333303</v>
      </c>
      <c r="AP728">
        <v>533.00999999999897</v>
      </c>
      <c r="AQ728">
        <v>578.24666666666599</v>
      </c>
      <c r="AR728">
        <v>547.52666666666596</v>
      </c>
      <c r="AS728">
        <v>531.106666666666</v>
      </c>
      <c r="AT728">
        <v>518.99666666666599</v>
      </c>
      <c r="AU728">
        <v>609.96333333333303</v>
      </c>
      <c r="AV728">
        <v>560.51666666666597</v>
      </c>
      <c r="AW728">
        <v>594.32999999999902</v>
      </c>
      <c r="AX728">
        <v>572.42666666666605</v>
      </c>
      <c r="AY728">
        <v>561.13666666666597</v>
      </c>
      <c r="AZ728">
        <v>553.13</v>
      </c>
      <c r="BA728">
        <v>601.69333333333304</v>
      </c>
      <c r="BB728">
        <v>550.83666666666602</v>
      </c>
      <c r="BC728">
        <v>585.13666666666597</v>
      </c>
      <c r="BD728">
        <v>562.50666666666598</v>
      </c>
      <c r="BE728">
        <v>550.71333333333303</v>
      </c>
      <c r="BF728">
        <v>542.28666666666595</v>
      </c>
      <c r="BG728" s="14"/>
      <c r="BH728" s="14"/>
      <c r="BI728" s="14"/>
      <c r="BJ728" s="199"/>
      <c r="BK728" s="14"/>
      <c r="BL728" s="14"/>
      <c r="BM728" s="14"/>
      <c r="BN728" s="14"/>
      <c r="BO728" s="14"/>
      <c r="BP728" s="14"/>
      <c r="BQ728" s="14"/>
      <c r="BR728" s="14"/>
      <c r="BS728" s="14"/>
      <c r="BT728" s="14"/>
      <c r="BU728" s="14"/>
      <c r="BV728" s="14"/>
      <c r="BW728" s="14"/>
      <c r="BX728" s="14"/>
      <c r="BY728" s="170"/>
    </row>
    <row r="729" spans="9:77" x14ac:dyDescent="0.25">
      <c r="I729">
        <v>6852</v>
      </c>
      <c r="J729" s="1" t="s">
        <v>904</v>
      </c>
      <c r="K729">
        <v>567.27999999999895</v>
      </c>
      <c r="L729">
        <v>536.60333333333301</v>
      </c>
      <c r="M729">
        <v>556.19999999999902</v>
      </c>
      <c r="N729">
        <v>542.20333333333303</v>
      </c>
      <c r="O729">
        <v>536.01666666666597</v>
      </c>
      <c r="P729">
        <v>531.48333333333301</v>
      </c>
      <c r="Q729">
        <v>547.59333333333302</v>
      </c>
      <c r="R729">
        <v>496.34666666666601</v>
      </c>
      <c r="S729">
        <v>531.00333333333299</v>
      </c>
      <c r="T729">
        <v>508.09333333333302</v>
      </c>
      <c r="U729">
        <v>496.34666666666601</v>
      </c>
      <c r="V729">
        <v>487.30666666666599</v>
      </c>
      <c r="W729">
        <v>551.04666666666606</v>
      </c>
      <c r="X729">
        <v>523.84666666666601</v>
      </c>
      <c r="Y729">
        <v>534.44666666666603</v>
      </c>
      <c r="Z729">
        <v>532.55666666666605</v>
      </c>
      <c r="AA729">
        <v>527.229999999999</v>
      </c>
      <c r="AB729">
        <v>527.229999999999</v>
      </c>
      <c r="AC729">
        <v>569.92333333333295</v>
      </c>
      <c r="AD729">
        <v>535.61666666666599</v>
      </c>
      <c r="AE729">
        <v>557.49666666666599</v>
      </c>
      <c r="AF729">
        <v>547.44666666666603</v>
      </c>
      <c r="AG729">
        <v>541.26999999999896</v>
      </c>
      <c r="AH729">
        <v>538.33666666666602</v>
      </c>
      <c r="AI729">
        <v>567.27999999999895</v>
      </c>
      <c r="AJ729">
        <v>536.60333333333301</v>
      </c>
      <c r="AK729">
        <v>556.19999999999902</v>
      </c>
      <c r="AL729">
        <v>542.20333333333303</v>
      </c>
      <c r="AM729">
        <v>536.01666666666597</v>
      </c>
      <c r="AN729">
        <v>531.48333333333301</v>
      </c>
      <c r="AO729">
        <v>561.92333333333295</v>
      </c>
      <c r="AP729">
        <v>498.479999999999</v>
      </c>
      <c r="AQ729">
        <v>543.71666666666601</v>
      </c>
      <c r="AR729">
        <v>512.99666666666599</v>
      </c>
      <c r="AS729">
        <v>496.57666666666597</v>
      </c>
      <c r="AT729">
        <v>484.46666666666601</v>
      </c>
      <c r="AU729">
        <v>575.43333333333305</v>
      </c>
      <c r="AV729">
        <v>525.986666666666</v>
      </c>
      <c r="AW729">
        <v>559.79999999999905</v>
      </c>
      <c r="AX729">
        <v>537.89666666666596</v>
      </c>
      <c r="AY729">
        <v>526.606666666666</v>
      </c>
      <c r="AZ729">
        <v>518.599999999999</v>
      </c>
      <c r="BA729">
        <v>567.16333333333296</v>
      </c>
      <c r="BB729">
        <v>516.30666666666605</v>
      </c>
      <c r="BC729">
        <v>550.606666666666</v>
      </c>
      <c r="BD729">
        <v>527.97666666666601</v>
      </c>
      <c r="BE729">
        <v>516.18333333333305</v>
      </c>
      <c r="BF729">
        <v>507.75666666666598</v>
      </c>
      <c r="BG729" s="14"/>
      <c r="BH729" s="14"/>
      <c r="BI729" s="14"/>
      <c r="BJ729" s="199"/>
      <c r="BK729" s="14"/>
      <c r="BL729" s="14"/>
      <c r="BM729" s="14"/>
      <c r="BN729" s="14"/>
      <c r="BO729" s="14"/>
      <c r="BP729" s="14"/>
      <c r="BQ729" s="14"/>
      <c r="BR729" s="14"/>
      <c r="BS729" s="14"/>
      <c r="BT729" s="14"/>
      <c r="BU729" s="14"/>
      <c r="BV729" s="14"/>
      <c r="BW729" s="14"/>
      <c r="BX729" s="14"/>
      <c r="BY729" s="170"/>
    </row>
    <row r="730" spans="9:77" x14ac:dyDescent="0.25">
      <c r="I730">
        <v>6854</v>
      </c>
      <c r="J730" s="1" t="s">
        <v>905</v>
      </c>
      <c r="K730">
        <v>598.21</v>
      </c>
      <c r="L730">
        <v>567.53333333333296</v>
      </c>
      <c r="M730">
        <v>587.13</v>
      </c>
      <c r="N730">
        <v>573.13333333333298</v>
      </c>
      <c r="O730">
        <v>566.94666666666603</v>
      </c>
      <c r="P730">
        <v>562.41333333333296</v>
      </c>
      <c r="Q730">
        <v>578.52333333333297</v>
      </c>
      <c r="R730">
        <v>527.27666666666596</v>
      </c>
      <c r="S730">
        <v>561.93333333333305</v>
      </c>
      <c r="T730">
        <v>539.02333333333297</v>
      </c>
      <c r="U730">
        <v>527.27666666666596</v>
      </c>
      <c r="V730">
        <v>518.236666666666</v>
      </c>
      <c r="W730">
        <v>581.97666666666601</v>
      </c>
      <c r="X730">
        <v>554.77666666666596</v>
      </c>
      <c r="Y730">
        <v>565.37666666666598</v>
      </c>
      <c r="Z730">
        <v>563.486666666666</v>
      </c>
      <c r="AA730">
        <v>558.16</v>
      </c>
      <c r="AB730">
        <v>558.16</v>
      </c>
      <c r="AC730">
        <v>600.85333333333301</v>
      </c>
      <c r="AD730">
        <v>566.54666666666606</v>
      </c>
      <c r="AE730">
        <v>588.42666666666605</v>
      </c>
      <c r="AF730">
        <v>578.37666666666701</v>
      </c>
      <c r="AG730">
        <v>572.20000000000005</v>
      </c>
      <c r="AH730">
        <v>569.26666666666597</v>
      </c>
      <c r="AI730">
        <v>598.21</v>
      </c>
      <c r="AJ730">
        <v>567.53333333333296</v>
      </c>
      <c r="AK730">
        <v>587.13</v>
      </c>
      <c r="AL730">
        <v>573.13333333333298</v>
      </c>
      <c r="AM730">
        <v>566.94666666666603</v>
      </c>
      <c r="AN730">
        <v>562.41333333333296</v>
      </c>
      <c r="AO730">
        <v>592.85333333333301</v>
      </c>
      <c r="AP730">
        <v>529.41</v>
      </c>
      <c r="AQ730">
        <v>574.64666666666596</v>
      </c>
      <c r="AR730">
        <v>543.92666666666605</v>
      </c>
      <c r="AS730">
        <v>527.50666666666598</v>
      </c>
      <c r="AT730">
        <v>515.39666666666596</v>
      </c>
      <c r="AU730">
        <v>606.363333333333</v>
      </c>
      <c r="AV730">
        <v>556.91666666666595</v>
      </c>
      <c r="AW730">
        <v>590.73</v>
      </c>
      <c r="AX730">
        <v>568.82666666666603</v>
      </c>
      <c r="AY730">
        <v>557.53666666666595</v>
      </c>
      <c r="AZ730">
        <v>549.53</v>
      </c>
      <c r="BA730">
        <v>598.09333333333302</v>
      </c>
      <c r="BB730">
        <v>547.236666666666</v>
      </c>
      <c r="BC730">
        <v>581.53666666666595</v>
      </c>
      <c r="BD730">
        <v>558.90666666666596</v>
      </c>
      <c r="BE730">
        <v>547.113333333333</v>
      </c>
      <c r="BF730">
        <v>538.68666666666604</v>
      </c>
      <c r="BG730" s="14"/>
      <c r="BH730" s="14"/>
      <c r="BI730" s="14"/>
      <c r="BJ730" s="199"/>
      <c r="BK730" s="14"/>
      <c r="BL730" s="14"/>
      <c r="BM730" s="14"/>
      <c r="BN730" s="14"/>
      <c r="BO730" s="14"/>
      <c r="BP730" s="14"/>
      <c r="BQ730" s="14"/>
      <c r="BR730" s="14"/>
      <c r="BS730" s="14"/>
      <c r="BT730" s="14"/>
      <c r="BU730" s="14"/>
      <c r="BV730" s="14"/>
      <c r="BW730" s="14"/>
      <c r="BX730" s="14"/>
      <c r="BY730" s="170"/>
    </row>
    <row r="731" spans="9:77" x14ac:dyDescent="0.25">
      <c r="I731">
        <v>6855</v>
      </c>
      <c r="J731" s="1" t="s">
        <v>906</v>
      </c>
      <c r="K731">
        <v>621.52999999999895</v>
      </c>
      <c r="L731">
        <v>590.85333333333301</v>
      </c>
      <c r="M731">
        <v>610.44999999999902</v>
      </c>
      <c r="N731">
        <v>596.45333333333303</v>
      </c>
      <c r="O731">
        <v>590.26666666666597</v>
      </c>
      <c r="P731">
        <v>585.73333333333301</v>
      </c>
      <c r="Q731">
        <v>601.84333333333302</v>
      </c>
      <c r="R731">
        <v>550.59666666666601</v>
      </c>
      <c r="S731">
        <v>585.25333333333299</v>
      </c>
      <c r="T731">
        <v>562.34333333333302</v>
      </c>
      <c r="U731">
        <v>550.59666666666601</v>
      </c>
      <c r="V731">
        <v>541.55666666666605</v>
      </c>
      <c r="W731">
        <v>605.29666666666606</v>
      </c>
      <c r="X731">
        <v>578.09666666666601</v>
      </c>
      <c r="Y731">
        <v>588.69666666666603</v>
      </c>
      <c r="Z731">
        <v>586.80666666666605</v>
      </c>
      <c r="AA731">
        <v>581.479999999999</v>
      </c>
      <c r="AB731">
        <v>581.479999999999</v>
      </c>
      <c r="AC731">
        <v>624.17333333333295</v>
      </c>
      <c r="AD731">
        <v>589.86666666666599</v>
      </c>
      <c r="AE731">
        <v>611.74666666666599</v>
      </c>
      <c r="AF731">
        <v>601.69666666666603</v>
      </c>
      <c r="AG731">
        <v>595.51999999999896</v>
      </c>
      <c r="AH731">
        <v>592.58666666666602</v>
      </c>
      <c r="AI731">
        <v>621.52999999999895</v>
      </c>
      <c r="AJ731">
        <v>590.85333333333301</v>
      </c>
      <c r="AK731">
        <v>610.44999999999902</v>
      </c>
      <c r="AL731">
        <v>596.45333333333303</v>
      </c>
      <c r="AM731">
        <v>590.26666666666597</v>
      </c>
      <c r="AN731">
        <v>585.73333333333301</v>
      </c>
      <c r="AO731">
        <v>616.17333333333295</v>
      </c>
      <c r="AP731">
        <v>552.73</v>
      </c>
      <c r="AQ731">
        <v>597.96666666666601</v>
      </c>
      <c r="AR731">
        <v>567.24666666666599</v>
      </c>
      <c r="AS731">
        <v>550.82666666666603</v>
      </c>
      <c r="AT731">
        <v>538.71666666666601</v>
      </c>
      <c r="AU731">
        <v>629.68333333333305</v>
      </c>
      <c r="AV731">
        <v>580.236666666666</v>
      </c>
      <c r="AW731">
        <v>614.04999999999905</v>
      </c>
      <c r="AX731">
        <v>592.14666666666596</v>
      </c>
      <c r="AY731">
        <v>580.856666666666</v>
      </c>
      <c r="AZ731">
        <v>572.849999999999</v>
      </c>
      <c r="BA731">
        <v>621.41333333333296</v>
      </c>
      <c r="BB731">
        <v>570.55666666666605</v>
      </c>
      <c r="BC731">
        <v>604.856666666666</v>
      </c>
      <c r="BD731">
        <v>582.22666666666601</v>
      </c>
      <c r="BE731">
        <v>570.43333333333305</v>
      </c>
      <c r="BF731">
        <v>562.00666666666598</v>
      </c>
      <c r="BG731" s="14"/>
      <c r="BH731" s="14"/>
      <c r="BI731" s="14"/>
      <c r="BJ731" s="199"/>
      <c r="BK731" s="14"/>
      <c r="BL731" s="14"/>
      <c r="BM731" s="14"/>
      <c r="BN731" s="14"/>
      <c r="BO731" s="14"/>
      <c r="BP731" s="14"/>
      <c r="BQ731" s="14"/>
      <c r="BR731" s="14"/>
      <c r="BS731" s="14"/>
      <c r="BT731" s="14"/>
      <c r="BU731" s="14"/>
      <c r="BV731" s="14"/>
      <c r="BW731" s="14"/>
      <c r="BX731" s="14"/>
      <c r="BY731" s="170"/>
    </row>
    <row r="732" spans="9:77" x14ac:dyDescent="0.25">
      <c r="I732">
        <v>6857</v>
      </c>
      <c r="J732" s="1" t="s">
        <v>907</v>
      </c>
      <c r="K732">
        <v>535.99</v>
      </c>
      <c r="L732">
        <v>505.31333333333299</v>
      </c>
      <c r="M732">
        <v>524.90999999999894</v>
      </c>
      <c r="N732">
        <v>510.91333333333301</v>
      </c>
      <c r="O732">
        <v>504.72666666666601</v>
      </c>
      <c r="P732">
        <v>500.19333333333299</v>
      </c>
      <c r="Q732">
        <v>516.30333333333294</v>
      </c>
      <c r="R732">
        <v>465.05666666666599</v>
      </c>
      <c r="S732">
        <v>499.71333333333303</v>
      </c>
      <c r="T732">
        <v>476.803333333333</v>
      </c>
      <c r="U732">
        <v>465.05666666666599</v>
      </c>
      <c r="V732">
        <v>456.01666666666603</v>
      </c>
      <c r="W732">
        <v>519.75666666666598</v>
      </c>
      <c r="X732">
        <v>492.55666666666599</v>
      </c>
      <c r="Y732">
        <v>503.15666666666601</v>
      </c>
      <c r="Z732">
        <v>501.26666666666603</v>
      </c>
      <c r="AA732">
        <v>495.93999999999897</v>
      </c>
      <c r="AB732">
        <v>495.93999999999897</v>
      </c>
      <c r="AC732">
        <v>538.63333333333298</v>
      </c>
      <c r="AD732">
        <v>504.32666666666597</v>
      </c>
      <c r="AE732">
        <v>526.20666666666602</v>
      </c>
      <c r="AF732">
        <v>516.15666666666596</v>
      </c>
      <c r="AG732">
        <v>509.979999999999</v>
      </c>
      <c r="AH732">
        <v>507.046666666666</v>
      </c>
      <c r="AI732">
        <v>535.99</v>
      </c>
      <c r="AJ732">
        <v>505.31333333333299</v>
      </c>
      <c r="AK732">
        <v>524.90999999999894</v>
      </c>
      <c r="AL732">
        <v>510.91333333333301</v>
      </c>
      <c r="AM732">
        <v>504.72666666666601</v>
      </c>
      <c r="AN732">
        <v>500.19333333333299</v>
      </c>
      <c r="AO732">
        <v>530.63333333333298</v>
      </c>
      <c r="AP732">
        <v>467.19</v>
      </c>
      <c r="AQ732">
        <v>512.42666666666605</v>
      </c>
      <c r="AR732">
        <v>481.70666666666602</v>
      </c>
      <c r="AS732">
        <v>465.28666666666601</v>
      </c>
      <c r="AT732">
        <v>453.17666666666599</v>
      </c>
      <c r="AU732">
        <v>544.14333333333298</v>
      </c>
      <c r="AV732">
        <v>494.69666666666598</v>
      </c>
      <c r="AW732">
        <v>528.50999999999897</v>
      </c>
      <c r="AX732">
        <v>506.606666666666</v>
      </c>
      <c r="AY732">
        <v>495.31666666666598</v>
      </c>
      <c r="AZ732">
        <v>487.31</v>
      </c>
      <c r="BA732">
        <v>535.87333333333299</v>
      </c>
      <c r="BB732">
        <v>485.01666666666603</v>
      </c>
      <c r="BC732">
        <v>519.31666666666604</v>
      </c>
      <c r="BD732">
        <v>496.68666666666599</v>
      </c>
      <c r="BE732">
        <v>484.89333333333298</v>
      </c>
      <c r="BF732">
        <v>476.46666666666601</v>
      </c>
      <c r="BG732" s="14"/>
      <c r="BH732" s="14"/>
      <c r="BI732" s="14"/>
      <c r="BJ732" s="199"/>
      <c r="BK732" s="14"/>
      <c r="BL732" s="14"/>
      <c r="BM732" s="14"/>
      <c r="BN732" s="14"/>
      <c r="BO732" s="14"/>
      <c r="BP732" s="14"/>
      <c r="BQ732" s="14"/>
      <c r="BR732" s="14"/>
      <c r="BS732" s="14"/>
      <c r="BT732" s="14"/>
      <c r="BU732" s="14"/>
      <c r="BV732" s="14"/>
      <c r="BW732" s="14"/>
      <c r="BX732" s="14"/>
      <c r="BY732" s="170"/>
    </row>
    <row r="733" spans="9:77" x14ac:dyDescent="0.25">
      <c r="I733">
        <v>6862</v>
      </c>
      <c r="J733" s="1" t="s">
        <v>908</v>
      </c>
      <c r="K733">
        <v>639.66999999999996</v>
      </c>
      <c r="L733">
        <v>608.993333333333</v>
      </c>
      <c r="M733">
        <v>628.59</v>
      </c>
      <c r="N733">
        <v>614.59333333333302</v>
      </c>
      <c r="O733">
        <v>608.40666666666596</v>
      </c>
      <c r="P733">
        <v>603.87333333333299</v>
      </c>
      <c r="Q733">
        <v>619.98333333333301</v>
      </c>
      <c r="R733">
        <v>568.736666666666</v>
      </c>
      <c r="S733">
        <v>603.39333333333298</v>
      </c>
      <c r="T733">
        <v>580.48333333333301</v>
      </c>
      <c r="U733">
        <v>568.736666666666</v>
      </c>
      <c r="V733">
        <v>559.69666666666603</v>
      </c>
      <c r="W733">
        <v>623.43666666666604</v>
      </c>
      <c r="X733">
        <v>596.236666666666</v>
      </c>
      <c r="Y733">
        <v>606.83666666666602</v>
      </c>
      <c r="Z733">
        <v>604.94666666666603</v>
      </c>
      <c r="AA733">
        <v>599.62</v>
      </c>
      <c r="AB733">
        <v>599.62</v>
      </c>
      <c r="AC733">
        <v>642.31333333333305</v>
      </c>
      <c r="AD733">
        <v>608.00666666666598</v>
      </c>
      <c r="AE733">
        <v>629.88666666666597</v>
      </c>
      <c r="AF733">
        <v>619.83666666666602</v>
      </c>
      <c r="AG733">
        <v>613.66</v>
      </c>
      <c r="AH733">
        <v>610.72666666666601</v>
      </c>
      <c r="AI733">
        <v>639.66999999999996</v>
      </c>
      <c r="AJ733">
        <v>608.993333333333</v>
      </c>
      <c r="AK733">
        <v>628.59</v>
      </c>
      <c r="AL733">
        <v>614.59333333333302</v>
      </c>
      <c r="AM733">
        <v>608.40666666666596</v>
      </c>
      <c r="AN733">
        <v>603.87333333333299</v>
      </c>
      <c r="AO733">
        <v>634.31333333333305</v>
      </c>
      <c r="AP733">
        <v>570.87</v>
      </c>
      <c r="AQ733">
        <v>616.106666666666</v>
      </c>
      <c r="AR733">
        <v>585.38666666666597</v>
      </c>
      <c r="AS733">
        <v>568.96666666666601</v>
      </c>
      <c r="AT733">
        <v>556.856666666666</v>
      </c>
      <c r="AU733">
        <v>647.82333333333304</v>
      </c>
      <c r="AV733">
        <v>598.37666666666598</v>
      </c>
      <c r="AW733">
        <v>632.19000000000005</v>
      </c>
      <c r="AX733">
        <v>610.28666666666595</v>
      </c>
      <c r="AY733">
        <v>598.99666666666599</v>
      </c>
      <c r="AZ733">
        <v>590.99</v>
      </c>
      <c r="BA733">
        <v>639.55333333333294</v>
      </c>
      <c r="BB733">
        <v>588.69666666666603</v>
      </c>
      <c r="BC733">
        <v>622.99666666666599</v>
      </c>
      <c r="BD733">
        <v>600.36666666666599</v>
      </c>
      <c r="BE733">
        <v>588.57333333333304</v>
      </c>
      <c r="BF733">
        <v>580.14666666666596</v>
      </c>
      <c r="BG733" s="14"/>
      <c r="BH733" s="14"/>
      <c r="BI733" s="14"/>
      <c r="BJ733" s="199"/>
      <c r="BK733" s="14"/>
      <c r="BL733" s="14"/>
      <c r="BM733" s="14"/>
      <c r="BN733" s="14"/>
      <c r="BO733" s="14"/>
      <c r="BP733" s="14"/>
      <c r="BQ733" s="14"/>
      <c r="BR733" s="14"/>
      <c r="BS733" s="14"/>
      <c r="BT733" s="14"/>
      <c r="BU733" s="14"/>
      <c r="BV733" s="14"/>
      <c r="BW733" s="14"/>
      <c r="BX733" s="14"/>
      <c r="BY733" s="170"/>
    </row>
    <row r="734" spans="9:77" x14ac:dyDescent="0.25">
      <c r="I734">
        <v>6870</v>
      </c>
      <c r="J734" s="1" t="s">
        <v>909</v>
      </c>
      <c r="K734">
        <v>631.75</v>
      </c>
      <c r="L734">
        <v>601.07333333333304</v>
      </c>
      <c r="M734">
        <v>620.66999999999905</v>
      </c>
      <c r="N734">
        <v>606.67333333333295</v>
      </c>
      <c r="O734">
        <v>600.486666666666</v>
      </c>
      <c r="P734">
        <v>595.95333333333303</v>
      </c>
      <c r="Q734">
        <v>612.06333333333305</v>
      </c>
      <c r="R734">
        <v>560.81666666666604</v>
      </c>
      <c r="S734">
        <v>595.47333333333302</v>
      </c>
      <c r="T734">
        <v>572.56333333333305</v>
      </c>
      <c r="U734">
        <v>560.81666666666604</v>
      </c>
      <c r="V734">
        <v>551.77666666666596</v>
      </c>
      <c r="W734">
        <v>615.51666666666597</v>
      </c>
      <c r="X734">
        <v>588.31666666666604</v>
      </c>
      <c r="Y734">
        <v>598.91666666666595</v>
      </c>
      <c r="Z734">
        <v>597.02666666666596</v>
      </c>
      <c r="AA734">
        <v>591.69999999999902</v>
      </c>
      <c r="AB734">
        <v>591.69999999999902</v>
      </c>
      <c r="AC734">
        <v>634.39333333333298</v>
      </c>
      <c r="AD734">
        <v>600.08666666666602</v>
      </c>
      <c r="AE734">
        <v>621.96666666666601</v>
      </c>
      <c r="AF734">
        <v>611.91666666666595</v>
      </c>
      <c r="AG734">
        <v>605.74</v>
      </c>
      <c r="AH734">
        <v>602.80666666666605</v>
      </c>
      <c r="AI734">
        <v>631.75</v>
      </c>
      <c r="AJ734">
        <v>601.07333333333304</v>
      </c>
      <c r="AK734">
        <v>620.66999999999905</v>
      </c>
      <c r="AL734">
        <v>606.67333333333295</v>
      </c>
      <c r="AM734">
        <v>600.486666666666</v>
      </c>
      <c r="AN734">
        <v>595.95333333333303</v>
      </c>
      <c r="AO734">
        <v>626.39333333333298</v>
      </c>
      <c r="AP734">
        <v>562.95000000000005</v>
      </c>
      <c r="AQ734">
        <v>608.18666666666604</v>
      </c>
      <c r="AR734">
        <v>577.46666666666601</v>
      </c>
      <c r="AS734">
        <v>561.04666666666606</v>
      </c>
      <c r="AT734">
        <v>548.93666666666604</v>
      </c>
      <c r="AU734">
        <v>639.90333333333297</v>
      </c>
      <c r="AV734">
        <v>590.45666666666602</v>
      </c>
      <c r="AW734">
        <v>624.26999999999896</v>
      </c>
      <c r="AX734">
        <v>602.36666666666599</v>
      </c>
      <c r="AY734">
        <v>591.07666666666603</v>
      </c>
      <c r="AZ734">
        <v>583.06999999999903</v>
      </c>
      <c r="BA734">
        <v>631.63333333333298</v>
      </c>
      <c r="BB734">
        <v>580.77666666666596</v>
      </c>
      <c r="BC734">
        <v>615.07666666666603</v>
      </c>
      <c r="BD734">
        <v>592.44666666666603</v>
      </c>
      <c r="BE734">
        <v>580.65333333333297</v>
      </c>
      <c r="BF734">
        <v>572.22666666666601</v>
      </c>
      <c r="BG734" s="14"/>
      <c r="BH734" s="14"/>
      <c r="BI734" s="14"/>
      <c r="BJ734" s="199"/>
      <c r="BK734" s="14"/>
      <c r="BL734" s="14"/>
      <c r="BM734" s="14"/>
      <c r="BN734" s="14"/>
      <c r="BO734" s="14"/>
      <c r="BP734" s="14"/>
      <c r="BQ734" s="14"/>
      <c r="BR734" s="14"/>
      <c r="BS734" s="14"/>
      <c r="BT734" s="14"/>
      <c r="BU734" s="14"/>
      <c r="BV734" s="14"/>
      <c r="BW734" s="14"/>
      <c r="BX734" s="14"/>
      <c r="BY734" s="170"/>
    </row>
    <row r="735" spans="9:77" x14ac:dyDescent="0.25">
      <c r="I735">
        <v>6880</v>
      </c>
      <c r="J735" s="1" t="s">
        <v>910</v>
      </c>
      <c r="K735">
        <v>631.75</v>
      </c>
      <c r="L735">
        <v>601.07333333333304</v>
      </c>
      <c r="M735">
        <v>620.66999999999905</v>
      </c>
      <c r="N735">
        <v>606.67333333333295</v>
      </c>
      <c r="O735">
        <v>600.486666666666</v>
      </c>
      <c r="P735">
        <v>595.95333333333303</v>
      </c>
      <c r="Q735">
        <v>612.06333333333305</v>
      </c>
      <c r="R735">
        <v>560.81666666666604</v>
      </c>
      <c r="S735">
        <v>595.47333333333302</v>
      </c>
      <c r="T735">
        <v>572.56333333333305</v>
      </c>
      <c r="U735">
        <v>560.81666666666604</v>
      </c>
      <c r="V735">
        <v>551.77666666666596</v>
      </c>
      <c r="W735">
        <v>615.51666666666597</v>
      </c>
      <c r="X735">
        <v>588.31666666666604</v>
      </c>
      <c r="Y735">
        <v>598.91666666666595</v>
      </c>
      <c r="Z735">
        <v>597.02666666666596</v>
      </c>
      <c r="AA735">
        <v>591.69999999999902</v>
      </c>
      <c r="AB735">
        <v>591.69999999999902</v>
      </c>
      <c r="AC735">
        <v>634.39333333333298</v>
      </c>
      <c r="AD735">
        <v>600.08666666666602</v>
      </c>
      <c r="AE735">
        <v>621.96666666666601</v>
      </c>
      <c r="AF735">
        <v>611.91666666666595</v>
      </c>
      <c r="AG735">
        <v>605.74</v>
      </c>
      <c r="AH735">
        <v>602.80666666666605</v>
      </c>
      <c r="AI735">
        <v>631.75</v>
      </c>
      <c r="AJ735">
        <v>601.07333333333304</v>
      </c>
      <c r="AK735">
        <v>620.66999999999905</v>
      </c>
      <c r="AL735">
        <v>606.67333333333295</v>
      </c>
      <c r="AM735">
        <v>600.486666666666</v>
      </c>
      <c r="AN735">
        <v>595.95333333333303</v>
      </c>
      <c r="AO735">
        <v>626.39333333333298</v>
      </c>
      <c r="AP735">
        <v>562.95000000000005</v>
      </c>
      <c r="AQ735">
        <v>608.18666666666604</v>
      </c>
      <c r="AR735">
        <v>577.46666666666601</v>
      </c>
      <c r="AS735">
        <v>561.04666666666606</v>
      </c>
      <c r="AT735">
        <v>548.93666666666604</v>
      </c>
      <c r="AU735">
        <v>639.90333333333297</v>
      </c>
      <c r="AV735">
        <v>590.45666666666602</v>
      </c>
      <c r="AW735">
        <v>624.26999999999896</v>
      </c>
      <c r="AX735">
        <v>602.36666666666599</v>
      </c>
      <c r="AY735">
        <v>591.07666666666603</v>
      </c>
      <c r="AZ735">
        <v>583.06999999999903</v>
      </c>
      <c r="BA735">
        <v>631.63333333333298</v>
      </c>
      <c r="BB735">
        <v>580.77666666666596</v>
      </c>
      <c r="BC735">
        <v>615.07666666666603</v>
      </c>
      <c r="BD735">
        <v>592.44666666666603</v>
      </c>
      <c r="BE735">
        <v>580.65333333333297</v>
      </c>
      <c r="BF735">
        <v>572.22666666666601</v>
      </c>
      <c r="BG735" s="14"/>
      <c r="BH735" s="14"/>
      <c r="BI735" s="14"/>
      <c r="BJ735" s="199"/>
      <c r="BK735" s="14"/>
      <c r="BL735" s="14"/>
      <c r="BM735" s="14"/>
      <c r="BN735" s="14"/>
      <c r="BO735" s="14"/>
      <c r="BP735" s="14"/>
      <c r="BQ735" s="14"/>
      <c r="BR735" s="14"/>
      <c r="BS735" s="14"/>
      <c r="BT735" s="14"/>
      <c r="BU735" s="14"/>
      <c r="BV735" s="14"/>
      <c r="BW735" s="14"/>
      <c r="BX735" s="14"/>
      <c r="BY735" s="170"/>
    </row>
    <row r="736" spans="9:77" x14ac:dyDescent="0.25">
      <c r="I736">
        <v>6893</v>
      </c>
      <c r="J736" s="1" t="s">
        <v>911</v>
      </c>
      <c r="K736">
        <v>613.76999999999896</v>
      </c>
      <c r="L736">
        <v>583.09333333333302</v>
      </c>
      <c r="M736">
        <v>602.68999999999903</v>
      </c>
      <c r="N736">
        <v>588.69333333333304</v>
      </c>
      <c r="O736">
        <v>582.50666666666598</v>
      </c>
      <c r="P736">
        <v>577.97333333333302</v>
      </c>
      <c r="Q736">
        <v>594.08333333333303</v>
      </c>
      <c r="R736">
        <v>542.83666666666602</v>
      </c>
      <c r="S736">
        <v>577.493333333333</v>
      </c>
      <c r="T736">
        <v>554.58333333333303</v>
      </c>
      <c r="U736">
        <v>542.83666666666602</v>
      </c>
      <c r="V736">
        <v>533.79666666666606</v>
      </c>
      <c r="W736">
        <v>597.53666666666595</v>
      </c>
      <c r="X736">
        <v>570.33666666666602</v>
      </c>
      <c r="Y736">
        <v>580.93666666666604</v>
      </c>
      <c r="Z736">
        <v>579.04666666666606</v>
      </c>
      <c r="AA736">
        <v>573.719999999999</v>
      </c>
      <c r="AB736">
        <v>573.719999999999</v>
      </c>
      <c r="AC736">
        <v>616.41333333333296</v>
      </c>
      <c r="AD736">
        <v>582.106666666666</v>
      </c>
      <c r="AE736">
        <v>603.986666666666</v>
      </c>
      <c r="AF736">
        <v>593.93666666666604</v>
      </c>
      <c r="AG736">
        <v>587.75999999999897</v>
      </c>
      <c r="AH736">
        <v>584.82666666666603</v>
      </c>
      <c r="AI736">
        <v>613.76999999999896</v>
      </c>
      <c r="AJ736">
        <v>583.09333333333302</v>
      </c>
      <c r="AK736">
        <v>602.68999999999903</v>
      </c>
      <c r="AL736">
        <v>588.69333333333304</v>
      </c>
      <c r="AM736">
        <v>582.50666666666598</v>
      </c>
      <c r="AN736">
        <v>577.97333333333302</v>
      </c>
      <c r="AO736">
        <v>608.41333333333296</v>
      </c>
      <c r="AP736">
        <v>544.97</v>
      </c>
      <c r="AQ736">
        <v>590.20666666666602</v>
      </c>
      <c r="AR736">
        <v>559.486666666666</v>
      </c>
      <c r="AS736">
        <v>543.06666666666604</v>
      </c>
      <c r="AT736">
        <v>530.95666666666602</v>
      </c>
      <c r="AU736">
        <v>621.92333333333295</v>
      </c>
      <c r="AV736">
        <v>572.47666666666601</v>
      </c>
      <c r="AW736">
        <v>606.28999999999905</v>
      </c>
      <c r="AX736">
        <v>584.38666666666597</v>
      </c>
      <c r="AY736">
        <v>573.09666666666601</v>
      </c>
      <c r="AZ736">
        <v>565.08999999999901</v>
      </c>
      <c r="BA736">
        <v>613.65333333333297</v>
      </c>
      <c r="BB736">
        <v>562.79666666666606</v>
      </c>
      <c r="BC736">
        <v>597.09666666666601</v>
      </c>
      <c r="BD736">
        <v>574.46666666666601</v>
      </c>
      <c r="BE736">
        <v>562.67333333333295</v>
      </c>
      <c r="BF736">
        <v>554.24666666666599</v>
      </c>
      <c r="BG736" s="14"/>
      <c r="BH736" s="14"/>
      <c r="BI736" s="14"/>
      <c r="BJ736" s="199"/>
      <c r="BK736" s="14"/>
      <c r="BL736" s="14"/>
      <c r="BM736" s="14"/>
      <c r="BN736" s="14"/>
      <c r="BO736" s="14"/>
      <c r="BP736" s="14"/>
      <c r="BQ736" s="14"/>
      <c r="BR736" s="14"/>
      <c r="BS736" s="14"/>
      <c r="BT736" s="14"/>
      <c r="BU736" s="14"/>
      <c r="BV736" s="14"/>
      <c r="BW736" s="14"/>
      <c r="BX736" s="14"/>
      <c r="BY736" s="170"/>
    </row>
    <row r="737" spans="9:77" x14ac:dyDescent="0.25">
      <c r="I737">
        <v>6900</v>
      </c>
      <c r="J737" s="1" t="s">
        <v>912</v>
      </c>
      <c r="K737">
        <v>619.72</v>
      </c>
      <c r="L737">
        <v>589.04333333333295</v>
      </c>
      <c r="M737">
        <v>608.63999999999896</v>
      </c>
      <c r="N737">
        <v>594.64333333333298</v>
      </c>
      <c r="O737">
        <v>588.45666666666602</v>
      </c>
      <c r="P737">
        <v>583.92333333333295</v>
      </c>
      <c r="Q737">
        <v>600.03333333333296</v>
      </c>
      <c r="R737">
        <v>548.78666666666595</v>
      </c>
      <c r="S737">
        <v>583.44333333333304</v>
      </c>
      <c r="T737">
        <v>560.53333333333296</v>
      </c>
      <c r="U737">
        <v>548.78666666666595</v>
      </c>
      <c r="V737">
        <v>539.74666666666599</v>
      </c>
      <c r="W737">
        <v>603.486666666666</v>
      </c>
      <c r="X737">
        <v>576.28666666666595</v>
      </c>
      <c r="Y737">
        <v>586.88666666666597</v>
      </c>
      <c r="Z737">
        <v>584.99666666666599</v>
      </c>
      <c r="AA737">
        <v>579.66999999999905</v>
      </c>
      <c r="AB737">
        <v>579.66999999999905</v>
      </c>
      <c r="AC737">
        <v>622.363333333333</v>
      </c>
      <c r="AD737">
        <v>588.05666666666605</v>
      </c>
      <c r="AE737">
        <v>609.93666666666604</v>
      </c>
      <c r="AF737">
        <v>599.88666666666597</v>
      </c>
      <c r="AG737">
        <v>593.71</v>
      </c>
      <c r="AH737">
        <v>590.77666666666596</v>
      </c>
      <c r="AI737">
        <v>619.72</v>
      </c>
      <c r="AJ737">
        <v>589.04333333333295</v>
      </c>
      <c r="AK737">
        <v>608.63999999999896</v>
      </c>
      <c r="AL737">
        <v>594.64333333333298</v>
      </c>
      <c r="AM737">
        <v>588.45666666666602</v>
      </c>
      <c r="AN737">
        <v>583.92333333333295</v>
      </c>
      <c r="AO737">
        <v>614.363333333333</v>
      </c>
      <c r="AP737">
        <v>550.91999999999996</v>
      </c>
      <c r="AQ737">
        <v>596.15666666666596</v>
      </c>
      <c r="AR737">
        <v>565.43666666666604</v>
      </c>
      <c r="AS737">
        <v>549.01666666666597</v>
      </c>
      <c r="AT737">
        <v>536.90666666666596</v>
      </c>
      <c r="AU737">
        <v>627.87333333333299</v>
      </c>
      <c r="AV737">
        <v>578.42666666666605</v>
      </c>
      <c r="AW737">
        <v>612.24</v>
      </c>
      <c r="AX737">
        <v>590.33666666666602</v>
      </c>
      <c r="AY737">
        <v>579.04666666666606</v>
      </c>
      <c r="AZ737">
        <v>571.03999999999905</v>
      </c>
      <c r="BA737">
        <v>619.60333333333301</v>
      </c>
      <c r="BB737">
        <v>568.74666666666599</v>
      </c>
      <c r="BC737">
        <v>603.04666666666606</v>
      </c>
      <c r="BD737">
        <v>580.41666666666595</v>
      </c>
      <c r="BE737">
        <v>568.62333333333299</v>
      </c>
      <c r="BF737">
        <v>560.19666666666603</v>
      </c>
      <c r="BG737" s="14"/>
      <c r="BH737" s="14"/>
      <c r="BI737" s="14"/>
      <c r="BJ737" s="199"/>
      <c r="BK737" s="14"/>
      <c r="BL737" s="14"/>
      <c r="BM737" s="14"/>
      <c r="BN737" s="14"/>
      <c r="BO737" s="14"/>
      <c r="BP737" s="14"/>
      <c r="BQ737" s="14"/>
      <c r="BR737" s="14"/>
      <c r="BS737" s="14"/>
      <c r="BT737" s="14"/>
      <c r="BU737" s="14"/>
      <c r="BV737" s="14"/>
      <c r="BW737" s="14"/>
      <c r="BX737" s="14"/>
      <c r="BY737" s="170"/>
    </row>
    <row r="738" spans="9:77" x14ac:dyDescent="0.25">
      <c r="I738">
        <v>6920</v>
      </c>
      <c r="J738" s="1" t="s">
        <v>913</v>
      </c>
      <c r="K738">
        <v>672.18</v>
      </c>
      <c r="L738">
        <v>641.50333333333299</v>
      </c>
      <c r="M738">
        <v>661.1</v>
      </c>
      <c r="N738">
        <v>647.10333333333301</v>
      </c>
      <c r="O738">
        <v>640.91666666666595</v>
      </c>
      <c r="P738">
        <v>636.38333333333298</v>
      </c>
      <c r="Q738">
        <v>652.493333333333</v>
      </c>
      <c r="R738">
        <v>601.24666666666599</v>
      </c>
      <c r="S738">
        <v>635.90333333333297</v>
      </c>
      <c r="T738">
        <v>612.993333333333</v>
      </c>
      <c r="U738">
        <v>601.24666666666599</v>
      </c>
      <c r="V738">
        <v>592.20666666666602</v>
      </c>
      <c r="W738">
        <v>655.94666666666603</v>
      </c>
      <c r="X738">
        <v>628.74666666666599</v>
      </c>
      <c r="Y738">
        <v>639.34666666666601</v>
      </c>
      <c r="Z738">
        <v>637.45666666666602</v>
      </c>
      <c r="AA738">
        <v>632.13</v>
      </c>
      <c r="AB738">
        <v>632.13</v>
      </c>
      <c r="AC738">
        <v>674.82333333333304</v>
      </c>
      <c r="AD738">
        <v>640.51666666666597</v>
      </c>
      <c r="AE738">
        <v>662.39666666666596</v>
      </c>
      <c r="AF738">
        <v>652.34666666666601</v>
      </c>
      <c r="AG738">
        <v>646.16999999999996</v>
      </c>
      <c r="AH738">
        <v>643.236666666666</v>
      </c>
      <c r="AI738">
        <v>672.18</v>
      </c>
      <c r="AJ738">
        <v>641.50333333333299</v>
      </c>
      <c r="AK738">
        <v>661.1</v>
      </c>
      <c r="AL738">
        <v>647.10333333333301</v>
      </c>
      <c r="AM738">
        <v>640.91666666666595</v>
      </c>
      <c r="AN738">
        <v>636.38333333333298</v>
      </c>
      <c r="AO738">
        <v>666.82333333333304</v>
      </c>
      <c r="AP738">
        <v>603.38</v>
      </c>
      <c r="AQ738">
        <v>648.61666666666599</v>
      </c>
      <c r="AR738">
        <v>617.89666666666596</v>
      </c>
      <c r="AS738">
        <v>601.47666666666601</v>
      </c>
      <c r="AT738">
        <v>589.36666666666599</v>
      </c>
      <c r="AU738">
        <v>680.33333333333303</v>
      </c>
      <c r="AV738">
        <v>630.88666666666597</v>
      </c>
      <c r="AW738">
        <v>664.7</v>
      </c>
      <c r="AX738">
        <v>642.79666666666606</v>
      </c>
      <c r="AY738">
        <v>631.50666666666598</v>
      </c>
      <c r="AZ738">
        <v>623.5</v>
      </c>
      <c r="BA738">
        <v>672.06333333333305</v>
      </c>
      <c r="BB738">
        <v>621.20666666666602</v>
      </c>
      <c r="BC738">
        <v>655.50666666666598</v>
      </c>
      <c r="BD738">
        <v>632.87666666666598</v>
      </c>
      <c r="BE738">
        <v>621.08333333333303</v>
      </c>
      <c r="BF738">
        <v>612.65666666666596</v>
      </c>
      <c r="BG738" s="14"/>
      <c r="BH738" s="14"/>
      <c r="BI738" s="14"/>
      <c r="BJ738" s="199"/>
      <c r="BK738" s="14"/>
      <c r="BL738" s="14"/>
      <c r="BM738" s="14"/>
      <c r="BN738" s="14"/>
      <c r="BO738" s="14"/>
      <c r="BP738" s="14"/>
      <c r="BQ738" s="14"/>
      <c r="BR738" s="14"/>
      <c r="BS738" s="14"/>
      <c r="BT738" s="14"/>
      <c r="BU738" s="14"/>
      <c r="BV738" s="14"/>
      <c r="BW738" s="14"/>
      <c r="BX738" s="14"/>
      <c r="BY738" s="170"/>
    </row>
    <row r="739" spans="9:77" x14ac:dyDescent="0.25">
      <c r="I739">
        <v>6933</v>
      </c>
      <c r="J739" s="1" t="s">
        <v>914</v>
      </c>
      <c r="K739">
        <v>672.23</v>
      </c>
      <c r="L739">
        <v>641.55333333333294</v>
      </c>
      <c r="M739">
        <v>661.14999999999895</v>
      </c>
      <c r="N739">
        <v>647.15333333333297</v>
      </c>
      <c r="O739">
        <v>640.96666666666601</v>
      </c>
      <c r="P739">
        <v>636.43333333333305</v>
      </c>
      <c r="Q739">
        <v>652.54333333333295</v>
      </c>
      <c r="R739">
        <v>601.29666666666606</v>
      </c>
      <c r="S739">
        <v>635.95333333333303</v>
      </c>
      <c r="T739">
        <v>613.04333333333295</v>
      </c>
      <c r="U739">
        <v>601.29666666666606</v>
      </c>
      <c r="V739">
        <v>592.25666666666598</v>
      </c>
      <c r="W739">
        <v>655.99666666666599</v>
      </c>
      <c r="X739">
        <v>628.79666666666606</v>
      </c>
      <c r="Y739">
        <v>639.39666666666596</v>
      </c>
      <c r="Z739">
        <v>637.50666666666598</v>
      </c>
      <c r="AA739">
        <v>632.17999999999904</v>
      </c>
      <c r="AB739">
        <v>632.17999999999904</v>
      </c>
      <c r="AC739">
        <v>674.87333333333299</v>
      </c>
      <c r="AD739">
        <v>640.56666666666604</v>
      </c>
      <c r="AE739">
        <v>662.44666666666603</v>
      </c>
      <c r="AF739">
        <v>652.39666666666596</v>
      </c>
      <c r="AG739">
        <v>646.22</v>
      </c>
      <c r="AH739">
        <v>643.28666666666595</v>
      </c>
      <c r="AI739">
        <v>672.23</v>
      </c>
      <c r="AJ739">
        <v>641.55333333333294</v>
      </c>
      <c r="AK739">
        <v>661.14999999999895</v>
      </c>
      <c r="AL739">
        <v>647.15333333333297</v>
      </c>
      <c r="AM739">
        <v>640.96666666666601</v>
      </c>
      <c r="AN739">
        <v>636.43333333333305</v>
      </c>
      <c r="AO739">
        <v>666.87333333333299</v>
      </c>
      <c r="AP739">
        <v>603.42999999999995</v>
      </c>
      <c r="AQ739">
        <v>648.66666666666595</v>
      </c>
      <c r="AR739">
        <v>617.94666666666603</v>
      </c>
      <c r="AS739">
        <v>601.52666666666596</v>
      </c>
      <c r="AT739">
        <v>589.41666666666595</v>
      </c>
      <c r="AU739">
        <v>680.38333333333298</v>
      </c>
      <c r="AV739">
        <v>630.93666666666604</v>
      </c>
      <c r="AW739">
        <v>664.75</v>
      </c>
      <c r="AX739">
        <v>642.84666666666601</v>
      </c>
      <c r="AY739">
        <v>631.55666666666605</v>
      </c>
      <c r="AZ739">
        <v>623.54999999999905</v>
      </c>
      <c r="BA739">
        <v>672.113333333333</v>
      </c>
      <c r="BB739">
        <v>621.25666666666598</v>
      </c>
      <c r="BC739">
        <v>655.55666666666605</v>
      </c>
      <c r="BD739">
        <v>632.92666666666605</v>
      </c>
      <c r="BE739">
        <v>621.13333333333298</v>
      </c>
      <c r="BF739">
        <v>612.70666666666602</v>
      </c>
      <c r="BG739" s="14"/>
      <c r="BH739" s="14"/>
      <c r="BI739" s="14"/>
      <c r="BJ739" s="199"/>
      <c r="BK739" s="14"/>
      <c r="BL739" s="14"/>
      <c r="BM739" s="14"/>
      <c r="BN739" s="14"/>
      <c r="BO739" s="14"/>
      <c r="BP739" s="14"/>
      <c r="BQ739" s="14"/>
      <c r="BR739" s="14"/>
      <c r="BS739" s="14"/>
      <c r="BT739" s="14"/>
      <c r="BU739" s="14"/>
      <c r="BV739" s="14"/>
      <c r="BW739" s="14"/>
      <c r="BX739" s="14"/>
      <c r="BY739" s="170"/>
    </row>
    <row r="740" spans="9:77" x14ac:dyDescent="0.25">
      <c r="I740">
        <v>6940</v>
      </c>
      <c r="J740" s="1" t="s">
        <v>915</v>
      </c>
      <c r="K740">
        <v>607.62</v>
      </c>
      <c r="L740">
        <v>576.94333333333304</v>
      </c>
      <c r="M740">
        <v>596.54</v>
      </c>
      <c r="N740">
        <v>582.54333333333295</v>
      </c>
      <c r="O740">
        <v>576.356666666666</v>
      </c>
      <c r="P740">
        <v>571.82333333333304</v>
      </c>
      <c r="Q740">
        <v>587.93333333333305</v>
      </c>
      <c r="R740">
        <v>536.68666666666604</v>
      </c>
      <c r="S740">
        <v>571.34333333333302</v>
      </c>
      <c r="T740">
        <v>548.43333333333305</v>
      </c>
      <c r="U740">
        <v>536.68666666666604</v>
      </c>
      <c r="V740">
        <v>527.64666666666596</v>
      </c>
      <c r="W740">
        <v>591.38666666666597</v>
      </c>
      <c r="X740">
        <v>564.18666666666604</v>
      </c>
      <c r="Y740">
        <v>574.78666666666595</v>
      </c>
      <c r="Z740">
        <v>572.89666666666596</v>
      </c>
      <c r="AA740">
        <v>567.57000000000005</v>
      </c>
      <c r="AB740">
        <v>567.57000000000005</v>
      </c>
      <c r="AC740">
        <v>610.26333333333298</v>
      </c>
      <c r="AD740">
        <v>575.95666666666602</v>
      </c>
      <c r="AE740">
        <v>597.83666666666602</v>
      </c>
      <c r="AF740">
        <v>587.78666666666595</v>
      </c>
      <c r="AG740">
        <v>581.61</v>
      </c>
      <c r="AH740">
        <v>578.67666666666605</v>
      </c>
      <c r="AI740">
        <v>607.62</v>
      </c>
      <c r="AJ740">
        <v>576.94333333333304</v>
      </c>
      <c r="AK740">
        <v>596.54</v>
      </c>
      <c r="AL740">
        <v>582.54333333333295</v>
      </c>
      <c r="AM740">
        <v>576.356666666666</v>
      </c>
      <c r="AN740">
        <v>571.82333333333304</v>
      </c>
      <c r="AO740">
        <v>602.26333333333298</v>
      </c>
      <c r="AP740">
        <v>538.82000000000005</v>
      </c>
      <c r="AQ740">
        <v>584.05666666666605</v>
      </c>
      <c r="AR740">
        <v>553.33666666666602</v>
      </c>
      <c r="AS740">
        <v>536.91666666666595</v>
      </c>
      <c r="AT740">
        <v>524.80666666666605</v>
      </c>
      <c r="AU740">
        <v>615.77333333333297</v>
      </c>
      <c r="AV740">
        <v>566.32666666666603</v>
      </c>
      <c r="AW740">
        <v>600.14</v>
      </c>
      <c r="AX740">
        <v>578.236666666666</v>
      </c>
      <c r="AY740">
        <v>566.94666666666603</v>
      </c>
      <c r="AZ740">
        <v>558.94000000000005</v>
      </c>
      <c r="BA740">
        <v>607.50333333333299</v>
      </c>
      <c r="BB740">
        <v>556.64666666666596</v>
      </c>
      <c r="BC740">
        <v>590.94666666666603</v>
      </c>
      <c r="BD740">
        <v>568.31666666666604</v>
      </c>
      <c r="BE740">
        <v>556.52333333333297</v>
      </c>
      <c r="BF740">
        <v>548.09666666666601</v>
      </c>
      <c r="BG740" s="14"/>
      <c r="BH740" s="14"/>
      <c r="BI740" s="14"/>
      <c r="BJ740" s="199"/>
      <c r="BK740" s="14"/>
      <c r="BL740" s="14"/>
      <c r="BM740" s="14"/>
      <c r="BN740" s="14"/>
      <c r="BO740" s="14"/>
      <c r="BP740" s="14"/>
      <c r="BQ740" s="14"/>
      <c r="BR740" s="14"/>
      <c r="BS740" s="14"/>
      <c r="BT740" s="14"/>
      <c r="BU740" s="14"/>
      <c r="BV740" s="14"/>
      <c r="BW740" s="14"/>
      <c r="BX740" s="14"/>
      <c r="BY740" s="170"/>
    </row>
    <row r="741" spans="9:77" x14ac:dyDescent="0.25">
      <c r="I741">
        <v>6950</v>
      </c>
      <c r="J741" s="1" t="s">
        <v>916</v>
      </c>
      <c r="K741">
        <v>556.70000000000005</v>
      </c>
      <c r="L741">
        <v>526.02333333333297</v>
      </c>
      <c r="M741">
        <v>545.62</v>
      </c>
      <c r="N741">
        <v>531.62333333333299</v>
      </c>
      <c r="O741">
        <v>525.43666666666604</v>
      </c>
      <c r="P741">
        <v>520.90333333333297</v>
      </c>
      <c r="Q741">
        <v>537.01333333333298</v>
      </c>
      <c r="R741">
        <v>485.76666666666603</v>
      </c>
      <c r="S741">
        <v>520.42333333333295</v>
      </c>
      <c r="T741">
        <v>497.51333333333298</v>
      </c>
      <c r="U741">
        <v>485.76666666666603</v>
      </c>
      <c r="V741">
        <v>476.72666666666601</v>
      </c>
      <c r="W741">
        <v>540.46666666666601</v>
      </c>
      <c r="X741">
        <v>513.26666666666597</v>
      </c>
      <c r="Y741">
        <v>523.86666666666599</v>
      </c>
      <c r="Z741">
        <v>521.97666666666601</v>
      </c>
      <c r="AA741">
        <v>516.64999999999895</v>
      </c>
      <c r="AB741">
        <v>516.64999999999895</v>
      </c>
      <c r="AC741">
        <v>559.34333333333302</v>
      </c>
      <c r="AD741">
        <v>525.03666666666595</v>
      </c>
      <c r="AE741">
        <v>546.91666666666595</v>
      </c>
      <c r="AF741">
        <v>536.86666666666599</v>
      </c>
      <c r="AG741">
        <v>530.69000000000005</v>
      </c>
      <c r="AH741">
        <v>527.75666666666598</v>
      </c>
      <c r="AI741">
        <v>556.70000000000005</v>
      </c>
      <c r="AJ741">
        <v>526.02333333333297</v>
      </c>
      <c r="AK741">
        <v>545.62</v>
      </c>
      <c r="AL741">
        <v>531.62333333333299</v>
      </c>
      <c r="AM741">
        <v>525.43666666666604</v>
      </c>
      <c r="AN741">
        <v>520.90333333333297</v>
      </c>
      <c r="AO741">
        <v>551.34333333333302</v>
      </c>
      <c r="AP741">
        <v>487.9</v>
      </c>
      <c r="AQ741">
        <v>533.13666666666597</v>
      </c>
      <c r="AR741">
        <v>502.416666666666</v>
      </c>
      <c r="AS741">
        <v>485.99666666666599</v>
      </c>
      <c r="AT741">
        <v>473.88666666666597</v>
      </c>
      <c r="AU741">
        <v>564.85333333333301</v>
      </c>
      <c r="AV741">
        <v>515.40666666666596</v>
      </c>
      <c r="AW741">
        <v>549.22</v>
      </c>
      <c r="AX741">
        <v>527.31666666666604</v>
      </c>
      <c r="AY741">
        <v>516.02666666666596</v>
      </c>
      <c r="AZ741">
        <v>508.02</v>
      </c>
      <c r="BA741">
        <v>556.58333333333303</v>
      </c>
      <c r="BB741">
        <v>505.72666666666601</v>
      </c>
      <c r="BC741">
        <v>540.02666666666596</v>
      </c>
      <c r="BD741">
        <v>517.39666666666596</v>
      </c>
      <c r="BE741">
        <v>505.60333333333301</v>
      </c>
      <c r="BF741">
        <v>497.17666666666599</v>
      </c>
      <c r="BG741" s="14"/>
      <c r="BH741" s="14"/>
      <c r="BI741" s="14"/>
      <c r="BJ741" s="199"/>
      <c r="BK741" s="14"/>
      <c r="BL741" s="14"/>
      <c r="BM741" s="14"/>
      <c r="BN741" s="14"/>
      <c r="BO741" s="14"/>
      <c r="BP741" s="14"/>
      <c r="BQ741" s="14"/>
      <c r="BR741" s="14"/>
      <c r="BS741" s="14"/>
      <c r="BT741" s="14"/>
      <c r="BU741" s="14"/>
      <c r="BV741" s="14"/>
      <c r="BW741" s="14"/>
      <c r="BX741" s="14"/>
      <c r="BY741" s="170"/>
    </row>
    <row r="742" spans="9:77" x14ac:dyDescent="0.25">
      <c r="I742">
        <v>6960</v>
      </c>
      <c r="J742" s="1" t="s">
        <v>917</v>
      </c>
      <c r="K742">
        <v>499.88999999999902</v>
      </c>
      <c r="L742">
        <v>469.21333333333303</v>
      </c>
      <c r="M742">
        <v>488.80999999999898</v>
      </c>
      <c r="N742">
        <v>474.81333333333299</v>
      </c>
      <c r="O742">
        <v>468.62666666666598</v>
      </c>
      <c r="P742">
        <v>464.09333333333302</v>
      </c>
      <c r="Q742">
        <v>480.20333333333298</v>
      </c>
      <c r="R742">
        <v>428.95666666666602</v>
      </c>
      <c r="S742">
        <v>463.613333333333</v>
      </c>
      <c r="T742">
        <v>440.70333333333298</v>
      </c>
      <c r="U742">
        <v>428.95666666666602</v>
      </c>
      <c r="V742">
        <v>419.916666666666</v>
      </c>
      <c r="W742">
        <v>483.65666666666601</v>
      </c>
      <c r="X742">
        <v>456.45666666666602</v>
      </c>
      <c r="Y742">
        <v>467.05666666666599</v>
      </c>
      <c r="Z742">
        <v>465.166666666666</v>
      </c>
      <c r="AA742">
        <v>459.83999999999901</v>
      </c>
      <c r="AB742">
        <v>459.83999999999901</v>
      </c>
      <c r="AC742">
        <v>502.53333333333302</v>
      </c>
      <c r="AD742">
        <v>468.22666666666601</v>
      </c>
      <c r="AE742">
        <v>490.106666666666</v>
      </c>
      <c r="AF742">
        <v>480.05666666666599</v>
      </c>
      <c r="AG742">
        <v>473.87999999999897</v>
      </c>
      <c r="AH742">
        <v>470.94666666666598</v>
      </c>
      <c r="AI742">
        <v>499.88999999999902</v>
      </c>
      <c r="AJ742">
        <v>469.21333333333303</v>
      </c>
      <c r="AK742">
        <v>488.80999999999898</v>
      </c>
      <c r="AL742">
        <v>474.81333333333299</v>
      </c>
      <c r="AM742">
        <v>468.62666666666598</v>
      </c>
      <c r="AN742">
        <v>464.09333333333302</v>
      </c>
      <c r="AO742">
        <v>494.53333333333302</v>
      </c>
      <c r="AP742">
        <v>431.08999999999901</v>
      </c>
      <c r="AQ742">
        <v>476.32666666666597</v>
      </c>
      <c r="AR742">
        <v>445.606666666666</v>
      </c>
      <c r="AS742">
        <v>429.18666666666599</v>
      </c>
      <c r="AT742">
        <v>417.07666666666597</v>
      </c>
      <c r="AU742">
        <v>508.04333333333301</v>
      </c>
      <c r="AV742">
        <v>458.59666666666601</v>
      </c>
      <c r="AW742">
        <v>492.409999999999</v>
      </c>
      <c r="AX742">
        <v>470.50666666666598</v>
      </c>
      <c r="AY742">
        <v>459.21666666666601</v>
      </c>
      <c r="AZ742">
        <v>451.20999999999901</v>
      </c>
      <c r="BA742">
        <v>499.77333333333303</v>
      </c>
      <c r="BB742">
        <v>448.916666666666</v>
      </c>
      <c r="BC742">
        <v>483.21666666666601</v>
      </c>
      <c r="BD742">
        <v>460.58666666666602</v>
      </c>
      <c r="BE742">
        <v>448.79333333333301</v>
      </c>
      <c r="BF742">
        <v>440.36666666666599</v>
      </c>
      <c r="BG742" s="14"/>
      <c r="BH742" s="14"/>
      <c r="BI742" s="14"/>
      <c r="BJ742" s="199"/>
      <c r="BK742" s="14"/>
      <c r="BL742" s="14"/>
      <c r="BM742" s="14"/>
      <c r="BN742" s="14"/>
      <c r="BO742" s="14"/>
      <c r="BP742" s="14"/>
      <c r="BQ742" s="14"/>
      <c r="BR742" s="14"/>
      <c r="BS742" s="14"/>
      <c r="BT742" s="14"/>
      <c r="BU742" s="14"/>
      <c r="BV742" s="14"/>
      <c r="BW742" s="14"/>
      <c r="BX742" s="14"/>
      <c r="BY742" s="170"/>
    </row>
    <row r="743" spans="9:77" x14ac:dyDescent="0.25">
      <c r="I743">
        <v>6971</v>
      </c>
      <c r="J743" s="1" t="s">
        <v>918</v>
      </c>
      <c r="K743">
        <v>685.56</v>
      </c>
      <c r="L743">
        <v>654.88333333333298</v>
      </c>
      <c r="M743">
        <v>674.48</v>
      </c>
      <c r="N743">
        <v>660.48333333333301</v>
      </c>
      <c r="O743">
        <v>654.29666666666606</v>
      </c>
      <c r="P743">
        <v>649.76333333333298</v>
      </c>
      <c r="Q743">
        <v>665.87333333333299</v>
      </c>
      <c r="R743">
        <v>614.62666666666598</v>
      </c>
      <c r="S743">
        <v>649.28333333333296</v>
      </c>
      <c r="T743">
        <v>626.37333333333299</v>
      </c>
      <c r="U743">
        <v>614.62666666666598</v>
      </c>
      <c r="V743">
        <v>605.58666666666602</v>
      </c>
      <c r="W743">
        <v>669.32666666666603</v>
      </c>
      <c r="X743">
        <v>642.12666666666598</v>
      </c>
      <c r="Y743">
        <v>652.72666666666601</v>
      </c>
      <c r="Z743">
        <v>650.83666666666602</v>
      </c>
      <c r="AA743">
        <v>645.51</v>
      </c>
      <c r="AB743">
        <v>645.51</v>
      </c>
      <c r="AC743">
        <v>688.20333333333303</v>
      </c>
      <c r="AD743">
        <v>653.89666666666596</v>
      </c>
      <c r="AE743">
        <v>675.77666666666596</v>
      </c>
      <c r="AF743">
        <v>665.72666666666601</v>
      </c>
      <c r="AG743">
        <v>659.55</v>
      </c>
      <c r="AH743">
        <v>656.61666666666599</v>
      </c>
      <c r="AI743">
        <v>685.56</v>
      </c>
      <c r="AJ743">
        <v>654.88333333333298</v>
      </c>
      <c r="AK743">
        <v>674.48</v>
      </c>
      <c r="AL743">
        <v>660.48333333333301</v>
      </c>
      <c r="AM743">
        <v>654.29666666666606</v>
      </c>
      <c r="AN743">
        <v>649.76333333333298</v>
      </c>
      <c r="AO743">
        <v>680.20333333333303</v>
      </c>
      <c r="AP743">
        <v>616.76</v>
      </c>
      <c r="AQ743">
        <v>661.99666666666599</v>
      </c>
      <c r="AR743">
        <v>631.27666666666596</v>
      </c>
      <c r="AS743">
        <v>614.856666666666</v>
      </c>
      <c r="AT743">
        <v>602.74666666666599</v>
      </c>
      <c r="AU743">
        <v>693.71333333333303</v>
      </c>
      <c r="AV743">
        <v>644.26666666666597</v>
      </c>
      <c r="AW743">
        <v>678.08</v>
      </c>
      <c r="AX743">
        <v>656.17666666666605</v>
      </c>
      <c r="AY743">
        <v>644.88666666666597</v>
      </c>
      <c r="AZ743">
        <v>636.88</v>
      </c>
      <c r="BA743">
        <v>685.44333333333304</v>
      </c>
      <c r="BB743">
        <v>634.58666666666602</v>
      </c>
      <c r="BC743">
        <v>668.88666666666597</v>
      </c>
      <c r="BD743">
        <v>646.25666666666598</v>
      </c>
      <c r="BE743">
        <v>634.46333333333303</v>
      </c>
      <c r="BF743">
        <v>626.03666666666595</v>
      </c>
      <c r="BG743" s="14"/>
      <c r="BH743" s="14"/>
      <c r="BI743" s="14"/>
      <c r="BJ743" s="199"/>
      <c r="BK743" s="14"/>
      <c r="BL743" s="14"/>
      <c r="BM743" s="14"/>
      <c r="BN743" s="14"/>
      <c r="BO743" s="14"/>
      <c r="BP743" s="14"/>
      <c r="BQ743" s="14"/>
      <c r="BR743" s="14"/>
      <c r="BS743" s="14"/>
      <c r="BT743" s="14"/>
      <c r="BU743" s="14"/>
      <c r="BV743" s="14"/>
      <c r="BW743" s="14"/>
      <c r="BX743" s="14"/>
      <c r="BY743" s="170"/>
    </row>
    <row r="744" spans="9:77" x14ac:dyDescent="0.25">
      <c r="I744">
        <v>6973</v>
      </c>
      <c r="J744" s="1" t="s">
        <v>919</v>
      </c>
      <c r="K744">
        <v>685.56</v>
      </c>
      <c r="L744">
        <v>654.88333333333298</v>
      </c>
      <c r="M744">
        <v>674.48</v>
      </c>
      <c r="N744">
        <v>660.48333333333301</v>
      </c>
      <c r="O744">
        <v>654.29666666666606</v>
      </c>
      <c r="P744">
        <v>649.76333333333298</v>
      </c>
      <c r="Q744">
        <v>665.87333333333299</v>
      </c>
      <c r="R744">
        <v>614.62666666666598</v>
      </c>
      <c r="S744">
        <v>649.28333333333296</v>
      </c>
      <c r="T744">
        <v>626.37333333333299</v>
      </c>
      <c r="U744">
        <v>614.62666666666598</v>
      </c>
      <c r="V744">
        <v>605.58666666666602</v>
      </c>
      <c r="W744">
        <v>669.32666666666603</v>
      </c>
      <c r="X744">
        <v>642.12666666666598</v>
      </c>
      <c r="Y744">
        <v>652.72666666666601</v>
      </c>
      <c r="Z744">
        <v>650.83666666666602</v>
      </c>
      <c r="AA744">
        <v>645.51</v>
      </c>
      <c r="AB744">
        <v>645.51</v>
      </c>
      <c r="AC744">
        <v>688.20333333333303</v>
      </c>
      <c r="AD744">
        <v>653.89666666666596</v>
      </c>
      <c r="AE744">
        <v>675.77666666666596</v>
      </c>
      <c r="AF744">
        <v>665.72666666666601</v>
      </c>
      <c r="AG744">
        <v>659.55</v>
      </c>
      <c r="AH744">
        <v>656.61666666666599</v>
      </c>
      <c r="AI744">
        <v>685.56</v>
      </c>
      <c r="AJ744">
        <v>654.88333333333298</v>
      </c>
      <c r="AK744">
        <v>674.48</v>
      </c>
      <c r="AL744">
        <v>660.48333333333301</v>
      </c>
      <c r="AM744">
        <v>654.29666666666606</v>
      </c>
      <c r="AN744">
        <v>649.76333333333298</v>
      </c>
      <c r="AO744">
        <v>680.20333333333303</v>
      </c>
      <c r="AP744">
        <v>616.76</v>
      </c>
      <c r="AQ744">
        <v>661.99666666666599</v>
      </c>
      <c r="AR744">
        <v>631.27666666666596</v>
      </c>
      <c r="AS744">
        <v>614.856666666666</v>
      </c>
      <c r="AT744">
        <v>602.74666666666599</v>
      </c>
      <c r="AU744">
        <v>693.71333333333303</v>
      </c>
      <c r="AV744">
        <v>644.26666666666597</v>
      </c>
      <c r="AW744">
        <v>678.08</v>
      </c>
      <c r="AX744">
        <v>656.17666666666605</v>
      </c>
      <c r="AY744">
        <v>644.88666666666597</v>
      </c>
      <c r="AZ744">
        <v>636.88</v>
      </c>
      <c r="BA744">
        <v>685.44333333333304</v>
      </c>
      <c r="BB744">
        <v>634.58666666666602</v>
      </c>
      <c r="BC744">
        <v>668.88666666666597</v>
      </c>
      <c r="BD744">
        <v>646.25666666666598</v>
      </c>
      <c r="BE744">
        <v>634.46333333333303</v>
      </c>
      <c r="BF744">
        <v>626.03666666666595</v>
      </c>
      <c r="BG744" s="14"/>
      <c r="BH744" s="14"/>
      <c r="BI744" s="14"/>
      <c r="BJ744" s="199"/>
      <c r="BK744" s="14"/>
      <c r="BL744" s="14"/>
      <c r="BM744" s="14"/>
      <c r="BN744" s="14"/>
      <c r="BO744" s="14"/>
      <c r="BP744" s="14"/>
      <c r="BQ744" s="14"/>
      <c r="BR744" s="14"/>
      <c r="BS744" s="14"/>
      <c r="BT744" s="14"/>
      <c r="BU744" s="14"/>
      <c r="BV744" s="14"/>
      <c r="BW744" s="14"/>
      <c r="BX744" s="14"/>
      <c r="BY744" s="170"/>
    </row>
    <row r="745" spans="9:77" x14ac:dyDescent="0.25">
      <c r="I745">
        <v>6980</v>
      </c>
      <c r="J745" s="1" t="s">
        <v>920</v>
      </c>
      <c r="K745">
        <v>648.91999999999996</v>
      </c>
      <c r="L745">
        <v>618.243333333333</v>
      </c>
      <c r="M745">
        <v>637.84</v>
      </c>
      <c r="N745">
        <v>623.84333333333302</v>
      </c>
      <c r="O745">
        <v>617.65666666666596</v>
      </c>
      <c r="P745">
        <v>613.12333333333299</v>
      </c>
      <c r="Q745">
        <v>629.23333333333301</v>
      </c>
      <c r="R745">
        <v>577.986666666666</v>
      </c>
      <c r="S745">
        <v>612.64333333333298</v>
      </c>
      <c r="T745">
        <v>589.73333333333301</v>
      </c>
      <c r="U745">
        <v>577.986666666666</v>
      </c>
      <c r="V745">
        <v>568.94666666666603</v>
      </c>
      <c r="W745">
        <v>632.68666666666604</v>
      </c>
      <c r="X745">
        <v>605.486666666666</v>
      </c>
      <c r="Y745">
        <v>616.08666666666602</v>
      </c>
      <c r="Z745">
        <v>614.19666666666603</v>
      </c>
      <c r="AA745">
        <v>608.87</v>
      </c>
      <c r="AB745">
        <v>608.87</v>
      </c>
      <c r="AC745">
        <v>651.56333333333305</v>
      </c>
      <c r="AD745">
        <v>617.25666666666598</v>
      </c>
      <c r="AE745">
        <v>639.13666666666597</v>
      </c>
      <c r="AF745">
        <v>629.08666666666602</v>
      </c>
      <c r="AG745">
        <v>622.91</v>
      </c>
      <c r="AH745">
        <v>619.97666666666601</v>
      </c>
      <c r="AI745">
        <v>648.91999999999996</v>
      </c>
      <c r="AJ745">
        <v>618.243333333333</v>
      </c>
      <c r="AK745">
        <v>637.84</v>
      </c>
      <c r="AL745">
        <v>623.84333333333302</v>
      </c>
      <c r="AM745">
        <v>617.65666666666596</v>
      </c>
      <c r="AN745">
        <v>613.12333333333299</v>
      </c>
      <c r="AO745">
        <v>643.56333333333305</v>
      </c>
      <c r="AP745">
        <v>580.12</v>
      </c>
      <c r="AQ745">
        <v>625.356666666666</v>
      </c>
      <c r="AR745">
        <v>594.63666666666597</v>
      </c>
      <c r="AS745">
        <v>578.21666666666601</v>
      </c>
      <c r="AT745">
        <v>566.106666666666</v>
      </c>
      <c r="AU745">
        <v>657.07333333333304</v>
      </c>
      <c r="AV745">
        <v>607.62666666666598</v>
      </c>
      <c r="AW745">
        <v>641.44000000000005</v>
      </c>
      <c r="AX745">
        <v>619.53666666666595</v>
      </c>
      <c r="AY745">
        <v>608.24666666666599</v>
      </c>
      <c r="AZ745">
        <v>600.24</v>
      </c>
      <c r="BA745">
        <v>648.80333333333294</v>
      </c>
      <c r="BB745">
        <v>597.94666666666603</v>
      </c>
      <c r="BC745">
        <v>632.24666666666599</v>
      </c>
      <c r="BD745">
        <v>609.61666666666599</v>
      </c>
      <c r="BE745">
        <v>597.82333333333304</v>
      </c>
      <c r="BF745">
        <v>589.39666666666596</v>
      </c>
      <c r="BG745" s="14"/>
      <c r="BH745" s="14"/>
      <c r="BI745" s="14"/>
      <c r="BJ745" s="199"/>
      <c r="BK745" s="14"/>
      <c r="BL745" s="14"/>
      <c r="BM745" s="14"/>
      <c r="BN745" s="14"/>
      <c r="BO745" s="14"/>
      <c r="BP745" s="14"/>
      <c r="BQ745" s="14"/>
      <c r="BR745" s="14"/>
      <c r="BS745" s="14"/>
      <c r="BT745" s="14"/>
      <c r="BU745" s="14"/>
      <c r="BV745" s="14"/>
      <c r="BW745" s="14"/>
      <c r="BX745" s="14"/>
      <c r="BY745" s="170"/>
    </row>
    <row r="746" spans="9:77" x14ac:dyDescent="0.25">
      <c r="I746">
        <v>6990</v>
      </c>
      <c r="J746" s="1" t="s">
        <v>921</v>
      </c>
      <c r="K746">
        <v>651.41999999999996</v>
      </c>
      <c r="L746">
        <v>620.743333333333</v>
      </c>
      <c r="M746">
        <v>640.34</v>
      </c>
      <c r="N746">
        <v>626.34333333333302</v>
      </c>
      <c r="O746">
        <v>620.15666666666596</v>
      </c>
      <c r="P746">
        <v>615.62333333333299</v>
      </c>
      <c r="Q746">
        <v>631.73333333333301</v>
      </c>
      <c r="R746">
        <v>580.486666666666</v>
      </c>
      <c r="S746">
        <v>615.14333333333298</v>
      </c>
      <c r="T746">
        <v>592.23333333333301</v>
      </c>
      <c r="U746">
        <v>580.486666666666</v>
      </c>
      <c r="V746">
        <v>571.44666666666603</v>
      </c>
      <c r="W746">
        <v>635.18666666666604</v>
      </c>
      <c r="X746">
        <v>607.986666666666</v>
      </c>
      <c r="Y746">
        <v>618.58666666666602</v>
      </c>
      <c r="Z746">
        <v>616.69666666666603</v>
      </c>
      <c r="AA746">
        <v>611.37</v>
      </c>
      <c r="AB746">
        <v>611.37</v>
      </c>
      <c r="AC746">
        <v>654.06333333333305</v>
      </c>
      <c r="AD746">
        <v>619.75666666666598</v>
      </c>
      <c r="AE746">
        <v>641.63666666666597</v>
      </c>
      <c r="AF746">
        <v>631.58666666666602</v>
      </c>
      <c r="AG746">
        <v>625.41</v>
      </c>
      <c r="AH746">
        <v>622.47666666666601</v>
      </c>
      <c r="AI746">
        <v>651.41999999999996</v>
      </c>
      <c r="AJ746">
        <v>620.743333333333</v>
      </c>
      <c r="AK746">
        <v>640.34</v>
      </c>
      <c r="AL746">
        <v>626.34333333333302</v>
      </c>
      <c r="AM746">
        <v>620.15666666666596</v>
      </c>
      <c r="AN746">
        <v>615.62333333333299</v>
      </c>
      <c r="AO746">
        <v>646.06333333333305</v>
      </c>
      <c r="AP746">
        <v>582.62</v>
      </c>
      <c r="AQ746">
        <v>627.856666666666</v>
      </c>
      <c r="AR746">
        <v>597.13666666666597</v>
      </c>
      <c r="AS746">
        <v>580.71666666666601</v>
      </c>
      <c r="AT746">
        <v>568.606666666666</v>
      </c>
      <c r="AU746">
        <v>659.57333333333304</v>
      </c>
      <c r="AV746">
        <v>610.12666666666598</v>
      </c>
      <c r="AW746">
        <v>643.94000000000005</v>
      </c>
      <c r="AX746">
        <v>622.03666666666595</v>
      </c>
      <c r="AY746">
        <v>610.74666666666599</v>
      </c>
      <c r="AZ746">
        <v>602.74</v>
      </c>
      <c r="BA746">
        <v>651.30333333333294</v>
      </c>
      <c r="BB746">
        <v>600.44666666666603</v>
      </c>
      <c r="BC746">
        <v>634.74666666666599</v>
      </c>
      <c r="BD746">
        <v>612.11666666666599</v>
      </c>
      <c r="BE746">
        <v>600.32333333333304</v>
      </c>
      <c r="BF746">
        <v>591.89666666666596</v>
      </c>
      <c r="BG746" s="14"/>
      <c r="BH746" s="14"/>
      <c r="BI746" s="14"/>
      <c r="BJ746" s="199"/>
      <c r="BK746" s="14"/>
      <c r="BL746" s="14"/>
      <c r="BM746" s="14"/>
      <c r="BN746" s="14"/>
      <c r="BO746" s="14"/>
      <c r="BP746" s="14"/>
      <c r="BQ746" s="14"/>
      <c r="BR746" s="14"/>
      <c r="BS746" s="14"/>
      <c r="BT746" s="14"/>
      <c r="BU746" s="14"/>
      <c r="BV746" s="14"/>
      <c r="BW746" s="14"/>
      <c r="BX746" s="14"/>
      <c r="BY746" s="170"/>
    </row>
    <row r="747" spans="9:77" x14ac:dyDescent="0.25">
      <c r="I747">
        <v>7000</v>
      </c>
      <c r="J747" s="1" t="s">
        <v>922</v>
      </c>
      <c r="K747">
        <v>399.94666666666598</v>
      </c>
      <c r="L747">
        <v>371.96333333333303</v>
      </c>
      <c r="M747">
        <v>389.58666666666602</v>
      </c>
      <c r="N747">
        <v>377.06999999999903</v>
      </c>
      <c r="O747">
        <v>371.31</v>
      </c>
      <c r="P747">
        <v>366.88333333333298</v>
      </c>
      <c r="Q747">
        <v>375.83666666666602</v>
      </c>
      <c r="R747">
        <v>327.18</v>
      </c>
      <c r="S747">
        <v>358.69666666666598</v>
      </c>
      <c r="T747">
        <v>338.45666666666602</v>
      </c>
      <c r="U747">
        <v>327.76999999999902</v>
      </c>
      <c r="V747">
        <v>320.14999999999901</v>
      </c>
      <c r="W747">
        <v>379.33999999999901</v>
      </c>
      <c r="X747">
        <v>352.659999999999</v>
      </c>
      <c r="Y747">
        <v>362.62333333333299</v>
      </c>
      <c r="Z747">
        <v>360.87666666666598</v>
      </c>
      <c r="AA747">
        <v>355.88999999999902</v>
      </c>
      <c r="AB747">
        <v>355.88999999999902</v>
      </c>
      <c r="AC747">
        <v>401.41999999999899</v>
      </c>
      <c r="AD747">
        <v>370.19666666666598</v>
      </c>
      <c r="AE747">
        <v>389.803333333333</v>
      </c>
      <c r="AF747">
        <v>381.06666666666598</v>
      </c>
      <c r="AG747">
        <v>375.37999999999897</v>
      </c>
      <c r="AH747">
        <v>372.69333333333299</v>
      </c>
      <c r="AI747">
        <v>399.94666666666598</v>
      </c>
      <c r="AJ747">
        <v>371.96333333333303</v>
      </c>
      <c r="AK747">
        <v>389.58666666666602</v>
      </c>
      <c r="AL747">
        <v>377.06999999999903</v>
      </c>
      <c r="AM747">
        <v>371.31</v>
      </c>
      <c r="AN747">
        <v>366.88333333333298</v>
      </c>
      <c r="AO747">
        <v>389.719999999999</v>
      </c>
      <c r="AP747">
        <v>330.00999999999902</v>
      </c>
      <c r="AQ747">
        <v>371.219999999999</v>
      </c>
      <c r="AR747">
        <v>342.39333333333298</v>
      </c>
      <c r="AS747">
        <v>328.659999999999</v>
      </c>
      <c r="AT747">
        <v>319.15666666666601</v>
      </c>
      <c r="AU747">
        <v>404.46666666666601</v>
      </c>
      <c r="AV747">
        <v>360.08666666666602</v>
      </c>
      <c r="AW747">
        <v>389.26999999999902</v>
      </c>
      <c r="AX747">
        <v>370.45333333333298</v>
      </c>
      <c r="AY747">
        <v>360.56999999999903</v>
      </c>
      <c r="AZ747">
        <v>353.93666666666599</v>
      </c>
      <c r="BA747">
        <v>393.44666666666598</v>
      </c>
      <c r="BB747">
        <v>348.07333333333298</v>
      </c>
      <c r="BC747">
        <v>377.796666666666</v>
      </c>
      <c r="BD747">
        <v>358.13666666666597</v>
      </c>
      <c r="BE747">
        <v>348.183333333333</v>
      </c>
      <c r="BF747">
        <v>340.75999999999902</v>
      </c>
      <c r="BG747" s="14"/>
      <c r="BH747" s="14"/>
      <c r="BI747" s="14"/>
      <c r="BJ747" s="199"/>
      <c r="BK747" s="14"/>
      <c r="BL747" s="14"/>
      <c r="BM747" s="14"/>
      <c r="BN747" s="14"/>
      <c r="BO747" s="14"/>
      <c r="BP747" s="14"/>
      <c r="BQ747" s="14"/>
      <c r="BR747" s="14"/>
      <c r="BS747" s="14"/>
      <c r="BT747" s="14"/>
      <c r="BU747" s="14"/>
      <c r="BV747" s="14"/>
      <c r="BW747" s="14"/>
      <c r="BX747" s="14"/>
      <c r="BY747" s="170"/>
    </row>
    <row r="748" spans="9:77" x14ac:dyDescent="0.25">
      <c r="I748">
        <v>7080</v>
      </c>
      <c r="J748" s="1" t="s">
        <v>923</v>
      </c>
      <c r="K748">
        <v>422.28666666666601</v>
      </c>
      <c r="L748">
        <v>394.303333333333</v>
      </c>
      <c r="M748">
        <v>411.92666666666599</v>
      </c>
      <c r="N748">
        <v>399.41</v>
      </c>
      <c r="O748">
        <v>393.65</v>
      </c>
      <c r="P748">
        <v>389.22333333333302</v>
      </c>
      <c r="Q748">
        <v>398.17666666666599</v>
      </c>
      <c r="R748">
        <v>349.52</v>
      </c>
      <c r="S748">
        <v>381.03666666666601</v>
      </c>
      <c r="T748">
        <v>360.796666666666</v>
      </c>
      <c r="U748">
        <v>350.11</v>
      </c>
      <c r="V748">
        <v>342.49</v>
      </c>
      <c r="W748">
        <v>401.68</v>
      </c>
      <c r="X748">
        <v>375</v>
      </c>
      <c r="Y748">
        <v>384.96333333333303</v>
      </c>
      <c r="Z748">
        <v>383.21666666666601</v>
      </c>
      <c r="AA748">
        <v>378.23</v>
      </c>
      <c r="AB748">
        <v>378.23</v>
      </c>
      <c r="AC748">
        <v>423.76</v>
      </c>
      <c r="AD748">
        <v>392.53666666666601</v>
      </c>
      <c r="AE748">
        <v>412.14333333333298</v>
      </c>
      <c r="AF748">
        <v>403.40666666666601</v>
      </c>
      <c r="AG748">
        <v>397.72</v>
      </c>
      <c r="AH748">
        <v>395.03333333333302</v>
      </c>
      <c r="AI748">
        <v>422.28666666666601</v>
      </c>
      <c r="AJ748">
        <v>394.303333333333</v>
      </c>
      <c r="AK748">
        <v>411.92666666666599</v>
      </c>
      <c r="AL748">
        <v>399.41</v>
      </c>
      <c r="AM748">
        <v>393.65</v>
      </c>
      <c r="AN748">
        <v>389.22333333333302</v>
      </c>
      <c r="AO748">
        <v>412.06</v>
      </c>
      <c r="AP748">
        <v>352.35</v>
      </c>
      <c r="AQ748">
        <v>393.56</v>
      </c>
      <c r="AR748">
        <v>364.73333333333301</v>
      </c>
      <c r="AS748">
        <v>350.99999999999898</v>
      </c>
      <c r="AT748">
        <v>341.49666666666599</v>
      </c>
      <c r="AU748">
        <v>426.80666666666599</v>
      </c>
      <c r="AV748">
        <v>382.42666666666599</v>
      </c>
      <c r="AW748">
        <v>411.61</v>
      </c>
      <c r="AX748">
        <v>392.79333333333301</v>
      </c>
      <c r="AY748">
        <v>382.909999999999</v>
      </c>
      <c r="AZ748">
        <v>376.27666666666602</v>
      </c>
      <c r="BA748">
        <v>415.78666666666601</v>
      </c>
      <c r="BB748">
        <v>370.41333333333301</v>
      </c>
      <c r="BC748">
        <v>400.13666666666597</v>
      </c>
      <c r="BD748">
        <v>380.47666666666601</v>
      </c>
      <c r="BE748">
        <v>370.52333333333303</v>
      </c>
      <c r="BF748">
        <v>363.1</v>
      </c>
      <c r="BG748" s="14"/>
      <c r="BH748" s="14"/>
      <c r="BI748" s="14"/>
      <c r="BJ748" s="199"/>
      <c r="BK748" s="14"/>
      <c r="BL748" s="14"/>
      <c r="BM748" s="14"/>
      <c r="BN748" s="14"/>
      <c r="BO748" s="14"/>
      <c r="BP748" s="14"/>
      <c r="BQ748" s="14"/>
      <c r="BR748" s="14"/>
      <c r="BS748" s="14"/>
      <c r="BT748" s="14"/>
      <c r="BU748" s="14"/>
      <c r="BV748" s="14"/>
      <c r="BW748" s="14"/>
      <c r="BX748" s="14"/>
      <c r="BY748" s="170"/>
    </row>
    <row r="749" spans="9:77" x14ac:dyDescent="0.25">
      <c r="I749">
        <v>7100</v>
      </c>
      <c r="J749" s="1" t="s">
        <v>924</v>
      </c>
      <c r="K749">
        <v>536.38666666666597</v>
      </c>
      <c r="L749">
        <v>508.40333333333302</v>
      </c>
      <c r="M749">
        <v>526.02666666666596</v>
      </c>
      <c r="N749">
        <v>513.50999999999897</v>
      </c>
      <c r="O749">
        <v>507.75</v>
      </c>
      <c r="P749">
        <v>503.32333333333298</v>
      </c>
      <c r="Q749">
        <v>512.27666666666596</v>
      </c>
      <c r="R749">
        <v>463.62</v>
      </c>
      <c r="S749">
        <v>495.13666666666597</v>
      </c>
      <c r="T749">
        <v>474.89666666666602</v>
      </c>
      <c r="U749">
        <v>464.20999999999901</v>
      </c>
      <c r="V749">
        <v>456.59</v>
      </c>
      <c r="W749">
        <v>515.77999999999895</v>
      </c>
      <c r="X749">
        <v>489.099999999999</v>
      </c>
      <c r="Y749">
        <v>499.06333333333299</v>
      </c>
      <c r="Z749">
        <v>497.31666666666598</v>
      </c>
      <c r="AA749">
        <v>492.33</v>
      </c>
      <c r="AB749">
        <v>492.33</v>
      </c>
      <c r="AC749">
        <v>537.86</v>
      </c>
      <c r="AD749">
        <v>506.63666666666597</v>
      </c>
      <c r="AE749">
        <v>526.243333333333</v>
      </c>
      <c r="AF749">
        <v>517.50666666666598</v>
      </c>
      <c r="AG749">
        <v>511.81999999999903</v>
      </c>
      <c r="AH749">
        <v>509.13333333333298</v>
      </c>
      <c r="AI749">
        <v>536.38666666666597</v>
      </c>
      <c r="AJ749">
        <v>508.40333333333302</v>
      </c>
      <c r="AK749">
        <v>526.02666666666596</v>
      </c>
      <c r="AL749">
        <v>513.50999999999897</v>
      </c>
      <c r="AM749">
        <v>507.75</v>
      </c>
      <c r="AN749">
        <v>503.32333333333298</v>
      </c>
      <c r="AO749">
        <v>526.15999999999894</v>
      </c>
      <c r="AP749">
        <v>466.44999999999902</v>
      </c>
      <c r="AQ749">
        <v>507.659999999999</v>
      </c>
      <c r="AR749">
        <v>478.83333333333297</v>
      </c>
      <c r="AS749">
        <v>465.099999999999</v>
      </c>
      <c r="AT749">
        <v>455.59666666666601</v>
      </c>
      <c r="AU749">
        <v>540.90666666666596</v>
      </c>
      <c r="AV749">
        <v>496.52666666666602</v>
      </c>
      <c r="AW749">
        <v>525.71</v>
      </c>
      <c r="AX749">
        <v>506.89333333333298</v>
      </c>
      <c r="AY749">
        <v>497.00999999999902</v>
      </c>
      <c r="AZ749">
        <v>490.37666666666598</v>
      </c>
      <c r="BA749">
        <v>529.88666666666597</v>
      </c>
      <c r="BB749">
        <v>484.51333333333298</v>
      </c>
      <c r="BC749">
        <v>514.236666666666</v>
      </c>
      <c r="BD749">
        <v>494.57666666666597</v>
      </c>
      <c r="BE749">
        <v>484.62333333333299</v>
      </c>
      <c r="BF749">
        <v>477.19999999999902</v>
      </c>
      <c r="BG749" s="14"/>
      <c r="BH749" s="14"/>
      <c r="BI749" s="14"/>
      <c r="BJ749" s="199"/>
      <c r="BK749" s="14"/>
      <c r="BL749" s="14"/>
      <c r="BM749" s="14"/>
      <c r="BN749" s="14"/>
      <c r="BO749" s="14"/>
      <c r="BP749" s="14"/>
      <c r="BQ749" s="14"/>
      <c r="BR749" s="14"/>
      <c r="BS749" s="14"/>
      <c r="BT749" s="14"/>
      <c r="BU749" s="14"/>
      <c r="BV749" s="14"/>
      <c r="BW749" s="14"/>
      <c r="BX749" s="14"/>
      <c r="BY749" s="170"/>
    </row>
    <row r="750" spans="9:77" x14ac:dyDescent="0.25">
      <c r="I750">
        <v>7120</v>
      </c>
      <c r="J750" s="1" t="s">
        <v>925</v>
      </c>
      <c r="K750">
        <v>444.55666666666599</v>
      </c>
      <c r="L750">
        <v>416.57333333333298</v>
      </c>
      <c r="M750">
        <v>434.19666666666598</v>
      </c>
      <c r="N750">
        <v>421.68</v>
      </c>
      <c r="O750">
        <v>415.92</v>
      </c>
      <c r="P750">
        <v>411.493333333333</v>
      </c>
      <c r="Q750">
        <v>420.44666666666598</v>
      </c>
      <c r="R750">
        <v>371.79</v>
      </c>
      <c r="S750">
        <v>403.30666666666599</v>
      </c>
      <c r="T750">
        <v>383.06666666666598</v>
      </c>
      <c r="U750">
        <v>372.38</v>
      </c>
      <c r="V750">
        <v>364.76</v>
      </c>
      <c r="W750">
        <v>423.95</v>
      </c>
      <c r="X750">
        <v>397.26999999999902</v>
      </c>
      <c r="Y750">
        <v>407.23333333333301</v>
      </c>
      <c r="Z750">
        <v>405.486666666666</v>
      </c>
      <c r="AA750">
        <v>400.5</v>
      </c>
      <c r="AB750">
        <v>400.5</v>
      </c>
      <c r="AC750">
        <v>446.03</v>
      </c>
      <c r="AD750">
        <v>414.80666666666599</v>
      </c>
      <c r="AE750">
        <v>434.41333333333301</v>
      </c>
      <c r="AF750">
        <v>425.67666666666599</v>
      </c>
      <c r="AG750">
        <v>419.99</v>
      </c>
      <c r="AH750">
        <v>417.303333333333</v>
      </c>
      <c r="AI750">
        <v>444.55666666666599</v>
      </c>
      <c r="AJ750">
        <v>416.57333333333298</v>
      </c>
      <c r="AK750">
        <v>434.19666666666598</v>
      </c>
      <c r="AL750">
        <v>421.68</v>
      </c>
      <c r="AM750">
        <v>415.92</v>
      </c>
      <c r="AN750">
        <v>411.493333333333</v>
      </c>
      <c r="AO750">
        <v>434.32999999999902</v>
      </c>
      <c r="AP750">
        <v>374.62</v>
      </c>
      <c r="AQ750">
        <v>415.83</v>
      </c>
      <c r="AR750">
        <v>387.00333333333299</v>
      </c>
      <c r="AS750">
        <v>373.26999999999902</v>
      </c>
      <c r="AT750">
        <v>363.76666666666603</v>
      </c>
      <c r="AU750">
        <v>449.07666666666597</v>
      </c>
      <c r="AV750">
        <v>404.69666666666598</v>
      </c>
      <c r="AW750">
        <v>433.88</v>
      </c>
      <c r="AX750">
        <v>415.06333333333299</v>
      </c>
      <c r="AY750">
        <v>405.17999999999898</v>
      </c>
      <c r="AZ750">
        <v>398.546666666666</v>
      </c>
      <c r="BA750">
        <v>438.05666666666599</v>
      </c>
      <c r="BB750">
        <v>392.683333333333</v>
      </c>
      <c r="BC750">
        <v>422.40666666666601</v>
      </c>
      <c r="BD750">
        <v>402.74666666666599</v>
      </c>
      <c r="BE750">
        <v>392.79333333333301</v>
      </c>
      <c r="BF750">
        <v>385.37</v>
      </c>
      <c r="BG750" s="14"/>
      <c r="BH750" s="14"/>
      <c r="BI750" s="14"/>
      <c r="BJ750" s="199"/>
      <c r="BK750" s="14"/>
      <c r="BL750" s="14"/>
      <c r="BM750" s="14"/>
      <c r="BN750" s="14"/>
      <c r="BO750" s="14"/>
      <c r="BP750" s="14"/>
      <c r="BQ750" s="14"/>
      <c r="BR750" s="14"/>
      <c r="BS750" s="14"/>
      <c r="BT750" s="14"/>
      <c r="BU750" s="14"/>
      <c r="BV750" s="14"/>
      <c r="BW750" s="14"/>
      <c r="BX750" s="14"/>
      <c r="BY750" s="170"/>
    </row>
    <row r="751" spans="9:77" x14ac:dyDescent="0.25">
      <c r="I751">
        <v>7130</v>
      </c>
      <c r="J751" s="1" t="s">
        <v>926</v>
      </c>
      <c r="K751">
        <v>323.46333333333303</v>
      </c>
      <c r="L751">
        <v>281.20666666666602</v>
      </c>
      <c r="M751">
        <v>309.16999999999899</v>
      </c>
      <c r="N751">
        <v>289.24666666666599</v>
      </c>
      <c r="O751">
        <v>280.159999999999</v>
      </c>
      <c r="P751">
        <v>273.68</v>
      </c>
      <c r="Q751">
        <v>302.88999999999902</v>
      </c>
      <c r="R751">
        <v>245.849999999999</v>
      </c>
      <c r="S751">
        <v>284.92999999999898</v>
      </c>
      <c r="T751">
        <v>259.30666666666599</v>
      </c>
      <c r="U751">
        <v>245.60333333333301</v>
      </c>
      <c r="V751">
        <v>234.25666666666601</v>
      </c>
      <c r="W751">
        <v>305.76666666666603</v>
      </c>
      <c r="X751">
        <v>277.19999999999902</v>
      </c>
      <c r="Y751">
        <v>288.29333333333301</v>
      </c>
      <c r="Z751">
        <v>286.40666666666601</v>
      </c>
      <c r="AA751">
        <v>280.796666666666</v>
      </c>
      <c r="AB751">
        <v>280.796666666666</v>
      </c>
      <c r="AC751">
        <v>329.02999999999901</v>
      </c>
      <c r="AD751">
        <v>284.78333333333302</v>
      </c>
      <c r="AE751">
        <v>314.45333333333298</v>
      </c>
      <c r="AF751">
        <v>301.24999999999898</v>
      </c>
      <c r="AG751">
        <v>292.78333333333302</v>
      </c>
      <c r="AH751">
        <v>288.796666666666</v>
      </c>
      <c r="AI751">
        <v>323.46333333333303</v>
      </c>
      <c r="AJ751">
        <v>281.20666666666602</v>
      </c>
      <c r="AK751">
        <v>309.16999999999899</v>
      </c>
      <c r="AL751">
        <v>289.24666666666599</v>
      </c>
      <c r="AM751">
        <v>280.159999999999</v>
      </c>
      <c r="AN751">
        <v>273.68</v>
      </c>
      <c r="AO751">
        <v>320.92666666666599</v>
      </c>
      <c r="AP751">
        <v>254.00333333333299</v>
      </c>
      <c r="AQ751">
        <v>302.32999999999902</v>
      </c>
      <c r="AR751">
        <v>269.23999999999899</v>
      </c>
      <c r="AS751">
        <v>251.50666666666601</v>
      </c>
      <c r="AT751">
        <v>237.33666666666599</v>
      </c>
      <c r="AU751">
        <v>334.37999999999897</v>
      </c>
      <c r="AV751">
        <v>282.42666666666599</v>
      </c>
      <c r="AW751">
        <v>317.53333333333302</v>
      </c>
      <c r="AX751">
        <v>294.56999999999903</v>
      </c>
      <c r="AY751">
        <v>282.61666666666599</v>
      </c>
      <c r="AZ751">
        <v>273.87333333333299</v>
      </c>
      <c r="BA751">
        <v>326.303333333333</v>
      </c>
      <c r="BB751">
        <v>271.849999999999</v>
      </c>
      <c r="BC751">
        <v>309.28333333333302</v>
      </c>
      <c r="BD751">
        <v>284.33999999999901</v>
      </c>
      <c r="BE751">
        <v>271.34666666666601</v>
      </c>
      <c r="BF751">
        <v>260.89666666666602</v>
      </c>
      <c r="BG751" s="14"/>
      <c r="BH751" s="14"/>
      <c r="BI751" s="14"/>
      <c r="BJ751" s="199"/>
      <c r="BK751" s="14"/>
      <c r="BL751" s="14"/>
      <c r="BM751" s="14"/>
      <c r="BN751" s="14"/>
      <c r="BO751" s="14"/>
      <c r="BP751" s="14"/>
      <c r="BQ751" s="14"/>
      <c r="BR751" s="14"/>
      <c r="BS751" s="14"/>
      <c r="BT751" s="14"/>
      <c r="BU751" s="14"/>
      <c r="BV751" s="14"/>
      <c r="BW751" s="14"/>
      <c r="BX751" s="14"/>
      <c r="BY751" s="170"/>
    </row>
    <row r="752" spans="9:77" x14ac:dyDescent="0.25">
      <c r="I752">
        <v>7140</v>
      </c>
      <c r="J752" s="1" t="s">
        <v>927</v>
      </c>
      <c r="K752">
        <v>361.486666666666</v>
      </c>
      <c r="L752">
        <v>333.50333333333299</v>
      </c>
      <c r="M752">
        <v>351.12666666666598</v>
      </c>
      <c r="N752">
        <v>338.60999999999899</v>
      </c>
      <c r="O752">
        <v>332.85</v>
      </c>
      <c r="P752">
        <v>328.42333333333301</v>
      </c>
      <c r="Q752">
        <v>337.37666666666598</v>
      </c>
      <c r="R752">
        <v>288.72000000000003</v>
      </c>
      <c r="S752">
        <v>320.236666666666</v>
      </c>
      <c r="T752">
        <v>299.99666666666599</v>
      </c>
      <c r="U752">
        <v>289.31</v>
      </c>
      <c r="V752">
        <v>281.69</v>
      </c>
      <c r="W752">
        <v>340.88</v>
      </c>
      <c r="X752">
        <v>314.19999999999902</v>
      </c>
      <c r="Y752">
        <v>324.16333333333301</v>
      </c>
      <c r="Z752">
        <v>322.416666666666</v>
      </c>
      <c r="AA752">
        <v>317.43</v>
      </c>
      <c r="AB752">
        <v>317.43</v>
      </c>
      <c r="AC752">
        <v>362.96</v>
      </c>
      <c r="AD752">
        <v>331.736666666666</v>
      </c>
      <c r="AE752">
        <v>351.34333333333302</v>
      </c>
      <c r="AF752">
        <v>342.606666666666</v>
      </c>
      <c r="AG752">
        <v>336.92</v>
      </c>
      <c r="AH752">
        <v>334.23333333333301</v>
      </c>
      <c r="AI752">
        <v>361.486666666666</v>
      </c>
      <c r="AJ752">
        <v>333.50333333333299</v>
      </c>
      <c r="AK752">
        <v>351.12666666666598</v>
      </c>
      <c r="AL752">
        <v>338.60999999999899</v>
      </c>
      <c r="AM752">
        <v>332.85</v>
      </c>
      <c r="AN752">
        <v>328.42333333333301</v>
      </c>
      <c r="AO752">
        <v>351.25999999999902</v>
      </c>
      <c r="AP752">
        <v>291.54999999999899</v>
      </c>
      <c r="AQ752">
        <v>332.75999999999902</v>
      </c>
      <c r="AR752">
        <v>303.933333333333</v>
      </c>
      <c r="AS752">
        <v>290.19999999999902</v>
      </c>
      <c r="AT752">
        <v>280.69666666666598</v>
      </c>
      <c r="AU752">
        <v>366.00666666666598</v>
      </c>
      <c r="AV752">
        <v>321.62666666666598</v>
      </c>
      <c r="AW752">
        <v>350.81</v>
      </c>
      <c r="AX752">
        <v>331.993333333333</v>
      </c>
      <c r="AY752">
        <v>322.10999999999899</v>
      </c>
      <c r="AZ752">
        <v>315.47666666666601</v>
      </c>
      <c r="BA752">
        <v>354.986666666666</v>
      </c>
      <c r="BB752">
        <v>309.613333333333</v>
      </c>
      <c r="BC752">
        <v>339.33666666666602</v>
      </c>
      <c r="BD752">
        <v>319.67666666666599</v>
      </c>
      <c r="BE752">
        <v>309.72333333333302</v>
      </c>
      <c r="BF752">
        <v>302.3</v>
      </c>
      <c r="BG752" s="14"/>
      <c r="BH752" s="14"/>
      <c r="BI752" s="14"/>
      <c r="BJ752" s="199"/>
      <c r="BK752" s="14"/>
      <c r="BL752" s="14"/>
      <c r="BM752" s="14"/>
      <c r="BN752" s="14"/>
      <c r="BO752" s="14"/>
      <c r="BP752" s="14"/>
      <c r="BQ752" s="14"/>
      <c r="BR752" s="14"/>
      <c r="BS752" s="14"/>
      <c r="BT752" s="14"/>
      <c r="BU752" s="14"/>
      <c r="BV752" s="14"/>
      <c r="BW752" s="14"/>
      <c r="BX752" s="14"/>
      <c r="BY752" s="170"/>
    </row>
    <row r="753" spans="9:77" x14ac:dyDescent="0.25">
      <c r="I753">
        <v>7150</v>
      </c>
      <c r="J753" s="1" t="s">
        <v>928</v>
      </c>
      <c r="K753">
        <v>361.486666666666</v>
      </c>
      <c r="L753">
        <v>333.50333333333299</v>
      </c>
      <c r="M753">
        <v>351.12666666666598</v>
      </c>
      <c r="N753">
        <v>338.60999999999899</v>
      </c>
      <c r="O753">
        <v>332.85</v>
      </c>
      <c r="P753">
        <v>328.42333333333301</v>
      </c>
      <c r="Q753">
        <v>337.37666666666598</v>
      </c>
      <c r="R753">
        <v>288.72000000000003</v>
      </c>
      <c r="S753">
        <v>320.236666666666</v>
      </c>
      <c r="T753">
        <v>299.99666666666599</v>
      </c>
      <c r="U753">
        <v>289.31</v>
      </c>
      <c r="V753">
        <v>281.69</v>
      </c>
      <c r="W753">
        <v>340.88</v>
      </c>
      <c r="X753">
        <v>314.19999999999902</v>
      </c>
      <c r="Y753">
        <v>324.16333333333301</v>
      </c>
      <c r="Z753">
        <v>322.416666666666</v>
      </c>
      <c r="AA753">
        <v>317.43</v>
      </c>
      <c r="AB753">
        <v>317.43</v>
      </c>
      <c r="AC753">
        <v>362.96</v>
      </c>
      <c r="AD753">
        <v>331.736666666666</v>
      </c>
      <c r="AE753">
        <v>351.34333333333302</v>
      </c>
      <c r="AF753">
        <v>342.606666666666</v>
      </c>
      <c r="AG753">
        <v>336.92</v>
      </c>
      <c r="AH753">
        <v>334.23333333333301</v>
      </c>
      <c r="AI753">
        <v>361.486666666666</v>
      </c>
      <c r="AJ753">
        <v>333.50333333333299</v>
      </c>
      <c r="AK753">
        <v>351.12666666666598</v>
      </c>
      <c r="AL753">
        <v>338.60999999999899</v>
      </c>
      <c r="AM753">
        <v>332.85</v>
      </c>
      <c r="AN753">
        <v>328.42333333333301</v>
      </c>
      <c r="AO753">
        <v>351.25999999999902</v>
      </c>
      <c r="AP753">
        <v>291.54999999999899</v>
      </c>
      <c r="AQ753">
        <v>332.75999999999902</v>
      </c>
      <c r="AR753">
        <v>303.933333333333</v>
      </c>
      <c r="AS753">
        <v>290.19999999999902</v>
      </c>
      <c r="AT753">
        <v>280.69666666666598</v>
      </c>
      <c r="AU753">
        <v>366.00666666666598</v>
      </c>
      <c r="AV753">
        <v>321.62666666666598</v>
      </c>
      <c r="AW753">
        <v>350.81</v>
      </c>
      <c r="AX753">
        <v>331.993333333333</v>
      </c>
      <c r="AY753">
        <v>322.10999999999899</v>
      </c>
      <c r="AZ753">
        <v>315.47666666666601</v>
      </c>
      <c r="BA753">
        <v>354.986666666666</v>
      </c>
      <c r="BB753">
        <v>309.613333333333</v>
      </c>
      <c r="BC753">
        <v>339.33666666666602</v>
      </c>
      <c r="BD753">
        <v>319.67666666666599</v>
      </c>
      <c r="BE753">
        <v>309.72333333333302</v>
      </c>
      <c r="BF753">
        <v>302.3</v>
      </c>
      <c r="BG753" s="14"/>
      <c r="BH753" s="14"/>
      <c r="BI753" s="14"/>
      <c r="BJ753" s="199"/>
      <c r="BK753" s="14"/>
      <c r="BL753" s="14"/>
      <c r="BM753" s="14"/>
      <c r="BN753" s="14"/>
      <c r="BO753" s="14"/>
      <c r="BP753" s="14"/>
      <c r="BQ753" s="14"/>
      <c r="BR753" s="14"/>
      <c r="BS753" s="14"/>
      <c r="BT753" s="14"/>
      <c r="BU753" s="14"/>
      <c r="BV753" s="14"/>
      <c r="BW753" s="14"/>
      <c r="BX753" s="14"/>
      <c r="BY753" s="170"/>
    </row>
    <row r="754" spans="9:77" x14ac:dyDescent="0.25">
      <c r="I754">
        <v>7160</v>
      </c>
      <c r="J754" s="1" t="s">
        <v>15</v>
      </c>
      <c r="K754">
        <v>563.25666666666598</v>
      </c>
      <c r="L754">
        <v>535.27333333333297</v>
      </c>
      <c r="M754">
        <v>552.89666666666596</v>
      </c>
      <c r="N754">
        <v>540.38</v>
      </c>
      <c r="O754">
        <v>534.62</v>
      </c>
      <c r="P754">
        <v>530.19333333333304</v>
      </c>
      <c r="Q754">
        <v>539.14666666666596</v>
      </c>
      <c r="R754">
        <v>490.49</v>
      </c>
      <c r="S754">
        <v>522.00666666666598</v>
      </c>
      <c r="T754">
        <v>501.76666666666603</v>
      </c>
      <c r="U754">
        <v>491.08</v>
      </c>
      <c r="V754">
        <v>483.46</v>
      </c>
      <c r="W754">
        <v>542.65</v>
      </c>
      <c r="X754">
        <v>515.97</v>
      </c>
      <c r="Y754">
        <v>525.93333333333305</v>
      </c>
      <c r="Z754">
        <v>524.18666666666604</v>
      </c>
      <c r="AA754">
        <v>519.20000000000005</v>
      </c>
      <c r="AB754">
        <v>519.20000000000005</v>
      </c>
      <c r="AC754">
        <v>564.73</v>
      </c>
      <c r="AD754">
        <v>533.50666666666598</v>
      </c>
      <c r="AE754">
        <v>553.113333333333</v>
      </c>
      <c r="AF754">
        <v>544.37666666666598</v>
      </c>
      <c r="AG754">
        <v>538.69000000000005</v>
      </c>
      <c r="AH754">
        <v>536.00333333333299</v>
      </c>
      <c r="AI754">
        <v>563.25666666666598</v>
      </c>
      <c r="AJ754">
        <v>535.27333333333297</v>
      </c>
      <c r="AK754">
        <v>552.89666666666596</v>
      </c>
      <c r="AL754">
        <v>540.38</v>
      </c>
      <c r="AM754">
        <v>534.62</v>
      </c>
      <c r="AN754">
        <v>530.19333333333304</v>
      </c>
      <c r="AO754">
        <v>553.02999999999895</v>
      </c>
      <c r="AP754">
        <v>493.32</v>
      </c>
      <c r="AQ754">
        <v>534.53</v>
      </c>
      <c r="AR754">
        <v>505.70333333333298</v>
      </c>
      <c r="AS754">
        <v>491.969999999999</v>
      </c>
      <c r="AT754">
        <v>482.46666666666601</v>
      </c>
      <c r="AU754">
        <v>567.77666666666596</v>
      </c>
      <c r="AV754">
        <v>523.39666666666596</v>
      </c>
      <c r="AW754">
        <v>552.58000000000004</v>
      </c>
      <c r="AX754">
        <v>533.76333333333298</v>
      </c>
      <c r="AY754">
        <v>523.88</v>
      </c>
      <c r="AZ754">
        <v>517.24666666666599</v>
      </c>
      <c r="BA754">
        <v>556.75666666666598</v>
      </c>
      <c r="BB754">
        <v>511.38333333333298</v>
      </c>
      <c r="BC754">
        <v>541.106666666666</v>
      </c>
      <c r="BD754">
        <v>521.44666666666603</v>
      </c>
      <c r="BE754">
        <v>511.493333333333</v>
      </c>
      <c r="BF754">
        <v>504.07</v>
      </c>
      <c r="BG754" s="14"/>
      <c r="BH754" s="14"/>
      <c r="BI754" s="14"/>
      <c r="BJ754" s="199"/>
      <c r="BK754" s="14"/>
      <c r="BL754" s="14"/>
      <c r="BM754" s="14"/>
      <c r="BN754" s="14"/>
      <c r="BO754" s="14"/>
      <c r="BP754" s="14"/>
      <c r="BQ754" s="14"/>
      <c r="BR754" s="14"/>
      <c r="BS754" s="14"/>
      <c r="BT754" s="14"/>
      <c r="BU754" s="14"/>
      <c r="BV754" s="14"/>
      <c r="BW754" s="14"/>
      <c r="BX754" s="14"/>
      <c r="BY754" s="170"/>
    </row>
    <row r="755" spans="9:77" x14ac:dyDescent="0.25">
      <c r="I755">
        <v>7171</v>
      </c>
      <c r="J755" s="1" t="s">
        <v>929</v>
      </c>
      <c r="K755">
        <v>563.25666666666598</v>
      </c>
      <c r="L755">
        <v>535.27333333333297</v>
      </c>
      <c r="M755">
        <v>552.89666666666596</v>
      </c>
      <c r="N755">
        <v>540.38</v>
      </c>
      <c r="O755">
        <v>534.62</v>
      </c>
      <c r="P755">
        <v>530.19333333333304</v>
      </c>
      <c r="Q755">
        <v>539.14666666666596</v>
      </c>
      <c r="R755">
        <v>490.49</v>
      </c>
      <c r="S755">
        <v>522.00666666666598</v>
      </c>
      <c r="T755">
        <v>501.76666666666603</v>
      </c>
      <c r="U755">
        <v>491.08</v>
      </c>
      <c r="V755">
        <v>483.46</v>
      </c>
      <c r="W755">
        <v>542.65</v>
      </c>
      <c r="X755">
        <v>515.97</v>
      </c>
      <c r="Y755">
        <v>525.93333333333305</v>
      </c>
      <c r="Z755">
        <v>524.18666666666604</v>
      </c>
      <c r="AA755">
        <v>519.20000000000005</v>
      </c>
      <c r="AB755">
        <v>519.20000000000005</v>
      </c>
      <c r="AC755">
        <v>564.73</v>
      </c>
      <c r="AD755">
        <v>533.50666666666598</v>
      </c>
      <c r="AE755">
        <v>553.113333333333</v>
      </c>
      <c r="AF755">
        <v>544.37666666666598</v>
      </c>
      <c r="AG755">
        <v>538.69000000000005</v>
      </c>
      <c r="AH755">
        <v>536.00333333333299</v>
      </c>
      <c r="AI755">
        <v>563.25666666666598</v>
      </c>
      <c r="AJ755">
        <v>535.27333333333297</v>
      </c>
      <c r="AK755">
        <v>552.89666666666596</v>
      </c>
      <c r="AL755">
        <v>540.38</v>
      </c>
      <c r="AM755">
        <v>534.62</v>
      </c>
      <c r="AN755">
        <v>530.19333333333304</v>
      </c>
      <c r="AO755">
        <v>553.02999999999895</v>
      </c>
      <c r="AP755">
        <v>493.32</v>
      </c>
      <c r="AQ755">
        <v>534.53</v>
      </c>
      <c r="AR755">
        <v>505.70333333333298</v>
      </c>
      <c r="AS755">
        <v>491.969999999999</v>
      </c>
      <c r="AT755">
        <v>482.46666666666601</v>
      </c>
      <c r="AU755">
        <v>567.77666666666596</v>
      </c>
      <c r="AV755">
        <v>523.39666666666596</v>
      </c>
      <c r="AW755">
        <v>552.58000000000004</v>
      </c>
      <c r="AX755">
        <v>533.76333333333298</v>
      </c>
      <c r="AY755">
        <v>523.88</v>
      </c>
      <c r="AZ755">
        <v>517.24666666666599</v>
      </c>
      <c r="BA755">
        <v>556.75666666666598</v>
      </c>
      <c r="BB755">
        <v>511.38333333333298</v>
      </c>
      <c r="BC755">
        <v>541.106666666666</v>
      </c>
      <c r="BD755">
        <v>521.44666666666603</v>
      </c>
      <c r="BE755">
        <v>511.493333333333</v>
      </c>
      <c r="BF755">
        <v>504.07</v>
      </c>
      <c r="BG755" s="14"/>
      <c r="BH755" s="14"/>
      <c r="BI755" s="14"/>
      <c r="BJ755" s="199"/>
      <c r="BK755" s="14"/>
      <c r="BL755" s="14"/>
      <c r="BM755" s="14"/>
      <c r="BN755" s="14"/>
      <c r="BO755" s="14"/>
      <c r="BP755" s="14"/>
      <c r="BQ755" s="14"/>
      <c r="BR755" s="14"/>
      <c r="BS755" s="14"/>
      <c r="BT755" s="14"/>
      <c r="BU755" s="14"/>
      <c r="BV755" s="14"/>
      <c r="BW755" s="14"/>
      <c r="BX755" s="14"/>
      <c r="BY755" s="170"/>
    </row>
    <row r="756" spans="9:77" x14ac:dyDescent="0.25">
      <c r="I756">
        <v>7173</v>
      </c>
      <c r="J756" s="1" t="s">
        <v>930</v>
      </c>
      <c r="K756">
        <v>608.15666666666596</v>
      </c>
      <c r="L756">
        <v>580.17333333333295</v>
      </c>
      <c r="M756">
        <v>597.79666666666606</v>
      </c>
      <c r="N756">
        <v>585.27999999999895</v>
      </c>
      <c r="O756">
        <v>579.52</v>
      </c>
      <c r="P756">
        <v>575.09333333333302</v>
      </c>
      <c r="Q756">
        <v>584.04666666666606</v>
      </c>
      <c r="R756">
        <v>535.39</v>
      </c>
      <c r="S756">
        <v>566.90666666666596</v>
      </c>
      <c r="T756">
        <v>546.66666666666595</v>
      </c>
      <c r="U756">
        <v>535.98</v>
      </c>
      <c r="V756">
        <v>528.36</v>
      </c>
      <c r="W756">
        <v>587.54999999999995</v>
      </c>
      <c r="X756">
        <v>560.87</v>
      </c>
      <c r="Y756">
        <v>570.83333333333303</v>
      </c>
      <c r="Z756">
        <v>569.08666666666602</v>
      </c>
      <c r="AA756">
        <v>564.1</v>
      </c>
      <c r="AB756">
        <v>564.1</v>
      </c>
      <c r="AC756">
        <v>609.63</v>
      </c>
      <c r="AD756">
        <v>578.40666666666596</v>
      </c>
      <c r="AE756">
        <v>598.01333333333298</v>
      </c>
      <c r="AF756">
        <v>589.27666666666596</v>
      </c>
      <c r="AG756">
        <v>583.59</v>
      </c>
      <c r="AH756">
        <v>580.90333333333297</v>
      </c>
      <c r="AI756">
        <v>608.15666666666596</v>
      </c>
      <c r="AJ756">
        <v>580.17333333333295</v>
      </c>
      <c r="AK756">
        <v>597.79666666666606</v>
      </c>
      <c r="AL756">
        <v>585.27999999999895</v>
      </c>
      <c r="AM756">
        <v>579.52</v>
      </c>
      <c r="AN756">
        <v>575.09333333333302</v>
      </c>
      <c r="AO756">
        <v>597.92999999999995</v>
      </c>
      <c r="AP756">
        <v>538.22</v>
      </c>
      <c r="AQ756">
        <v>579.42999999999995</v>
      </c>
      <c r="AR756">
        <v>550.60333333333301</v>
      </c>
      <c r="AS756">
        <v>536.86999999999898</v>
      </c>
      <c r="AT756">
        <v>527.36666666666599</v>
      </c>
      <c r="AU756">
        <v>612.67666666666605</v>
      </c>
      <c r="AV756">
        <v>568.29666666666606</v>
      </c>
      <c r="AW756">
        <v>597.48</v>
      </c>
      <c r="AX756">
        <v>578.66333333333296</v>
      </c>
      <c r="AY756">
        <v>568.77999999999895</v>
      </c>
      <c r="AZ756">
        <v>562.14666666666596</v>
      </c>
      <c r="BA756">
        <v>601.65666666666596</v>
      </c>
      <c r="BB756">
        <v>556.28333333333296</v>
      </c>
      <c r="BC756">
        <v>586.00666666666598</v>
      </c>
      <c r="BD756">
        <v>566.34666666666601</v>
      </c>
      <c r="BE756">
        <v>556.39333333333298</v>
      </c>
      <c r="BF756">
        <v>548.97</v>
      </c>
      <c r="BG756" s="14"/>
      <c r="BH756" s="14"/>
      <c r="BI756" s="14"/>
      <c r="BJ756" s="199"/>
      <c r="BK756" s="14"/>
      <c r="BL756" s="14"/>
      <c r="BM756" s="14"/>
      <c r="BN756" s="14"/>
      <c r="BO756" s="14"/>
      <c r="BP756" s="14"/>
      <c r="BQ756" s="14"/>
      <c r="BR756" s="14"/>
      <c r="BS756" s="14"/>
      <c r="BT756" s="14"/>
      <c r="BU756" s="14"/>
      <c r="BV756" s="14"/>
      <c r="BW756" s="14"/>
      <c r="BX756" s="14"/>
      <c r="BY756" s="170"/>
    </row>
    <row r="757" spans="9:77" x14ac:dyDescent="0.25">
      <c r="I757">
        <v>7182</v>
      </c>
      <c r="J757" s="1" t="s">
        <v>931</v>
      </c>
      <c r="K757">
        <v>602.19666666666603</v>
      </c>
      <c r="L757">
        <v>574.21333333333303</v>
      </c>
      <c r="M757">
        <v>591.83666666666602</v>
      </c>
      <c r="N757">
        <v>579.31999999999903</v>
      </c>
      <c r="O757">
        <v>573.55999999999995</v>
      </c>
      <c r="P757">
        <v>569.13333333333298</v>
      </c>
      <c r="Q757">
        <v>578.08666666666602</v>
      </c>
      <c r="R757">
        <v>529.42999999999995</v>
      </c>
      <c r="S757">
        <v>560.94666666666603</v>
      </c>
      <c r="T757">
        <v>540.70666666666602</v>
      </c>
      <c r="U757">
        <v>530.01999999999896</v>
      </c>
      <c r="V757">
        <v>522.4</v>
      </c>
      <c r="W757">
        <v>581.59</v>
      </c>
      <c r="X757">
        <v>554.90999999999894</v>
      </c>
      <c r="Y757">
        <v>564.87333333333299</v>
      </c>
      <c r="Z757">
        <v>563.12666666666598</v>
      </c>
      <c r="AA757">
        <v>558.14</v>
      </c>
      <c r="AB757">
        <v>558.14</v>
      </c>
      <c r="AC757">
        <v>603.66999999999996</v>
      </c>
      <c r="AD757">
        <v>572.44666666666603</v>
      </c>
      <c r="AE757">
        <v>592.05333333333294</v>
      </c>
      <c r="AF757">
        <v>583.31666666666604</v>
      </c>
      <c r="AG757">
        <v>577.63</v>
      </c>
      <c r="AH757">
        <v>574.94333333333304</v>
      </c>
      <c r="AI757">
        <v>602.19666666666603</v>
      </c>
      <c r="AJ757">
        <v>574.21333333333303</v>
      </c>
      <c r="AK757">
        <v>591.83666666666602</v>
      </c>
      <c r="AL757">
        <v>579.31999999999903</v>
      </c>
      <c r="AM757">
        <v>573.55999999999995</v>
      </c>
      <c r="AN757">
        <v>569.13333333333298</v>
      </c>
      <c r="AO757">
        <v>591.97</v>
      </c>
      <c r="AP757">
        <v>532.25999999999897</v>
      </c>
      <c r="AQ757">
        <v>573.47</v>
      </c>
      <c r="AR757">
        <v>544.64333333333298</v>
      </c>
      <c r="AS757">
        <v>530.90999999999894</v>
      </c>
      <c r="AT757">
        <v>521.40666666666596</v>
      </c>
      <c r="AU757">
        <v>606.71666666666601</v>
      </c>
      <c r="AV757">
        <v>562.33666666666602</v>
      </c>
      <c r="AW757">
        <v>591.51999999999896</v>
      </c>
      <c r="AX757">
        <v>572.70333333333303</v>
      </c>
      <c r="AY757">
        <v>562.81999999999903</v>
      </c>
      <c r="AZ757">
        <v>556.18666666666604</v>
      </c>
      <c r="BA757">
        <v>595.69666666666603</v>
      </c>
      <c r="BB757">
        <v>550.32333333333304</v>
      </c>
      <c r="BC757">
        <v>580.04666666666606</v>
      </c>
      <c r="BD757">
        <v>560.38666666666597</v>
      </c>
      <c r="BE757">
        <v>550.43333333333305</v>
      </c>
      <c r="BF757">
        <v>543.00999999999897</v>
      </c>
      <c r="BG757" s="14"/>
      <c r="BH757" s="14"/>
      <c r="BI757" s="14"/>
      <c r="BJ757" s="199"/>
      <c r="BK757" s="14"/>
      <c r="BL757" s="14"/>
      <c r="BM757" s="14"/>
      <c r="BN757" s="14"/>
      <c r="BO757" s="14"/>
      <c r="BP757" s="14"/>
      <c r="BQ757" s="14"/>
      <c r="BR757" s="14"/>
      <c r="BS757" s="14"/>
      <c r="BT757" s="14"/>
      <c r="BU757" s="14"/>
      <c r="BV757" s="14"/>
      <c r="BW757" s="14"/>
      <c r="BX757" s="14"/>
      <c r="BY757" s="170"/>
    </row>
    <row r="758" spans="9:77" x14ac:dyDescent="0.25">
      <c r="I758">
        <v>7183</v>
      </c>
      <c r="J758" s="1" t="s">
        <v>932</v>
      </c>
      <c r="K758">
        <v>666.486666666666</v>
      </c>
      <c r="L758">
        <v>638.50333333333299</v>
      </c>
      <c r="M758">
        <v>656.12666666666598</v>
      </c>
      <c r="N758">
        <v>643.60999999999899</v>
      </c>
      <c r="O758">
        <v>637.849999999999</v>
      </c>
      <c r="P758">
        <v>633.42333333333295</v>
      </c>
      <c r="Q758">
        <v>642.37666666666598</v>
      </c>
      <c r="R758">
        <v>593.72</v>
      </c>
      <c r="S758">
        <v>625.236666666666</v>
      </c>
      <c r="T758">
        <v>604.99666666666599</v>
      </c>
      <c r="U758">
        <v>594.30999999999904</v>
      </c>
      <c r="V758">
        <v>586.68999999999903</v>
      </c>
      <c r="W758">
        <v>645.87999999999897</v>
      </c>
      <c r="X758">
        <v>619.19999999999902</v>
      </c>
      <c r="Y758">
        <v>629.16333333333296</v>
      </c>
      <c r="Z758">
        <v>627.41666666666595</v>
      </c>
      <c r="AA758">
        <v>622.42999999999904</v>
      </c>
      <c r="AB758">
        <v>622.42999999999904</v>
      </c>
      <c r="AC758">
        <v>667.95999999999901</v>
      </c>
      <c r="AD758">
        <v>636.736666666666</v>
      </c>
      <c r="AE758">
        <v>656.34333333333302</v>
      </c>
      <c r="AF758">
        <v>647.606666666666</v>
      </c>
      <c r="AG758">
        <v>641.91999999999905</v>
      </c>
      <c r="AH758">
        <v>639.23333333333301</v>
      </c>
      <c r="AI758">
        <v>666.486666666666</v>
      </c>
      <c r="AJ758">
        <v>638.50333333333299</v>
      </c>
      <c r="AK758">
        <v>656.12666666666598</v>
      </c>
      <c r="AL758">
        <v>643.60999999999899</v>
      </c>
      <c r="AM758">
        <v>637.849999999999</v>
      </c>
      <c r="AN758">
        <v>633.42333333333295</v>
      </c>
      <c r="AO758">
        <v>656.25999999999897</v>
      </c>
      <c r="AP758">
        <v>596.54999999999905</v>
      </c>
      <c r="AQ758">
        <v>637.75999999999897</v>
      </c>
      <c r="AR758">
        <v>608.93333333333305</v>
      </c>
      <c r="AS758">
        <v>595.19999999999902</v>
      </c>
      <c r="AT758">
        <v>585.69666666666603</v>
      </c>
      <c r="AU758">
        <v>671.00666666666598</v>
      </c>
      <c r="AV758">
        <v>626.62666666666598</v>
      </c>
      <c r="AW758">
        <v>655.80999999999904</v>
      </c>
      <c r="AX758">
        <v>636.993333333333</v>
      </c>
      <c r="AY758">
        <v>627.10999999999899</v>
      </c>
      <c r="AZ758">
        <v>620.47666666666601</v>
      </c>
      <c r="BA758">
        <v>659.986666666666</v>
      </c>
      <c r="BB758">
        <v>614.613333333333</v>
      </c>
      <c r="BC758">
        <v>644.33666666666602</v>
      </c>
      <c r="BD758">
        <v>624.67666666666605</v>
      </c>
      <c r="BE758">
        <v>614.72333333333302</v>
      </c>
      <c r="BF758">
        <v>607.29999999999905</v>
      </c>
      <c r="BG758" s="14"/>
      <c r="BH758" s="14"/>
      <c r="BI758" s="14"/>
      <c r="BJ758" s="199"/>
      <c r="BK758" s="14"/>
      <c r="BL758" s="14"/>
      <c r="BM758" s="14"/>
      <c r="BN758" s="14"/>
      <c r="BO758" s="14"/>
      <c r="BP758" s="14"/>
      <c r="BQ758" s="14"/>
      <c r="BR758" s="14"/>
      <c r="BS758" s="14"/>
      <c r="BT758" s="14"/>
      <c r="BU758" s="14"/>
      <c r="BV758" s="14"/>
      <c r="BW758" s="14"/>
      <c r="BX758" s="14"/>
      <c r="BY758" s="170"/>
    </row>
    <row r="759" spans="9:77" x14ac:dyDescent="0.25">
      <c r="I759">
        <v>7184</v>
      </c>
      <c r="J759" s="1" t="s">
        <v>933</v>
      </c>
      <c r="K759">
        <v>666.486666666666</v>
      </c>
      <c r="L759">
        <v>638.50333333333299</v>
      </c>
      <c r="M759">
        <v>656.12666666666598</v>
      </c>
      <c r="N759">
        <v>643.60999999999899</v>
      </c>
      <c r="O759">
        <v>637.849999999999</v>
      </c>
      <c r="P759">
        <v>633.42333333333295</v>
      </c>
      <c r="Q759">
        <v>642.37666666666598</v>
      </c>
      <c r="R759">
        <v>593.72</v>
      </c>
      <c r="S759">
        <v>625.236666666666</v>
      </c>
      <c r="T759">
        <v>604.99666666666599</v>
      </c>
      <c r="U759">
        <v>594.30999999999904</v>
      </c>
      <c r="V759">
        <v>586.68999999999903</v>
      </c>
      <c r="W759">
        <v>645.87999999999897</v>
      </c>
      <c r="X759">
        <v>619.19999999999902</v>
      </c>
      <c r="Y759">
        <v>629.16333333333296</v>
      </c>
      <c r="Z759">
        <v>627.41666666666595</v>
      </c>
      <c r="AA759">
        <v>622.42999999999904</v>
      </c>
      <c r="AB759">
        <v>622.42999999999904</v>
      </c>
      <c r="AC759">
        <v>667.95999999999901</v>
      </c>
      <c r="AD759">
        <v>636.736666666666</v>
      </c>
      <c r="AE759">
        <v>656.34333333333302</v>
      </c>
      <c r="AF759">
        <v>647.606666666666</v>
      </c>
      <c r="AG759">
        <v>641.91999999999905</v>
      </c>
      <c r="AH759">
        <v>639.23333333333301</v>
      </c>
      <c r="AI759">
        <v>666.486666666666</v>
      </c>
      <c r="AJ759">
        <v>638.50333333333299</v>
      </c>
      <c r="AK759">
        <v>656.12666666666598</v>
      </c>
      <c r="AL759">
        <v>643.60999999999899</v>
      </c>
      <c r="AM759">
        <v>637.849999999999</v>
      </c>
      <c r="AN759">
        <v>633.42333333333295</v>
      </c>
      <c r="AO759">
        <v>656.25999999999897</v>
      </c>
      <c r="AP759">
        <v>596.54999999999905</v>
      </c>
      <c r="AQ759">
        <v>637.75999999999897</v>
      </c>
      <c r="AR759">
        <v>608.93333333333305</v>
      </c>
      <c r="AS759">
        <v>595.19999999999902</v>
      </c>
      <c r="AT759">
        <v>585.69666666666603</v>
      </c>
      <c r="AU759">
        <v>671.00666666666598</v>
      </c>
      <c r="AV759">
        <v>626.62666666666598</v>
      </c>
      <c r="AW759">
        <v>655.80999999999904</v>
      </c>
      <c r="AX759">
        <v>636.993333333333</v>
      </c>
      <c r="AY759">
        <v>627.10999999999899</v>
      </c>
      <c r="AZ759">
        <v>620.47666666666601</v>
      </c>
      <c r="BA759">
        <v>659.986666666666</v>
      </c>
      <c r="BB759">
        <v>614.613333333333</v>
      </c>
      <c r="BC759">
        <v>644.33666666666602</v>
      </c>
      <c r="BD759">
        <v>624.67666666666605</v>
      </c>
      <c r="BE759">
        <v>614.72333333333302</v>
      </c>
      <c r="BF759">
        <v>607.29999999999905</v>
      </c>
      <c r="BG759" s="14"/>
      <c r="BH759" s="14"/>
      <c r="BI759" s="14"/>
      <c r="BJ759" s="199"/>
      <c r="BK759" s="14"/>
      <c r="BL759" s="14"/>
      <c r="BM759" s="14"/>
      <c r="BN759" s="14"/>
      <c r="BO759" s="14"/>
      <c r="BP759" s="14"/>
      <c r="BQ759" s="14"/>
      <c r="BR759" s="14"/>
      <c r="BS759" s="14"/>
      <c r="BT759" s="14"/>
      <c r="BU759" s="14"/>
      <c r="BV759" s="14"/>
      <c r="BW759" s="14"/>
      <c r="BX759" s="14"/>
      <c r="BY759" s="170"/>
    </row>
    <row r="760" spans="9:77" x14ac:dyDescent="0.25">
      <c r="I760">
        <v>7190</v>
      </c>
      <c r="J760" s="1" t="s">
        <v>934</v>
      </c>
      <c r="K760">
        <v>709.55666666666605</v>
      </c>
      <c r="L760">
        <v>681.57333333333304</v>
      </c>
      <c r="M760">
        <v>699.19666666666603</v>
      </c>
      <c r="N760">
        <v>686.68</v>
      </c>
      <c r="O760">
        <v>680.92</v>
      </c>
      <c r="P760">
        <v>676.493333333333</v>
      </c>
      <c r="Q760">
        <v>685.44666666666603</v>
      </c>
      <c r="R760">
        <v>636.79</v>
      </c>
      <c r="S760">
        <v>668.30666666666605</v>
      </c>
      <c r="T760">
        <v>648.06666666666604</v>
      </c>
      <c r="U760">
        <v>637.38</v>
      </c>
      <c r="V760">
        <v>629.76</v>
      </c>
      <c r="W760">
        <v>688.95</v>
      </c>
      <c r="X760">
        <v>662.26999999999896</v>
      </c>
      <c r="Y760">
        <v>672.23333333333301</v>
      </c>
      <c r="Z760">
        <v>670.486666666666</v>
      </c>
      <c r="AA760">
        <v>665.5</v>
      </c>
      <c r="AB760">
        <v>665.5</v>
      </c>
      <c r="AC760">
        <v>711.03</v>
      </c>
      <c r="AD760">
        <v>679.80666666666605</v>
      </c>
      <c r="AE760">
        <v>699.41333333333296</v>
      </c>
      <c r="AF760">
        <v>690.67666666666605</v>
      </c>
      <c r="AG760">
        <v>684.99</v>
      </c>
      <c r="AH760">
        <v>682.30333333333294</v>
      </c>
      <c r="AI760">
        <v>709.55666666666605</v>
      </c>
      <c r="AJ760">
        <v>681.57333333333304</v>
      </c>
      <c r="AK760">
        <v>699.19666666666603</v>
      </c>
      <c r="AL760">
        <v>686.68</v>
      </c>
      <c r="AM760">
        <v>680.92</v>
      </c>
      <c r="AN760">
        <v>676.493333333333</v>
      </c>
      <c r="AO760">
        <v>699.32999999999902</v>
      </c>
      <c r="AP760">
        <v>639.62</v>
      </c>
      <c r="AQ760">
        <v>680.83</v>
      </c>
      <c r="AR760">
        <v>652.00333333333299</v>
      </c>
      <c r="AS760">
        <v>638.26999999999896</v>
      </c>
      <c r="AT760">
        <v>628.76666666666597</v>
      </c>
      <c r="AU760">
        <v>714.07666666666603</v>
      </c>
      <c r="AV760">
        <v>669.69666666666603</v>
      </c>
      <c r="AW760">
        <v>698.88</v>
      </c>
      <c r="AX760">
        <v>680.06333333333305</v>
      </c>
      <c r="AY760">
        <v>670.17999999999904</v>
      </c>
      <c r="AZ760">
        <v>663.54666666666606</v>
      </c>
      <c r="BA760">
        <v>703.05666666666605</v>
      </c>
      <c r="BB760">
        <v>657.68333333333305</v>
      </c>
      <c r="BC760">
        <v>687.40666666666596</v>
      </c>
      <c r="BD760">
        <v>667.74666666666599</v>
      </c>
      <c r="BE760">
        <v>657.79333333333295</v>
      </c>
      <c r="BF760">
        <v>650.37</v>
      </c>
      <c r="BG760" s="14"/>
      <c r="BH760" s="14"/>
      <c r="BI760" s="14"/>
      <c r="BJ760" s="199"/>
      <c r="BK760" s="14"/>
      <c r="BL760" s="14"/>
      <c r="BM760" s="14"/>
      <c r="BN760" s="14"/>
      <c r="BO760" s="14"/>
      <c r="BP760" s="14"/>
      <c r="BQ760" s="14"/>
      <c r="BR760" s="14"/>
      <c r="BS760" s="14"/>
      <c r="BT760" s="14"/>
      <c r="BU760" s="14"/>
      <c r="BV760" s="14"/>
      <c r="BW760" s="14"/>
      <c r="BX760" s="14"/>
      <c r="BY760" s="170"/>
    </row>
    <row r="761" spans="9:77" x14ac:dyDescent="0.25">
      <c r="I761">
        <v>7200</v>
      </c>
      <c r="J761" s="1" t="s">
        <v>935</v>
      </c>
      <c r="K761">
        <v>687.72666666666601</v>
      </c>
      <c r="L761">
        <v>659.743333333333</v>
      </c>
      <c r="M761">
        <v>677.36666666666702</v>
      </c>
      <c r="N761">
        <v>664.85</v>
      </c>
      <c r="O761">
        <v>659.09</v>
      </c>
      <c r="P761">
        <v>654.66333333333296</v>
      </c>
      <c r="Q761">
        <v>663.61666666666599</v>
      </c>
      <c r="R761">
        <v>614.96</v>
      </c>
      <c r="S761">
        <v>646.47666666666601</v>
      </c>
      <c r="T761">
        <v>626.236666666666</v>
      </c>
      <c r="U761">
        <v>615.54999999999995</v>
      </c>
      <c r="V761">
        <v>607.92999999999995</v>
      </c>
      <c r="W761">
        <v>667.12</v>
      </c>
      <c r="X761">
        <v>640.44000000000005</v>
      </c>
      <c r="Y761">
        <v>650.40333333333297</v>
      </c>
      <c r="Z761">
        <v>648.65666666666596</v>
      </c>
      <c r="AA761">
        <v>643.66999999999996</v>
      </c>
      <c r="AB761">
        <v>643.66999999999996</v>
      </c>
      <c r="AC761">
        <v>689.2</v>
      </c>
      <c r="AD761">
        <v>657.97666666666601</v>
      </c>
      <c r="AE761">
        <v>677.58333333333303</v>
      </c>
      <c r="AF761">
        <v>668.84666666666601</v>
      </c>
      <c r="AG761">
        <v>663.16</v>
      </c>
      <c r="AH761">
        <v>660.47333333333302</v>
      </c>
      <c r="AI761">
        <v>687.72666666666601</v>
      </c>
      <c r="AJ761">
        <v>659.743333333333</v>
      </c>
      <c r="AK761">
        <v>677.36666666666702</v>
      </c>
      <c r="AL761">
        <v>664.85</v>
      </c>
      <c r="AM761">
        <v>659.09</v>
      </c>
      <c r="AN761">
        <v>654.66333333333296</v>
      </c>
      <c r="AO761">
        <v>677.5</v>
      </c>
      <c r="AP761">
        <v>617.79</v>
      </c>
      <c r="AQ761">
        <v>659</v>
      </c>
      <c r="AR761">
        <v>630.17333333333295</v>
      </c>
      <c r="AS761">
        <v>616.44000000000005</v>
      </c>
      <c r="AT761">
        <v>606.93666666666604</v>
      </c>
      <c r="AU761">
        <v>692.24666666666599</v>
      </c>
      <c r="AV761">
        <v>647.86666666666599</v>
      </c>
      <c r="AW761">
        <v>677.05</v>
      </c>
      <c r="AX761">
        <v>658.23333333333301</v>
      </c>
      <c r="AY761">
        <v>648.35</v>
      </c>
      <c r="AZ761">
        <v>641.71666666666601</v>
      </c>
      <c r="BA761">
        <v>681.22666666666601</v>
      </c>
      <c r="BB761">
        <v>635.85333333333301</v>
      </c>
      <c r="BC761">
        <v>665.57666666666603</v>
      </c>
      <c r="BD761">
        <v>645.91666666666595</v>
      </c>
      <c r="BE761">
        <v>635.96333333333303</v>
      </c>
      <c r="BF761">
        <v>628.54</v>
      </c>
      <c r="BG761" s="14"/>
      <c r="BH761" s="14"/>
      <c r="BI761" s="14"/>
      <c r="BJ761" s="199"/>
      <c r="BK761" s="14"/>
      <c r="BL761" s="14"/>
      <c r="BM761" s="14"/>
      <c r="BN761" s="14"/>
      <c r="BO761" s="14"/>
      <c r="BP761" s="14"/>
      <c r="BQ761" s="14"/>
      <c r="BR761" s="14"/>
      <c r="BS761" s="14"/>
      <c r="BT761" s="14"/>
      <c r="BU761" s="14"/>
      <c r="BV761" s="14"/>
      <c r="BW761" s="14"/>
      <c r="BX761" s="14"/>
      <c r="BY761" s="170"/>
    </row>
    <row r="762" spans="9:77" x14ac:dyDescent="0.25">
      <c r="I762">
        <v>7250</v>
      </c>
      <c r="J762" s="1" t="s">
        <v>936</v>
      </c>
      <c r="K762">
        <v>722.31666666666604</v>
      </c>
      <c r="L762">
        <v>694.33333333333303</v>
      </c>
      <c r="M762">
        <v>711.95666666666602</v>
      </c>
      <c r="N762">
        <v>699.44</v>
      </c>
      <c r="O762">
        <v>693.68</v>
      </c>
      <c r="P762">
        <v>689.25333333333299</v>
      </c>
      <c r="Q762">
        <v>698.20666666666602</v>
      </c>
      <c r="R762">
        <v>649.54999999999995</v>
      </c>
      <c r="S762">
        <v>681.06666666666604</v>
      </c>
      <c r="T762">
        <v>660.82666666666603</v>
      </c>
      <c r="U762">
        <v>650.14</v>
      </c>
      <c r="V762">
        <v>642.52</v>
      </c>
      <c r="W762">
        <v>701.71</v>
      </c>
      <c r="X762">
        <v>675.02999999999895</v>
      </c>
      <c r="Y762">
        <v>684.993333333333</v>
      </c>
      <c r="Z762">
        <v>683.24666666666599</v>
      </c>
      <c r="AA762">
        <v>678.26</v>
      </c>
      <c r="AB762">
        <v>678.26</v>
      </c>
      <c r="AC762">
        <v>723.79</v>
      </c>
      <c r="AD762">
        <v>692.56666666666604</v>
      </c>
      <c r="AE762">
        <v>712.17333333333295</v>
      </c>
      <c r="AF762">
        <v>703.43666666666604</v>
      </c>
      <c r="AG762">
        <v>697.75</v>
      </c>
      <c r="AH762">
        <v>695.06333333333305</v>
      </c>
      <c r="AI762">
        <v>722.31666666666604</v>
      </c>
      <c r="AJ762">
        <v>694.33333333333303</v>
      </c>
      <c r="AK762">
        <v>711.95666666666602</v>
      </c>
      <c r="AL762">
        <v>699.44</v>
      </c>
      <c r="AM762">
        <v>693.68</v>
      </c>
      <c r="AN762">
        <v>689.25333333333299</v>
      </c>
      <c r="AO762">
        <v>712.08999999999901</v>
      </c>
      <c r="AP762">
        <v>652.38</v>
      </c>
      <c r="AQ762">
        <v>693.59</v>
      </c>
      <c r="AR762">
        <v>664.76333333333298</v>
      </c>
      <c r="AS762">
        <v>651.02999999999895</v>
      </c>
      <c r="AT762">
        <v>641.52666666666596</v>
      </c>
      <c r="AU762">
        <v>726.83666666666602</v>
      </c>
      <c r="AV762">
        <v>682.45666666666602</v>
      </c>
      <c r="AW762">
        <v>711.64</v>
      </c>
      <c r="AX762">
        <v>692.82333333333304</v>
      </c>
      <c r="AY762">
        <v>682.93999999999903</v>
      </c>
      <c r="AZ762">
        <v>676.30666666666605</v>
      </c>
      <c r="BA762">
        <v>715.81666666666604</v>
      </c>
      <c r="BB762">
        <v>670.44333333333304</v>
      </c>
      <c r="BC762">
        <v>700.16666666666595</v>
      </c>
      <c r="BD762">
        <v>680.50666666666598</v>
      </c>
      <c r="BE762">
        <v>670.55333333333294</v>
      </c>
      <c r="BF762">
        <v>663.13</v>
      </c>
      <c r="BG762" s="14"/>
      <c r="BH762" s="14"/>
      <c r="BI762" s="14"/>
      <c r="BJ762" s="199"/>
      <c r="BK762" s="14"/>
      <c r="BL762" s="14"/>
      <c r="BM762" s="14"/>
      <c r="BN762" s="14"/>
      <c r="BO762" s="14"/>
      <c r="BP762" s="14"/>
      <c r="BQ762" s="14"/>
      <c r="BR762" s="14"/>
      <c r="BS762" s="14"/>
      <c r="BT762" s="14"/>
      <c r="BU762" s="14"/>
      <c r="BV762" s="14"/>
      <c r="BW762" s="14"/>
      <c r="BX762" s="14"/>
      <c r="BY762" s="170"/>
    </row>
    <row r="763" spans="9:77" x14ac:dyDescent="0.25">
      <c r="I763">
        <v>7260</v>
      </c>
      <c r="J763" s="1" t="s">
        <v>937</v>
      </c>
      <c r="K763">
        <v>678.93</v>
      </c>
      <c r="L763">
        <v>648.25333333333299</v>
      </c>
      <c r="M763">
        <v>667.85</v>
      </c>
      <c r="N763">
        <v>653.85333333333301</v>
      </c>
      <c r="O763">
        <v>647.66666666666595</v>
      </c>
      <c r="P763">
        <v>643.13333333333298</v>
      </c>
      <c r="Q763">
        <v>659.243333333333</v>
      </c>
      <c r="R763">
        <v>607.99666666666599</v>
      </c>
      <c r="S763">
        <v>642.65333333333297</v>
      </c>
      <c r="T763">
        <v>619.743333333333</v>
      </c>
      <c r="U763">
        <v>607.99666666666599</v>
      </c>
      <c r="V763">
        <v>598.95666666666602</v>
      </c>
      <c r="W763">
        <v>662.69666666666603</v>
      </c>
      <c r="X763">
        <v>635.49666666666599</v>
      </c>
      <c r="Y763">
        <v>646.09666666666601</v>
      </c>
      <c r="Z763">
        <v>644.20666666666602</v>
      </c>
      <c r="AA763">
        <v>638.88</v>
      </c>
      <c r="AB763">
        <v>638.88</v>
      </c>
      <c r="AC763">
        <v>681.57333333333304</v>
      </c>
      <c r="AD763">
        <v>647.26666666666597</v>
      </c>
      <c r="AE763">
        <v>669.14666666666596</v>
      </c>
      <c r="AF763">
        <v>659.09666666666601</v>
      </c>
      <c r="AG763">
        <v>652.91999999999996</v>
      </c>
      <c r="AH763">
        <v>649.986666666666</v>
      </c>
      <c r="AI763">
        <v>678.93</v>
      </c>
      <c r="AJ763">
        <v>648.25333333333299</v>
      </c>
      <c r="AK763">
        <v>667.85</v>
      </c>
      <c r="AL763">
        <v>653.85333333333301</v>
      </c>
      <c r="AM763">
        <v>647.66666666666595</v>
      </c>
      <c r="AN763">
        <v>643.13333333333298</v>
      </c>
      <c r="AO763">
        <v>673.57333333333304</v>
      </c>
      <c r="AP763">
        <v>610.13</v>
      </c>
      <c r="AQ763">
        <v>655.36666666666599</v>
      </c>
      <c r="AR763">
        <v>624.64666666666596</v>
      </c>
      <c r="AS763">
        <v>608.22666666666601</v>
      </c>
      <c r="AT763">
        <v>596.11666666666599</v>
      </c>
      <c r="AU763">
        <v>687.08333333333303</v>
      </c>
      <c r="AV763">
        <v>637.63666666666597</v>
      </c>
      <c r="AW763">
        <v>671.45</v>
      </c>
      <c r="AX763">
        <v>649.54666666666606</v>
      </c>
      <c r="AY763">
        <v>638.25666666666598</v>
      </c>
      <c r="AZ763">
        <v>630.25</v>
      </c>
      <c r="BA763">
        <v>678.81333333333305</v>
      </c>
      <c r="BB763">
        <v>627.95666666666602</v>
      </c>
      <c r="BC763">
        <v>662.25666666666598</v>
      </c>
      <c r="BD763">
        <v>639.62666666666598</v>
      </c>
      <c r="BE763">
        <v>627.83333333333303</v>
      </c>
      <c r="BF763">
        <v>619.40666666666596</v>
      </c>
      <c r="BG763" s="14"/>
      <c r="BH763" s="14"/>
      <c r="BI763" s="14"/>
      <c r="BJ763" s="199"/>
      <c r="BK763" s="14"/>
      <c r="BL763" s="14"/>
      <c r="BM763" s="14"/>
      <c r="BN763" s="14"/>
      <c r="BO763" s="14"/>
      <c r="BP763" s="14"/>
      <c r="BQ763" s="14"/>
      <c r="BR763" s="14"/>
      <c r="BS763" s="14"/>
      <c r="BT763" s="14"/>
      <c r="BU763" s="14"/>
      <c r="BV763" s="14"/>
      <c r="BW763" s="14"/>
      <c r="BX763" s="14"/>
      <c r="BY763" s="170"/>
    </row>
    <row r="764" spans="9:77" x14ac:dyDescent="0.25">
      <c r="I764">
        <v>7270</v>
      </c>
      <c r="J764" s="1" t="s">
        <v>938</v>
      </c>
      <c r="K764">
        <v>674.92</v>
      </c>
      <c r="L764">
        <v>644.243333333333</v>
      </c>
      <c r="M764">
        <v>663.84</v>
      </c>
      <c r="N764">
        <v>649.84333333333302</v>
      </c>
      <c r="O764">
        <v>643.65666666666596</v>
      </c>
      <c r="P764">
        <v>639.12333333333299</v>
      </c>
      <c r="Q764">
        <v>655.23333333333301</v>
      </c>
      <c r="R764">
        <v>603.986666666666</v>
      </c>
      <c r="S764">
        <v>638.64333333333298</v>
      </c>
      <c r="T764">
        <v>615.73333333333301</v>
      </c>
      <c r="U764">
        <v>603.986666666666</v>
      </c>
      <c r="V764">
        <v>594.94666666666603</v>
      </c>
      <c r="W764">
        <v>658.68666666666604</v>
      </c>
      <c r="X764">
        <v>631.486666666666</v>
      </c>
      <c r="Y764">
        <v>642.08666666666602</v>
      </c>
      <c r="Z764">
        <v>640.19666666666603</v>
      </c>
      <c r="AA764">
        <v>634.87</v>
      </c>
      <c r="AB764">
        <v>634.87</v>
      </c>
      <c r="AC764">
        <v>677.56333333333305</v>
      </c>
      <c r="AD764">
        <v>643.25666666666598</v>
      </c>
      <c r="AE764">
        <v>665.13666666666597</v>
      </c>
      <c r="AF764">
        <v>655.08666666666602</v>
      </c>
      <c r="AG764">
        <v>648.91</v>
      </c>
      <c r="AH764">
        <v>645.97666666666601</v>
      </c>
      <c r="AI764">
        <v>674.92</v>
      </c>
      <c r="AJ764">
        <v>644.243333333333</v>
      </c>
      <c r="AK764">
        <v>663.84</v>
      </c>
      <c r="AL764">
        <v>649.84333333333302</v>
      </c>
      <c r="AM764">
        <v>643.65666666666596</v>
      </c>
      <c r="AN764">
        <v>639.12333333333299</v>
      </c>
      <c r="AO764">
        <v>669.56333333333305</v>
      </c>
      <c r="AP764">
        <v>606.12</v>
      </c>
      <c r="AQ764">
        <v>651.356666666666</v>
      </c>
      <c r="AR764">
        <v>620.63666666666597</v>
      </c>
      <c r="AS764">
        <v>604.21666666666601</v>
      </c>
      <c r="AT764">
        <v>592.106666666666</v>
      </c>
      <c r="AU764">
        <v>683.07333333333304</v>
      </c>
      <c r="AV764">
        <v>633.62666666666598</v>
      </c>
      <c r="AW764">
        <v>667.44</v>
      </c>
      <c r="AX764">
        <v>645.53666666666595</v>
      </c>
      <c r="AY764">
        <v>634.24666666666599</v>
      </c>
      <c r="AZ764">
        <v>626.24</v>
      </c>
      <c r="BA764">
        <v>674.80333333333294</v>
      </c>
      <c r="BB764">
        <v>623.94666666666603</v>
      </c>
      <c r="BC764">
        <v>658.24666666666599</v>
      </c>
      <c r="BD764">
        <v>635.61666666666599</v>
      </c>
      <c r="BE764">
        <v>623.82333333333304</v>
      </c>
      <c r="BF764">
        <v>615.39666666666596</v>
      </c>
      <c r="BG764" s="14"/>
      <c r="BH764" s="14"/>
      <c r="BI764" s="14"/>
      <c r="BJ764" s="199"/>
      <c r="BK764" s="14"/>
      <c r="BL764" s="14"/>
      <c r="BM764" s="14"/>
      <c r="BN764" s="14"/>
      <c r="BO764" s="14"/>
      <c r="BP764" s="14"/>
      <c r="BQ764" s="14"/>
      <c r="BR764" s="14"/>
      <c r="BS764" s="14"/>
      <c r="BT764" s="14"/>
      <c r="BU764" s="14"/>
      <c r="BV764" s="14"/>
      <c r="BW764" s="14"/>
      <c r="BX764" s="14"/>
      <c r="BY764" s="170"/>
    </row>
    <row r="765" spans="9:77" x14ac:dyDescent="0.25">
      <c r="I765">
        <v>7280</v>
      </c>
      <c r="J765" s="1" t="s">
        <v>939</v>
      </c>
      <c r="K765">
        <v>674.92</v>
      </c>
      <c r="L765">
        <v>644.243333333333</v>
      </c>
      <c r="M765">
        <v>663.84</v>
      </c>
      <c r="N765">
        <v>649.84333333333302</v>
      </c>
      <c r="O765">
        <v>643.65666666666596</v>
      </c>
      <c r="P765">
        <v>639.12333333333299</v>
      </c>
      <c r="Q765">
        <v>655.23333333333301</v>
      </c>
      <c r="R765">
        <v>603.986666666666</v>
      </c>
      <c r="S765">
        <v>638.64333333333298</v>
      </c>
      <c r="T765">
        <v>615.73333333333301</v>
      </c>
      <c r="U765">
        <v>603.986666666666</v>
      </c>
      <c r="V765">
        <v>594.94666666666603</v>
      </c>
      <c r="W765">
        <v>658.68666666666604</v>
      </c>
      <c r="X765">
        <v>631.486666666666</v>
      </c>
      <c r="Y765">
        <v>642.08666666666602</v>
      </c>
      <c r="Z765">
        <v>640.19666666666603</v>
      </c>
      <c r="AA765">
        <v>634.87</v>
      </c>
      <c r="AB765">
        <v>634.87</v>
      </c>
      <c r="AC765">
        <v>677.56333333333305</v>
      </c>
      <c r="AD765">
        <v>643.25666666666598</v>
      </c>
      <c r="AE765">
        <v>665.13666666666597</v>
      </c>
      <c r="AF765">
        <v>655.08666666666602</v>
      </c>
      <c r="AG765">
        <v>648.91</v>
      </c>
      <c r="AH765">
        <v>645.97666666666601</v>
      </c>
      <c r="AI765">
        <v>674.92</v>
      </c>
      <c r="AJ765">
        <v>644.243333333333</v>
      </c>
      <c r="AK765">
        <v>663.84</v>
      </c>
      <c r="AL765">
        <v>649.84333333333302</v>
      </c>
      <c r="AM765">
        <v>643.65666666666596</v>
      </c>
      <c r="AN765">
        <v>639.12333333333299</v>
      </c>
      <c r="AO765">
        <v>669.56333333333305</v>
      </c>
      <c r="AP765">
        <v>606.12</v>
      </c>
      <c r="AQ765">
        <v>651.356666666666</v>
      </c>
      <c r="AR765">
        <v>620.63666666666597</v>
      </c>
      <c r="AS765">
        <v>604.21666666666601</v>
      </c>
      <c r="AT765">
        <v>592.106666666666</v>
      </c>
      <c r="AU765">
        <v>683.07333333333304</v>
      </c>
      <c r="AV765">
        <v>633.62666666666598</v>
      </c>
      <c r="AW765">
        <v>667.44</v>
      </c>
      <c r="AX765">
        <v>645.53666666666595</v>
      </c>
      <c r="AY765">
        <v>634.24666666666599</v>
      </c>
      <c r="AZ765">
        <v>626.24</v>
      </c>
      <c r="BA765">
        <v>674.80333333333294</v>
      </c>
      <c r="BB765">
        <v>623.94666666666603</v>
      </c>
      <c r="BC765">
        <v>658.24666666666599</v>
      </c>
      <c r="BD765">
        <v>635.61666666666599</v>
      </c>
      <c r="BE765">
        <v>623.82333333333304</v>
      </c>
      <c r="BF765">
        <v>615.39666666666596</v>
      </c>
      <c r="BG765" s="14"/>
      <c r="BH765" s="14"/>
      <c r="BI765" s="14"/>
      <c r="BJ765" s="199"/>
      <c r="BK765" s="14"/>
      <c r="BL765" s="14"/>
      <c r="BM765" s="14"/>
      <c r="BN765" s="14"/>
      <c r="BO765" s="14"/>
      <c r="BP765" s="14"/>
      <c r="BQ765" s="14"/>
      <c r="BR765" s="14"/>
      <c r="BS765" s="14"/>
      <c r="BT765" s="14"/>
      <c r="BU765" s="14"/>
      <c r="BV765" s="14"/>
      <c r="BW765" s="14"/>
      <c r="BX765" s="14"/>
      <c r="BY765" s="170"/>
    </row>
    <row r="766" spans="9:77" x14ac:dyDescent="0.25">
      <c r="I766">
        <v>7300</v>
      </c>
      <c r="J766" s="1" t="s">
        <v>940</v>
      </c>
      <c r="K766">
        <v>610.47666666666601</v>
      </c>
      <c r="L766">
        <v>582.493333333333</v>
      </c>
      <c r="M766">
        <v>600.11666666666599</v>
      </c>
      <c r="N766">
        <v>587.599999999999</v>
      </c>
      <c r="O766">
        <v>581.83999999999901</v>
      </c>
      <c r="P766">
        <v>577.41333333333296</v>
      </c>
      <c r="Q766">
        <v>586.36666666666599</v>
      </c>
      <c r="R766">
        <v>537.71</v>
      </c>
      <c r="S766">
        <v>569.22666666666601</v>
      </c>
      <c r="T766">
        <v>548.986666666666</v>
      </c>
      <c r="U766">
        <v>538.29999999999905</v>
      </c>
      <c r="V766">
        <v>530.67999999999904</v>
      </c>
      <c r="W766">
        <v>589.86999999999898</v>
      </c>
      <c r="X766">
        <v>563.18999999999903</v>
      </c>
      <c r="Y766">
        <v>573.15333333333297</v>
      </c>
      <c r="Z766">
        <v>571.40666666666596</v>
      </c>
      <c r="AA766">
        <v>566.41999999999905</v>
      </c>
      <c r="AB766">
        <v>566.41999999999905</v>
      </c>
      <c r="AC766">
        <v>611.94999999999902</v>
      </c>
      <c r="AD766">
        <v>580.72666666666601</v>
      </c>
      <c r="AE766">
        <v>600.33333333333303</v>
      </c>
      <c r="AF766">
        <v>591.59666666666601</v>
      </c>
      <c r="AG766">
        <v>585.90999999999894</v>
      </c>
      <c r="AH766">
        <v>583.22333333333302</v>
      </c>
      <c r="AI766">
        <v>610.47666666666601</v>
      </c>
      <c r="AJ766">
        <v>582.493333333333</v>
      </c>
      <c r="AK766">
        <v>600.11666666666599</v>
      </c>
      <c r="AL766">
        <v>587.599999999999</v>
      </c>
      <c r="AM766">
        <v>581.83999999999901</v>
      </c>
      <c r="AN766">
        <v>577.41333333333296</v>
      </c>
      <c r="AO766">
        <v>600.24999999999898</v>
      </c>
      <c r="AP766">
        <v>540.53999999999905</v>
      </c>
      <c r="AQ766">
        <v>581.74999999999898</v>
      </c>
      <c r="AR766">
        <v>552.92333333333295</v>
      </c>
      <c r="AS766">
        <v>539.18999999999903</v>
      </c>
      <c r="AT766">
        <v>529.68666666666604</v>
      </c>
      <c r="AU766">
        <v>614.99666666666599</v>
      </c>
      <c r="AV766">
        <v>570.61666666666599</v>
      </c>
      <c r="AW766">
        <v>599.79999999999905</v>
      </c>
      <c r="AX766">
        <v>580.98333333333301</v>
      </c>
      <c r="AY766">
        <v>571.099999999999</v>
      </c>
      <c r="AZ766">
        <v>564.46666666666601</v>
      </c>
      <c r="BA766">
        <v>603.97666666666601</v>
      </c>
      <c r="BB766">
        <v>558.60333333333301</v>
      </c>
      <c r="BC766">
        <v>588.32666666666603</v>
      </c>
      <c r="BD766">
        <v>568.66666666666595</v>
      </c>
      <c r="BE766">
        <v>558.71333333333303</v>
      </c>
      <c r="BF766">
        <v>551.28999999999905</v>
      </c>
      <c r="BG766" s="14"/>
      <c r="BH766" s="14"/>
      <c r="BI766" s="14"/>
      <c r="BJ766" s="199"/>
      <c r="BK766" s="14"/>
      <c r="BL766" s="14"/>
      <c r="BM766" s="14"/>
      <c r="BN766" s="14"/>
      <c r="BO766" s="14"/>
      <c r="BP766" s="14"/>
      <c r="BQ766" s="14"/>
      <c r="BR766" s="14"/>
      <c r="BS766" s="14"/>
      <c r="BT766" s="14"/>
      <c r="BU766" s="14"/>
      <c r="BV766" s="14"/>
      <c r="BW766" s="14"/>
      <c r="BX766" s="14"/>
      <c r="BY766" s="170"/>
    </row>
    <row r="767" spans="9:77" x14ac:dyDescent="0.25">
      <c r="I767">
        <v>7321</v>
      </c>
      <c r="J767" s="1" t="s">
        <v>941</v>
      </c>
      <c r="K767">
        <v>666.486666666666</v>
      </c>
      <c r="L767">
        <v>638.50333333333299</v>
      </c>
      <c r="M767">
        <v>656.12666666666598</v>
      </c>
      <c r="N767">
        <v>643.60999999999899</v>
      </c>
      <c r="O767">
        <v>637.849999999999</v>
      </c>
      <c r="P767">
        <v>633.42333333333295</v>
      </c>
      <c r="Q767">
        <v>642.37666666666598</v>
      </c>
      <c r="R767">
        <v>593.72</v>
      </c>
      <c r="S767">
        <v>625.236666666666</v>
      </c>
      <c r="T767">
        <v>604.99666666666599</v>
      </c>
      <c r="U767">
        <v>594.30999999999904</v>
      </c>
      <c r="V767">
        <v>586.68999999999903</v>
      </c>
      <c r="W767">
        <v>645.87999999999897</v>
      </c>
      <c r="X767">
        <v>619.19999999999902</v>
      </c>
      <c r="Y767">
        <v>629.16333333333296</v>
      </c>
      <c r="Z767">
        <v>627.41666666666595</v>
      </c>
      <c r="AA767">
        <v>622.42999999999904</v>
      </c>
      <c r="AB767">
        <v>622.42999999999904</v>
      </c>
      <c r="AC767">
        <v>667.95999999999901</v>
      </c>
      <c r="AD767">
        <v>636.736666666666</v>
      </c>
      <c r="AE767">
        <v>656.34333333333302</v>
      </c>
      <c r="AF767">
        <v>647.606666666666</v>
      </c>
      <c r="AG767">
        <v>641.91999999999905</v>
      </c>
      <c r="AH767">
        <v>639.23333333333301</v>
      </c>
      <c r="AI767">
        <v>666.486666666666</v>
      </c>
      <c r="AJ767">
        <v>638.50333333333299</v>
      </c>
      <c r="AK767">
        <v>656.12666666666598</v>
      </c>
      <c r="AL767">
        <v>643.60999999999899</v>
      </c>
      <c r="AM767">
        <v>637.849999999999</v>
      </c>
      <c r="AN767">
        <v>633.42333333333295</v>
      </c>
      <c r="AO767">
        <v>656.25999999999897</v>
      </c>
      <c r="AP767">
        <v>596.54999999999905</v>
      </c>
      <c r="AQ767">
        <v>637.75999999999897</v>
      </c>
      <c r="AR767">
        <v>608.93333333333305</v>
      </c>
      <c r="AS767">
        <v>595.19999999999902</v>
      </c>
      <c r="AT767">
        <v>585.69666666666603</v>
      </c>
      <c r="AU767">
        <v>671.00666666666598</v>
      </c>
      <c r="AV767">
        <v>626.62666666666598</v>
      </c>
      <c r="AW767">
        <v>655.80999999999904</v>
      </c>
      <c r="AX767">
        <v>636.993333333333</v>
      </c>
      <c r="AY767">
        <v>627.10999999999899</v>
      </c>
      <c r="AZ767">
        <v>620.47666666666601</v>
      </c>
      <c r="BA767">
        <v>659.986666666666</v>
      </c>
      <c r="BB767">
        <v>614.613333333333</v>
      </c>
      <c r="BC767">
        <v>644.33666666666602</v>
      </c>
      <c r="BD767">
        <v>624.67666666666605</v>
      </c>
      <c r="BE767">
        <v>614.72333333333302</v>
      </c>
      <c r="BF767">
        <v>607.29999999999905</v>
      </c>
      <c r="BG767" s="14"/>
      <c r="BH767" s="14"/>
      <c r="BI767" s="14"/>
      <c r="BJ767" s="199"/>
      <c r="BK767" s="14"/>
      <c r="BL767" s="14"/>
      <c r="BM767" s="14"/>
      <c r="BN767" s="14"/>
      <c r="BO767" s="14"/>
      <c r="BP767" s="14"/>
      <c r="BQ767" s="14"/>
      <c r="BR767" s="14"/>
      <c r="BS767" s="14"/>
      <c r="BT767" s="14"/>
      <c r="BU767" s="14"/>
      <c r="BV767" s="14"/>
      <c r="BW767" s="14"/>
      <c r="BX767" s="14"/>
      <c r="BY767" s="170"/>
    </row>
    <row r="768" spans="9:77" x14ac:dyDescent="0.25">
      <c r="I768">
        <v>7323</v>
      </c>
      <c r="J768" s="1" t="s">
        <v>942</v>
      </c>
      <c r="K768">
        <v>658.45666666666602</v>
      </c>
      <c r="L768">
        <v>630.47333333333302</v>
      </c>
      <c r="M768">
        <v>648.09666666666703</v>
      </c>
      <c r="N768">
        <v>635.58000000000004</v>
      </c>
      <c r="O768">
        <v>629.82000000000005</v>
      </c>
      <c r="P768">
        <v>625.39333333333298</v>
      </c>
      <c r="Q768">
        <v>634.34666666666601</v>
      </c>
      <c r="R768">
        <v>585.69000000000005</v>
      </c>
      <c r="S768">
        <v>617.20666666666602</v>
      </c>
      <c r="T768">
        <v>596.96666666666601</v>
      </c>
      <c r="U768">
        <v>586.28</v>
      </c>
      <c r="V768">
        <v>578.66</v>
      </c>
      <c r="W768">
        <v>637.85</v>
      </c>
      <c r="X768">
        <v>611.16999999999996</v>
      </c>
      <c r="Y768">
        <v>621.13333333333298</v>
      </c>
      <c r="Z768">
        <v>619.38666666666597</v>
      </c>
      <c r="AA768">
        <v>614.4</v>
      </c>
      <c r="AB768">
        <v>614.4</v>
      </c>
      <c r="AC768">
        <v>659.93</v>
      </c>
      <c r="AD768">
        <v>628.70666666666602</v>
      </c>
      <c r="AE768">
        <v>648.31333333333305</v>
      </c>
      <c r="AF768">
        <v>639.57666666666603</v>
      </c>
      <c r="AG768">
        <v>633.89</v>
      </c>
      <c r="AH768">
        <v>631.20333333333303</v>
      </c>
      <c r="AI768">
        <v>658.45666666666602</v>
      </c>
      <c r="AJ768">
        <v>630.47333333333302</v>
      </c>
      <c r="AK768">
        <v>648.09666666666703</v>
      </c>
      <c r="AL768">
        <v>635.58000000000004</v>
      </c>
      <c r="AM768">
        <v>629.82000000000005</v>
      </c>
      <c r="AN768">
        <v>625.39333333333298</v>
      </c>
      <c r="AO768">
        <v>648.23</v>
      </c>
      <c r="AP768">
        <v>588.52</v>
      </c>
      <c r="AQ768">
        <v>629.73</v>
      </c>
      <c r="AR768">
        <v>600.90333333333297</v>
      </c>
      <c r="AS768">
        <v>587.16999999999996</v>
      </c>
      <c r="AT768">
        <v>577.66666666666595</v>
      </c>
      <c r="AU768">
        <v>662.97666666666601</v>
      </c>
      <c r="AV768">
        <v>618.59666666666601</v>
      </c>
      <c r="AW768">
        <v>647.78</v>
      </c>
      <c r="AX768">
        <v>628.96333333333303</v>
      </c>
      <c r="AY768">
        <v>619.08000000000004</v>
      </c>
      <c r="AZ768">
        <v>612.44666666666603</v>
      </c>
      <c r="BA768">
        <v>651.95666666666602</v>
      </c>
      <c r="BB768">
        <v>606.58333333333303</v>
      </c>
      <c r="BC768">
        <v>636.30666666666605</v>
      </c>
      <c r="BD768">
        <v>616.64666666666596</v>
      </c>
      <c r="BE768">
        <v>606.69333333333304</v>
      </c>
      <c r="BF768">
        <v>599.27</v>
      </c>
      <c r="BG768" s="14"/>
      <c r="BH768" s="14"/>
      <c r="BI768" s="14"/>
      <c r="BJ768" s="199"/>
      <c r="BK768" s="14"/>
      <c r="BL768" s="14"/>
      <c r="BM768" s="14"/>
      <c r="BN768" s="14"/>
      <c r="BO768" s="14"/>
      <c r="BP768" s="14"/>
      <c r="BQ768" s="14"/>
      <c r="BR768" s="14"/>
      <c r="BS768" s="14"/>
      <c r="BT768" s="14"/>
      <c r="BU768" s="14"/>
      <c r="BV768" s="14"/>
      <c r="BW768" s="14"/>
      <c r="BX768" s="14"/>
      <c r="BY768" s="170"/>
    </row>
    <row r="769" spans="9:77" x14ac:dyDescent="0.25">
      <c r="I769">
        <v>7330</v>
      </c>
      <c r="J769" s="1" t="s">
        <v>943</v>
      </c>
      <c r="K769">
        <v>658.68</v>
      </c>
      <c r="L769">
        <v>628.00333333333299</v>
      </c>
      <c r="M769">
        <v>647.6</v>
      </c>
      <c r="N769">
        <v>633.60333333333301</v>
      </c>
      <c r="O769">
        <v>627.41666666666595</v>
      </c>
      <c r="P769">
        <v>622.88333333333298</v>
      </c>
      <c r="Q769">
        <v>638.993333333333</v>
      </c>
      <c r="R769">
        <v>587.74666666666599</v>
      </c>
      <c r="S769">
        <v>622.40333333333297</v>
      </c>
      <c r="T769">
        <v>599.493333333333</v>
      </c>
      <c r="U769">
        <v>587.74666666666599</v>
      </c>
      <c r="V769">
        <v>578.70666666666602</v>
      </c>
      <c r="W769">
        <v>642.44666666666603</v>
      </c>
      <c r="X769">
        <v>615.24666666666599</v>
      </c>
      <c r="Y769">
        <v>625.84666666666601</v>
      </c>
      <c r="Z769">
        <v>623.95666666666602</v>
      </c>
      <c r="AA769">
        <v>618.63</v>
      </c>
      <c r="AB769">
        <v>618.63</v>
      </c>
      <c r="AC769">
        <v>661.32333333333304</v>
      </c>
      <c r="AD769">
        <v>627.01666666666597</v>
      </c>
      <c r="AE769">
        <v>648.89666666666596</v>
      </c>
      <c r="AF769">
        <v>638.84666666666601</v>
      </c>
      <c r="AG769">
        <v>632.66999999999996</v>
      </c>
      <c r="AH769">
        <v>629.736666666666</v>
      </c>
      <c r="AI769">
        <v>658.68</v>
      </c>
      <c r="AJ769">
        <v>628.00333333333299</v>
      </c>
      <c r="AK769">
        <v>647.6</v>
      </c>
      <c r="AL769">
        <v>633.60333333333301</v>
      </c>
      <c r="AM769">
        <v>627.41666666666595</v>
      </c>
      <c r="AN769">
        <v>622.88333333333298</v>
      </c>
      <c r="AO769">
        <v>653.32333333333304</v>
      </c>
      <c r="AP769">
        <v>589.88</v>
      </c>
      <c r="AQ769">
        <v>635.11666666666599</v>
      </c>
      <c r="AR769">
        <v>604.39666666666596</v>
      </c>
      <c r="AS769">
        <v>587.97666666666601</v>
      </c>
      <c r="AT769">
        <v>575.86666666666599</v>
      </c>
      <c r="AU769">
        <v>666.83333333333303</v>
      </c>
      <c r="AV769">
        <v>617.38666666666597</v>
      </c>
      <c r="AW769">
        <v>651.20000000000005</v>
      </c>
      <c r="AX769">
        <v>629.29666666666606</v>
      </c>
      <c r="AY769">
        <v>618.00666666666598</v>
      </c>
      <c r="AZ769">
        <v>610</v>
      </c>
      <c r="BA769">
        <v>658.56333333333305</v>
      </c>
      <c r="BB769">
        <v>607.70666666666602</v>
      </c>
      <c r="BC769">
        <v>642.00666666666598</v>
      </c>
      <c r="BD769">
        <v>619.37666666666598</v>
      </c>
      <c r="BE769">
        <v>607.58333333333303</v>
      </c>
      <c r="BF769">
        <v>599.15666666666596</v>
      </c>
      <c r="BG769" s="14"/>
      <c r="BH769" s="14"/>
      <c r="BI769" s="14"/>
      <c r="BJ769" s="199"/>
      <c r="BK769" s="14"/>
      <c r="BL769" s="14"/>
      <c r="BM769" s="14"/>
      <c r="BN769" s="14"/>
      <c r="BO769" s="14"/>
      <c r="BP769" s="14"/>
      <c r="BQ769" s="14"/>
      <c r="BR769" s="14"/>
      <c r="BS769" s="14"/>
      <c r="BT769" s="14"/>
      <c r="BU769" s="14"/>
      <c r="BV769" s="14"/>
      <c r="BW769" s="14"/>
      <c r="BX769" s="14"/>
      <c r="BY769" s="170"/>
    </row>
    <row r="770" spans="9:77" x14ac:dyDescent="0.25">
      <c r="I770">
        <v>7361</v>
      </c>
      <c r="J770" s="1" t="s">
        <v>944</v>
      </c>
      <c r="K770">
        <v>618.08000000000004</v>
      </c>
      <c r="L770">
        <v>587.40333333333297</v>
      </c>
      <c r="M770">
        <v>607</v>
      </c>
      <c r="N770">
        <v>593.00333333333299</v>
      </c>
      <c r="O770">
        <v>586.81666666666604</v>
      </c>
      <c r="P770">
        <v>582.28333333333296</v>
      </c>
      <c r="Q770">
        <v>598.39333333333298</v>
      </c>
      <c r="R770">
        <v>547.14666666666596</v>
      </c>
      <c r="S770">
        <v>581.80333333333294</v>
      </c>
      <c r="T770">
        <v>558.89333333333298</v>
      </c>
      <c r="U770">
        <v>547.14666666666596</v>
      </c>
      <c r="V770">
        <v>538.106666666666</v>
      </c>
      <c r="W770">
        <v>601.84666666666601</v>
      </c>
      <c r="X770">
        <v>574.64666666666596</v>
      </c>
      <c r="Y770">
        <v>585.24666666666599</v>
      </c>
      <c r="Z770">
        <v>583.356666666666</v>
      </c>
      <c r="AA770">
        <v>578.03</v>
      </c>
      <c r="AB770">
        <v>578.03</v>
      </c>
      <c r="AC770">
        <v>620.72333333333302</v>
      </c>
      <c r="AD770">
        <v>586.41666666666595</v>
      </c>
      <c r="AE770">
        <v>608.29666666666606</v>
      </c>
      <c r="AF770">
        <v>598.24666666666599</v>
      </c>
      <c r="AG770">
        <v>592.07000000000005</v>
      </c>
      <c r="AH770">
        <v>589.13666666666597</v>
      </c>
      <c r="AI770">
        <v>618.08000000000004</v>
      </c>
      <c r="AJ770">
        <v>587.40333333333297</v>
      </c>
      <c r="AK770">
        <v>607</v>
      </c>
      <c r="AL770">
        <v>593.00333333333299</v>
      </c>
      <c r="AM770">
        <v>586.81666666666604</v>
      </c>
      <c r="AN770">
        <v>582.28333333333296</v>
      </c>
      <c r="AO770">
        <v>612.72333333333302</v>
      </c>
      <c r="AP770">
        <v>549.28</v>
      </c>
      <c r="AQ770">
        <v>594.51666666666597</v>
      </c>
      <c r="AR770">
        <v>563.79666666666606</v>
      </c>
      <c r="AS770">
        <v>547.37666666666598</v>
      </c>
      <c r="AT770">
        <v>535.26666666666597</v>
      </c>
      <c r="AU770">
        <v>626.23333333333301</v>
      </c>
      <c r="AV770">
        <v>576.78666666666595</v>
      </c>
      <c r="AW770">
        <v>610.6</v>
      </c>
      <c r="AX770">
        <v>588.69666666666603</v>
      </c>
      <c r="AY770">
        <v>577.40666666666596</v>
      </c>
      <c r="AZ770">
        <v>569.4</v>
      </c>
      <c r="BA770">
        <v>617.96333333333303</v>
      </c>
      <c r="BB770">
        <v>567.106666666666</v>
      </c>
      <c r="BC770">
        <v>601.40666666666596</v>
      </c>
      <c r="BD770">
        <v>578.77666666666596</v>
      </c>
      <c r="BE770">
        <v>566.98333333333301</v>
      </c>
      <c r="BF770">
        <v>558.55666666666605</v>
      </c>
      <c r="BG770" s="14"/>
      <c r="BH770" s="14"/>
      <c r="BI770" s="14"/>
      <c r="BJ770" s="199"/>
      <c r="BK770" s="14"/>
      <c r="BL770" s="14"/>
      <c r="BM770" s="14"/>
      <c r="BN770" s="14"/>
      <c r="BO770" s="14"/>
      <c r="BP770" s="14"/>
      <c r="BQ770" s="14"/>
      <c r="BR770" s="14"/>
      <c r="BS770" s="14"/>
      <c r="BT770" s="14"/>
      <c r="BU770" s="14"/>
      <c r="BV770" s="14"/>
      <c r="BW770" s="14"/>
      <c r="BX770" s="14"/>
      <c r="BY770" s="170"/>
    </row>
    <row r="771" spans="9:77" x14ac:dyDescent="0.25">
      <c r="I771">
        <v>7362</v>
      </c>
      <c r="J771" s="1" t="s">
        <v>945</v>
      </c>
      <c r="K771">
        <v>616.77</v>
      </c>
      <c r="L771">
        <v>583.16666666666595</v>
      </c>
      <c r="M771">
        <v>604.64</v>
      </c>
      <c r="N771">
        <v>589.26333333333298</v>
      </c>
      <c r="O771">
        <v>582.53</v>
      </c>
      <c r="P771">
        <v>577.25333333333299</v>
      </c>
      <c r="Q771">
        <v>600.14333333333298</v>
      </c>
      <c r="R771">
        <v>545.68666666666604</v>
      </c>
      <c r="S771">
        <v>583.19000000000005</v>
      </c>
      <c r="T771">
        <v>558.16666666666595</v>
      </c>
      <c r="U771">
        <v>545.28666666666595</v>
      </c>
      <c r="V771">
        <v>534.79</v>
      </c>
      <c r="W771">
        <v>602.79333333333295</v>
      </c>
      <c r="X771">
        <v>575.50666666666598</v>
      </c>
      <c r="Y771">
        <v>586.36666666666599</v>
      </c>
      <c r="Z771">
        <v>584.44000000000005</v>
      </c>
      <c r="AA771">
        <v>578.97666666666601</v>
      </c>
      <c r="AB771">
        <v>578.97666666666601</v>
      </c>
      <c r="AC771">
        <v>617.48</v>
      </c>
      <c r="AD771">
        <v>580.19333333333304</v>
      </c>
      <c r="AE771">
        <v>604.21</v>
      </c>
      <c r="AF771">
        <v>593.49</v>
      </c>
      <c r="AG771">
        <v>586.76333333333298</v>
      </c>
      <c r="AH771">
        <v>583.47666666666601</v>
      </c>
      <c r="AI771">
        <v>616.77</v>
      </c>
      <c r="AJ771">
        <v>583.16666666666595</v>
      </c>
      <c r="AK771">
        <v>604.64</v>
      </c>
      <c r="AL771">
        <v>589.26333333333298</v>
      </c>
      <c r="AM771">
        <v>582.53</v>
      </c>
      <c r="AN771">
        <v>577.25333333333299</v>
      </c>
      <c r="AO771">
        <v>612.82333333333304</v>
      </c>
      <c r="AP771">
        <v>547.90333333333297</v>
      </c>
      <c r="AQ771">
        <v>594.37333333333299</v>
      </c>
      <c r="AR771">
        <v>563.06666666666604</v>
      </c>
      <c r="AS771">
        <v>545.44666666666603</v>
      </c>
      <c r="AT771">
        <v>531.08333333333303</v>
      </c>
      <c r="AU771">
        <v>625.18666666666604</v>
      </c>
      <c r="AV771">
        <v>573.76666666666597</v>
      </c>
      <c r="AW771">
        <v>609.06333333333305</v>
      </c>
      <c r="AX771">
        <v>585.69000000000005</v>
      </c>
      <c r="AY771">
        <v>573.41666666666595</v>
      </c>
      <c r="AZ771">
        <v>564.31333333333305</v>
      </c>
      <c r="BA771">
        <v>614.55999999999995</v>
      </c>
      <c r="BB771">
        <v>562.9</v>
      </c>
      <c r="BC771">
        <v>598.606666666666</v>
      </c>
      <c r="BD771">
        <v>574.69666666666603</v>
      </c>
      <c r="BE771">
        <v>562.21666666666601</v>
      </c>
      <c r="BF771">
        <v>552.72</v>
      </c>
      <c r="BG771" s="14"/>
      <c r="BH771" s="14"/>
      <c r="BI771" s="14"/>
      <c r="BJ771" s="199"/>
      <c r="BK771" s="14"/>
      <c r="BL771" s="14"/>
      <c r="BM771" s="14"/>
      <c r="BN771" s="14"/>
      <c r="BO771" s="14"/>
      <c r="BP771" s="14"/>
      <c r="BQ771" s="14"/>
      <c r="BR771" s="14"/>
      <c r="BS771" s="14"/>
      <c r="BT771" s="14"/>
      <c r="BU771" s="14"/>
      <c r="BV771" s="14"/>
      <c r="BW771" s="14"/>
      <c r="BX771" s="14"/>
      <c r="BY771" s="170"/>
    </row>
    <row r="772" spans="9:77" x14ac:dyDescent="0.25">
      <c r="I772">
        <v>7400</v>
      </c>
      <c r="J772" s="1" t="s">
        <v>946</v>
      </c>
      <c r="K772">
        <v>573.59</v>
      </c>
      <c r="L772">
        <v>542.91333333333296</v>
      </c>
      <c r="M772">
        <v>562.51</v>
      </c>
      <c r="N772">
        <v>548.51333333333298</v>
      </c>
      <c r="O772">
        <v>542.32666666666603</v>
      </c>
      <c r="P772">
        <v>537.79333333333295</v>
      </c>
      <c r="Q772">
        <v>553.90333333333297</v>
      </c>
      <c r="R772">
        <v>502.65666666666601</v>
      </c>
      <c r="S772">
        <v>537.31333333333305</v>
      </c>
      <c r="T772">
        <v>514.40333333333297</v>
      </c>
      <c r="U772">
        <v>502.65666666666601</v>
      </c>
      <c r="V772">
        <v>493.61666666666599</v>
      </c>
      <c r="W772">
        <v>557.356666666666</v>
      </c>
      <c r="X772">
        <v>530.15666666666596</v>
      </c>
      <c r="Y772">
        <v>540.75666666666598</v>
      </c>
      <c r="Z772">
        <v>538.86666666666599</v>
      </c>
      <c r="AA772">
        <v>533.54</v>
      </c>
      <c r="AB772">
        <v>533.54</v>
      </c>
      <c r="AC772">
        <v>576.23333333333301</v>
      </c>
      <c r="AD772">
        <v>541.92666666666605</v>
      </c>
      <c r="AE772">
        <v>563.80666666666605</v>
      </c>
      <c r="AF772">
        <v>553.75666666666598</v>
      </c>
      <c r="AG772">
        <v>547.58000000000004</v>
      </c>
      <c r="AH772">
        <v>544.64666666666596</v>
      </c>
      <c r="AI772">
        <v>573.59</v>
      </c>
      <c r="AJ772">
        <v>542.91333333333296</v>
      </c>
      <c r="AK772">
        <v>562.51</v>
      </c>
      <c r="AL772">
        <v>548.51333333333298</v>
      </c>
      <c r="AM772">
        <v>542.32666666666603</v>
      </c>
      <c r="AN772">
        <v>537.79333333333295</v>
      </c>
      <c r="AO772">
        <v>568.23333333333301</v>
      </c>
      <c r="AP772">
        <v>504.79</v>
      </c>
      <c r="AQ772">
        <v>550.02666666666596</v>
      </c>
      <c r="AR772">
        <v>519.30666666666605</v>
      </c>
      <c r="AS772">
        <v>502.88666666666597</v>
      </c>
      <c r="AT772">
        <v>490.77666666666602</v>
      </c>
      <c r="AU772">
        <v>581.743333333333</v>
      </c>
      <c r="AV772">
        <v>532.29666666666606</v>
      </c>
      <c r="AW772">
        <v>566.11</v>
      </c>
      <c r="AX772">
        <v>544.20666666666602</v>
      </c>
      <c r="AY772">
        <v>532.91666666666595</v>
      </c>
      <c r="AZ772">
        <v>524.91</v>
      </c>
      <c r="BA772">
        <v>573.47333333333302</v>
      </c>
      <c r="BB772">
        <v>522.61666666666599</v>
      </c>
      <c r="BC772">
        <v>556.91666666666595</v>
      </c>
      <c r="BD772">
        <v>534.28666666666595</v>
      </c>
      <c r="BE772">
        <v>522.493333333333</v>
      </c>
      <c r="BF772">
        <v>514.06666666666604</v>
      </c>
      <c r="BG772" s="14"/>
      <c r="BH772" s="14"/>
      <c r="BI772" s="14"/>
      <c r="BJ772" s="199"/>
      <c r="BK772" s="14"/>
      <c r="BL772" s="14"/>
      <c r="BM772" s="14"/>
      <c r="BN772" s="14"/>
      <c r="BO772" s="14"/>
      <c r="BP772" s="14"/>
      <c r="BQ772" s="14"/>
      <c r="BR772" s="14"/>
      <c r="BS772" s="14"/>
      <c r="BT772" s="14"/>
      <c r="BU772" s="14"/>
      <c r="BV772" s="14"/>
      <c r="BW772" s="14"/>
      <c r="BX772" s="14"/>
      <c r="BY772" s="170"/>
    </row>
    <row r="773" spans="9:77" x14ac:dyDescent="0.25">
      <c r="I773">
        <v>7430</v>
      </c>
      <c r="J773" s="1" t="s">
        <v>947</v>
      </c>
      <c r="K773">
        <v>609.77999999999895</v>
      </c>
      <c r="L773">
        <v>579.10333333333301</v>
      </c>
      <c r="M773">
        <v>598.70000000000005</v>
      </c>
      <c r="N773">
        <v>584.70333333333303</v>
      </c>
      <c r="O773">
        <v>578.51666666666597</v>
      </c>
      <c r="P773">
        <v>573.98333333333301</v>
      </c>
      <c r="Q773">
        <v>590.09333333333302</v>
      </c>
      <c r="R773">
        <v>538.84666666666601</v>
      </c>
      <c r="S773">
        <v>573.50333333333299</v>
      </c>
      <c r="T773">
        <v>550.59333333333302</v>
      </c>
      <c r="U773">
        <v>538.84666666666601</v>
      </c>
      <c r="V773">
        <v>529.80666666666605</v>
      </c>
      <c r="W773">
        <v>593.54666666666606</v>
      </c>
      <c r="X773">
        <v>566.34666666666601</v>
      </c>
      <c r="Y773">
        <v>576.94666666666603</v>
      </c>
      <c r="Z773">
        <v>575.05666666666605</v>
      </c>
      <c r="AA773">
        <v>569.73</v>
      </c>
      <c r="AB773">
        <v>569.73</v>
      </c>
      <c r="AC773">
        <v>612.42333333333295</v>
      </c>
      <c r="AD773">
        <v>578.11666666666599</v>
      </c>
      <c r="AE773">
        <v>599.99666666666599</v>
      </c>
      <c r="AF773">
        <v>589.94666666666603</v>
      </c>
      <c r="AG773">
        <v>583.76999999999896</v>
      </c>
      <c r="AH773">
        <v>580.83666666666602</v>
      </c>
      <c r="AI773">
        <v>609.77999999999895</v>
      </c>
      <c r="AJ773">
        <v>579.10333333333301</v>
      </c>
      <c r="AK773">
        <v>598.70000000000005</v>
      </c>
      <c r="AL773">
        <v>584.70333333333303</v>
      </c>
      <c r="AM773">
        <v>578.51666666666597</v>
      </c>
      <c r="AN773">
        <v>573.98333333333301</v>
      </c>
      <c r="AO773">
        <v>604.42333333333295</v>
      </c>
      <c r="AP773">
        <v>540.98</v>
      </c>
      <c r="AQ773">
        <v>586.21666666666601</v>
      </c>
      <c r="AR773">
        <v>555.49666666666599</v>
      </c>
      <c r="AS773">
        <v>539.07666666666603</v>
      </c>
      <c r="AT773">
        <v>526.96666666666601</v>
      </c>
      <c r="AU773">
        <v>617.93333333333305</v>
      </c>
      <c r="AV773">
        <v>568.486666666666</v>
      </c>
      <c r="AW773">
        <v>602.29999999999905</v>
      </c>
      <c r="AX773">
        <v>580.39666666666596</v>
      </c>
      <c r="AY773">
        <v>569.106666666666</v>
      </c>
      <c r="AZ773">
        <v>561.1</v>
      </c>
      <c r="BA773">
        <v>609.66333333333296</v>
      </c>
      <c r="BB773">
        <v>558.80666666666605</v>
      </c>
      <c r="BC773">
        <v>593.106666666666</v>
      </c>
      <c r="BD773">
        <v>570.47666666666601</v>
      </c>
      <c r="BE773">
        <v>558.68333333333305</v>
      </c>
      <c r="BF773">
        <v>550.25666666666598</v>
      </c>
      <c r="BG773" s="14"/>
      <c r="BH773" s="14"/>
      <c r="BI773" s="14"/>
      <c r="BJ773" s="199"/>
      <c r="BK773" s="14"/>
      <c r="BL773" s="14"/>
      <c r="BM773" s="14"/>
      <c r="BN773" s="14"/>
      <c r="BO773" s="14"/>
      <c r="BP773" s="14"/>
      <c r="BQ773" s="14"/>
      <c r="BR773" s="14"/>
      <c r="BS773" s="14"/>
      <c r="BT773" s="14"/>
      <c r="BU773" s="14"/>
      <c r="BV773" s="14"/>
      <c r="BW773" s="14"/>
      <c r="BX773" s="14"/>
      <c r="BY773" s="170"/>
    </row>
    <row r="774" spans="9:77" x14ac:dyDescent="0.25">
      <c r="I774">
        <v>7441</v>
      </c>
      <c r="J774" s="1" t="s">
        <v>948</v>
      </c>
      <c r="K774">
        <v>589.15999999999894</v>
      </c>
      <c r="L774">
        <v>555.55666666666605</v>
      </c>
      <c r="M774">
        <v>577.02999999999895</v>
      </c>
      <c r="N774">
        <v>561.65333333333297</v>
      </c>
      <c r="O774">
        <v>554.91999999999996</v>
      </c>
      <c r="P774">
        <v>549.64333333333298</v>
      </c>
      <c r="Q774">
        <v>572.53333333333296</v>
      </c>
      <c r="R774">
        <v>518.07666666666603</v>
      </c>
      <c r="S774">
        <v>555.57999999999902</v>
      </c>
      <c r="T774">
        <v>530.55666666666605</v>
      </c>
      <c r="U774">
        <v>517.67666666666605</v>
      </c>
      <c r="V774">
        <v>507.18</v>
      </c>
      <c r="W774">
        <v>575.18333333333305</v>
      </c>
      <c r="X774">
        <v>547.89666666666596</v>
      </c>
      <c r="Y774">
        <v>558.75666666666598</v>
      </c>
      <c r="Z774">
        <v>556.82999999999902</v>
      </c>
      <c r="AA774">
        <v>551.36666666666599</v>
      </c>
      <c r="AB774">
        <v>551.36666666666599</v>
      </c>
      <c r="AC774">
        <v>589.87</v>
      </c>
      <c r="AD774">
        <v>552.58333333333303</v>
      </c>
      <c r="AE774">
        <v>576.599999999999</v>
      </c>
      <c r="AF774">
        <v>565.87999999999897</v>
      </c>
      <c r="AG774">
        <v>559.15333333333297</v>
      </c>
      <c r="AH774">
        <v>555.86666666666599</v>
      </c>
      <c r="AI774">
        <v>589.15999999999894</v>
      </c>
      <c r="AJ774">
        <v>555.55666666666605</v>
      </c>
      <c r="AK774">
        <v>577.02999999999895</v>
      </c>
      <c r="AL774">
        <v>561.65333333333297</v>
      </c>
      <c r="AM774">
        <v>554.91999999999996</v>
      </c>
      <c r="AN774">
        <v>549.64333333333298</v>
      </c>
      <c r="AO774">
        <v>585.21333333333303</v>
      </c>
      <c r="AP774">
        <v>520.29333333333295</v>
      </c>
      <c r="AQ774">
        <v>566.76333333333298</v>
      </c>
      <c r="AR774">
        <v>535.45666666666602</v>
      </c>
      <c r="AS774">
        <v>517.83666666666602</v>
      </c>
      <c r="AT774">
        <v>503.47333333333302</v>
      </c>
      <c r="AU774">
        <v>597.57666666666603</v>
      </c>
      <c r="AV774">
        <v>546.15666666666596</v>
      </c>
      <c r="AW774">
        <v>581.45333333333303</v>
      </c>
      <c r="AX774">
        <v>558.08000000000004</v>
      </c>
      <c r="AY774">
        <v>545.80666666666605</v>
      </c>
      <c r="AZ774">
        <v>536.70333333333303</v>
      </c>
      <c r="BA774">
        <v>586.95000000000005</v>
      </c>
      <c r="BB774">
        <v>535.29</v>
      </c>
      <c r="BC774">
        <v>570.99666666666599</v>
      </c>
      <c r="BD774">
        <v>547.08666666666602</v>
      </c>
      <c r="BE774">
        <v>534.606666666666</v>
      </c>
      <c r="BF774">
        <v>525.11</v>
      </c>
      <c r="BG774" s="14"/>
      <c r="BH774" s="14"/>
      <c r="BI774" s="14"/>
      <c r="BJ774" s="199"/>
      <c r="BK774" s="14"/>
      <c r="BL774" s="14"/>
      <c r="BM774" s="14"/>
      <c r="BN774" s="14"/>
      <c r="BO774" s="14"/>
      <c r="BP774" s="14"/>
      <c r="BQ774" s="14"/>
      <c r="BR774" s="14"/>
      <c r="BS774" s="14"/>
      <c r="BT774" s="14"/>
      <c r="BU774" s="14"/>
      <c r="BV774" s="14"/>
      <c r="BW774" s="14"/>
      <c r="BX774" s="14"/>
      <c r="BY774" s="170"/>
    </row>
    <row r="775" spans="9:77" x14ac:dyDescent="0.25">
      <c r="I775">
        <v>7442</v>
      </c>
      <c r="J775" s="1" t="s">
        <v>949</v>
      </c>
      <c r="K775">
        <v>556.23</v>
      </c>
      <c r="L775">
        <v>522.62666666666598</v>
      </c>
      <c r="M775">
        <v>544.099999999999</v>
      </c>
      <c r="N775">
        <v>528.72333333333302</v>
      </c>
      <c r="O775">
        <v>521.99</v>
      </c>
      <c r="P775">
        <v>516.71333333333303</v>
      </c>
      <c r="Q775">
        <v>539.60333333333301</v>
      </c>
      <c r="R775">
        <v>485.14666666666602</v>
      </c>
      <c r="S775">
        <v>522.64999999999895</v>
      </c>
      <c r="T775">
        <v>497.62666666666598</v>
      </c>
      <c r="U775">
        <v>484.74666666666599</v>
      </c>
      <c r="V775">
        <v>474.25</v>
      </c>
      <c r="W775">
        <v>542.25333333333299</v>
      </c>
      <c r="X775">
        <v>514.96666666666601</v>
      </c>
      <c r="Y775">
        <v>525.82666666666603</v>
      </c>
      <c r="Z775">
        <v>523.9</v>
      </c>
      <c r="AA775">
        <v>518.43666666666604</v>
      </c>
      <c r="AB775">
        <v>518.43666666666604</v>
      </c>
      <c r="AC775">
        <v>556.94000000000005</v>
      </c>
      <c r="AD775">
        <v>519.65333333333297</v>
      </c>
      <c r="AE775">
        <v>543.66999999999996</v>
      </c>
      <c r="AF775">
        <v>532.95000000000005</v>
      </c>
      <c r="AG775">
        <v>526.22333333333302</v>
      </c>
      <c r="AH775">
        <v>522.93666666666604</v>
      </c>
      <c r="AI775">
        <v>556.23</v>
      </c>
      <c r="AJ775">
        <v>522.62666666666598</v>
      </c>
      <c r="AK775">
        <v>544.099999999999</v>
      </c>
      <c r="AL775">
        <v>528.72333333333302</v>
      </c>
      <c r="AM775">
        <v>521.99</v>
      </c>
      <c r="AN775">
        <v>516.71333333333303</v>
      </c>
      <c r="AO775">
        <v>552.28333333333296</v>
      </c>
      <c r="AP775">
        <v>487.363333333333</v>
      </c>
      <c r="AQ775">
        <v>533.83333333333303</v>
      </c>
      <c r="AR775">
        <v>502.52666666666602</v>
      </c>
      <c r="AS775">
        <v>484.90666666666601</v>
      </c>
      <c r="AT775">
        <v>470.54333333333301</v>
      </c>
      <c r="AU775">
        <v>564.64666666666596</v>
      </c>
      <c r="AV775">
        <v>513.22666666666601</v>
      </c>
      <c r="AW775">
        <v>548.52333333333297</v>
      </c>
      <c r="AX775">
        <v>525.15</v>
      </c>
      <c r="AY775">
        <v>512.87666666666598</v>
      </c>
      <c r="AZ775">
        <v>503.77333333333303</v>
      </c>
      <c r="BA775">
        <v>554.01999999999896</v>
      </c>
      <c r="BB775">
        <v>502.36</v>
      </c>
      <c r="BC775">
        <v>538.06666666666604</v>
      </c>
      <c r="BD775">
        <v>514.15666666666596</v>
      </c>
      <c r="BE775">
        <v>501.67666666666599</v>
      </c>
      <c r="BF775">
        <v>492.18</v>
      </c>
      <c r="BG775" s="14"/>
      <c r="BH775" s="14"/>
      <c r="BI775" s="14"/>
      <c r="BJ775" s="199"/>
      <c r="BK775" s="14"/>
      <c r="BL775" s="14"/>
      <c r="BM775" s="14"/>
      <c r="BN775" s="14"/>
      <c r="BO775" s="14"/>
      <c r="BP775" s="14"/>
      <c r="BQ775" s="14"/>
      <c r="BR775" s="14"/>
      <c r="BS775" s="14"/>
      <c r="BT775" s="14"/>
      <c r="BU775" s="14"/>
      <c r="BV775" s="14"/>
      <c r="BW775" s="14"/>
      <c r="BX775" s="14"/>
      <c r="BY775" s="170"/>
    </row>
    <row r="776" spans="9:77" x14ac:dyDescent="0.25">
      <c r="I776">
        <v>7451</v>
      </c>
      <c r="J776" s="1" t="s">
        <v>950</v>
      </c>
      <c r="K776">
        <v>551.87</v>
      </c>
      <c r="L776">
        <v>518.26666666666597</v>
      </c>
      <c r="M776">
        <v>539.74</v>
      </c>
      <c r="N776">
        <v>524.363333333333</v>
      </c>
      <c r="O776">
        <v>517.63</v>
      </c>
      <c r="P776">
        <v>512.35333333333301</v>
      </c>
      <c r="Q776">
        <v>535.243333333333</v>
      </c>
      <c r="R776">
        <v>480.78666666666601</v>
      </c>
      <c r="S776">
        <v>518.28999999999905</v>
      </c>
      <c r="T776">
        <v>493.26666666666603</v>
      </c>
      <c r="U776">
        <v>480.38666666666597</v>
      </c>
      <c r="V776">
        <v>469.89</v>
      </c>
      <c r="W776">
        <v>537.89333333333298</v>
      </c>
      <c r="X776">
        <v>510.606666666666</v>
      </c>
      <c r="Y776">
        <v>521.46666666666601</v>
      </c>
      <c r="Z776">
        <v>519.53999999999905</v>
      </c>
      <c r="AA776">
        <v>514.07666666666603</v>
      </c>
      <c r="AB776">
        <v>514.07666666666603</v>
      </c>
      <c r="AC776">
        <v>552.58000000000004</v>
      </c>
      <c r="AD776">
        <v>515.29333333333295</v>
      </c>
      <c r="AE776">
        <v>539.30999999999904</v>
      </c>
      <c r="AF776">
        <v>528.58999999999901</v>
      </c>
      <c r="AG776">
        <v>521.863333333333</v>
      </c>
      <c r="AH776">
        <v>518.57666666666603</v>
      </c>
      <c r="AI776">
        <v>551.87</v>
      </c>
      <c r="AJ776">
        <v>518.26666666666597</v>
      </c>
      <c r="AK776">
        <v>539.74</v>
      </c>
      <c r="AL776">
        <v>524.363333333333</v>
      </c>
      <c r="AM776">
        <v>517.63</v>
      </c>
      <c r="AN776">
        <v>512.35333333333301</v>
      </c>
      <c r="AO776">
        <v>547.92333333333295</v>
      </c>
      <c r="AP776">
        <v>483.00333333333299</v>
      </c>
      <c r="AQ776">
        <v>529.47333333333302</v>
      </c>
      <c r="AR776">
        <v>498.166666666666</v>
      </c>
      <c r="AS776">
        <v>480.546666666666</v>
      </c>
      <c r="AT776">
        <v>466.183333333333</v>
      </c>
      <c r="AU776">
        <v>560.28666666666595</v>
      </c>
      <c r="AV776">
        <v>508.86666666666599</v>
      </c>
      <c r="AW776">
        <v>544.16333333333296</v>
      </c>
      <c r="AX776">
        <v>520.79</v>
      </c>
      <c r="AY776">
        <v>508.51666666666603</v>
      </c>
      <c r="AZ776">
        <v>499.41333333333301</v>
      </c>
      <c r="BA776">
        <v>549.66</v>
      </c>
      <c r="BB776">
        <v>498</v>
      </c>
      <c r="BC776">
        <v>533.70666666666602</v>
      </c>
      <c r="BD776">
        <v>509.796666666666</v>
      </c>
      <c r="BE776">
        <v>497.31666666666598</v>
      </c>
      <c r="BF776">
        <v>487.82</v>
      </c>
      <c r="BG776" s="14"/>
      <c r="BH776" s="14"/>
      <c r="BI776" s="14"/>
      <c r="BJ776" s="199"/>
      <c r="BK776" s="14"/>
      <c r="BL776" s="14"/>
      <c r="BM776" s="14"/>
      <c r="BN776" s="14"/>
      <c r="BO776" s="14"/>
      <c r="BP776" s="14"/>
      <c r="BQ776" s="14"/>
      <c r="BR776" s="14"/>
      <c r="BS776" s="14"/>
      <c r="BT776" s="14"/>
      <c r="BU776" s="14"/>
      <c r="BV776" s="14"/>
      <c r="BW776" s="14"/>
      <c r="BX776" s="14"/>
      <c r="BY776" s="170"/>
    </row>
    <row r="777" spans="9:77" x14ac:dyDescent="0.25">
      <c r="I777">
        <v>7470</v>
      </c>
      <c r="J777" s="1" t="s">
        <v>951</v>
      </c>
      <c r="K777">
        <v>528.29999999999995</v>
      </c>
      <c r="L777">
        <v>494.69666666666598</v>
      </c>
      <c r="M777">
        <v>516.16999999999996</v>
      </c>
      <c r="N777">
        <v>500.79333333333301</v>
      </c>
      <c r="O777">
        <v>494.06</v>
      </c>
      <c r="P777">
        <v>488.78333333333302</v>
      </c>
      <c r="Q777">
        <v>511.67333333333301</v>
      </c>
      <c r="R777">
        <v>457.21666666666601</v>
      </c>
      <c r="S777">
        <v>494.719999999999</v>
      </c>
      <c r="T777">
        <v>469.69666666666598</v>
      </c>
      <c r="U777">
        <v>456.81666666666598</v>
      </c>
      <c r="V777">
        <v>446.32</v>
      </c>
      <c r="W777">
        <v>514.32333333333304</v>
      </c>
      <c r="X777">
        <v>487.03666666666601</v>
      </c>
      <c r="Y777">
        <v>497.89666666666602</v>
      </c>
      <c r="Z777">
        <v>495.97</v>
      </c>
      <c r="AA777">
        <v>490.50666666666598</v>
      </c>
      <c r="AB777">
        <v>490.50666666666598</v>
      </c>
      <c r="AC777">
        <v>529.01</v>
      </c>
      <c r="AD777">
        <v>491.72333333333302</v>
      </c>
      <c r="AE777">
        <v>515.74</v>
      </c>
      <c r="AF777">
        <v>505.02</v>
      </c>
      <c r="AG777">
        <v>498.29333333333301</v>
      </c>
      <c r="AH777">
        <v>495.00666666666598</v>
      </c>
      <c r="AI777">
        <v>528.29999999999995</v>
      </c>
      <c r="AJ777">
        <v>494.69666666666598</v>
      </c>
      <c r="AK777">
        <v>516.16999999999996</v>
      </c>
      <c r="AL777">
        <v>500.79333333333301</v>
      </c>
      <c r="AM777">
        <v>494.06</v>
      </c>
      <c r="AN777">
        <v>488.78333333333302</v>
      </c>
      <c r="AO777">
        <v>524.35333333333301</v>
      </c>
      <c r="AP777">
        <v>459.433333333333</v>
      </c>
      <c r="AQ777">
        <v>505.90333333333302</v>
      </c>
      <c r="AR777">
        <v>474.59666666666601</v>
      </c>
      <c r="AS777">
        <v>456.97666666666601</v>
      </c>
      <c r="AT777">
        <v>442.613333333333</v>
      </c>
      <c r="AU777">
        <v>536.71666666666601</v>
      </c>
      <c r="AV777">
        <v>485.296666666666</v>
      </c>
      <c r="AW777">
        <v>520.59333333333302</v>
      </c>
      <c r="AX777">
        <v>497.22</v>
      </c>
      <c r="AY777">
        <v>484.94666666666598</v>
      </c>
      <c r="AZ777">
        <v>475.84333333333302</v>
      </c>
      <c r="BA777">
        <v>526.09</v>
      </c>
      <c r="BB777">
        <v>474.43</v>
      </c>
      <c r="BC777">
        <v>510.13666666666597</v>
      </c>
      <c r="BD777">
        <v>486.22666666666601</v>
      </c>
      <c r="BE777">
        <v>473.74666666666599</v>
      </c>
      <c r="BF777">
        <v>464.25</v>
      </c>
      <c r="BG777" s="14"/>
      <c r="BH777" s="14"/>
      <c r="BI777" s="14"/>
      <c r="BJ777" s="199"/>
      <c r="BK777" s="14"/>
      <c r="BL777" s="14"/>
      <c r="BM777" s="14"/>
      <c r="BN777" s="14"/>
      <c r="BO777" s="14"/>
      <c r="BP777" s="14"/>
      <c r="BQ777" s="14"/>
      <c r="BR777" s="14"/>
      <c r="BS777" s="14"/>
      <c r="BT777" s="14"/>
      <c r="BU777" s="14"/>
      <c r="BV777" s="14"/>
      <c r="BW777" s="14"/>
      <c r="BX777" s="14"/>
      <c r="BY777" s="170"/>
    </row>
    <row r="778" spans="9:77" x14ac:dyDescent="0.25">
      <c r="I778">
        <v>7480</v>
      </c>
      <c r="J778" s="1" t="s">
        <v>952</v>
      </c>
      <c r="K778">
        <v>683.06</v>
      </c>
      <c r="L778">
        <v>652.38333333333298</v>
      </c>
      <c r="M778">
        <v>671.98</v>
      </c>
      <c r="N778">
        <v>657.98333333333301</v>
      </c>
      <c r="O778">
        <v>651.79666666666606</v>
      </c>
      <c r="P778">
        <v>647.26333333333298</v>
      </c>
      <c r="Q778">
        <v>663.37333333333299</v>
      </c>
      <c r="R778">
        <v>612.12666666666598</v>
      </c>
      <c r="S778">
        <v>646.78333333333296</v>
      </c>
      <c r="T778">
        <v>623.87333333333299</v>
      </c>
      <c r="U778">
        <v>612.12666666666598</v>
      </c>
      <c r="V778">
        <v>603.08666666666602</v>
      </c>
      <c r="W778">
        <v>666.82666666666603</v>
      </c>
      <c r="X778">
        <v>639.62666666666598</v>
      </c>
      <c r="Y778">
        <v>650.22666666666601</v>
      </c>
      <c r="Z778">
        <v>648.33666666666602</v>
      </c>
      <c r="AA778">
        <v>643.01</v>
      </c>
      <c r="AB778">
        <v>643.01</v>
      </c>
      <c r="AC778">
        <v>685.70333333333303</v>
      </c>
      <c r="AD778">
        <v>651.39666666666596</v>
      </c>
      <c r="AE778">
        <v>673.27666666666596</v>
      </c>
      <c r="AF778">
        <v>663.22666666666601</v>
      </c>
      <c r="AG778">
        <v>657.05</v>
      </c>
      <c r="AH778">
        <v>654.11666666666599</v>
      </c>
      <c r="AI778">
        <v>683.06</v>
      </c>
      <c r="AJ778">
        <v>652.38333333333298</v>
      </c>
      <c r="AK778">
        <v>671.98</v>
      </c>
      <c r="AL778">
        <v>657.98333333333301</v>
      </c>
      <c r="AM778">
        <v>651.79666666666606</v>
      </c>
      <c r="AN778">
        <v>647.26333333333298</v>
      </c>
      <c r="AO778">
        <v>677.70333333333303</v>
      </c>
      <c r="AP778">
        <v>614.26</v>
      </c>
      <c r="AQ778">
        <v>659.49666666666599</v>
      </c>
      <c r="AR778">
        <v>628.77666666666596</v>
      </c>
      <c r="AS778">
        <v>612.356666666666</v>
      </c>
      <c r="AT778">
        <v>600.24666666666599</v>
      </c>
      <c r="AU778">
        <v>691.21333333333303</v>
      </c>
      <c r="AV778">
        <v>641.76666666666597</v>
      </c>
      <c r="AW778">
        <v>675.58</v>
      </c>
      <c r="AX778">
        <v>653.67666666666605</v>
      </c>
      <c r="AY778">
        <v>642.38666666666597</v>
      </c>
      <c r="AZ778">
        <v>634.38</v>
      </c>
      <c r="BA778">
        <v>682.94333333333304</v>
      </c>
      <c r="BB778">
        <v>632.08666666666602</v>
      </c>
      <c r="BC778">
        <v>666.38666666666597</v>
      </c>
      <c r="BD778">
        <v>643.75666666666598</v>
      </c>
      <c r="BE778">
        <v>631.96333333333303</v>
      </c>
      <c r="BF778">
        <v>623.53666666666595</v>
      </c>
      <c r="BG778" s="14"/>
      <c r="BH778" s="14"/>
      <c r="BI778" s="14"/>
      <c r="BJ778" s="199"/>
      <c r="BK778" s="14"/>
      <c r="BL778" s="14"/>
      <c r="BM778" s="14"/>
      <c r="BN778" s="14"/>
      <c r="BO778" s="14"/>
      <c r="BP778" s="14"/>
      <c r="BQ778" s="14"/>
      <c r="BR778" s="14"/>
      <c r="BS778" s="14"/>
      <c r="BT778" s="14"/>
      <c r="BU778" s="14"/>
      <c r="BV778" s="14"/>
      <c r="BW778" s="14"/>
      <c r="BX778" s="14"/>
      <c r="BY778" s="170"/>
    </row>
    <row r="779" spans="9:77" x14ac:dyDescent="0.25">
      <c r="I779">
        <v>7490</v>
      </c>
      <c r="J779" s="1" t="s">
        <v>953</v>
      </c>
      <c r="K779">
        <v>606.44000000000005</v>
      </c>
      <c r="L779">
        <v>575.76333333333298</v>
      </c>
      <c r="M779">
        <v>595.36</v>
      </c>
      <c r="N779">
        <v>581.363333333333</v>
      </c>
      <c r="O779">
        <v>575.17666666666605</v>
      </c>
      <c r="P779">
        <v>570.64333333333298</v>
      </c>
      <c r="Q779">
        <v>586.75333333333299</v>
      </c>
      <c r="R779">
        <v>535.50666666666598</v>
      </c>
      <c r="S779">
        <v>570.16333333333296</v>
      </c>
      <c r="T779">
        <v>547.25333333333299</v>
      </c>
      <c r="U779">
        <v>535.50666666666598</v>
      </c>
      <c r="V779">
        <v>526.46666666666601</v>
      </c>
      <c r="W779">
        <v>590.20666666666602</v>
      </c>
      <c r="X779">
        <v>563.00666666666598</v>
      </c>
      <c r="Y779">
        <v>573.606666666666</v>
      </c>
      <c r="Z779">
        <v>571.71666666666601</v>
      </c>
      <c r="AA779">
        <v>566.38999999999896</v>
      </c>
      <c r="AB779">
        <v>566.38999999999896</v>
      </c>
      <c r="AC779">
        <v>609.08333333333303</v>
      </c>
      <c r="AD779">
        <v>574.77666666666596</v>
      </c>
      <c r="AE779">
        <v>596.65666666666596</v>
      </c>
      <c r="AF779">
        <v>586.606666666666</v>
      </c>
      <c r="AG779">
        <v>580.42999999999995</v>
      </c>
      <c r="AH779">
        <v>577.49666666666599</v>
      </c>
      <c r="AI779">
        <v>606.44000000000005</v>
      </c>
      <c r="AJ779">
        <v>575.76333333333298</v>
      </c>
      <c r="AK779">
        <v>595.36</v>
      </c>
      <c r="AL779">
        <v>581.363333333333</v>
      </c>
      <c r="AM779">
        <v>575.17666666666605</v>
      </c>
      <c r="AN779">
        <v>570.64333333333298</v>
      </c>
      <c r="AO779">
        <v>601.08333333333303</v>
      </c>
      <c r="AP779">
        <v>537.64</v>
      </c>
      <c r="AQ779">
        <v>582.87666666666598</v>
      </c>
      <c r="AR779">
        <v>552.15666666666596</v>
      </c>
      <c r="AS779">
        <v>535.736666666666</v>
      </c>
      <c r="AT779">
        <v>523.62666666666598</v>
      </c>
      <c r="AU779">
        <v>614.59333333333302</v>
      </c>
      <c r="AV779">
        <v>565.14666666666596</v>
      </c>
      <c r="AW779">
        <v>598.96</v>
      </c>
      <c r="AX779">
        <v>577.05666666666605</v>
      </c>
      <c r="AY779">
        <v>565.76666666666597</v>
      </c>
      <c r="AZ779">
        <v>557.75999999999897</v>
      </c>
      <c r="BA779">
        <v>606.32333333333304</v>
      </c>
      <c r="BB779">
        <v>555.46666666666601</v>
      </c>
      <c r="BC779">
        <v>589.76666666666597</v>
      </c>
      <c r="BD779">
        <v>567.13666666666597</v>
      </c>
      <c r="BE779">
        <v>555.34333333333302</v>
      </c>
      <c r="BF779">
        <v>546.91666666666595</v>
      </c>
      <c r="BG779" s="14"/>
      <c r="BH779" s="14"/>
      <c r="BI779" s="14"/>
      <c r="BJ779" s="199"/>
      <c r="BK779" s="14"/>
      <c r="BL779" s="14"/>
      <c r="BM779" s="14"/>
      <c r="BN779" s="14"/>
      <c r="BO779" s="14"/>
      <c r="BP779" s="14"/>
      <c r="BQ779" s="14"/>
      <c r="BR779" s="14"/>
      <c r="BS779" s="14"/>
      <c r="BT779" s="14"/>
      <c r="BU779" s="14"/>
      <c r="BV779" s="14"/>
      <c r="BW779" s="14"/>
      <c r="BX779" s="14"/>
      <c r="BY779" s="170"/>
    </row>
    <row r="780" spans="9:77" x14ac:dyDescent="0.25">
      <c r="I780">
        <v>7500</v>
      </c>
      <c r="J780" s="1" t="s">
        <v>954</v>
      </c>
      <c r="K780">
        <v>629.1</v>
      </c>
      <c r="L780">
        <v>598.42333333333295</v>
      </c>
      <c r="M780">
        <v>618.02</v>
      </c>
      <c r="N780">
        <v>604.02333333333297</v>
      </c>
      <c r="O780">
        <v>597.83666666666602</v>
      </c>
      <c r="P780">
        <v>593.30333333333294</v>
      </c>
      <c r="Q780">
        <v>609.41333333333296</v>
      </c>
      <c r="R780">
        <v>558.16666666666595</v>
      </c>
      <c r="S780">
        <v>592.82333333333304</v>
      </c>
      <c r="T780">
        <v>569.91333333333296</v>
      </c>
      <c r="U780">
        <v>558.16666666666595</v>
      </c>
      <c r="V780">
        <v>549.12666666666598</v>
      </c>
      <c r="W780">
        <v>612.86666666666599</v>
      </c>
      <c r="X780">
        <v>585.66666666666595</v>
      </c>
      <c r="Y780">
        <v>596.26666666666597</v>
      </c>
      <c r="Z780">
        <v>594.37666666666598</v>
      </c>
      <c r="AA780">
        <v>589.04999999999995</v>
      </c>
      <c r="AB780">
        <v>589.04999999999995</v>
      </c>
      <c r="AC780">
        <v>631.743333333333</v>
      </c>
      <c r="AD780">
        <v>597.43666666666604</v>
      </c>
      <c r="AE780">
        <v>619.31666666666604</v>
      </c>
      <c r="AF780">
        <v>609.26666666666597</v>
      </c>
      <c r="AG780">
        <v>603.09</v>
      </c>
      <c r="AH780">
        <v>600.15666666666596</v>
      </c>
      <c r="AI780">
        <v>629.1</v>
      </c>
      <c r="AJ780">
        <v>598.42333333333295</v>
      </c>
      <c r="AK780">
        <v>618.02</v>
      </c>
      <c r="AL780">
        <v>604.02333333333297</v>
      </c>
      <c r="AM780">
        <v>597.83666666666602</v>
      </c>
      <c r="AN780">
        <v>593.30333333333294</v>
      </c>
      <c r="AO780">
        <v>623.743333333333</v>
      </c>
      <c r="AP780">
        <v>560.29999999999995</v>
      </c>
      <c r="AQ780">
        <v>605.53666666666595</v>
      </c>
      <c r="AR780">
        <v>574.81666666666604</v>
      </c>
      <c r="AS780">
        <v>558.39666666666596</v>
      </c>
      <c r="AT780">
        <v>546.28666666666595</v>
      </c>
      <c r="AU780">
        <v>637.25333333333299</v>
      </c>
      <c r="AV780">
        <v>587.80666666666605</v>
      </c>
      <c r="AW780">
        <v>621.62</v>
      </c>
      <c r="AX780">
        <v>599.71666666666601</v>
      </c>
      <c r="AY780">
        <v>588.42666666666605</v>
      </c>
      <c r="AZ780">
        <v>580.41999999999996</v>
      </c>
      <c r="BA780">
        <v>628.98333333333301</v>
      </c>
      <c r="BB780">
        <v>578.12666666666598</v>
      </c>
      <c r="BC780">
        <v>612.42666666666605</v>
      </c>
      <c r="BD780">
        <v>589.79666666666606</v>
      </c>
      <c r="BE780">
        <v>578.00333333333299</v>
      </c>
      <c r="BF780">
        <v>569.57666666666603</v>
      </c>
      <c r="BG780" s="14"/>
      <c r="BH780" s="14"/>
      <c r="BI780" s="14"/>
      <c r="BJ780" s="199"/>
      <c r="BK780" s="14"/>
      <c r="BL780" s="14"/>
      <c r="BM780" s="14"/>
      <c r="BN780" s="14"/>
      <c r="BO780" s="14"/>
      <c r="BP780" s="14"/>
      <c r="BQ780" s="14"/>
      <c r="BR780" s="14"/>
      <c r="BS780" s="14"/>
      <c r="BT780" s="14"/>
      <c r="BU780" s="14"/>
      <c r="BV780" s="14"/>
      <c r="BW780" s="14"/>
      <c r="BX780" s="14"/>
      <c r="BY780" s="170"/>
    </row>
    <row r="781" spans="9:77" x14ac:dyDescent="0.25">
      <c r="I781">
        <v>7540</v>
      </c>
      <c r="J781" s="1" t="s">
        <v>955</v>
      </c>
      <c r="K781">
        <v>532.979999999999</v>
      </c>
      <c r="L781">
        <v>499.37666666666598</v>
      </c>
      <c r="M781">
        <v>520.849999999999</v>
      </c>
      <c r="N781">
        <v>505.47333333333302</v>
      </c>
      <c r="O781">
        <v>498.73999999999899</v>
      </c>
      <c r="P781">
        <v>493.46333333333303</v>
      </c>
      <c r="Q781">
        <v>516.35333333333301</v>
      </c>
      <c r="R781">
        <v>461.89666666666602</v>
      </c>
      <c r="S781">
        <v>499.39999999999901</v>
      </c>
      <c r="T781">
        <v>474.37666666666598</v>
      </c>
      <c r="U781">
        <v>461.49666666666599</v>
      </c>
      <c r="V781">
        <v>451</v>
      </c>
      <c r="W781">
        <v>519.00333333333299</v>
      </c>
      <c r="X781">
        <v>491.71666666666601</v>
      </c>
      <c r="Y781">
        <v>502.57666666666597</v>
      </c>
      <c r="Z781">
        <v>500.64999999999901</v>
      </c>
      <c r="AA781">
        <v>495.18666666666599</v>
      </c>
      <c r="AB781">
        <v>495.18666666666599</v>
      </c>
      <c r="AC781">
        <v>533.68999999999903</v>
      </c>
      <c r="AD781">
        <v>496.40333333333302</v>
      </c>
      <c r="AE781">
        <v>520.41999999999905</v>
      </c>
      <c r="AF781">
        <v>509.69999999999902</v>
      </c>
      <c r="AG781">
        <v>502.97333333333302</v>
      </c>
      <c r="AH781">
        <v>499.68666666666599</v>
      </c>
      <c r="AI781">
        <v>532.979999999999</v>
      </c>
      <c r="AJ781">
        <v>499.37666666666598</v>
      </c>
      <c r="AK781">
        <v>520.849999999999</v>
      </c>
      <c r="AL781">
        <v>505.47333333333302</v>
      </c>
      <c r="AM781">
        <v>498.73999999999899</v>
      </c>
      <c r="AN781">
        <v>493.46333333333303</v>
      </c>
      <c r="AO781">
        <v>529.03333333333296</v>
      </c>
      <c r="AP781">
        <v>464.113333333333</v>
      </c>
      <c r="AQ781">
        <v>510.58333333333297</v>
      </c>
      <c r="AR781">
        <v>479.27666666666602</v>
      </c>
      <c r="AS781">
        <v>461.65666666666601</v>
      </c>
      <c r="AT781">
        <v>447.29333333333301</v>
      </c>
      <c r="AU781">
        <v>541.39666666666596</v>
      </c>
      <c r="AV781">
        <v>489.97666666666601</v>
      </c>
      <c r="AW781">
        <v>525.27333333333297</v>
      </c>
      <c r="AX781">
        <v>501.89999999999901</v>
      </c>
      <c r="AY781">
        <v>489.62666666666598</v>
      </c>
      <c r="AZ781">
        <v>480.52333333333303</v>
      </c>
      <c r="BA781">
        <v>530.76999999999896</v>
      </c>
      <c r="BB781">
        <v>479.11</v>
      </c>
      <c r="BC781">
        <v>514.81666666666604</v>
      </c>
      <c r="BD781">
        <v>490.90666666666601</v>
      </c>
      <c r="BE781">
        <v>478.42666666666599</v>
      </c>
      <c r="BF781">
        <v>468.92999999999898</v>
      </c>
      <c r="BG781" s="14"/>
      <c r="BH781" s="14"/>
      <c r="BI781" s="14"/>
      <c r="BJ781" s="199"/>
      <c r="BK781" s="14"/>
      <c r="BL781" s="14"/>
      <c r="BM781" s="14"/>
      <c r="BN781" s="14"/>
      <c r="BO781" s="14"/>
      <c r="BP781" s="14"/>
      <c r="BQ781" s="14"/>
      <c r="BR781" s="14"/>
      <c r="BS781" s="14"/>
      <c r="BT781" s="14"/>
      <c r="BU781" s="14"/>
      <c r="BV781" s="14"/>
      <c r="BW781" s="14"/>
      <c r="BX781" s="14"/>
      <c r="BY781" s="170"/>
    </row>
    <row r="782" spans="9:77" x14ac:dyDescent="0.25">
      <c r="I782">
        <v>7550</v>
      </c>
      <c r="J782" s="1" t="s">
        <v>956</v>
      </c>
      <c r="K782">
        <v>668.34</v>
      </c>
      <c r="L782">
        <v>637.66333333333296</v>
      </c>
      <c r="M782">
        <v>657.26</v>
      </c>
      <c r="N782">
        <v>643.26333333333298</v>
      </c>
      <c r="O782">
        <v>637.07666666666603</v>
      </c>
      <c r="P782">
        <v>632.54333333333295</v>
      </c>
      <c r="Q782">
        <v>648.65333333333297</v>
      </c>
      <c r="R782">
        <v>597.40666666666596</v>
      </c>
      <c r="S782">
        <v>632.06333333333305</v>
      </c>
      <c r="T782">
        <v>609.15333333333297</v>
      </c>
      <c r="U782">
        <v>597.40666666666596</v>
      </c>
      <c r="V782">
        <v>588.36666666666599</v>
      </c>
      <c r="W782">
        <v>652.106666666666</v>
      </c>
      <c r="X782">
        <v>624.90666666666596</v>
      </c>
      <c r="Y782">
        <v>635.50666666666598</v>
      </c>
      <c r="Z782">
        <v>633.61666666666599</v>
      </c>
      <c r="AA782">
        <v>628.29</v>
      </c>
      <c r="AB782">
        <v>628.29</v>
      </c>
      <c r="AC782">
        <v>670.98333333333301</v>
      </c>
      <c r="AD782">
        <v>636.67666666666605</v>
      </c>
      <c r="AE782">
        <v>658.55666666666605</v>
      </c>
      <c r="AF782">
        <v>648.50666666666598</v>
      </c>
      <c r="AG782">
        <v>642.33000000000004</v>
      </c>
      <c r="AH782">
        <v>639.39666666666596</v>
      </c>
      <c r="AI782">
        <v>668.34</v>
      </c>
      <c r="AJ782">
        <v>637.66333333333296</v>
      </c>
      <c r="AK782">
        <v>657.26</v>
      </c>
      <c r="AL782">
        <v>643.26333333333298</v>
      </c>
      <c r="AM782">
        <v>637.07666666666603</v>
      </c>
      <c r="AN782">
        <v>632.54333333333295</v>
      </c>
      <c r="AO782">
        <v>662.98333333333301</v>
      </c>
      <c r="AP782">
        <v>599.54</v>
      </c>
      <c r="AQ782">
        <v>644.77666666666596</v>
      </c>
      <c r="AR782">
        <v>614.05666666666605</v>
      </c>
      <c r="AS782">
        <v>597.63666666666597</v>
      </c>
      <c r="AT782">
        <v>585.52666666666596</v>
      </c>
      <c r="AU782">
        <v>676.493333333333</v>
      </c>
      <c r="AV782">
        <v>627.04666666666606</v>
      </c>
      <c r="AW782">
        <v>660.86</v>
      </c>
      <c r="AX782">
        <v>638.95666666666602</v>
      </c>
      <c r="AY782">
        <v>627.66666666666595</v>
      </c>
      <c r="AZ782">
        <v>619.66</v>
      </c>
      <c r="BA782">
        <v>668.22333333333302</v>
      </c>
      <c r="BB782">
        <v>617.36666666666599</v>
      </c>
      <c r="BC782">
        <v>651.66666666666595</v>
      </c>
      <c r="BD782">
        <v>629.03666666666595</v>
      </c>
      <c r="BE782">
        <v>617.243333333333</v>
      </c>
      <c r="BF782">
        <v>608.81666666666604</v>
      </c>
      <c r="BG782" s="14"/>
      <c r="BH782" s="14"/>
      <c r="BI782" s="14"/>
      <c r="BJ782" s="199"/>
      <c r="BK782" s="14"/>
      <c r="BL782" s="14"/>
      <c r="BM782" s="14"/>
      <c r="BN782" s="14"/>
      <c r="BO782" s="14"/>
      <c r="BP782" s="14"/>
      <c r="BQ782" s="14"/>
      <c r="BR782" s="14"/>
      <c r="BS782" s="14"/>
      <c r="BT782" s="14"/>
      <c r="BU782" s="14"/>
      <c r="BV782" s="14"/>
      <c r="BW782" s="14"/>
      <c r="BX782" s="14"/>
      <c r="BY782" s="170"/>
    </row>
    <row r="783" spans="9:77" x14ac:dyDescent="0.25">
      <c r="I783">
        <v>7560</v>
      </c>
      <c r="J783" s="1" t="s">
        <v>957</v>
      </c>
      <c r="K783">
        <v>599.82000000000005</v>
      </c>
      <c r="L783">
        <v>566.21666666666601</v>
      </c>
      <c r="M783">
        <v>587.69000000000005</v>
      </c>
      <c r="N783">
        <v>572.31333333333305</v>
      </c>
      <c r="O783">
        <v>565.58000000000004</v>
      </c>
      <c r="P783">
        <v>560.30333333333294</v>
      </c>
      <c r="Q783">
        <v>583.19333333333304</v>
      </c>
      <c r="R783">
        <v>528.736666666666</v>
      </c>
      <c r="S783">
        <v>566.24</v>
      </c>
      <c r="T783">
        <v>541.21666666666601</v>
      </c>
      <c r="U783">
        <v>528.33666666666602</v>
      </c>
      <c r="V783">
        <v>517.84</v>
      </c>
      <c r="W783">
        <v>585.84333333333302</v>
      </c>
      <c r="X783">
        <v>558.55666666666605</v>
      </c>
      <c r="Y783">
        <v>569.41666666666595</v>
      </c>
      <c r="Z783">
        <v>567.49</v>
      </c>
      <c r="AA783">
        <v>562.02666666666596</v>
      </c>
      <c r="AB783">
        <v>562.02666666666596</v>
      </c>
      <c r="AC783">
        <v>600.53</v>
      </c>
      <c r="AD783">
        <v>563.243333333333</v>
      </c>
      <c r="AE783">
        <v>587.25999999999897</v>
      </c>
      <c r="AF783">
        <v>576.53999999999905</v>
      </c>
      <c r="AG783">
        <v>569.81333333333305</v>
      </c>
      <c r="AH783">
        <v>566.52666666666596</v>
      </c>
      <c r="AI783">
        <v>599.82000000000005</v>
      </c>
      <c r="AJ783">
        <v>566.21666666666601</v>
      </c>
      <c r="AK783">
        <v>587.69000000000005</v>
      </c>
      <c r="AL783">
        <v>572.31333333333305</v>
      </c>
      <c r="AM783">
        <v>565.58000000000004</v>
      </c>
      <c r="AN783">
        <v>560.30333333333294</v>
      </c>
      <c r="AO783">
        <v>595.87333333333299</v>
      </c>
      <c r="AP783">
        <v>530.95333333333303</v>
      </c>
      <c r="AQ783">
        <v>577.42333333333295</v>
      </c>
      <c r="AR783">
        <v>546.11666666666599</v>
      </c>
      <c r="AS783">
        <v>528.49666666666599</v>
      </c>
      <c r="AT783">
        <v>514.13333333333298</v>
      </c>
      <c r="AU783">
        <v>608.236666666666</v>
      </c>
      <c r="AV783">
        <v>556.81666666666604</v>
      </c>
      <c r="AW783">
        <v>592.113333333333</v>
      </c>
      <c r="AX783">
        <v>568.74</v>
      </c>
      <c r="AY783">
        <v>556.46666666666601</v>
      </c>
      <c r="AZ783">
        <v>547.363333333333</v>
      </c>
      <c r="BA783">
        <v>597.61</v>
      </c>
      <c r="BB783">
        <v>545.95000000000005</v>
      </c>
      <c r="BC783">
        <v>581.65666666666596</v>
      </c>
      <c r="BD783">
        <v>557.74666666666599</v>
      </c>
      <c r="BE783">
        <v>545.26666666666597</v>
      </c>
      <c r="BF783">
        <v>535.77</v>
      </c>
      <c r="BG783" s="14"/>
      <c r="BH783" s="14"/>
      <c r="BI783" s="14"/>
      <c r="BJ783" s="199"/>
      <c r="BK783" s="14"/>
      <c r="BL783" s="14"/>
      <c r="BM783" s="14"/>
      <c r="BN783" s="14"/>
      <c r="BO783" s="14"/>
      <c r="BP783" s="14"/>
      <c r="BQ783" s="14"/>
      <c r="BR783" s="14"/>
      <c r="BS783" s="14"/>
      <c r="BT783" s="14"/>
      <c r="BU783" s="14"/>
      <c r="BV783" s="14"/>
      <c r="BW783" s="14"/>
      <c r="BX783" s="14"/>
      <c r="BY783" s="170"/>
    </row>
    <row r="784" spans="9:77" x14ac:dyDescent="0.25">
      <c r="I784">
        <v>7570</v>
      </c>
      <c r="J784" s="1" t="s">
        <v>958</v>
      </c>
      <c r="K784">
        <v>638.38999999999896</v>
      </c>
      <c r="L784">
        <v>607.71333333333303</v>
      </c>
      <c r="M784">
        <v>627.30999999999904</v>
      </c>
      <c r="N784">
        <v>613.31333333333305</v>
      </c>
      <c r="O784">
        <v>607.12666666666598</v>
      </c>
      <c r="P784">
        <v>602.59333333333302</v>
      </c>
      <c r="Q784">
        <v>618.70333333333303</v>
      </c>
      <c r="R784">
        <v>567.45666666666602</v>
      </c>
      <c r="S784">
        <v>602.113333333333</v>
      </c>
      <c r="T784">
        <v>579.20333333333303</v>
      </c>
      <c r="U784">
        <v>567.45666666666602</v>
      </c>
      <c r="V784">
        <v>558.41666666666595</v>
      </c>
      <c r="W784">
        <v>622.15666666666596</v>
      </c>
      <c r="X784">
        <v>594.95666666666602</v>
      </c>
      <c r="Y784">
        <v>605.55666666666605</v>
      </c>
      <c r="Z784">
        <v>603.66666666666595</v>
      </c>
      <c r="AA784">
        <v>598.33999999999901</v>
      </c>
      <c r="AB784">
        <v>598.33999999999901</v>
      </c>
      <c r="AC784">
        <v>641.03333333333296</v>
      </c>
      <c r="AD784">
        <v>606.72666666666601</v>
      </c>
      <c r="AE784">
        <v>628.606666666666</v>
      </c>
      <c r="AF784">
        <v>618.55666666666605</v>
      </c>
      <c r="AG784">
        <v>612.37999999999897</v>
      </c>
      <c r="AH784">
        <v>609.44666666666603</v>
      </c>
      <c r="AI784">
        <v>638.38999999999896</v>
      </c>
      <c r="AJ784">
        <v>607.71333333333303</v>
      </c>
      <c r="AK784">
        <v>627.30999999999904</v>
      </c>
      <c r="AL784">
        <v>613.31333333333305</v>
      </c>
      <c r="AM784">
        <v>607.12666666666598</v>
      </c>
      <c r="AN784">
        <v>602.59333333333302</v>
      </c>
      <c r="AO784">
        <v>633.03333333333296</v>
      </c>
      <c r="AP784">
        <v>569.58999999999901</v>
      </c>
      <c r="AQ784">
        <v>614.82666666666603</v>
      </c>
      <c r="AR784">
        <v>584.106666666666</v>
      </c>
      <c r="AS784">
        <v>567.68666666666604</v>
      </c>
      <c r="AT784">
        <v>555.57666666666603</v>
      </c>
      <c r="AU784">
        <v>646.54333333333295</v>
      </c>
      <c r="AV784">
        <v>597.09666666666601</v>
      </c>
      <c r="AW784">
        <v>630.90999999999894</v>
      </c>
      <c r="AX784">
        <v>609.00666666666598</v>
      </c>
      <c r="AY784">
        <v>597.71666666666601</v>
      </c>
      <c r="AZ784">
        <v>589.70999999999901</v>
      </c>
      <c r="BA784">
        <v>638.27333333333297</v>
      </c>
      <c r="BB784">
        <v>587.41666666666595</v>
      </c>
      <c r="BC784">
        <v>621.71666666666601</v>
      </c>
      <c r="BD784">
        <v>599.08666666666602</v>
      </c>
      <c r="BE784">
        <v>587.29333333333295</v>
      </c>
      <c r="BF784">
        <v>578.86666666666599</v>
      </c>
      <c r="BG784" s="14"/>
      <c r="BH784" s="14"/>
      <c r="BI784" s="14"/>
      <c r="BJ784" s="199"/>
      <c r="BK784" s="14"/>
      <c r="BL784" s="14"/>
      <c r="BM784" s="14"/>
      <c r="BN784" s="14"/>
      <c r="BO784" s="14"/>
      <c r="BP784" s="14"/>
      <c r="BQ784" s="14"/>
      <c r="BR784" s="14"/>
      <c r="BS784" s="14"/>
      <c r="BT784" s="14"/>
      <c r="BU784" s="14"/>
      <c r="BV784" s="14"/>
      <c r="BW784" s="14"/>
      <c r="BX784" s="14"/>
      <c r="BY784" s="170"/>
    </row>
    <row r="785" spans="9:77" x14ac:dyDescent="0.25">
      <c r="I785">
        <v>7600</v>
      </c>
      <c r="J785" s="1" t="s">
        <v>959</v>
      </c>
      <c r="K785">
        <v>555.09666666666601</v>
      </c>
      <c r="L785">
        <v>519.14333333333298</v>
      </c>
      <c r="M785">
        <v>542.34</v>
      </c>
      <c r="N785">
        <v>526.29666666666606</v>
      </c>
      <c r="O785">
        <v>518.863333333333</v>
      </c>
      <c r="P785">
        <v>513.64333333333298</v>
      </c>
      <c r="Q785">
        <v>530.64666666666596</v>
      </c>
      <c r="R785">
        <v>475.72333333333302</v>
      </c>
      <c r="S785">
        <v>511.52333333333303</v>
      </c>
      <c r="T785">
        <v>487.863333333333</v>
      </c>
      <c r="U785">
        <v>475.803333333333</v>
      </c>
      <c r="V785">
        <v>466.89666666666602</v>
      </c>
      <c r="W785">
        <v>534.34333333333302</v>
      </c>
      <c r="X785">
        <v>504.26666666666603</v>
      </c>
      <c r="Y785">
        <v>515.62</v>
      </c>
      <c r="Z785">
        <v>513.61666666666599</v>
      </c>
      <c r="AA785">
        <v>507.83333333333297</v>
      </c>
      <c r="AB785">
        <v>507.83333333333297</v>
      </c>
      <c r="AC785">
        <v>554.993333333333</v>
      </c>
      <c r="AD785">
        <v>515.20333333333303</v>
      </c>
      <c r="AE785">
        <v>540.90999999999894</v>
      </c>
      <c r="AF785">
        <v>529.55999999999995</v>
      </c>
      <c r="AG785">
        <v>522.07333333333304</v>
      </c>
      <c r="AH785">
        <v>518.58000000000004</v>
      </c>
      <c r="AI785">
        <v>555.09666666666601</v>
      </c>
      <c r="AJ785">
        <v>519.14333333333298</v>
      </c>
      <c r="AK785">
        <v>542.34</v>
      </c>
      <c r="AL785">
        <v>526.29666666666606</v>
      </c>
      <c r="AM785">
        <v>518.863333333333</v>
      </c>
      <c r="AN785">
        <v>513.64333333333298</v>
      </c>
      <c r="AO785">
        <v>541.34</v>
      </c>
      <c r="AP785">
        <v>475.09</v>
      </c>
      <c r="AQ785">
        <v>521.46666666666601</v>
      </c>
      <c r="AR785">
        <v>490.21333333333303</v>
      </c>
      <c r="AS785">
        <v>473.236666666666</v>
      </c>
      <c r="AT785">
        <v>459.46</v>
      </c>
      <c r="AU785">
        <v>557.58666666666602</v>
      </c>
      <c r="AV785">
        <v>504.43</v>
      </c>
      <c r="AW785">
        <v>539.76999999999896</v>
      </c>
      <c r="AX785">
        <v>516.61999999999898</v>
      </c>
      <c r="AY785">
        <v>504.38666666666597</v>
      </c>
      <c r="AZ785">
        <v>495.57666666666597</v>
      </c>
      <c r="BA785">
        <v>548.82333333333304</v>
      </c>
      <c r="BB785">
        <v>494.72333333333302</v>
      </c>
      <c r="BC785">
        <v>530.89333333333298</v>
      </c>
      <c r="BD785">
        <v>506.993333333333</v>
      </c>
      <c r="BE785">
        <v>494.62333333333299</v>
      </c>
      <c r="BF785">
        <v>485.12333333333299</v>
      </c>
      <c r="BG785" s="14"/>
      <c r="BH785" s="14"/>
      <c r="BI785" s="14"/>
      <c r="BJ785" s="199"/>
      <c r="BK785" s="14"/>
      <c r="BL785" s="14"/>
      <c r="BM785" s="14"/>
      <c r="BN785" s="14"/>
      <c r="BO785" s="14"/>
      <c r="BP785" s="14"/>
      <c r="BQ785" s="14"/>
      <c r="BR785" s="14"/>
      <c r="BS785" s="14"/>
      <c r="BT785" s="14"/>
      <c r="BU785" s="14"/>
      <c r="BV785" s="14"/>
      <c r="BW785" s="14"/>
      <c r="BX785" s="14"/>
      <c r="BY785" s="170"/>
    </row>
    <row r="786" spans="9:77" x14ac:dyDescent="0.25">
      <c r="I786">
        <v>7620</v>
      </c>
      <c r="J786" s="1" t="s">
        <v>960</v>
      </c>
      <c r="K786">
        <v>585.09666666666601</v>
      </c>
      <c r="L786">
        <v>549.14333333333298</v>
      </c>
      <c r="M786">
        <v>572.34</v>
      </c>
      <c r="N786">
        <v>556.29666666666606</v>
      </c>
      <c r="O786">
        <v>548.863333333333</v>
      </c>
      <c r="P786">
        <v>543.64333333333298</v>
      </c>
      <c r="Q786">
        <v>560.64666666666596</v>
      </c>
      <c r="R786">
        <v>505.72333333333302</v>
      </c>
      <c r="S786">
        <v>541.52333333333297</v>
      </c>
      <c r="T786">
        <v>517.863333333333</v>
      </c>
      <c r="U786">
        <v>505.803333333333</v>
      </c>
      <c r="V786">
        <v>496.89666666666602</v>
      </c>
      <c r="W786">
        <v>564.34333333333302</v>
      </c>
      <c r="X786">
        <v>534.26666666666597</v>
      </c>
      <c r="Y786">
        <v>545.61999999999898</v>
      </c>
      <c r="Z786">
        <v>543.61666666666599</v>
      </c>
      <c r="AA786">
        <v>537.83333333333303</v>
      </c>
      <c r="AB786">
        <v>537.83333333333303</v>
      </c>
      <c r="AC786">
        <v>584.993333333333</v>
      </c>
      <c r="AD786">
        <v>545.20333333333303</v>
      </c>
      <c r="AE786">
        <v>570.90999999999894</v>
      </c>
      <c r="AF786">
        <v>559.55999999999904</v>
      </c>
      <c r="AG786">
        <v>552.07333333333304</v>
      </c>
      <c r="AH786">
        <v>548.57999999999902</v>
      </c>
      <c r="AI786">
        <v>585.09666666666601</v>
      </c>
      <c r="AJ786">
        <v>549.14333333333298</v>
      </c>
      <c r="AK786">
        <v>572.34</v>
      </c>
      <c r="AL786">
        <v>556.29666666666606</v>
      </c>
      <c r="AM786">
        <v>548.863333333333</v>
      </c>
      <c r="AN786">
        <v>543.64333333333298</v>
      </c>
      <c r="AO786">
        <v>571.33999999999901</v>
      </c>
      <c r="AP786">
        <v>505.09</v>
      </c>
      <c r="AQ786">
        <v>551.46666666666601</v>
      </c>
      <c r="AR786">
        <v>520.21333333333303</v>
      </c>
      <c r="AS786">
        <v>503.236666666666</v>
      </c>
      <c r="AT786">
        <v>489.46</v>
      </c>
      <c r="AU786">
        <v>587.58666666666602</v>
      </c>
      <c r="AV786">
        <v>534.42999999999995</v>
      </c>
      <c r="AW786">
        <v>569.76999999999896</v>
      </c>
      <c r="AX786">
        <v>546.61999999999898</v>
      </c>
      <c r="AY786">
        <v>534.38666666666597</v>
      </c>
      <c r="AZ786">
        <v>525.57666666666603</v>
      </c>
      <c r="BA786">
        <v>578.82333333333304</v>
      </c>
      <c r="BB786">
        <v>524.72333333333302</v>
      </c>
      <c r="BC786">
        <v>560.89333333333298</v>
      </c>
      <c r="BD786">
        <v>536.993333333333</v>
      </c>
      <c r="BE786">
        <v>524.62333333333299</v>
      </c>
      <c r="BF786">
        <v>515.12333333333299</v>
      </c>
      <c r="BG786" s="14"/>
      <c r="BH786" s="14"/>
      <c r="BI786" s="14"/>
      <c r="BJ786" s="199"/>
      <c r="BK786" s="14"/>
      <c r="BL786" s="14"/>
      <c r="BM786" s="14"/>
      <c r="BN786" s="14"/>
      <c r="BO786" s="14"/>
      <c r="BP786" s="14"/>
      <c r="BQ786" s="14"/>
      <c r="BR786" s="14"/>
      <c r="BS786" s="14"/>
      <c r="BT786" s="14"/>
      <c r="BU786" s="14"/>
      <c r="BV786" s="14"/>
      <c r="BW786" s="14"/>
      <c r="BX786" s="14"/>
      <c r="BY786" s="170"/>
    </row>
    <row r="787" spans="9:77" x14ac:dyDescent="0.25">
      <c r="I787">
        <v>7650</v>
      </c>
      <c r="J787" s="1" t="s">
        <v>961</v>
      </c>
      <c r="K787">
        <v>573.16999999999996</v>
      </c>
      <c r="L787">
        <v>542.493333333333</v>
      </c>
      <c r="M787">
        <v>562.09</v>
      </c>
      <c r="N787">
        <v>548.09333333333302</v>
      </c>
      <c r="O787">
        <v>541.90666666666596</v>
      </c>
      <c r="P787">
        <v>537.37333333333299</v>
      </c>
      <c r="Q787">
        <v>553.48333333333301</v>
      </c>
      <c r="R787">
        <v>502.236666666666</v>
      </c>
      <c r="S787">
        <v>536.89333333333298</v>
      </c>
      <c r="T787">
        <v>513.98333333333301</v>
      </c>
      <c r="U787">
        <v>502.236666666666</v>
      </c>
      <c r="V787">
        <v>493.19666666666598</v>
      </c>
      <c r="W787">
        <v>556.93666666666604</v>
      </c>
      <c r="X787">
        <v>529.736666666666</v>
      </c>
      <c r="Y787">
        <v>540.33666666666602</v>
      </c>
      <c r="Z787">
        <v>538.44666666666603</v>
      </c>
      <c r="AA787">
        <v>533.12</v>
      </c>
      <c r="AB787">
        <v>533.12</v>
      </c>
      <c r="AC787">
        <v>575.81333333333305</v>
      </c>
      <c r="AD787">
        <v>541.50666666666598</v>
      </c>
      <c r="AE787">
        <v>563.38666666666597</v>
      </c>
      <c r="AF787">
        <v>553.33666666666602</v>
      </c>
      <c r="AG787">
        <v>547.16</v>
      </c>
      <c r="AH787">
        <v>544.22666666666601</v>
      </c>
      <c r="AI787">
        <v>573.16999999999996</v>
      </c>
      <c r="AJ787">
        <v>542.493333333333</v>
      </c>
      <c r="AK787">
        <v>562.09</v>
      </c>
      <c r="AL787">
        <v>548.09333333333302</v>
      </c>
      <c r="AM787">
        <v>541.90666666666596</v>
      </c>
      <c r="AN787">
        <v>537.37333333333299</v>
      </c>
      <c r="AO787">
        <v>567.81333333333305</v>
      </c>
      <c r="AP787">
        <v>504.37</v>
      </c>
      <c r="AQ787">
        <v>549.606666666666</v>
      </c>
      <c r="AR787">
        <v>518.88666666666597</v>
      </c>
      <c r="AS787">
        <v>502.46666666666601</v>
      </c>
      <c r="AT787">
        <v>490.356666666666</v>
      </c>
      <c r="AU787">
        <v>581.32333333333304</v>
      </c>
      <c r="AV787">
        <v>531.87666666666598</v>
      </c>
      <c r="AW787">
        <v>565.69000000000005</v>
      </c>
      <c r="AX787">
        <v>543.78666666666595</v>
      </c>
      <c r="AY787">
        <v>532.49666666666599</v>
      </c>
      <c r="AZ787">
        <v>524.49</v>
      </c>
      <c r="BA787">
        <v>573.05333333333294</v>
      </c>
      <c r="BB787">
        <v>522.19666666666603</v>
      </c>
      <c r="BC787">
        <v>556.49666666666599</v>
      </c>
      <c r="BD787">
        <v>533.86666666666599</v>
      </c>
      <c r="BE787">
        <v>522.07333333333304</v>
      </c>
      <c r="BF787">
        <v>513.64666666666596</v>
      </c>
      <c r="BG787" s="14"/>
      <c r="BH787" s="14"/>
      <c r="BI787" s="14"/>
      <c r="BJ787" s="199"/>
      <c r="BK787" s="14"/>
      <c r="BL787" s="14"/>
      <c r="BM787" s="14"/>
      <c r="BN787" s="14"/>
      <c r="BO787" s="14"/>
      <c r="BP787" s="14"/>
      <c r="BQ787" s="14"/>
      <c r="BR787" s="14"/>
      <c r="BS787" s="14"/>
      <c r="BT787" s="14"/>
      <c r="BU787" s="14"/>
      <c r="BV787" s="14"/>
      <c r="BW787" s="14"/>
      <c r="BX787" s="14"/>
      <c r="BY787" s="170"/>
    </row>
    <row r="788" spans="9:77" x14ac:dyDescent="0.25">
      <c r="I788">
        <v>7660</v>
      </c>
      <c r="J788" s="1" t="s">
        <v>962</v>
      </c>
      <c r="K788">
        <v>638.5</v>
      </c>
      <c r="L788">
        <v>607.82333333333304</v>
      </c>
      <c r="M788">
        <v>627.41999999999905</v>
      </c>
      <c r="N788">
        <v>613.42333333333295</v>
      </c>
      <c r="O788">
        <v>607.236666666666</v>
      </c>
      <c r="P788">
        <v>602.70333333333303</v>
      </c>
      <c r="Q788">
        <v>618.81333333333305</v>
      </c>
      <c r="R788">
        <v>567.56666666666604</v>
      </c>
      <c r="S788">
        <v>602.22333333333302</v>
      </c>
      <c r="T788">
        <v>579.31333333333305</v>
      </c>
      <c r="U788">
        <v>567.56666666666604</v>
      </c>
      <c r="V788">
        <v>558.52666666666596</v>
      </c>
      <c r="W788">
        <v>622.26666666666597</v>
      </c>
      <c r="X788">
        <v>595.06666666666604</v>
      </c>
      <c r="Y788">
        <v>605.66666666666595</v>
      </c>
      <c r="Z788">
        <v>603.77666666666596</v>
      </c>
      <c r="AA788">
        <v>598.44999999999902</v>
      </c>
      <c r="AB788">
        <v>598.44999999999902</v>
      </c>
      <c r="AC788">
        <v>641.14333333333298</v>
      </c>
      <c r="AD788">
        <v>606.83666666666602</v>
      </c>
      <c r="AE788">
        <v>628.71666666666601</v>
      </c>
      <c r="AF788">
        <v>618.66666666666595</v>
      </c>
      <c r="AG788">
        <v>612.49</v>
      </c>
      <c r="AH788">
        <v>609.55666666666605</v>
      </c>
      <c r="AI788">
        <v>638.5</v>
      </c>
      <c r="AJ788">
        <v>607.82333333333304</v>
      </c>
      <c r="AK788">
        <v>627.41999999999905</v>
      </c>
      <c r="AL788">
        <v>613.42333333333295</v>
      </c>
      <c r="AM788">
        <v>607.236666666666</v>
      </c>
      <c r="AN788">
        <v>602.70333333333303</v>
      </c>
      <c r="AO788">
        <v>633.14333333333298</v>
      </c>
      <c r="AP788">
        <v>569.70000000000005</v>
      </c>
      <c r="AQ788">
        <v>614.93666666666604</v>
      </c>
      <c r="AR788">
        <v>584.21666666666601</v>
      </c>
      <c r="AS788">
        <v>567.79666666666606</v>
      </c>
      <c r="AT788">
        <v>555.68666666666604</v>
      </c>
      <c r="AU788">
        <v>646.65333333333297</v>
      </c>
      <c r="AV788">
        <v>597.20666666666602</v>
      </c>
      <c r="AW788">
        <v>631.01999999999896</v>
      </c>
      <c r="AX788">
        <v>609.11666666666599</v>
      </c>
      <c r="AY788">
        <v>597.82666666666603</v>
      </c>
      <c r="AZ788">
        <v>589.81999999999903</v>
      </c>
      <c r="BA788">
        <v>638.38333333333298</v>
      </c>
      <c r="BB788">
        <v>587.52666666666596</v>
      </c>
      <c r="BC788">
        <v>621.82666666666603</v>
      </c>
      <c r="BD788">
        <v>599.19666666666603</v>
      </c>
      <c r="BE788">
        <v>587.40333333333297</v>
      </c>
      <c r="BF788">
        <v>578.97666666666601</v>
      </c>
      <c r="BG788" s="14"/>
      <c r="BH788" s="14"/>
      <c r="BI788" s="14"/>
      <c r="BJ788" s="199"/>
      <c r="BK788" s="14"/>
      <c r="BL788" s="14"/>
      <c r="BM788" s="14"/>
      <c r="BN788" s="14"/>
      <c r="BO788" s="14"/>
      <c r="BP788" s="14"/>
      <c r="BQ788" s="14"/>
      <c r="BR788" s="14"/>
      <c r="BS788" s="14"/>
      <c r="BT788" s="14"/>
      <c r="BU788" s="14"/>
      <c r="BV788" s="14"/>
      <c r="BW788" s="14"/>
      <c r="BX788" s="14"/>
      <c r="BY788" s="170"/>
    </row>
    <row r="789" spans="9:77" x14ac:dyDescent="0.25">
      <c r="I789">
        <v>7673</v>
      </c>
      <c r="J789" s="1" t="s">
        <v>963</v>
      </c>
      <c r="K789">
        <v>517.57666666666603</v>
      </c>
      <c r="L789">
        <v>481.62333333333299</v>
      </c>
      <c r="M789">
        <v>504.82</v>
      </c>
      <c r="N789">
        <v>488.77666666666602</v>
      </c>
      <c r="O789">
        <v>481.34333333333302</v>
      </c>
      <c r="P789">
        <v>476.12333333333299</v>
      </c>
      <c r="Q789">
        <v>493.12666666666598</v>
      </c>
      <c r="R789">
        <v>438.20333333333298</v>
      </c>
      <c r="S789">
        <v>474.00333333333299</v>
      </c>
      <c r="T789">
        <v>450.34333333333302</v>
      </c>
      <c r="U789">
        <v>438.28333333333302</v>
      </c>
      <c r="V789">
        <v>429.37666666666598</v>
      </c>
      <c r="W789">
        <v>496.82333333333298</v>
      </c>
      <c r="X789">
        <v>466.74666666666599</v>
      </c>
      <c r="Y789">
        <v>478.1</v>
      </c>
      <c r="Z789">
        <v>476.09666666666601</v>
      </c>
      <c r="AA789">
        <v>470.31333333333299</v>
      </c>
      <c r="AB789">
        <v>470.31333333333299</v>
      </c>
      <c r="AC789">
        <v>517.47333333333302</v>
      </c>
      <c r="AD789">
        <v>477.683333333333</v>
      </c>
      <c r="AE789">
        <v>503.38999999999902</v>
      </c>
      <c r="AF789">
        <v>492.04</v>
      </c>
      <c r="AG789">
        <v>484.553333333333</v>
      </c>
      <c r="AH789">
        <v>481.06</v>
      </c>
      <c r="AI789">
        <v>517.57666666666603</v>
      </c>
      <c r="AJ789">
        <v>481.62333333333299</v>
      </c>
      <c r="AK789">
        <v>504.82</v>
      </c>
      <c r="AL789">
        <v>488.77666666666602</v>
      </c>
      <c r="AM789">
        <v>481.34333333333302</v>
      </c>
      <c r="AN789">
        <v>476.12333333333299</v>
      </c>
      <c r="AO789">
        <v>503.82</v>
      </c>
      <c r="AP789">
        <v>437.57</v>
      </c>
      <c r="AQ789">
        <v>483.94666666666598</v>
      </c>
      <c r="AR789">
        <v>452.69333333333299</v>
      </c>
      <c r="AS789">
        <v>435.71666666666601</v>
      </c>
      <c r="AT789">
        <v>421.94</v>
      </c>
      <c r="AU789">
        <v>520.06666666666604</v>
      </c>
      <c r="AV789">
        <v>466.91</v>
      </c>
      <c r="AW789">
        <v>502.25</v>
      </c>
      <c r="AX789">
        <v>479.099999999999</v>
      </c>
      <c r="AY789">
        <v>466.86666666666599</v>
      </c>
      <c r="AZ789">
        <v>458.05666666666599</v>
      </c>
      <c r="BA789">
        <v>511.303333333333</v>
      </c>
      <c r="BB789">
        <v>457.20333333333298</v>
      </c>
      <c r="BC789">
        <v>493.37333333333299</v>
      </c>
      <c r="BD789">
        <v>469.47333333333302</v>
      </c>
      <c r="BE789">
        <v>457.10333333333301</v>
      </c>
      <c r="BF789">
        <v>447.60333333333301</v>
      </c>
      <c r="BG789" s="14"/>
      <c r="BH789" s="14"/>
      <c r="BI789" s="14"/>
      <c r="BJ789" s="199"/>
      <c r="BK789" s="14"/>
      <c r="BL789" s="14"/>
      <c r="BM789" s="14"/>
      <c r="BN789" s="14"/>
      <c r="BO789" s="14"/>
      <c r="BP789" s="14"/>
      <c r="BQ789" s="14"/>
      <c r="BR789" s="14"/>
      <c r="BS789" s="14"/>
      <c r="BT789" s="14"/>
      <c r="BU789" s="14"/>
      <c r="BV789" s="14"/>
      <c r="BW789" s="14"/>
      <c r="BX789" s="14"/>
      <c r="BY789" s="170"/>
    </row>
    <row r="790" spans="9:77" x14ac:dyDescent="0.25">
      <c r="I790">
        <v>7680</v>
      </c>
      <c r="J790" s="1" t="s">
        <v>964</v>
      </c>
      <c r="K790">
        <v>513.14666666666596</v>
      </c>
      <c r="L790">
        <v>477.19333333333299</v>
      </c>
      <c r="M790">
        <v>500.39</v>
      </c>
      <c r="N790">
        <v>484.34666666666601</v>
      </c>
      <c r="O790">
        <v>476.91333333333301</v>
      </c>
      <c r="P790">
        <v>471.69333333333299</v>
      </c>
      <c r="Q790">
        <v>488.69666666666598</v>
      </c>
      <c r="R790">
        <v>433.77333333333303</v>
      </c>
      <c r="S790">
        <v>469.57333333333298</v>
      </c>
      <c r="T790">
        <v>445.91333333333301</v>
      </c>
      <c r="U790">
        <v>433.85333333333301</v>
      </c>
      <c r="V790">
        <v>424.94666666666598</v>
      </c>
      <c r="W790">
        <v>492.39333333333298</v>
      </c>
      <c r="X790">
        <v>462.31666666666598</v>
      </c>
      <c r="Y790">
        <v>473.67</v>
      </c>
      <c r="Z790">
        <v>471.666666666666</v>
      </c>
      <c r="AA790">
        <v>465.88333333333298</v>
      </c>
      <c r="AB790">
        <v>465.88333333333298</v>
      </c>
      <c r="AC790">
        <v>513.04333333333295</v>
      </c>
      <c r="AD790">
        <v>473.25333333333299</v>
      </c>
      <c r="AE790">
        <v>498.95999999999901</v>
      </c>
      <c r="AF790">
        <v>487.61</v>
      </c>
      <c r="AG790">
        <v>480.12333333333299</v>
      </c>
      <c r="AH790">
        <v>476.63</v>
      </c>
      <c r="AI790">
        <v>513.14666666666596</v>
      </c>
      <c r="AJ790">
        <v>477.19333333333299</v>
      </c>
      <c r="AK790">
        <v>500.39</v>
      </c>
      <c r="AL790">
        <v>484.34666666666601</v>
      </c>
      <c r="AM790">
        <v>476.91333333333301</v>
      </c>
      <c r="AN790">
        <v>471.69333333333299</v>
      </c>
      <c r="AO790">
        <v>499.39</v>
      </c>
      <c r="AP790">
        <v>433.14</v>
      </c>
      <c r="AQ790">
        <v>479.51666666666603</v>
      </c>
      <c r="AR790">
        <v>448.26333333333298</v>
      </c>
      <c r="AS790">
        <v>431.28666666666601</v>
      </c>
      <c r="AT790">
        <v>417.51</v>
      </c>
      <c r="AU790">
        <v>515.63666666666597</v>
      </c>
      <c r="AV790">
        <v>462.48</v>
      </c>
      <c r="AW790">
        <v>497.81999999999903</v>
      </c>
      <c r="AX790">
        <v>474.66999999999899</v>
      </c>
      <c r="AY790">
        <v>462.43666666666599</v>
      </c>
      <c r="AZ790">
        <v>453.62666666666598</v>
      </c>
      <c r="BA790">
        <v>506.87333333333299</v>
      </c>
      <c r="BB790">
        <v>452.77333333333303</v>
      </c>
      <c r="BC790">
        <v>488.94333333333299</v>
      </c>
      <c r="BD790">
        <v>465.04333333333301</v>
      </c>
      <c r="BE790">
        <v>452.67333333333301</v>
      </c>
      <c r="BF790">
        <v>443.17333333333301</v>
      </c>
      <c r="BG790" s="14"/>
      <c r="BH790" s="14"/>
      <c r="BI790" s="14"/>
      <c r="BJ790" s="199"/>
      <c r="BK790" s="14"/>
      <c r="BL790" s="14"/>
      <c r="BM790" s="14"/>
      <c r="BN790" s="14"/>
      <c r="BO790" s="14"/>
      <c r="BP790" s="14"/>
      <c r="BQ790" s="14"/>
      <c r="BR790" s="14"/>
      <c r="BS790" s="14"/>
      <c r="BT790" s="14"/>
      <c r="BU790" s="14"/>
      <c r="BV790" s="14"/>
      <c r="BW790" s="14"/>
      <c r="BX790" s="14"/>
      <c r="BY790" s="170"/>
    </row>
    <row r="791" spans="9:77" x14ac:dyDescent="0.25">
      <c r="I791">
        <v>7700</v>
      </c>
      <c r="J791" s="1" t="s">
        <v>965</v>
      </c>
      <c r="K791">
        <v>560.57666666666603</v>
      </c>
      <c r="L791">
        <v>524.62333333333299</v>
      </c>
      <c r="M791">
        <v>547.82000000000005</v>
      </c>
      <c r="N791">
        <v>531.77666666666596</v>
      </c>
      <c r="O791">
        <v>524.34333333333302</v>
      </c>
      <c r="P791">
        <v>519.12333333333299</v>
      </c>
      <c r="Q791">
        <v>536.12666666666598</v>
      </c>
      <c r="R791">
        <v>481.20333333333298</v>
      </c>
      <c r="S791">
        <v>517.00333333333299</v>
      </c>
      <c r="T791">
        <v>493.34333333333302</v>
      </c>
      <c r="U791">
        <v>481.28333333333302</v>
      </c>
      <c r="V791">
        <v>472.37666666666598</v>
      </c>
      <c r="W791">
        <v>539.82333333333304</v>
      </c>
      <c r="X791">
        <v>509.74666666666599</v>
      </c>
      <c r="Y791">
        <v>521.1</v>
      </c>
      <c r="Z791">
        <v>519.09666666666601</v>
      </c>
      <c r="AA791">
        <v>513.31333333333305</v>
      </c>
      <c r="AB791">
        <v>513.31333333333305</v>
      </c>
      <c r="AC791">
        <v>560.47333333333302</v>
      </c>
      <c r="AD791">
        <v>520.68333333333305</v>
      </c>
      <c r="AE791">
        <v>546.38999999999896</v>
      </c>
      <c r="AF791">
        <v>535.04</v>
      </c>
      <c r="AG791">
        <v>527.55333333333294</v>
      </c>
      <c r="AH791">
        <v>524.05999999999995</v>
      </c>
      <c r="AI791">
        <v>560.57666666666603</v>
      </c>
      <c r="AJ791">
        <v>524.62333333333299</v>
      </c>
      <c r="AK791">
        <v>547.82000000000005</v>
      </c>
      <c r="AL791">
        <v>531.77666666666596</v>
      </c>
      <c r="AM791">
        <v>524.34333333333302</v>
      </c>
      <c r="AN791">
        <v>519.12333333333299</v>
      </c>
      <c r="AO791">
        <v>546.82000000000005</v>
      </c>
      <c r="AP791">
        <v>480.57</v>
      </c>
      <c r="AQ791">
        <v>526.94666666666603</v>
      </c>
      <c r="AR791">
        <v>495.69333333333299</v>
      </c>
      <c r="AS791">
        <v>478.71666666666601</v>
      </c>
      <c r="AT791">
        <v>464.94</v>
      </c>
      <c r="AU791">
        <v>563.06666666666604</v>
      </c>
      <c r="AV791">
        <v>509.91</v>
      </c>
      <c r="AW791">
        <v>545.25</v>
      </c>
      <c r="AX791">
        <v>522.099999999999</v>
      </c>
      <c r="AY791">
        <v>509.86666666666599</v>
      </c>
      <c r="AZ791">
        <v>501.05666666666599</v>
      </c>
      <c r="BA791">
        <v>554.30333333333294</v>
      </c>
      <c r="BB791">
        <v>500.20333333333298</v>
      </c>
      <c r="BC791">
        <v>536.37333333333299</v>
      </c>
      <c r="BD791">
        <v>512.47333333333302</v>
      </c>
      <c r="BE791">
        <v>500.10333333333301</v>
      </c>
      <c r="BF791">
        <v>490.60333333333301</v>
      </c>
      <c r="BG791" s="14"/>
      <c r="BH791" s="14"/>
      <c r="BI791" s="14"/>
      <c r="BJ791" s="199"/>
      <c r="BK791" s="14"/>
      <c r="BL791" s="14"/>
      <c r="BM791" s="14"/>
      <c r="BN791" s="14"/>
      <c r="BO791" s="14"/>
      <c r="BP791" s="14"/>
      <c r="BQ791" s="14"/>
      <c r="BR791" s="14"/>
      <c r="BS791" s="14"/>
      <c r="BT791" s="14"/>
      <c r="BU791" s="14"/>
      <c r="BV791" s="14"/>
      <c r="BW791" s="14"/>
      <c r="BX791" s="14"/>
      <c r="BY791" s="170"/>
    </row>
    <row r="792" spans="9:77" x14ac:dyDescent="0.25">
      <c r="I792">
        <v>7730</v>
      </c>
      <c r="J792" s="1" t="s">
        <v>966</v>
      </c>
      <c r="K792">
        <v>555.11666666666599</v>
      </c>
      <c r="L792">
        <v>519.16333333333296</v>
      </c>
      <c r="M792">
        <v>542.36</v>
      </c>
      <c r="N792">
        <v>526.31666666666604</v>
      </c>
      <c r="O792">
        <v>518.88333333333298</v>
      </c>
      <c r="P792">
        <v>513.66333333333296</v>
      </c>
      <c r="Q792">
        <v>530.66666666666595</v>
      </c>
      <c r="R792">
        <v>475.743333333333</v>
      </c>
      <c r="S792">
        <v>511.54333333333301</v>
      </c>
      <c r="T792">
        <v>487.88333333333298</v>
      </c>
      <c r="U792">
        <v>475.82333333333298</v>
      </c>
      <c r="V792">
        <v>466.916666666666</v>
      </c>
      <c r="W792">
        <v>534.363333333333</v>
      </c>
      <c r="X792">
        <v>504.28666666666601</v>
      </c>
      <c r="Y792">
        <v>515.63999999999896</v>
      </c>
      <c r="Z792">
        <v>513.63666666666597</v>
      </c>
      <c r="AA792">
        <v>507.85333333333301</v>
      </c>
      <c r="AB792">
        <v>507.85333333333301</v>
      </c>
      <c r="AC792">
        <v>555.01333333333298</v>
      </c>
      <c r="AD792">
        <v>515.22333333333302</v>
      </c>
      <c r="AE792">
        <v>540.92999999999904</v>
      </c>
      <c r="AF792">
        <v>529.57999999999902</v>
      </c>
      <c r="AG792">
        <v>522.09333333333302</v>
      </c>
      <c r="AH792">
        <v>518.599999999999</v>
      </c>
      <c r="AI792">
        <v>555.11666666666599</v>
      </c>
      <c r="AJ792">
        <v>519.16333333333296</v>
      </c>
      <c r="AK792">
        <v>542.36</v>
      </c>
      <c r="AL792">
        <v>526.31666666666604</v>
      </c>
      <c r="AM792">
        <v>518.88333333333298</v>
      </c>
      <c r="AN792">
        <v>513.66333333333296</v>
      </c>
      <c r="AO792">
        <v>541.35999999999899</v>
      </c>
      <c r="AP792">
        <v>475.11</v>
      </c>
      <c r="AQ792">
        <v>521.486666666666</v>
      </c>
      <c r="AR792">
        <v>490.23333333333301</v>
      </c>
      <c r="AS792">
        <v>473.25666666666598</v>
      </c>
      <c r="AT792">
        <v>459.48</v>
      </c>
      <c r="AU792">
        <v>557.606666666666</v>
      </c>
      <c r="AV792">
        <v>504.44999999999902</v>
      </c>
      <c r="AW792">
        <v>539.78999999999905</v>
      </c>
      <c r="AX792">
        <v>516.63999999999896</v>
      </c>
      <c r="AY792">
        <v>504.40666666666601</v>
      </c>
      <c r="AZ792">
        <v>495.59666666666601</v>
      </c>
      <c r="BA792">
        <v>548.84333333333302</v>
      </c>
      <c r="BB792">
        <v>494.743333333333</v>
      </c>
      <c r="BC792">
        <v>530.91333333333296</v>
      </c>
      <c r="BD792">
        <v>507.01333333333298</v>
      </c>
      <c r="BE792">
        <v>494.64333333333298</v>
      </c>
      <c r="BF792">
        <v>485.14333333333298</v>
      </c>
      <c r="BG792" s="14"/>
      <c r="BH792" s="14"/>
      <c r="BI792" s="14"/>
      <c r="BJ792" s="199"/>
      <c r="BK792" s="14"/>
      <c r="BL792" s="14"/>
      <c r="BM792" s="14"/>
      <c r="BN792" s="14"/>
      <c r="BO792" s="14"/>
      <c r="BP792" s="14"/>
      <c r="BQ792" s="14"/>
      <c r="BR792" s="14"/>
      <c r="BS792" s="14"/>
      <c r="BT792" s="14"/>
      <c r="BU792" s="14"/>
      <c r="BV792" s="14"/>
      <c r="BW792" s="14"/>
      <c r="BX792" s="14"/>
      <c r="BY792" s="170"/>
    </row>
    <row r="793" spans="9:77" x14ac:dyDescent="0.25">
      <c r="I793">
        <v>7741</v>
      </c>
      <c r="J793" s="1" t="s">
        <v>967</v>
      </c>
      <c r="K793">
        <v>486.83666666666602</v>
      </c>
      <c r="L793">
        <v>450.88333333333298</v>
      </c>
      <c r="M793">
        <v>474.07999999999902</v>
      </c>
      <c r="N793">
        <v>458.03666666666601</v>
      </c>
      <c r="O793">
        <v>450.60333333333301</v>
      </c>
      <c r="P793">
        <v>445.38333333333298</v>
      </c>
      <c r="Q793">
        <v>462.38666666666597</v>
      </c>
      <c r="R793">
        <v>407.46333333333303</v>
      </c>
      <c r="S793">
        <v>443.26333333333298</v>
      </c>
      <c r="T793">
        <v>419.60333333333301</v>
      </c>
      <c r="U793">
        <v>407.54333333333301</v>
      </c>
      <c r="V793">
        <v>398.63666666666597</v>
      </c>
      <c r="W793">
        <v>466.08333333333297</v>
      </c>
      <c r="X793">
        <v>436.00666666666598</v>
      </c>
      <c r="Y793">
        <v>447.35999999999899</v>
      </c>
      <c r="Z793">
        <v>445.356666666666</v>
      </c>
      <c r="AA793">
        <v>439.57333333333298</v>
      </c>
      <c r="AB793">
        <v>439.57333333333298</v>
      </c>
      <c r="AC793">
        <v>486.73333333333301</v>
      </c>
      <c r="AD793">
        <v>446.94333333333299</v>
      </c>
      <c r="AE793">
        <v>472.64999999999901</v>
      </c>
      <c r="AF793">
        <v>461.29999999999899</v>
      </c>
      <c r="AG793">
        <v>453.81333333333299</v>
      </c>
      <c r="AH793">
        <v>450.31999999999903</v>
      </c>
      <c r="AI793">
        <v>486.83666666666602</v>
      </c>
      <c r="AJ793">
        <v>450.88333333333298</v>
      </c>
      <c r="AK793">
        <v>474.07999999999902</v>
      </c>
      <c r="AL793">
        <v>458.03666666666601</v>
      </c>
      <c r="AM793">
        <v>450.60333333333301</v>
      </c>
      <c r="AN793">
        <v>445.38333333333298</v>
      </c>
      <c r="AO793">
        <v>473.07999999999902</v>
      </c>
      <c r="AP793">
        <v>406.82999999999902</v>
      </c>
      <c r="AQ793">
        <v>453.20666666666602</v>
      </c>
      <c r="AR793">
        <v>421.95333333333298</v>
      </c>
      <c r="AS793">
        <v>404.97666666666601</v>
      </c>
      <c r="AT793">
        <v>391.19999999999902</v>
      </c>
      <c r="AU793">
        <v>489.32666666666597</v>
      </c>
      <c r="AV793">
        <v>436.16999999999899</v>
      </c>
      <c r="AW793">
        <v>471.50999999999902</v>
      </c>
      <c r="AX793">
        <v>448.35999999999899</v>
      </c>
      <c r="AY793">
        <v>436.12666666666598</v>
      </c>
      <c r="AZ793">
        <v>427.31666666666598</v>
      </c>
      <c r="BA793">
        <v>480.56333333333299</v>
      </c>
      <c r="BB793">
        <v>426.46333333333303</v>
      </c>
      <c r="BC793">
        <v>462.63333333333298</v>
      </c>
      <c r="BD793">
        <v>438.73333333333301</v>
      </c>
      <c r="BE793">
        <v>426.363333333333</v>
      </c>
      <c r="BF793">
        <v>416.863333333333</v>
      </c>
      <c r="BG793" s="14"/>
      <c r="BH793" s="14"/>
      <c r="BI793" s="14"/>
      <c r="BJ793" s="199"/>
      <c r="BK793" s="14"/>
      <c r="BL793" s="14"/>
      <c r="BM793" s="14"/>
      <c r="BN793" s="14"/>
      <c r="BO793" s="14"/>
      <c r="BP793" s="14"/>
      <c r="BQ793" s="14"/>
      <c r="BR793" s="14"/>
      <c r="BS793" s="14"/>
      <c r="BT793" s="14"/>
      <c r="BU793" s="14"/>
      <c r="BV793" s="14"/>
      <c r="BW793" s="14"/>
      <c r="BX793" s="14"/>
      <c r="BY793" s="170"/>
    </row>
    <row r="794" spans="9:77" x14ac:dyDescent="0.25">
      <c r="I794">
        <v>7742</v>
      </c>
      <c r="J794" s="1" t="s">
        <v>968</v>
      </c>
      <c r="K794">
        <v>475.49666666666599</v>
      </c>
      <c r="L794">
        <v>439.54333333333301</v>
      </c>
      <c r="M794">
        <v>462.74</v>
      </c>
      <c r="N794">
        <v>446.69666666666598</v>
      </c>
      <c r="O794">
        <v>439.26333333333298</v>
      </c>
      <c r="P794">
        <v>434.04333333333301</v>
      </c>
      <c r="Q794">
        <v>451.046666666666</v>
      </c>
      <c r="R794">
        <v>396.12333333333299</v>
      </c>
      <c r="S794">
        <v>431.92333333333301</v>
      </c>
      <c r="T794">
        <v>408.26333333333298</v>
      </c>
      <c r="U794">
        <v>396.20333333333298</v>
      </c>
      <c r="V794">
        <v>387.296666666666</v>
      </c>
      <c r="W794">
        <v>454.743333333333</v>
      </c>
      <c r="X794">
        <v>424.666666666666</v>
      </c>
      <c r="Y794">
        <v>436.02</v>
      </c>
      <c r="Z794">
        <v>434.01666666666603</v>
      </c>
      <c r="AA794">
        <v>428.23333333333301</v>
      </c>
      <c r="AB794">
        <v>428.23333333333301</v>
      </c>
      <c r="AC794">
        <v>475.39333333333298</v>
      </c>
      <c r="AD794">
        <v>435.60333333333301</v>
      </c>
      <c r="AE794">
        <v>461.30999999999898</v>
      </c>
      <c r="AF794">
        <v>449.96</v>
      </c>
      <c r="AG794">
        <v>442.47333333333302</v>
      </c>
      <c r="AH794">
        <v>438.98</v>
      </c>
      <c r="AI794">
        <v>475.49666666666599</v>
      </c>
      <c r="AJ794">
        <v>439.54333333333301</v>
      </c>
      <c r="AK794">
        <v>462.74</v>
      </c>
      <c r="AL794">
        <v>446.69666666666598</v>
      </c>
      <c r="AM794">
        <v>439.26333333333298</v>
      </c>
      <c r="AN794">
        <v>434.04333333333301</v>
      </c>
      <c r="AO794">
        <v>461.74</v>
      </c>
      <c r="AP794">
        <v>395.49</v>
      </c>
      <c r="AQ794">
        <v>441.86666666666599</v>
      </c>
      <c r="AR794">
        <v>410.613333333333</v>
      </c>
      <c r="AS794">
        <v>393.63666666666597</v>
      </c>
      <c r="AT794">
        <v>379.86</v>
      </c>
      <c r="AU794">
        <v>477.986666666666</v>
      </c>
      <c r="AV794">
        <v>424.83</v>
      </c>
      <c r="AW794">
        <v>460.17</v>
      </c>
      <c r="AX794">
        <v>437.01999999999902</v>
      </c>
      <c r="AY794">
        <v>424.78666666666601</v>
      </c>
      <c r="AZ794">
        <v>415.97666666666601</v>
      </c>
      <c r="BA794">
        <v>469.22333333333302</v>
      </c>
      <c r="BB794">
        <v>415.12333333333299</v>
      </c>
      <c r="BC794">
        <v>451.29333333333301</v>
      </c>
      <c r="BD794">
        <v>427.39333333333298</v>
      </c>
      <c r="BE794">
        <v>415.02333333333303</v>
      </c>
      <c r="BF794">
        <v>405.52333333333303</v>
      </c>
      <c r="BG794" s="14"/>
      <c r="BH794" s="14"/>
      <c r="BI794" s="14"/>
      <c r="BJ794" s="199"/>
      <c r="BK794" s="14"/>
      <c r="BL794" s="14"/>
      <c r="BM794" s="14"/>
      <c r="BN794" s="14"/>
      <c r="BO794" s="14"/>
      <c r="BP794" s="14"/>
      <c r="BQ794" s="14"/>
      <c r="BR794" s="14"/>
      <c r="BS794" s="14"/>
      <c r="BT794" s="14"/>
      <c r="BU794" s="14"/>
      <c r="BV794" s="14"/>
      <c r="BW794" s="14"/>
      <c r="BX794" s="14"/>
      <c r="BY794" s="170"/>
    </row>
    <row r="795" spans="9:77" x14ac:dyDescent="0.25">
      <c r="I795">
        <v>7752</v>
      </c>
      <c r="J795" s="1" t="s">
        <v>969</v>
      </c>
      <c r="K795">
        <v>592.01666666666597</v>
      </c>
      <c r="L795">
        <v>556.06333333333305</v>
      </c>
      <c r="M795">
        <v>579.26</v>
      </c>
      <c r="N795">
        <v>563.21666666666601</v>
      </c>
      <c r="O795">
        <v>555.78333333333296</v>
      </c>
      <c r="P795">
        <v>550.56333333333305</v>
      </c>
      <c r="Q795">
        <v>567.56666666666604</v>
      </c>
      <c r="R795">
        <v>512.64333333333298</v>
      </c>
      <c r="S795">
        <v>548.44333333333304</v>
      </c>
      <c r="T795">
        <v>524.78333333333296</v>
      </c>
      <c r="U795">
        <v>512.72333333333302</v>
      </c>
      <c r="V795">
        <v>503.81666666666598</v>
      </c>
      <c r="W795">
        <v>571.26333333333298</v>
      </c>
      <c r="X795">
        <v>541.18666666666604</v>
      </c>
      <c r="Y795">
        <v>552.54</v>
      </c>
      <c r="Z795">
        <v>550.53666666666595</v>
      </c>
      <c r="AA795">
        <v>544.75333333333299</v>
      </c>
      <c r="AB795">
        <v>544.75333333333299</v>
      </c>
      <c r="AC795">
        <v>591.91333333333296</v>
      </c>
      <c r="AD795">
        <v>552.12333333333299</v>
      </c>
      <c r="AE795">
        <v>577.83000000000004</v>
      </c>
      <c r="AF795">
        <v>566.48</v>
      </c>
      <c r="AG795">
        <v>558.993333333333</v>
      </c>
      <c r="AH795">
        <v>555.5</v>
      </c>
      <c r="AI795">
        <v>592.01666666666597</v>
      </c>
      <c r="AJ795">
        <v>556.06333333333305</v>
      </c>
      <c r="AK795">
        <v>579.26</v>
      </c>
      <c r="AL795">
        <v>563.21666666666601</v>
      </c>
      <c r="AM795">
        <v>555.78333333333296</v>
      </c>
      <c r="AN795">
        <v>550.56333333333305</v>
      </c>
      <c r="AO795">
        <v>578.26</v>
      </c>
      <c r="AP795">
        <v>512.01</v>
      </c>
      <c r="AQ795">
        <v>558.38666666666597</v>
      </c>
      <c r="AR795">
        <v>527.13333333333298</v>
      </c>
      <c r="AS795">
        <v>510.15666666666601</v>
      </c>
      <c r="AT795">
        <v>496.38</v>
      </c>
      <c r="AU795">
        <v>594.50666666666598</v>
      </c>
      <c r="AV795">
        <v>541.35</v>
      </c>
      <c r="AW795">
        <v>576.69000000000005</v>
      </c>
      <c r="AX795">
        <v>553.53999999999905</v>
      </c>
      <c r="AY795">
        <v>541.30666666666605</v>
      </c>
      <c r="AZ795">
        <v>532.49666666666599</v>
      </c>
      <c r="BA795">
        <v>585.743333333333</v>
      </c>
      <c r="BB795">
        <v>531.64333333333298</v>
      </c>
      <c r="BC795">
        <v>567.81333333333305</v>
      </c>
      <c r="BD795">
        <v>543.91333333333296</v>
      </c>
      <c r="BE795">
        <v>531.54333333333295</v>
      </c>
      <c r="BF795">
        <v>522.04333333333295</v>
      </c>
      <c r="BG795" s="14"/>
      <c r="BH795" s="14"/>
      <c r="BI795" s="14"/>
      <c r="BJ795" s="199"/>
      <c r="BK795" s="14"/>
      <c r="BL795" s="14"/>
      <c r="BM795" s="14"/>
      <c r="BN795" s="14"/>
      <c r="BO795" s="14"/>
      <c r="BP795" s="14"/>
      <c r="BQ795" s="14"/>
      <c r="BR795" s="14"/>
      <c r="BS795" s="14"/>
      <c r="BT795" s="14"/>
      <c r="BU795" s="14"/>
      <c r="BV795" s="14"/>
      <c r="BW795" s="14"/>
      <c r="BX795" s="14"/>
      <c r="BY795" s="170"/>
    </row>
    <row r="796" spans="9:77" x14ac:dyDescent="0.25">
      <c r="I796">
        <v>7755</v>
      </c>
      <c r="J796" s="1" t="s">
        <v>970</v>
      </c>
      <c r="K796">
        <v>563.486666666666</v>
      </c>
      <c r="L796">
        <v>527.53333333333296</v>
      </c>
      <c r="M796">
        <v>550.73</v>
      </c>
      <c r="N796">
        <v>534.68666666666604</v>
      </c>
      <c r="O796">
        <v>527.25333333333299</v>
      </c>
      <c r="P796">
        <v>522.03333333333296</v>
      </c>
      <c r="Q796">
        <v>539.03666666666595</v>
      </c>
      <c r="R796">
        <v>484.113333333333</v>
      </c>
      <c r="S796">
        <v>519.91333333333296</v>
      </c>
      <c r="T796">
        <v>496.25333333333299</v>
      </c>
      <c r="U796">
        <v>484.19333333333299</v>
      </c>
      <c r="V796">
        <v>475.28666666666601</v>
      </c>
      <c r="W796">
        <v>542.73333333333301</v>
      </c>
      <c r="X796">
        <v>512.65666666666596</v>
      </c>
      <c r="Y796">
        <v>524.00999999999897</v>
      </c>
      <c r="Z796">
        <v>522.00666666666598</v>
      </c>
      <c r="AA796">
        <v>516.22333333333302</v>
      </c>
      <c r="AB796">
        <v>516.22333333333302</v>
      </c>
      <c r="AC796">
        <v>563.38333333333298</v>
      </c>
      <c r="AD796">
        <v>523.59333333333302</v>
      </c>
      <c r="AE796">
        <v>549.29999999999905</v>
      </c>
      <c r="AF796">
        <v>537.95000000000005</v>
      </c>
      <c r="AG796">
        <v>530.46333333333303</v>
      </c>
      <c r="AH796">
        <v>526.97</v>
      </c>
      <c r="AI796">
        <v>563.486666666666</v>
      </c>
      <c r="AJ796">
        <v>527.53333333333296</v>
      </c>
      <c r="AK796">
        <v>550.73</v>
      </c>
      <c r="AL796">
        <v>534.68666666666604</v>
      </c>
      <c r="AM796">
        <v>527.25333333333299</v>
      </c>
      <c r="AN796">
        <v>522.03333333333296</v>
      </c>
      <c r="AO796">
        <v>549.73</v>
      </c>
      <c r="AP796">
        <v>483.48</v>
      </c>
      <c r="AQ796">
        <v>529.856666666666</v>
      </c>
      <c r="AR796">
        <v>498.60333333333301</v>
      </c>
      <c r="AS796">
        <v>481.62666666666598</v>
      </c>
      <c r="AT796">
        <v>467.85</v>
      </c>
      <c r="AU796">
        <v>565.97666666666601</v>
      </c>
      <c r="AV796">
        <v>512.82000000000005</v>
      </c>
      <c r="AW796">
        <v>548.16</v>
      </c>
      <c r="AX796">
        <v>525.00999999999897</v>
      </c>
      <c r="AY796">
        <v>512.77666666666596</v>
      </c>
      <c r="AZ796">
        <v>503.96666666666601</v>
      </c>
      <c r="BA796">
        <v>557.21333333333303</v>
      </c>
      <c r="BB796">
        <v>503.113333333333</v>
      </c>
      <c r="BC796">
        <v>539.28333333333296</v>
      </c>
      <c r="BD796">
        <v>515.38333333333298</v>
      </c>
      <c r="BE796">
        <v>503.01333333333298</v>
      </c>
      <c r="BF796">
        <v>493.51333333333298</v>
      </c>
      <c r="BG796" s="14"/>
      <c r="BH796" s="14"/>
      <c r="BI796" s="14"/>
      <c r="BJ796" s="199"/>
      <c r="BK796" s="14"/>
      <c r="BL796" s="14"/>
      <c r="BM796" s="14"/>
      <c r="BN796" s="14"/>
      <c r="BO796" s="14"/>
      <c r="BP796" s="14"/>
      <c r="BQ796" s="14"/>
      <c r="BR796" s="14"/>
      <c r="BS796" s="14"/>
      <c r="BT796" s="14"/>
      <c r="BU796" s="14"/>
      <c r="BV796" s="14"/>
      <c r="BW796" s="14"/>
      <c r="BX796" s="14"/>
      <c r="BY796" s="170"/>
    </row>
    <row r="797" spans="9:77" x14ac:dyDescent="0.25">
      <c r="I797">
        <v>7760</v>
      </c>
      <c r="J797" s="1" t="s">
        <v>971</v>
      </c>
      <c r="K797">
        <v>538.07666666666603</v>
      </c>
      <c r="L797">
        <v>502.12333333333299</v>
      </c>
      <c r="M797">
        <v>525.32000000000005</v>
      </c>
      <c r="N797">
        <v>509.27666666666602</v>
      </c>
      <c r="O797">
        <v>501.84333333333302</v>
      </c>
      <c r="P797">
        <v>496.62333333333299</v>
      </c>
      <c r="Q797">
        <v>513.62666666666598</v>
      </c>
      <c r="R797">
        <v>458.70333333333298</v>
      </c>
      <c r="S797">
        <v>494.50333333333299</v>
      </c>
      <c r="T797">
        <v>470.84333333333302</v>
      </c>
      <c r="U797">
        <v>458.78333333333302</v>
      </c>
      <c r="V797">
        <v>449.87666666666598</v>
      </c>
      <c r="W797">
        <v>517.32333333333304</v>
      </c>
      <c r="X797">
        <v>487.24666666666599</v>
      </c>
      <c r="Y797">
        <v>498.6</v>
      </c>
      <c r="Z797">
        <v>496.59666666666601</v>
      </c>
      <c r="AA797">
        <v>490.81333333333299</v>
      </c>
      <c r="AB797">
        <v>490.81333333333299</v>
      </c>
      <c r="AC797">
        <v>537.97333333333302</v>
      </c>
      <c r="AD797">
        <v>498.183333333333</v>
      </c>
      <c r="AE797">
        <v>523.88999999999896</v>
      </c>
      <c r="AF797">
        <v>512.54</v>
      </c>
      <c r="AG797">
        <v>505.053333333333</v>
      </c>
      <c r="AH797">
        <v>501.56</v>
      </c>
      <c r="AI797">
        <v>538.07666666666603</v>
      </c>
      <c r="AJ797">
        <v>502.12333333333299</v>
      </c>
      <c r="AK797">
        <v>525.32000000000005</v>
      </c>
      <c r="AL797">
        <v>509.27666666666602</v>
      </c>
      <c r="AM797">
        <v>501.84333333333302</v>
      </c>
      <c r="AN797">
        <v>496.62333333333299</v>
      </c>
      <c r="AO797">
        <v>524.32000000000005</v>
      </c>
      <c r="AP797">
        <v>458.07</v>
      </c>
      <c r="AQ797">
        <v>504.44666666666598</v>
      </c>
      <c r="AR797">
        <v>473.19333333333299</v>
      </c>
      <c r="AS797">
        <v>456.21666666666601</v>
      </c>
      <c r="AT797">
        <v>442.44</v>
      </c>
      <c r="AU797">
        <v>540.56666666666604</v>
      </c>
      <c r="AV797">
        <v>487.41</v>
      </c>
      <c r="AW797">
        <v>522.75</v>
      </c>
      <c r="AX797">
        <v>499.599999999999</v>
      </c>
      <c r="AY797">
        <v>487.36666666666599</v>
      </c>
      <c r="AZ797">
        <v>478.55666666666599</v>
      </c>
      <c r="BA797">
        <v>531.80333333333294</v>
      </c>
      <c r="BB797">
        <v>477.70333333333298</v>
      </c>
      <c r="BC797">
        <v>513.87333333333299</v>
      </c>
      <c r="BD797">
        <v>489.97333333333302</v>
      </c>
      <c r="BE797">
        <v>477.60333333333301</v>
      </c>
      <c r="BF797">
        <v>468.10333333333301</v>
      </c>
      <c r="BG797" s="14"/>
      <c r="BH797" s="14"/>
      <c r="BI797" s="14"/>
      <c r="BJ797" s="199"/>
      <c r="BK797" s="14"/>
      <c r="BL797" s="14"/>
      <c r="BM797" s="14"/>
      <c r="BN797" s="14"/>
      <c r="BO797" s="14"/>
      <c r="BP797" s="14"/>
      <c r="BQ797" s="14"/>
      <c r="BR797" s="14"/>
      <c r="BS797" s="14"/>
      <c r="BT797" s="14"/>
      <c r="BU797" s="14"/>
      <c r="BV797" s="14"/>
      <c r="BW797" s="14"/>
      <c r="BX797" s="14"/>
      <c r="BY797" s="170"/>
    </row>
    <row r="798" spans="9:77" x14ac:dyDescent="0.25">
      <c r="I798">
        <v>7770</v>
      </c>
      <c r="J798" s="1" t="s">
        <v>972</v>
      </c>
      <c r="K798">
        <v>563.486666666666</v>
      </c>
      <c r="L798">
        <v>527.53333333333296</v>
      </c>
      <c r="M798">
        <v>550.73</v>
      </c>
      <c r="N798">
        <v>534.68666666666604</v>
      </c>
      <c r="O798">
        <v>527.25333333333299</v>
      </c>
      <c r="P798">
        <v>522.03333333333296</v>
      </c>
      <c r="Q798">
        <v>539.03666666666595</v>
      </c>
      <c r="R798">
        <v>484.113333333333</v>
      </c>
      <c r="S798">
        <v>519.91333333333296</v>
      </c>
      <c r="T798">
        <v>496.25333333333299</v>
      </c>
      <c r="U798">
        <v>484.19333333333299</v>
      </c>
      <c r="V798">
        <v>475.28666666666601</v>
      </c>
      <c r="W798">
        <v>542.73333333333301</v>
      </c>
      <c r="X798">
        <v>512.65666666666596</v>
      </c>
      <c r="Y798">
        <v>524.00999999999897</v>
      </c>
      <c r="Z798">
        <v>522.00666666666598</v>
      </c>
      <c r="AA798">
        <v>516.22333333333302</v>
      </c>
      <c r="AB798">
        <v>516.22333333333302</v>
      </c>
      <c r="AC798">
        <v>563.38333333333298</v>
      </c>
      <c r="AD798">
        <v>523.59333333333302</v>
      </c>
      <c r="AE798">
        <v>549.29999999999905</v>
      </c>
      <c r="AF798">
        <v>537.95000000000005</v>
      </c>
      <c r="AG798">
        <v>530.46333333333303</v>
      </c>
      <c r="AH798">
        <v>526.97</v>
      </c>
      <c r="AI798">
        <v>563.486666666666</v>
      </c>
      <c r="AJ798">
        <v>527.53333333333296</v>
      </c>
      <c r="AK798">
        <v>550.73</v>
      </c>
      <c r="AL798">
        <v>534.68666666666604</v>
      </c>
      <c r="AM798">
        <v>527.25333333333299</v>
      </c>
      <c r="AN798">
        <v>522.03333333333296</v>
      </c>
      <c r="AO798">
        <v>549.73</v>
      </c>
      <c r="AP798">
        <v>483.48</v>
      </c>
      <c r="AQ798">
        <v>529.856666666666</v>
      </c>
      <c r="AR798">
        <v>498.60333333333301</v>
      </c>
      <c r="AS798">
        <v>481.62666666666598</v>
      </c>
      <c r="AT798">
        <v>467.85</v>
      </c>
      <c r="AU798">
        <v>565.97666666666601</v>
      </c>
      <c r="AV798">
        <v>512.82000000000005</v>
      </c>
      <c r="AW798">
        <v>548.16</v>
      </c>
      <c r="AX798">
        <v>525.00999999999897</v>
      </c>
      <c r="AY798">
        <v>512.77666666666596</v>
      </c>
      <c r="AZ798">
        <v>503.96666666666601</v>
      </c>
      <c r="BA798">
        <v>557.21333333333303</v>
      </c>
      <c r="BB798">
        <v>503.113333333333</v>
      </c>
      <c r="BC798">
        <v>539.28333333333296</v>
      </c>
      <c r="BD798">
        <v>515.38333333333298</v>
      </c>
      <c r="BE798">
        <v>503.01333333333298</v>
      </c>
      <c r="BF798">
        <v>493.51333333333298</v>
      </c>
      <c r="BG798" s="14"/>
      <c r="BH798" s="14"/>
      <c r="BI798" s="14"/>
      <c r="BJ798" s="199"/>
      <c r="BK798" s="14"/>
      <c r="BL798" s="14"/>
      <c r="BM798" s="14"/>
      <c r="BN798" s="14"/>
      <c r="BO798" s="14"/>
      <c r="BP798" s="14"/>
      <c r="BQ798" s="14"/>
      <c r="BR798" s="14"/>
      <c r="BS798" s="14"/>
      <c r="BT798" s="14"/>
      <c r="BU798" s="14"/>
      <c r="BV798" s="14"/>
      <c r="BW798" s="14"/>
      <c r="BX798" s="14"/>
      <c r="BY798" s="170"/>
    </row>
    <row r="799" spans="9:77" x14ac:dyDescent="0.25">
      <c r="I799">
        <v>7790</v>
      </c>
      <c r="J799" s="1" t="s">
        <v>973</v>
      </c>
      <c r="K799">
        <v>529.79666666666606</v>
      </c>
      <c r="L799">
        <v>493.84333333333302</v>
      </c>
      <c r="M799">
        <v>517.04</v>
      </c>
      <c r="N799">
        <v>500.99666666666599</v>
      </c>
      <c r="O799">
        <v>493.56333333333299</v>
      </c>
      <c r="P799">
        <v>488.34333333333302</v>
      </c>
      <c r="Q799">
        <v>505.34666666666601</v>
      </c>
      <c r="R799">
        <v>450.42333333333301</v>
      </c>
      <c r="S799">
        <v>486.22333333333302</v>
      </c>
      <c r="T799">
        <v>462.56333333333299</v>
      </c>
      <c r="U799">
        <v>450.50333333333299</v>
      </c>
      <c r="V799">
        <v>441.59666666666601</v>
      </c>
      <c r="W799">
        <v>509.04333333333301</v>
      </c>
      <c r="X799">
        <v>478.96666666666601</v>
      </c>
      <c r="Y799">
        <v>490.31999999999903</v>
      </c>
      <c r="Z799">
        <v>488.31666666666598</v>
      </c>
      <c r="AA799">
        <v>482.53333333333302</v>
      </c>
      <c r="AB799">
        <v>482.53333333333302</v>
      </c>
      <c r="AC799">
        <v>529.69333333333304</v>
      </c>
      <c r="AD799">
        <v>489.90333333333302</v>
      </c>
      <c r="AE799">
        <v>515.60999999999899</v>
      </c>
      <c r="AF799">
        <v>504.25999999999902</v>
      </c>
      <c r="AG799">
        <v>496.77333333333303</v>
      </c>
      <c r="AH799">
        <v>493.27999999999901</v>
      </c>
      <c r="AI799">
        <v>529.79666666666606</v>
      </c>
      <c r="AJ799">
        <v>493.84333333333302</v>
      </c>
      <c r="AK799">
        <v>517.04</v>
      </c>
      <c r="AL799">
        <v>500.99666666666599</v>
      </c>
      <c r="AM799">
        <v>493.56333333333299</v>
      </c>
      <c r="AN799">
        <v>488.34333333333302</v>
      </c>
      <c r="AO799">
        <v>516.03999999999905</v>
      </c>
      <c r="AP799">
        <v>449.79</v>
      </c>
      <c r="AQ799">
        <v>496.166666666666</v>
      </c>
      <c r="AR799">
        <v>464.91333333333301</v>
      </c>
      <c r="AS799">
        <v>447.93666666666599</v>
      </c>
      <c r="AT799">
        <v>434.16</v>
      </c>
      <c r="AU799">
        <v>532.28666666666595</v>
      </c>
      <c r="AV799">
        <v>479.13</v>
      </c>
      <c r="AW799">
        <v>514.47</v>
      </c>
      <c r="AX799">
        <v>491.31999999999903</v>
      </c>
      <c r="AY799">
        <v>479.08666666666602</v>
      </c>
      <c r="AZ799">
        <v>470.27666666666602</v>
      </c>
      <c r="BA799">
        <v>523.52333333333297</v>
      </c>
      <c r="BB799">
        <v>469.42333333333301</v>
      </c>
      <c r="BC799">
        <v>505.59333333333302</v>
      </c>
      <c r="BD799">
        <v>481.69333333333299</v>
      </c>
      <c r="BE799">
        <v>469.32333333333298</v>
      </c>
      <c r="BF799">
        <v>459.82333333333298</v>
      </c>
      <c r="BG799" s="14"/>
      <c r="BH799" s="14"/>
      <c r="BI799" s="14"/>
      <c r="BJ799" s="199"/>
      <c r="BK799" s="14"/>
      <c r="BL799" s="14"/>
      <c r="BM799" s="14"/>
      <c r="BN799" s="14"/>
      <c r="BO799" s="14"/>
      <c r="BP799" s="14"/>
      <c r="BQ799" s="14"/>
      <c r="BR799" s="14"/>
      <c r="BS799" s="14"/>
      <c r="BT799" s="14"/>
      <c r="BU799" s="14"/>
      <c r="BV799" s="14"/>
      <c r="BW799" s="14"/>
      <c r="BX799" s="14"/>
      <c r="BY799" s="170"/>
    </row>
    <row r="800" spans="9:77" x14ac:dyDescent="0.25">
      <c r="I800">
        <v>7800</v>
      </c>
      <c r="J800" s="1" t="s">
        <v>974</v>
      </c>
      <c r="K800">
        <v>497.79</v>
      </c>
      <c r="L800">
        <v>464.18666666666599</v>
      </c>
      <c r="M800">
        <v>485.66</v>
      </c>
      <c r="N800">
        <v>470.28333333333302</v>
      </c>
      <c r="O800">
        <v>463.55</v>
      </c>
      <c r="P800">
        <v>458.27333333333303</v>
      </c>
      <c r="Q800">
        <v>481.16333333333301</v>
      </c>
      <c r="R800">
        <v>426.70666666666602</v>
      </c>
      <c r="S800">
        <v>464.20999999999901</v>
      </c>
      <c r="T800">
        <v>439.18666666666599</v>
      </c>
      <c r="U800">
        <v>426.30666666666599</v>
      </c>
      <c r="V800">
        <v>415.81</v>
      </c>
      <c r="W800">
        <v>483.81333333333299</v>
      </c>
      <c r="X800">
        <v>456.52666666666602</v>
      </c>
      <c r="Y800">
        <v>467.38666666666597</v>
      </c>
      <c r="Z800">
        <v>465.46</v>
      </c>
      <c r="AA800">
        <v>459.99666666666599</v>
      </c>
      <c r="AB800">
        <v>459.99666666666599</v>
      </c>
      <c r="AC800">
        <v>498.5</v>
      </c>
      <c r="AD800">
        <v>461.21333333333303</v>
      </c>
      <c r="AE800">
        <v>485.23</v>
      </c>
      <c r="AF800">
        <v>474.51</v>
      </c>
      <c r="AG800">
        <v>467.78333333333302</v>
      </c>
      <c r="AH800">
        <v>464.49666666666599</v>
      </c>
      <c r="AI800">
        <v>497.79</v>
      </c>
      <c r="AJ800">
        <v>464.18666666666599</v>
      </c>
      <c r="AK800">
        <v>485.66</v>
      </c>
      <c r="AL800">
        <v>470.28333333333302</v>
      </c>
      <c r="AM800">
        <v>463.55</v>
      </c>
      <c r="AN800">
        <v>458.27333333333303</v>
      </c>
      <c r="AO800">
        <v>493.84333333333302</v>
      </c>
      <c r="AP800">
        <v>428.92333333333301</v>
      </c>
      <c r="AQ800">
        <v>475.39333333333298</v>
      </c>
      <c r="AR800">
        <v>444.08666666666602</v>
      </c>
      <c r="AS800">
        <v>426.46666666666601</v>
      </c>
      <c r="AT800">
        <v>412.10333333333301</v>
      </c>
      <c r="AU800">
        <v>506.20666666666602</v>
      </c>
      <c r="AV800">
        <v>454.78666666666601</v>
      </c>
      <c r="AW800">
        <v>490.08333333333297</v>
      </c>
      <c r="AX800">
        <v>466.71</v>
      </c>
      <c r="AY800">
        <v>454.43666666666599</v>
      </c>
      <c r="AZ800">
        <v>445.33333333333297</v>
      </c>
      <c r="BA800">
        <v>495.58</v>
      </c>
      <c r="BB800">
        <v>443.92</v>
      </c>
      <c r="BC800">
        <v>479.62666666666598</v>
      </c>
      <c r="BD800">
        <v>455.71666666666601</v>
      </c>
      <c r="BE800">
        <v>443.236666666666</v>
      </c>
      <c r="BF800">
        <v>433.74</v>
      </c>
      <c r="BG800" s="14"/>
      <c r="BH800" s="14"/>
      <c r="BI800" s="14"/>
      <c r="BJ800" s="199"/>
      <c r="BK800" s="14"/>
      <c r="BL800" s="14"/>
      <c r="BM800" s="14"/>
      <c r="BN800" s="14"/>
      <c r="BO800" s="14"/>
      <c r="BP800" s="14"/>
      <c r="BQ800" s="14"/>
      <c r="BR800" s="14"/>
      <c r="BS800" s="14"/>
      <c r="BT800" s="14"/>
      <c r="BU800" s="14"/>
      <c r="BV800" s="14"/>
      <c r="BW800" s="14"/>
      <c r="BX800" s="14"/>
      <c r="BY800" s="170"/>
    </row>
    <row r="801" spans="9:77" x14ac:dyDescent="0.25">
      <c r="I801">
        <v>7830</v>
      </c>
      <c r="J801" s="1" t="s">
        <v>975</v>
      </c>
      <c r="K801">
        <v>567.44000000000005</v>
      </c>
      <c r="L801">
        <v>533.83666666666602</v>
      </c>
      <c r="M801">
        <v>555.30999999999904</v>
      </c>
      <c r="N801">
        <v>539.93333333333305</v>
      </c>
      <c r="O801">
        <v>533.20000000000005</v>
      </c>
      <c r="P801">
        <v>527.92333333333295</v>
      </c>
      <c r="Q801">
        <v>550.81333333333305</v>
      </c>
      <c r="R801">
        <v>496.356666666666</v>
      </c>
      <c r="S801">
        <v>533.85999999999899</v>
      </c>
      <c r="T801">
        <v>508.83666666666602</v>
      </c>
      <c r="U801">
        <v>495.95666666666602</v>
      </c>
      <c r="V801">
        <v>485.46</v>
      </c>
      <c r="W801">
        <v>553.46333333333303</v>
      </c>
      <c r="X801">
        <v>526.17666666666605</v>
      </c>
      <c r="Y801">
        <v>537.03666666666595</v>
      </c>
      <c r="Z801">
        <v>535.11</v>
      </c>
      <c r="AA801">
        <v>529.64666666666596</v>
      </c>
      <c r="AB801">
        <v>529.64666666666596</v>
      </c>
      <c r="AC801">
        <v>568.15</v>
      </c>
      <c r="AD801">
        <v>530.863333333333</v>
      </c>
      <c r="AE801">
        <v>554.88</v>
      </c>
      <c r="AF801">
        <v>544.16</v>
      </c>
      <c r="AG801">
        <v>537.43333333333305</v>
      </c>
      <c r="AH801">
        <v>534.14666666666596</v>
      </c>
      <c r="AI801">
        <v>567.44000000000005</v>
      </c>
      <c r="AJ801">
        <v>533.83666666666602</v>
      </c>
      <c r="AK801">
        <v>555.30999999999904</v>
      </c>
      <c r="AL801">
        <v>539.93333333333305</v>
      </c>
      <c r="AM801">
        <v>533.20000000000005</v>
      </c>
      <c r="AN801">
        <v>527.92333333333295</v>
      </c>
      <c r="AO801">
        <v>563.493333333333</v>
      </c>
      <c r="AP801">
        <v>498.57333333333298</v>
      </c>
      <c r="AQ801">
        <v>545.04333333333295</v>
      </c>
      <c r="AR801">
        <v>513.736666666666</v>
      </c>
      <c r="AS801">
        <v>496.11666666666599</v>
      </c>
      <c r="AT801">
        <v>481.75333333333299</v>
      </c>
      <c r="AU801">
        <v>575.856666666666</v>
      </c>
      <c r="AV801">
        <v>524.43666666666604</v>
      </c>
      <c r="AW801">
        <v>559.73333333333301</v>
      </c>
      <c r="AX801">
        <v>536.36</v>
      </c>
      <c r="AY801">
        <v>524.08666666666602</v>
      </c>
      <c r="AZ801">
        <v>514.98333333333301</v>
      </c>
      <c r="BA801">
        <v>565.23</v>
      </c>
      <c r="BB801">
        <v>513.57000000000005</v>
      </c>
      <c r="BC801">
        <v>549.27666666666596</v>
      </c>
      <c r="BD801">
        <v>525.36666666666599</v>
      </c>
      <c r="BE801">
        <v>512.88666666666597</v>
      </c>
      <c r="BF801">
        <v>503.39</v>
      </c>
      <c r="BG801" s="14"/>
      <c r="BH801" s="14"/>
      <c r="BI801" s="14"/>
      <c r="BJ801" s="199"/>
      <c r="BK801" s="14"/>
      <c r="BL801" s="14"/>
      <c r="BM801" s="14"/>
      <c r="BN801" s="14"/>
      <c r="BO801" s="14"/>
      <c r="BP801" s="14"/>
      <c r="BQ801" s="14"/>
      <c r="BR801" s="14"/>
      <c r="BS801" s="14"/>
      <c r="BT801" s="14"/>
      <c r="BU801" s="14"/>
      <c r="BV801" s="14"/>
      <c r="BW801" s="14"/>
      <c r="BX801" s="14"/>
      <c r="BY801" s="170"/>
    </row>
    <row r="802" spans="9:77" x14ac:dyDescent="0.25">
      <c r="I802">
        <v>7840</v>
      </c>
      <c r="J802" s="1" t="s">
        <v>976</v>
      </c>
      <c r="K802">
        <v>465.05999999999898</v>
      </c>
      <c r="L802">
        <v>431.45666666666602</v>
      </c>
      <c r="M802">
        <v>452.92999999999898</v>
      </c>
      <c r="N802">
        <v>437.553333333333</v>
      </c>
      <c r="O802">
        <v>430.81999999999903</v>
      </c>
      <c r="P802">
        <v>425.54333333333301</v>
      </c>
      <c r="Q802">
        <v>448.433333333333</v>
      </c>
      <c r="R802">
        <v>393.97666666666601</v>
      </c>
      <c r="S802">
        <v>431.479999999999</v>
      </c>
      <c r="T802">
        <v>406.45666666666602</v>
      </c>
      <c r="U802">
        <v>393.57666666666597</v>
      </c>
      <c r="V802">
        <v>383.08</v>
      </c>
      <c r="W802">
        <v>451.08333333333297</v>
      </c>
      <c r="X802">
        <v>423.796666666666</v>
      </c>
      <c r="Y802">
        <v>434.65666666666601</v>
      </c>
      <c r="Z802">
        <v>432.729999999999</v>
      </c>
      <c r="AA802">
        <v>427.26666666666603</v>
      </c>
      <c r="AB802">
        <v>427.26666666666603</v>
      </c>
      <c r="AC802">
        <v>465.76999999999902</v>
      </c>
      <c r="AD802">
        <v>428.48333333333301</v>
      </c>
      <c r="AE802">
        <v>452.49999999999898</v>
      </c>
      <c r="AF802">
        <v>441.77999999999901</v>
      </c>
      <c r="AG802">
        <v>435.053333333333</v>
      </c>
      <c r="AH802">
        <v>431.76666666666603</v>
      </c>
      <c r="AI802">
        <v>465.05999999999898</v>
      </c>
      <c r="AJ802">
        <v>431.45666666666602</v>
      </c>
      <c r="AK802">
        <v>452.92999999999898</v>
      </c>
      <c r="AL802">
        <v>437.553333333333</v>
      </c>
      <c r="AM802">
        <v>430.81999999999903</v>
      </c>
      <c r="AN802">
        <v>425.54333333333301</v>
      </c>
      <c r="AO802">
        <v>461.113333333333</v>
      </c>
      <c r="AP802">
        <v>396.19333333333299</v>
      </c>
      <c r="AQ802">
        <v>442.66333333333301</v>
      </c>
      <c r="AR802">
        <v>411.356666666666</v>
      </c>
      <c r="AS802">
        <v>393.736666666666</v>
      </c>
      <c r="AT802">
        <v>379.37333333333299</v>
      </c>
      <c r="AU802">
        <v>473.47666666666601</v>
      </c>
      <c r="AV802">
        <v>422.05666666666599</v>
      </c>
      <c r="AW802">
        <v>457.35333333333301</v>
      </c>
      <c r="AX802">
        <v>433.98</v>
      </c>
      <c r="AY802">
        <v>421.70666666666602</v>
      </c>
      <c r="AZ802">
        <v>412.60333333333301</v>
      </c>
      <c r="BA802">
        <v>462.849999999999</v>
      </c>
      <c r="BB802">
        <v>411.19</v>
      </c>
      <c r="BC802">
        <v>446.89666666666602</v>
      </c>
      <c r="BD802">
        <v>422.986666666666</v>
      </c>
      <c r="BE802">
        <v>410.50666666666598</v>
      </c>
      <c r="BF802">
        <v>401.00999999999902</v>
      </c>
      <c r="BG802" s="14"/>
      <c r="BH802" s="14"/>
      <c r="BI802" s="14"/>
      <c r="BJ802" s="199"/>
      <c r="BK802" s="14"/>
      <c r="BL802" s="14"/>
      <c r="BM802" s="14"/>
      <c r="BN802" s="14"/>
      <c r="BO802" s="14"/>
      <c r="BP802" s="14"/>
      <c r="BQ802" s="14"/>
      <c r="BR802" s="14"/>
      <c r="BS802" s="14"/>
      <c r="BT802" s="14"/>
      <c r="BU802" s="14"/>
      <c r="BV802" s="14"/>
      <c r="BW802" s="14"/>
      <c r="BX802" s="14"/>
      <c r="BY802" s="170"/>
    </row>
    <row r="803" spans="9:77" x14ac:dyDescent="0.25">
      <c r="I803">
        <v>7850</v>
      </c>
      <c r="J803" s="1" t="s">
        <v>977</v>
      </c>
      <c r="K803">
        <v>509.73</v>
      </c>
      <c r="L803">
        <v>476.12666666666598</v>
      </c>
      <c r="M803">
        <v>497.599999999999</v>
      </c>
      <c r="N803">
        <v>482.22333333333302</v>
      </c>
      <c r="O803">
        <v>475.49</v>
      </c>
      <c r="P803">
        <v>470.21333333333303</v>
      </c>
      <c r="Q803">
        <v>493.10333333333301</v>
      </c>
      <c r="R803">
        <v>438.64666666666602</v>
      </c>
      <c r="S803">
        <v>476.14999999999901</v>
      </c>
      <c r="T803">
        <v>451.12666666666598</v>
      </c>
      <c r="U803">
        <v>438.24666666666599</v>
      </c>
      <c r="V803">
        <v>427.75</v>
      </c>
      <c r="W803">
        <v>495.75333333333299</v>
      </c>
      <c r="X803">
        <v>468.46666666666601</v>
      </c>
      <c r="Y803">
        <v>479.32666666666597</v>
      </c>
      <c r="Z803">
        <v>477.4</v>
      </c>
      <c r="AA803">
        <v>471.93666666666599</v>
      </c>
      <c r="AB803">
        <v>471.93666666666599</v>
      </c>
      <c r="AC803">
        <v>510.44</v>
      </c>
      <c r="AD803">
        <v>473.15333333333302</v>
      </c>
      <c r="AE803">
        <v>497.17</v>
      </c>
      <c r="AF803">
        <v>486.44999999999902</v>
      </c>
      <c r="AG803">
        <v>479.72333333333302</v>
      </c>
      <c r="AH803">
        <v>476.43666666666599</v>
      </c>
      <c r="AI803">
        <v>509.73</v>
      </c>
      <c r="AJ803">
        <v>476.12666666666598</v>
      </c>
      <c r="AK803">
        <v>497.599999999999</v>
      </c>
      <c r="AL803">
        <v>482.22333333333302</v>
      </c>
      <c r="AM803">
        <v>475.49</v>
      </c>
      <c r="AN803">
        <v>470.21333333333303</v>
      </c>
      <c r="AO803">
        <v>505.78333333333302</v>
      </c>
      <c r="AP803">
        <v>440.863333333333</v>
      </c>
      <c r="AQ803">
        <v>487.33333333333297</v>
      </c>
      <c r="AR803">
        <v>456.02666666666602</v>
      </c>
      <c r="AS803">
        <v>438.40666666666601</v>
      </c>
      <c r="AT803">
        <v>424.04333333333301</v>
      </c>
      <c r="AU803">
        <v>518.14666666666596</v>
      </c>
      <c r="AV803">
        <v>466.72666666666601</v>
      </c>
      <c r="AW803">
        <v>502.02333333333303</v>
      </c>
      <c r="AX803">
        <v>478.65</v>
      </c>
      <c r="AY803">
        <v>466.37666666666598</v>
      </c>
      <c r="AZ803">
        <v>457.27333333333303</v>
      </c>
      <c r="BA803">
        <v>507.52</v>
      </c>
      <c r="BB803">
        <v>455.86</v>
      </c>
      <c r="BC803">
        <v>491.56666666666598</v>
      </c>
      <c r="BD803">
        <v>467.65666666666601</v>
      </c>
      <c r="BE803">
        <v>455.17666666666599</v>
      </c>
      <c r="BF803">
        <v>445.68</v>
      </c>
      <c r="BG803" s="14"/>
      <c r="BH803" s="14"/>
      <c r="BI803" s="14"/>
      <c r="BJ803" s="199"/>
      <c r="BK803" s="14"/>
      <c r="BL803" s="14"/>
      <c r="BM803" s="14"/>
      <c r="BN803" s="14"/>
      <c r="BO803" s="14"/>
      <c r="BP803" s="14"/>
      <c r="BQ803" s="14"/>
      <c r="BR803" s="14"/>
      <c r="BS803" s="14"/>
      <c r="BT803" s="14"/>
      <c r="BU803" s="14"/>
      <c r="BV803" s="14"/>
      <c r="BW803" s="14"/>
      <c r="BX803" s="14"/>
      <c r="BY803" s="170"/>
    </row>
    <row r="804" spans="9:77" x14ac:dyDescent="0.25">
      <c r="I804">
        <v>7860</v>
      </c>
      <c r="J804" s="1" t="s">
        <v>978</v>
      </c>
      <c r="K804">
        <v>577.87666666666598</v>
      </c>
      <c r="L804">
        <v>541.92333333333295</v>
      </c>
      <c r="M804">
        <v>565.12</v>
      </c>
      <c r="N804">
        <v>549.07666666666603</v>
      </c>
      <c r="O804">
        <v>541.64333333333298</v>
      </c>
      <c r="P804">
        <v>536.42333333333295</v>
      </c>
      <c r="Q804">
        <v>553.42666666666605</v>
      </c>
      <c r="R804">
        <v>498.50333333333299</v>
      </c>
      <c r="S804">
        <v>534.30333333333294</v>
      </c>
      <c r="T804">
        <v>510.64333333333298</v>
      </c>
      <c r="U804">
        <v>498.58333333333297</v>
      </c>
      <c r="V804">
        <v>489.67666666666599</v>
      </c>
      <c r="W804">
        <v>557.12333333333299</v>
      </c>
      <c r="X804">
        <v>527.04666666666606</v>
      </c>
      <c r="Y804">
        <v>538.4</v>
      </c>
      <c r="Z804">
        <v>536.39666666666596</v>
      </c>
      <c r="AA804">
        <v>530.613333333333</v>
      </c>
      <c r="AB804">
        <v>530.613333333333</v>
      </c>
      <c r="AC804">
        <v>577.77333333333297</v>
      </c>
      <c r="AD804">
        <v>537.98333333333301</v>
      </c>
      <c r="AE804">
        <v>563.68999999999903</v>
      </c>
      <c r="AF804">
        <v>552.34</v>
      </c>
      <c r="AG804">
        <v>544.85333333333301</v>
      </c>
      <c r="AH804">
        <v>541.36</v>
      </c>
      <c r="AI804">
        <v>577.87666666666598</v>
      </c>
      <c r="AJ804">
        <v>541.92333333333295</v>
      </c>
      <c r="AK804">
        <v>565.12</v>
      </c>
      <c r="AL804">
        <v>549.07666666666603</v>
      </c>
      <c r="AM804">
        <v>541.64333333333298</v>
      </c>
      <c r="AN804">
        <v>536.42333333333295</v>
      </c>
      <c r="AO804">
        <v>564.12</v>
      </c>
      <c r="AP804">
        <v>497.87</v>
      </c>
      <c r="AQ804">
        <v>544.24666666666599</v>
      </c>
      <c r="AR804">
        <v>512.993333333333</v>
      </c>
      <c r="AS804">
        <v>496.01666666666603</v>
      </c>
      <c r="AT804">
        <v>482.24</v>
      </c>
      <c r="AU804">
        <v>580.36666666666599</v>
      </c>
      <c r="AV804">
        <v>527.21</v>
      </c>
      <c r="AW804">
        <v>562.54999999999905</v>
      </c>
      <c r="AX804">
        <v>539.39999999999895</v>
      </c>
      <c r="AY804">
        <v>527.16666666666595</v>
      </c>
      <c r="AZ804">
        <v>518.356666666666</v>
      </c>
      <c r="BA804">
        <v>571.60333333333301</v>
      </c>
      <c r="BB804">
        <v>517.50333333333299</v>
      </c>
      <c r="BC804">
        <v>553.67333333333295</v>
      </c>
      <c r="BD804">
        <v>529.77333333333297</v>
      </c>
      <c r="BE804">
        <v>517.40333333333297</v>
      </c>
      <c r="BF804">
        <v>507.90333333333302</v>
      </c>
      <c r="BG804" s="14"/>
      <c r="BH804" s="14"/>
      <c r="BI804" s="14"/>
      <c r="BJ804" s="199"/>
      <c r="BK804" s="14"/>
      <c r="BL804" s="14"/>
      <c r="BM804" s="14"/>
      <c r="BN804" s="14"/>
      <c r="BO804" s="14"/>
      <c r="BP804" s="14"/>
      <c r="BQ804" s="14"/>
      <c r="BR804" s="14"/>
      <c r="BS804" s="14"/>
      <c r="BT804" s="14"/>
      <c r="BU804" s="14"/>
      <c r="BV804" s="14"/>
      <c r="BW804" s="14"/>
      <c r="BX804" s="14"/>
      <c r="BY804" s="170"/>
    </row>
    <row r="805" spans="9:77" x14ac:dyDescent="0.25">
      <c r="I805">
        <v>7870</v>
      </c>
      <c r="J805" s="1" t="s">
        <v>979</v>
      </c>
      <c r="K805">
        <v>484.546666666666</v>
      </c>
      <c r="L805">
        <v>448.59333333333302</v>
      </c>
      <c r="M805">
        <v>471.79</v>
      </c>
      <c r="N805">
        <v>455.74666666666599</v>
      </c>
      <c r="O805">
        <v>448.31333333333299</v>
      </c>
      <c r="P805">
        <v>443.09333333333302</v>
      </c>
      <c r="Q805">
        <v>460.09666666666601</v>
      </c>
      <c r="R805">
        <v>405.17333333333301</v>
      </c>
      <c r="S805">
        <v>440.97333333333302</v>
      </c>
      <c r="T805">
        <v>417.31333333333299</v>
      </c>
      <c r="U805">
        <v>405.25333333333299</v>
      </c>
      <c r="V805">
        <v>396.34666666666601</v>
      </c>
      <c r="W805">
        <v>463.79333333333301</v>
      </c>
      <c r="X805">
        <v>433.71666666666601</v>
      </c>
      <c r="Y805">
        <v>445.06999999999903</v>
      </c>
      <c r="Z805">
        <v>443.06666666666598</v>
      </c>
      <c r="AA805">
        <v>437.28333333333302</v>
      </c>
      <c r="AB805">
        <v>437.28333333333302</v>
      </c>
      <c r="AC805">
        <v>484.44333333333299</v>
      </c>
      <c r="AD805">
        <v>444.65333333333302</v>
      </c>
      <c r="AE805">
        <v>470.35999999999899</v>
      </c>
      <c r="AF805">
        <v>459.00999999999902</v>
      </c>
      <c r="AG805">
        <v>451.52333333333303</v>
      </c>
      <c r="AH805">
        <v>448.02999999999901</v>
      </c>
      <c r="AI805">
        <v>484.546666666666</v>
      </c>
      <c r="AJ805">
        <v>448.59333333333302</v>
      </c>
      <c r="AK805">
        <v>471.79</v>
      </c>
      <c r="AL805">
        <v>455.74666666666599</v>
      </c>
      <c r="AM805">
        <v>448.31333333333299</v>
      </c>
      <c r="AN805">
        <v>443.09333333333302</v>
      </c>
      <c r="AO805">
        <v>470.79</v>
      </c>
      <c r="AP805">
        <v>404.54</v>
      </c>
      <c r="AQ805">
        <v>450.916666666666</v>
      </c>
      <c r="AR805">
        <v>419.66333333333301</v>
      </c>
      <c r="AS805">
        <v>402.68666666666599</v>
      </c>
      <c r="AT805">
        <v>388.91</v>
      </c>
      <c r="AU805">
        <v>487.03666666666601</v>
      </c>
      <c r="AV805">
        <v>433.88</v>
      </c>
      <c r="AW805">
        <v>469.219999999999</v>
      </c>
      <c r="AX805">
        <v>446.06999999999903</v>
      </c>
      <c r="AY805">
        <v>433.83666666666602</v>
      </c>
      <c r="AZ805">
        <v>425.02666666666602</v>
      </c>
      <c r="BA805">
        <v>478.27333333333303</v>
      </c>
      <c r="BB805">
        <v>424.17333333333301</v>
      </c>
      <c r="BC805">
        <v>460.34333333333302</v>
      </c>
      <c r="BD805">
        <v>436.44333333333299</v>
      </c>
      <c r="BE805">
        <v>424.07333333333298</v>
      </c>
      <c r="BF805">
        <v>414.57333333333298</v>
      </c>
      <c r="BG805" s="14"/>
      <c r="BH805" s="14"/>
      <c r="BI805" s="14"/>
      <c r="BJ805" s="199"/>
      <c r="BK805" s="14"/>
      <c r="BL805" s="14"/>
      <c r="BM805" s="14"/>
      <c r="BN805" s="14"/>
      <c r="BO805" s="14"/>
      <c r="BP805" s="14"/>
      <c r="BQ805" s="14"/>
      <c r="BR805" s="14"/>
      <c r="BS805" s="14"/>
      <c r="BT805" s="14"/>
      <c r="BU805" s="14"/>
      <c r="BV805" s="14"/>
      <c r="BW805" s="14"/>
      <c r="BX805" s="14"/>
      <c r="BY805" s="170"/>
    </row>
    <row r="806" spans="9:77" x14ac:dyDescent="0.25">
      <c r="I806">
        <v>7884</v>
      </c>
      <c r="J806" s="1" t="s">
        <v>980</v>
      </c>
      <c r="K806">
        <v>449.82666666666597</v>
      </c>
      <c r="L806">
        <v>413.87333333333299</v>
      </c>
      <c r="M806">
        <v>437.07</v>
      </c>
      <c r="N806">
        <v>421.02666666666602</v>
      </c>
      <c r="O806">
        <v>413.59333333333302</v>
      </c>
      <c r="P806">
        <v>408.37333333333299</v>
      </c>
      <c r="Q806">
        <v>425.37666666666598</v>
      </c>
      <c r="R806">
        <v>370.45333333333298</v>
      </c>
      <c r="S806">
        <v>406.25333333333299</v>
      </c>
      <c r="T806">
        <v>382.59333333333302</v>
      </c>
      <c r="U806">
        <v>370.53333333333302</v>
      </c>
      <c r="V806">
        <v>361.62666666666598</v>
      </c>
      <c r="W806">
        <v>429.07333333333298</v>
      </c>
      <c r="X806">
        <v>398.99666666666599</v>
      </c>
      <c r="Y806">
        <v>410.35</v>
      </c>
      <c r="Z806">
        <v>408.34666666666601</v>
      </c>
      <c r="AA806">
        <v>402.56333333333299</v>
      </c>
      <c r="AB806">
        <v>402.56333333333299</v>
      </c>
      <c r="AC806">
        <v>449.72333333333302</v>
      </c>
      <c r="AD806">
        <v>409.933333333333</v>
      </c>
      <c r="AE806">
        <v>435.63999999999902</v>
      </c>
      <c r="AF806">
        <v>424.29</v>
      </c>
      <c r="AG806">
        <v>416.803333333333</v>
      </c>
      <c r="AH806">
        <v>413.31</v>
      </c>
      <c r="AI806">
        <v>449.82666666666597</v>
      </c>
      <c r="AJ806">
        <v>413.87333333333299</v>
      </c>
      <c r="AK806">
        <v>437.07</v>
      </c>
      <c r="AL806">
        <v>421.02666666666602</v>
      </c>
      <c r="AM806">
        <v>413.59333333333302</v>
      </c>
      <c r="AN806">
        <v>408.37333333333299</v>
      </c>
      <c r="AO806">
        <v>436.07</v>
      </c>
      <c r="AP806">
        <v>369.82</v>
      </c>
      <c r="AQ806">
        <v>416.19666666666598</v>
      </c>
      <c r="AR806">
        <v>384.94333333333299</v>
      </c>
      <c r="AS806">
        <v>367.96666666666601</v>
      </c>
      <c r="AT806">
        <v>354.19</v>
      </c>
      <c r="AU806">
        <v>452.31666666666598</v>
      </c>
      <c r="AV806">
        <v>399.16</v>
      </c>
      <c r="AW806">
        <v>434.5</v>
      </c>
      <c r="AX806">
        <v>411.349999999999</v>
      </c>
      <c r="AY806">
        <v>399.11666666666599</v>
      </c>
      <c r="AZ806">
        <v>390.30666666666599</v>
      </c>
      <c r="BA806">
        <v>443.553333333333</v>
      </c>
      <c r="BB806">
        <v>389.45333333333298</v>
      </c>
      <c r="BC806">
        <v>425.62333333333299</v>
      </c>
      <c r="BD806">
        <v>401.72333333333302</v>
      </c>
      <c r="BE806">
        <v>389.35333333333301</v>
      </c>
      <c r="BF806">
        <v>379.85333333333301</v>
      </c>
      <c r="BG806" s="14"/>
      <c r="BH806" s="14"/>
      <c r="BI806" s="14"/>
      <c r="BJ806" s="199"/>
      <c r="BK806" s="14"/>
      <c r="BL806" s="14"/>
      <c r="BM806" s="14"/>
      <c r="BN806" s="14"/>
      <c r="BO806" s="14"/>
      <c r="BP806" s="14"/>
      <c r="BQ806" s="14"/>
      <c r="BR806" s="14"/>
      <c r="BS806" s="14"/>
      <c r="BT806" s="14"/>
      <c r="BU806" s="14"/>
      <c r="BV806" s="14"/>
      <c r="BW806" s="14"/>
      <c r="BX806" s="14"/>
      <c r="BY806" s="170"/>
    </row>
    <row r="807" spans="9:77" x14ac:dyDescent="0.25">
      <c r="I807">
        <v>7900</v>
      </c>
      <c r="J807" s="1" t="s">
        <v>981</v>
      </c>
      <c r="K807">
        <v>493.11666666666599</v>
      </c>
      <c r="L807">
        <v>457.16333333333301</v>
      </c>
      <c r="M807">
        <v>480.36</v>
      </c>
      <c r="N807">
        <v>464.31666666666598</v>
      </c>
      <c r="O807">
        <v>456.88333333333298</v>
      </c>
      <c r="P807">
        <v>451.66333333333301</v>
      </c>
      <c r="Q807">
        <v>468.666666666666</v>
      </c>
      <c r="R807">
        <v>413.743333333333</v>
      </c>
      <c r="S807">
        <v>449.54333333333301</v>
      </c>
      <c r="T807">
        <v>425.88333333333298</v>
      </c>
      <c r="U807">
        <v>413.82333333333298</v>
      </c>
      <c r="V807">
        <v>404.916666666666</v>
      </c>
      <c r="W807">
        <v>472.363333333333</v>
      </c>
      <c r="X807">
        <v>442.28666666666601</v>
      </c>
      <c r="Y807">
        <v>453.63999999999902</v>
      </c>
      <c r="Z807">
        <v>451.63666666666597</v>
      </c>
      <c r="AA807">
        <v>445.85333333333301</v>
      </c>
      <c r="AB807">
        <v>445.85333333333301</v>
      </c>
      <c r="AC807">
        <v>493.01333333333298</v>
      </c>
      <c r="AD807">
        <v>453.22333333333302</v>
      </c>
      <c r="AE807">
        <v>478.92999999999898</v>
      </c>
      <c r="AF807">
        <v>467.57999999999902</v>
      </c>
      <c r="AG807">
        <v>460.09333333333302</v>
      </c>
      <c r="AH807">
        <v>456.599999999999</v>
      </c>
      <c r="AI807">
        <v>493.11666666666599</v>
      </c>
      <c r="AJ807">
        <v>457.16333333333301</v>
      </c>
      <c r="AK807">
        <v>480.36</v>
      </c>
      <c r="AL807">
        <v>464.31666666666598</v>
      </c>
      <c r="AM807">
        <v>456.88333333333298</v>
      </c>
      <c r="AN807">
        <v>451.66333333333301</v>
      </c>
      <c r="AO807">
        <v>479.35999999999899</v>
      </c>
      <c r="AP807">
        <v>413.11</v>
      </c>
      <c r="AQ807">
        <v>459.486666666666</v>
      </c>
      <c r="AR807">
        <v>428.23333333333301</v>
      </c>
      <c r="AS807">
        <v>411.25666666666598</v>
      </c>
      <c r="AT807">
        <v>397.48</v>
      </c>
      <c r="AU807">
        <v>495.606666666666</v>
      </c>
      <c r="AV807">
        <v>442.44999999999902</v>
      </c>
      <c r="AW807">
        <v>477.789999999999</v>
      </c>
      <c r="AX807">
        <v>454.63999999999902</v>
      </c>
      <c r="AY807">
        <v>442.40666666666601</v>
      </c>
      <c r="AZ807">
        <v>433.59666666666601</v>
      </c>
      <c r="BA807">
        <v>486.84333333333302</v>
      </c>
      <c r="BB807">
        <v>432.743333333333</v>
      </c>
      <c r="BC807">
        <v>468.91333333333301</v>
      </c>
      <c r="BD807">
        <v>445.01333333333298</v>
      </c>
      <c r="BE807">
        <v>432.64333333333298</v>
      </c>
      <c r="BF807">
        <v>423.14333333333298</v>
      </c>
      <c r="BG807" s="14"/>
      <c r="BH807" s="14"/>
      <c r="BI807" s="14"/>
      <c r="BJ807" s="199"/>
      <c r="BK807" s="14"/>
      <c r="BL807" s="14"/>
      <c r="BM807" s="14"/>
      <c r="BN807" s="14"/>
      <c r="BO807" s="14"/>
      <c r="BP807" s="14"/>
      <c r="BQ807" s="14"/>
      <c r="BR807" s="14"/>
      <c r="BS807" s="14"/>
      <c r="BT807" s="14"/>
      <c r="BU807" s="14"/>
      <c r="BV807" s="14"/>
      <c r="BW807" s="14"/>
      <c r="BX807" s="14"/>
      <c r="BY807" s="170"/>
    </row>
    <row r="808" spans="9:77" x14ac:dyDescent="0.25">
      <c r="I808">
        <v>7950</v>
      </c>
      <c r="J808" s="1" t="s">
        <v>982</v>
      </c>
      <c r="K808">
        <v>519.84666666666601</v>
      </c>
      <c r="L808">
        <v>483.89333333333298</v>
      </c>
      <c r="M808">
        <v>507.09</v>
      </c>
      <c r="N808">
        <v>491.046666666666</v>
      </c>
      <c r="O808">
        <v>483.613333333333</v>
      </c>
      <c r="P808">
        <v>478.39333333333298</v>
      </c>
      <c r="Q808">
        <v>495.39666666666602</v>
      </c>
      <c r="R808">
        <v>440.47333333333302</v>
      </c>
      <c r="S808">
        <v>476.27333333333303</v>
      </c>
      <c r="T808">
        <v>452.613333333333</v>
      </c>
      <c r="U808">
        <v>440.553333333333</v>
      </c>
      <c r="V808">
        <v>431.64666666666602</v>
      </c>
      <c r="W808">
        <v>499.09333333333302</v>
      </c>
      <c r="X808">
        <v>469.01666666666603</v>
      </c>
      <c r="Y808">
        <v>480.37</v>
      </c>
      <c r="Z808">
        <v>478.36666666666599</v>
      </c>
      <c r="AA808">
        <v>472.58333333333297</v>
      </c>
      <c r="AB808">
        <v>472.58333333333297</v>
      </c>
      <c r="AC808">
        <v>519.743333333333</v>
      </c>
      <c r="AD808">
        <v>479.95333333333298</v>
      </c>
      <c r="AE808">
        <v>505.659999999999</v>
      </c>
      <c r="AF808">
        <v>494.31</v>
      </c>
      <c r="AG808">
        <v>486.82333333333298</v>
      </c>
      <c r="AH808">
        <v>483.33</v>
      </c>
      <c r="AI808">
        <v>519.84666666666601</v>
      </c>
      <c r="AJ808">
        <v>483.89333333333298</v>
      </c>
      <c r="AK808">
        <v>507.09</v>
      </c>
      <c r="AL808">
        <v>491.046666666666</v>
      </c>
      <c r="AM808">
        <v>483.613333333333</v>
      </c>
      <c r="AN808">
        <v>478.39333333333298</v>
      </c>
      <c r="AO808">
        <v>506.09</v>
      </c>
      <c r="AP808">
        <v>439.84</v>
      </c>
      <c r="AQ808">
        <v>486.21666666666601</v>
      </c>
      <c r="AR808">
        <v>454.96333333333303</v>
      </c>
      <c r="AS808">
        <v>437.986666666666</v>
      </c>
      <c r="AT808">
        <v>424.21</v>
      </c>
      <c r="AU808">
        <v>522.33666666666602</v>
      </c>
      <c r="AV808">
        <v>469.18</v>
      </c>
      <c r="AW808">
        <v>504.52</v>
      </c>
      <c r="AX808">
        <v>481.36999999999898</v>
      </c>
      <c r="AY808">
        <v>469.13666666666597</v>
      </c>
      <c r="AZ808">
        <v>460.32666666666597</v>
      </c>
      <c r="BA808">
        <v>513.57333333333304</v>
      </c>
      <c r="BB808">
        <v>459.47333333333302</v>
      </c>
      <c r="BC808">
        <v>495.64333333333298</v>
      </c>
      <c r="BD808">
        <v>471.743333333333</v>
      </c>
      <c r="BE808">
        <v>459.37333333333299</v>
      </c>
      <c r="BF808">
        <v>449.87333333333299</v>
      </c>
      <c r="BG808" s="14"/>
      <c r="BH808" s="14"/>
      <c r="BI808" s="14"/>
      <c r="BJ808" s="199"/>
      <c r="BK808" s="14"/>
      <c r="BL808" s="14"/>
      <c r="BM808" s="14"/>
      <c r="BN808" s="14"/>
      <c r="BO808" s="14"/>
      <c r="BP808" s="14"/>
      <c r="BQ808" s="14"/>
      <c r="BR808" s="14"/>
      <c r="BS808" s="14"/>
      <c r="BT808" s="14"/>
      <c r="BU808" s="14"/>
      <c r="BV808" s="14"/>
      <c r="BW808" s="14"/>
      <c r="BX808" s="14"/>
      <c r="BY808" s="170"/>
    </row>
    <row r="809" spans="9:77" x14ac:dyDescent="0.25">
      <c r="I809">
        <v>7960</v>
      </c>
      <c r="J809" s="1" t="s">
        <v>983</v>
      </c>
      <c r="K809">
        <v>522.69666666666603</v>
      </c>
      <c r="L809">
        <v>486.743333333333</v>
      </c>
      <c r="M809">
        <v>509.94</v>
      </c>
      <c r="N809">
        <v>493.89666666666602</v>
      </c>
      <c r="O809">
        <v>486.46333333333303</v>
      </c>
      <c r="P809">
        <v>481.243333333333</v>
      </c>
      <c r="Q809">
        <v>498.24666666666599</v>
      </c>
      <c r="R809">
        <v>443.32333333333298</v>
      </c>
      <c r="S809">
        <v>479.12333333333299</v>
      </c>
      <c r="T809">
        <v>455.46333333333303</v>
      </c>
      <c r="U809">
        <v>443.40333333333302</v>
      </c>
      <c r="V809">
        <v>434.49666666666599</v>
      </c>
      <c r="W809">
        <v>501.94333333333299</v>
      </c>
      <c r="X809">
        <v>471.86666666666599</v>
      </c>
      <c r="Y809">
        <v>483.219999999999</v>
      </c>
      <c r="Z809">
        <v>481.21666666666601</v>
      </c>
      <c r="AA809">
        <v>475.433333333333</v>
      </c>
      <c r="AB809">
        <v>475.433333333333</v>
      </c>
      <c r="AC809">
        <v>522.59333333333302</v>
      </c>
      <c r="AD809">
        <v>482.803333333333</v>
      </c>
      <c r="AE809">
        <v>508.50999999999902</v>
      </c>
      <c r="AF809">
        <v>497.159999999999</v>
      </c>
      <c r="AG809">
        <v>489.67333333333301</v>
      </c>
      <c r="AH809">
        <v>486.17999999999898</v>
      </c>
      <c r="AI809">
        <v>522.69666666666603</v>
      </c>
      <c r="AJ809">
        <v>486.743333333333</v>
      </c>
      <c r="AK809">
        <v>509.94</v>
      </c>
      <c r="AL809">
        <v>493.89666666666602</v>
      </c>
      <c r="AM809">
        <v>486.46333333333303</v>
      </c>
      <c r="AN809">
        <v>481.243333333333</v>
      </c>
      <c r="AO809">
        <v>508.94</v>
      </c>
      <c r="AP809">
        <v>442.69</v>
      </c>
      <c r="AQ809">
        <v>489.06666666666598</v>
      </c>
      <c r="AR809">
        <v>457.81333333333299</v>
      </c>
      <c r="AS809">
        <v>440.83666666666602</v>
      </c>
      <c r="AT809">
        <v>427.06</v>
      </c>
      <c r="AU809">
        <v>525.18666666666604</v>
      </c>
      <c r="AV809">
        <v>472.03</v>
      </c>
      <c r="AW809">
        <v>507.36999999999898</v>
      </c>
      <c r="AX809">
        <v>484.219999999999</v>
      </c>
      <c r="AY809">
        <v>471.986666666666</v>
      </c>
      <c r="AZ809">
        <v>463.17666666666599</v>
      </c>
      <c r="BA809">
        <v>516.42333333333295</v>
      </c>
      <c r="BB809">
        <v>462.32333333333298</v>
      </c>
      <c r="BC809">
        <v>498.493333333333</v>
      </c>
      <c r="BD809">
        <v>474.59333333333302</v>
      </c>
      <c r="BE809">
        <v>462.22333333333302</v>
      </c>
      <c r="BF809">
        <v>452.72333333333302</v>
      </c>
      <c r="BG809" s="14"/>
      <c r="BH809" s="14"/>
      <c r="BI809" s="14"/>
      <c r="BJ809" s="199"/>
      <c r="BK809" s="14"/>
      <c r="BL809" s="14"/>
      <c r="BM809" s="14"/>
      <c r="BN809" s="14"/>
      <c r="BO809" s="14"/>
      <c r="BP809" s="14"/>
      <c r="BQ809" s="14"/>
      <c r="BR809" s="14"/>
      <c r="BS809" s="14"/>
      <c r="BT809" s="14"/>
      <c r="BU809" s="14"/>
      <c r="BV809" s="14"/>
      <c r="BW809" s="14"/>
      <c r="BX809" s="14"/>
      <c r="BY809" s="170"/>
    </row>
    <row r="810" spans="9:77" x14ac:dyDescent="0.25">
      <c r="I810">
        <v>7970</v>
      </c>
      <c r="J810" s="1" t="s">
        <v>984</v>
      </c>
      <c r="K810">
        <v>514.45666666666602</v>
      </c>
      <c r="L810">
        <v>478.50333333333299</v>
      </c>
      <c r="M810">
        <v>501.7</v>
      </c>
      <c r="N810">
        <v>485.65666666666601</v>
      </c>
      <c r="O810">
        <v>478.22333333333302</v>
      </c>
      <c r="P810">
        <v>473.00333333333299</v>
      </c>
      <c r="Q810">
        <v>490.00666666666598</v>
      </c>
      <c r="R810">
        <v>435.08333333333297</v>
      </c>
      <c r="S810">
        <v>470.88333333333298</v>
      </c>
      <c r="T810">
        <v>447.22333333333302</v>
      </c>
      <c r="U810">
        <v>435.16333333333301</v>
      </c>
      <c r="V810">
        <v>426.25666666666598</v>
      </c>
      <c r="W810">
        <v>493.70333333333298</v>
      </c>
      <c r="X810">
        <v>463.62666666666598</v>
      </c>
      <c r="Y810">
        <v>474.98</v>
      </c>
      <c r="Z810">
        <v>472.97666666666601</v>
      </c>
      <c r="AA810">
        <v>467.19333333333299</v>
      </c>
      <c r="AB810">
        <v>467.19333333333299</v>
      </c>
      <c r="AC810">
        <v>514.35333333333301</v>
      </c>
      <c r="AD810">
        <v>474.56333333333299</v>
      </c>
      <c r="AE810">
        <v>500.26999999999902</v>
      </c>
      <c r="AF810">
        <v>488.92</v>
      </c>
      <c r="AG810">
        <v>481.433333333333</v>
      </c>
      <c r="AH810">
        <v>477.94</v>
      </c>
      <c r="AI810">
        <v>514.45666666666602</v>
      </c>
      <c r="AJ810">
        <v>478.50333333333299</v>
      </c>
      <c r="AK810">
        <v>501.7</v>
      </c>
      <c r="AL810">
        <v>485.65666666666601</v>
      </c>
      <c r="AM810">
        <v>478.22333333333302</v>
      </c>
      <c r="AN810">
        <v>473.00333333333299</v>
      </c>
      <c r="AO810">
        <v>500.7</v>
      </c>
      <c r="AP810">
        <v>434.45</v>
      </c>
      <c r="AQ810">
        <v>480.82666666666597</v>
      </c>
      <c r="AR810">
        <v>449.57333333333298</v>
      </c>
      <c r="AS810">
        <v>432.59666666666601</v>
      </c>
      <c r="AT810">
        <v>418.82</v>
      </c>
      <c r="AU810">
        <v>516.94666666666603</v>
      </c>
      <c r="AV810">
        <v>463.79</v>
      </c>
      <c r="AW810">
        <v>499.13</v>
      </c>
      <c r="AX810">
        <v>475.979999999999</v>
      </c>
      <c r="AY810">
        <v>463.74666666666599</v>
      </c>
      <c r="AZ810">
        <v>454.93666666666599</v>
      </c>
      <c r="BA810">
        <v>508.183333333333</v>
      </c>
      <c r="BB810">
        <v>454.08333333333297</v>
      </c>
      <c r="BC810">
        <v>490.25333333333299</v>
      </c>
      <c r="BD810">
        <v>466.35333333333301</v>
      </c>
      <c r="BE810">
        <v>453.98333333333301</v>
      </c>
      <c r="BF810">
        <v>444.48333333333301</v>
      </c>
      <c r="BG810" s="14"/>
      <c r="BH810" s="14"/>
      <c r="BI810" s="14"/>
      <c r="BJ810" s="199"/>
      <c r="BK810" s="14"/>
      <c r="BL810" s="14"/>
      <c r="BM810" s="14"/>
      <c r="BN810" s="14"/>
      <c r="BO810" s="14"/>
      <c r="BP810" s="14"/>
      <c r="BQ810" s="14"/>
      <c r="BR810" s="14"/>
      <c r="BS810" s="14"/>
      <c r="BT810" s="14"/>
      <c r="BU810" s="14"/>
      <c r="BV810" s="14"/>
      <c r="BW810" s="14"/>
      <c r="BX810" s="14"/>
      <c r="BY810" s="170"/>
    </row>
    <row r="811" spans="9:77" x14ac:dyDescent="0.25">
      <c r="I811">
        <v>7980</v>
      </c>
      <c r="J811" s="1" t="s">
        <v>985</v>
      </c>
      <c r="K811">
        <v>514.45666666666602</v>
      </c>
      <c r="L811">
        <v>478.50333333333299</v>
      </c>
      <c r="M811">
        <v>501.7</v>
      </c>
      <c r="N811">
        <v>485.65666666666601</v>
      </c>
      <c r="O811">
        <v>478.22333333333302</v>
      </c>
      <c r="P811">
        <v>473.00333333333299</v>
      </c>
      <c r="Q811">
        <v>490.00666666666598</v>
      </c>
      <c r="R811">
        <v>435.08333333333297</v>
      </c>
      <c r="S811">
        <v>470.88333333333298</v>
      </c>
      <c r="T811">
        <v>447.22333333333302</v>
      </c>
      <c r="U811">
        <v>435.16333333333301</v>
      </c>
      <c r="V811">
        <v>426.25666666666598</v>
      </c>
      <c r="W811">
        <v>493.70333333333298</v>
      </c>
      <c r="X811">
        <v>463.62666666666598</v>
      </c>
      <c r="Y811">
        <v>474.98</v>
      </c>
      <c r="Z811">
        <v>472.97666666666601</v>
      </c>
      <c r="AA811">
        <v>467.19333333333299</v>
      </c>
      <c r="AB811">
        <v>467.19333333333299</v>
      </c>
      <c r="AC811">
        <v>514.35333333333301</v>
      </c>
      <c r="AD811">
        <v>474.56333333333299</v>
      </c>
      <c r="AE811">
        <v>500.26999999999902</v>
      </c>
      <c r="AF811">
        <v>488.92</v>
      </c>
      <c r="AG811">
        <v>481.433333333333</v>
      </c>
      <c r="AH811">
        <v>477.94</v>
      </c>
      <c r="AI811">
        <v>514.45666666666602</v>
      </c>
      <c r="AJ811">
        <v>478.50333333333299</v>
      </c>
      <c r="AK811">
        <v>501.7</v>
      </c>
      <c r="AL811">
        <v>485.65666666666601</v>
      </c>
      <c r="AM811">
        <v>478.22333333333302</v>
      </c>
      <c r="AN811">
        <v>473.00333333333299</v>
      </c>
      <c r="AO811">
        <v>500.7</v>
      </c>
      <c r="AP811">
        <v>434.45</v>
      </c>
      <c r="AQ811">
        <v>480.82666666666597</v>
      </c>
      <c r="AR811">
        <v>449.57333333333298</v>
      </c>
      <c r="AS811">
        <v>432.59666666666601</v>
      </c>
      <c r="AT811">
        <v>418.82</v>
      </c>
      <c r="AU811">
        <v>516.94666666666603</v>
      </c>
      <c r="AV811">
        <v>463.79</v>
      </c>
      <c r="AW811">
        <v>499.13</v>
      </c>
      <c r="AX811">
        <v>475.979999999999</v>
      </c>
      <c r="AY811">
        <v>463.74666666666599</v>
      </c>
      <c r="AZ811">
        <v>454.93666666666599</v>
      </c>
      <c r="BA811">
        <v>508.183333333333</v>
      </c>
      <c r="BB811">
        <v>454.08333333333297</v>
      </c>
      <c r="BC811">
        <v>490.25333333333299</v>
      </c>
      <c r="BD811">
        <v>466.35333333333301</v>
      </c>
      <c r="BE811">
        <v>453.98333333333301</v>
      </c>
      <c r="BF811">
        <v>444.48333333333301</v>
      </c>
      <c r="BG811" s="14"/>
      <c r="BH811" s="14"/>
      <c r="BI811" s="14"/>
      <c r="BJ811" s="199"/>
      <c r="BK811" s="14"/>
      <c r="BL811" s="14"/>
      <c r="BM811" s="14"/>
      <c r="BN811" s="14"/>
      <c r="BO811" s="14"/>
      <c r="BP811" s="14"/>
      <c r="BQ811" s="14"/>
      <c r="BR811" s="14"/>
      <c r="BS811" s="14"/>
      <c r="BT811" s="14"/>
      <c r="BU811" s="14"/>
      <c r="BV811" s="14"/>
      <c r="BW811" s="14"/>
      <c r="BX811" s="14"/>
      <c r="BY811" s="170"/>
    </row>
    <row r="812" spans="9:77" x14ac:dyDescent="0.25">
      <c r="I812">
        <v>7990</v>
      </c>
      <c r="J812" s="1" t="s">
        <v>986</v>
      </c>
      <c r="K812">
        <v>514.45666666666602</v>
      </c>
      <c r="L812">
        <v>478.50333333333299</v>
      </c>
      <c r="M812">
        <v>501.7</v>
      </c>
      <c r="N812">
        <v>485.65666666666601</v>
      </c>
      <c r="O812">
        <v>478.22333333333302</v>
      </c>
      <c r="P812">
        <v>473.00333333333299</v>
      </c>
      <c r="Q812">
        <v>490.00666666666598</v>
      </c>
      <c r="R812">
        <v>435.08333333333297</v>
      </c>
      <c r="S812">
        <v>470.88333333333298</v>
      </c>
      <c r="T812">
        <v>447.22333333333302</v>
      </c>
      <c r="U812">
        <v>435.16333333333301</v>
      </c>
      <c r="V812">
        <v>426.25666666666598</v>
      </c>
      <c r="W812">
        <v>493.70333333333298</v>
      </c>
      <c r="X812">
        <v>463.62666666666598</v>
      </c>
      <c r="Y812">
        <v>474.98</v>
      </c>
      <c r="Z812">
        <v>472.97666666666601</v>
      </c>
      <c r="AA812">
        <v>467.19333333333299</v>
      </c>
      <c r="AB812">
        <v>467.19333333333299</v>
      </c>
      <c r="AC812">
        <v>514.35333333333301</v>
      </c>
      <c r="AD812">
        <v>474.56333333333299</v>
      </c>
      <c r="AE812">
        <v>500.26999999999902</v>
      </c>
      <c r="AF812">
        <v>488.92</v>
      </c>
      <c r="AG812">
        <v>481.433333333333</v>
      </c>
      <c r="AH812">
        <v>477.94</v>
      </c>
      <c r="AI812">
        <v>514.45666666666602</v>
      </c>
      <c r="AJ812">
        <v>478.50333333333299</v>
      </c>
      <c r="AK812">
        <v>501.7</v>
      </c>
      <c r="AL812">
        <v>485.65666666666601</v>
      </c>
      <c r="AM812">
        <v>478.22333333333302</v>
      </c>
      <c r="AN812">
        <v>473.00333333333299</v>
      </c>
      <c r="AO812">
        <v>500.7</v>
      </c>
      <c r="AP812">
        <v>434.45</v>
      </c>
      <c r="AQ812">
        <v>480.82666666666597</v>
      </c>
      <c r="AR812">
        <v>449.57333333333298</v>
      </c>
      <c r="AS812">
        <v>432.59666666666601</v>
      </c>
      <c r="AT812">
        <v>418.82</v>
      </c>
      <c r="AU812">
        <v>516.94666666666603</v>
      </c>
      <c r="AV812">
        <v>463.79</v>
      </c>
      <c r="AW812">
        <v>499.13</v>
      </c>
      <c r="AX812">
        <v>475.979999999999</v>
      </c>
      <c r="AY812">
        <v>463.74666666666599</v>
      </c>
      <c r="AZ812">
        <v>454.93666666666599</v>
      </c>
      <c r="BA812">
        <v>508.183333333333</v>
      </c>
      <c r="BB812">
        <v>454.08333333333297</v>
      </c>
      <c r="BC812">
        <v>490.25333333333299</v>
      </c>
      <c r="BD812">
        <v>466.35333333333301</v>
      </c>
      <c r="BE812">
        <v>453.98333333333301</v>
      </c>
      <c r="BF812">
        <v>444.48333333333301</v>
      </c>
      <c r="BG812" s="14"/>
      <c r="BH812" s="14"/>
      <c r="BI812" s="14"/>
      <c r="BJ812" s="199"/>
      <c r="BK812" s="14"/>
      <c r="BL812" s="14"/>
      <c r="BM812" s="14"/>
      <c r="BN812" s="14"/>
      <c r="BO812" s="14"/>
      <c r="BP812" s="14"/>
      <c r="BQ812" s="14"/>
      <c r="BR812" s="14"/>
      <c r="BS812" s="14"/>
      <c r="BT812" s="14"/>
      <c r="BU812" s="14"/>
      <c r="BV812" s="14"/>
      <c r="BW812" s="14"/>
      <c r="BX812" s="14"/>
      <c r="BY812" s="170"/>
    </row>
    <row r="813" spans="9:77" x14ac:dyDescent="0.25">
      <c r="I813">
        <v>8000</v>
      </c>
      <c r="J813" s="1" t="s">
        <v>987</v>
      </c>
      <c r="K813">
        <v>396.84333333333302</v>
      </c>
      <c r="L813">
        <v>360.159999999999</v>
      </c>
      <c r="M813">
        <v>384.21333333333303</v>
      </c>
      <c r="N813">
        <v>367.01666666666603</v>
      </c>
      <c r="O813">
        <v>359.29</v>
      </c>
      <c r="P813">
        <v>353.66</v>
      </c>
      <c r="Q813">
        <v>380.09</v>
      </c>
      <c r="R813">
        <v>325.17666666666599</v>
      </c>
      <c r="S813">
        <v>362.53333333333302</v>
      </c>
      <c r="T813">
        <v>338.02</v>
      </c>
      <c r="U813">
        <v>324.72000000000003</v>
      </c>
      <c r="V813">
        <v>313.993333333333</v>
      </c>
      <c r="W813">
        <v>382.95666666666602</v>
      </c>
      <c r="X813">
        <v>354.62</v>
      </c>
      <c r="Y813">
        <v>365.8</v>
      </c>
      <c r="Z813">
        <v>363.92</v>
      </c>
      <c r="AA813">
        <v>358.20333333333298</v>
      </c>
      <c r="AB813">
        <v>358.20333333333298</v>
      </c>
      <c r="AC813">
        <v>398.11666666666599</v>
      </c>
      <c r="AD813">
        <v>356.99</v>
      </c>
      <c r="AE813">
        <v>384.14333333333298</v>
      </c>
      <c r="AF813">
        <v>372.14</v>
      </c>
      <c r="AG813">
        <v>364.36666666666599</v>
      </c>
      <c r="AH813">
        <v>360.553333333333</v>
      </c>
      <c r="AI813">
        <v>396.84333333333302</v>
      </c>
      <c r="AJ813">
        <v>360.159999999999</v>
      </c>
      <c r="AK813">
        <v>384.21333333333303</v>
      </c>
      <c r="AL813">
        <v>367.01666666666603</v>
      </c>
      <c r="AM813">
        <v>359.29</v>
      </c>
      <c r="AN813">
        <v>353.66</v>
      </c>
      <c r="AO813">
        <v>393.81666666666598</v>
      </c>
      <c r="AP813">
        <v>328.17333333333301</v>
      </c>
      <c r="AQ813">
        <v>375.29333333333301</v>
      </c>
      <c r="AR813">
        <v>343.113333333333</v>
      </c>
      <c r="AS813">
        <v>325.77333333333303</v>
      </c>
      <c r="AT813">
        <v>311.42</v>
      </c>
      <c r="AU813">
        <v>408.12</v>
      </c>
      <c r="AV813">
        <v>355.54333333333301</v>
      </c>
      <c r="AW813">
        <v>391.56</v>
      </c>
      <c r="AX813">
        <v>367.67</v>
      </c>
      <c r="AY813">
        <v>355.433333333333</v>
      </c>
      <c r="AZ813">
        <v>346.43666666666599</v>
      </c>
      <c r="BA813">
        <v>396.91</v>
      </c>
      <c r="BB813">
        <v>342.58333333333297</v>
      </c>
      <c r="BC813">
        <v>379.74</v>
      </c>
      <c r="BD813">
        <v>355.10333333333301</v>
      </c>
      <c r="BE813">
        <v>342.046666666666</v>
      </c>
      <c r="BF813">
        <v>331.49</v>
      </c>
      <c r="BG813" s="14"/>
      <c r="BH813" s="14"/>
      <c r="BI813" s="14"/>
      <c r="BJ813" s="199"/>
      <c r="BK813" s="14"/>
      <c r="BL813" s="14"/>
      <c r="BM813" s="14"/>
      <c r="BN813" s="14"/>
      <c r="BO813" s="14"/>
      <c r="BP813" s="14"/>
      <c r="BQ813" s="14"/>
      <c r="BR813" s="14"/>
      <c r="BS813" s="14"/>
      <c r="BT813" s="14"/>
      <c r="BU813" s="14"/>
      <c r="BV813" s="14"/>
      <c r="BW813" s="14"/>
      <c r="BX813" s="14"/>
      <c r="BY813" s="170"/>
    </row>
    <row r="814" spans="9:77" x14ac:dyDescent="0.25">
      <c r="I814">
        <v>8200</v>
      </c>
      <c r="J814" s="1" t="s">
        <v>988</v>
      </c>
      <c r="K814">
        <v>396.84333333333302</v>
      </c>
      <c r="L814">
        <v>360.159999999999</v>
      </c>
      <c r="M814">
        <v>384.21333333333303</v>
      </c>
      <c r="N814">
        <v>367.01666666666603</v>
      </c>
      <c r="O814">
        <v>359.29</v>
      </c>
      <c r="P814">
        <v>353.66</v>
      </c>
      <c r="Q814">
        <v>380.09</v>
      </c>
      <c r="R814">
        <v>325.17666666666599</v>
      </c>
      <c r="S814">
        <v>362.53333333333302</v>
      </c>
      <c r="T814">
        <v>338.02</v>
      </c>
      <c r="U814">
        <v>324.72000000000003</v>
      </c>
      <c r="V814">
        <v>313.993333333333</v>
      </c>
      <c r="W814">
        <v>382.95666666666602</v>
      </c>
      <c r="X814">
        <v>354.62</v>
      </c>
      <c r="Y814">
        <v>365.8</v>
      </c>
      <c r="Z814">
        <v>363.92</v>
      </c>
      <c r="AA814">
        <v>358.20333333333298</v>
      </c>
      <c r="AB814">
        <v>358.20333333333298</v>
      </c>
      <c r="AC814">
        <v>398.11666666666599</v>
      </c>
      <c r="AD814">
        <v>356.99</v>
      </c>
      <c r="AE814">
        <v>384.14333333333298</v>
      </c>
      <c r="AF814">
        <v>372.14</v>
      </c>
      <c r="AG814">
        <v>364.36666666666599</v>
      </c>
      <c r="AH814">
        <v>360.553333333333</v>
      </c>
      <c r="AI814">
        <v>396.84333333333302</v>
      </c>
      <c r="AJ814">
        <v>360.159999999999</v>
      </c>
      <c r="AK814">
        <v>384.21333333333303</v>
      </c>
      <c r="AL814">
        <v>367.01666666666603</v>
      </c>
      <c r="AM814">
        <v>359.29</v>
      </c>
      <c r="AN814">
        <v>353.66</v>
      </c>
      <c r="AO814">
        <v>393.81666666666598</v>
      </c>
      <c r="AP814">
        <v>328.17333333333301</v>
      </c>
      <c r="AQ814">
        <v>375.29333333333301</v>
      </c>
      <c r="AR814">
        <v>343.113333333333</v>
      </c>
      <c r="AS814">
        <v>325.77333333333303</v>
      </c>
      <c r="AT814">
        <v>311.42</v>
      </c>
      <c r="AU814">
        <v>408.12</v>
      </c>
      <c r="AV814">
        <v>355.54333333333301</v>
      </c>
      <c r="AW814">
        <v>391.56</v>
      </c>
      <c r="AX814">
        <v>367.67</v>
      </c>
      <c r="AY814">
        <v>355.433333333333</v>
      </c>
      <c r="AZ814">
        <v>346.43666666666599</v>
      </c>
      <c r="BA814">
        <v>396.91</v>
      </c>
      <c r="BB814">
        <v>342.58333333333297</v>
      </c>
      <c r="BC814">
        <v>379.74</v>
      </c>
      <c r="BD814">
        <v>355.10333333333301</v>
      </c>
      <c r="BE814">
        <v>342.046666666666</v>
      </c>
      <c r="BF814">
        <v>331.49</v>
      </c>
      <c r="BG814" s="14"/>
      <c r="BH814" s="14"/>
      <c r="BI814" s="14"/>
      <c r="BJ814" s="199"/>
      <c r="BK814" s="14"/>
      <c r="BL814" s="14"/>
      <c r="BM814" s="14"/>
      <c r="BN814" s="14"/>
      <c r="BO814" s="14"/>
      <c r="BP814" s="14"/>
      <c r="BQ814" s="14"/>
      <c r="BR814" s="14"/>
      <c r="BS814" s="14"/>
      <c r="BT814" s="14"/>
      <c r="BU814" s="14"/>
      <c r="BV814" s="14"/>
      <c r="BW814" s="14"/>
      <c r="BX814" s="14"/>
      <c r="BY814" s="170"/>
    </row>
    <row r="815" spans="9:77" x14ac:dyDescent="0.25">
      <c r="I815">
        <v>8210</v>
      </c>
      <c r="J815" s="1" t="s">
        <v>989</v>
      </c>
      <c r="K815">
        <v>396.84333333333302</v>
      </c>
      <c r="L815">
        <v>360.159999999999</v>
      </c>
      <c r="M815">
        <v>384.21333333333303</v>
      </c>
      <c r="N815">
        <v>367.01666666666603</v>
      </c>
      <c r="O815">
        <v>359.29</v>
      </c>
      <c r="P815">
        <v>353.66</v>
      </c>
      <c r="Q815">
        <v>380.09</v>
      </c>
      <c r="R815">
        <v>325.17666666666599</v>
      </c>
      <c r="S815">
        <v>362.53333333333302</v>
      </c>
      <c r="T815">
        <v>338.02</v>
      </c>
      <c r="U815">
        <v>324.72000000000003</v>
      </c>
      <c r="V815">
        <v>313.993333333333</v>
      </c>
      <c r="W815">
        <v>382.95666666666602</v>
      </c>
      <c r="X815">
        <v>354.62</v>
      </c>
      <c r="Y815">
        <v>365.8</v>
      </c>
      <c r="Z815">
        <v>363.92</v>
      </c>
      <c r="AA815">
        <v>358.20333333333298</v>
      </c>
      <c r="AB815">
        <v>358.20333333333298</v>
      </c>
      <c r="AC815">
        <v>398.11666666666599</v>
      </c>
      <c r="AD815">
        <v>356.99</v>
      </c>
      <c r="AE815">
        <v>384.14333333333298</v>
      </c>
      <c r="AF815">
        <v>372.14</v>
      </c>
      <c r="AG815">
        <v>364.36666666666599</v>
      </c>
      <c r="AH815">
        <v>360.553333333333</v>
      </c>
      <c r="AI815">
        <v>396.84333333333302</v>
      </c>
      <c r="AJ815">
        <v>360.159999999999</v>
      </c>
      <c r="AK815">
        <v>384.21333333333303</v>
      </c>
      <c r="AL815">
        <v>367.01666666666603</v>
      </c>
      <c r="AM815">
        <v>359.29</v>
      </c>
      <c r="AN815">
        <v>353.66</v>
      </c>
      <c r="AO815">
        <v>393.81666666666598</v>
      </c>
      <c r="AP815">
        <v>328.17333333333301</v>
      </c>
      <c r="AQ815">
        <v>375.29333333333301</v>
      </c>
      <c r="AR815">
        <v>343.113333333333</v>
      </c>
      <c r="AS815">
        <v>325.77333333333303</v>
      </c>
      <c r="AT815">
        <v>311.42</v>
      </c>
      <c r="AU815">
        <v>408.12</v>
      </c>
      <c r="AV815">
        <v>355.54333333333301</v>
      </c>
      <c r="AW815">
        <v>391.56</v>
      </c>
      <c r="AX815">
        <v>367.67</v>
      </c>
      <c r="AY815">
        <v>355.433333333333</v>
      </c>
      <c r="AZ815">
        <v>346.43666666666599</v>
      </c>
      <c r="BA815">
        <v>396.91</v>
      </c>
      <c r="BB815">
        <v>342.58333333333297</v>
      </c>
      <c r="BC815">
        <v>379.74</v>
      </c>
      <c r="BD815">
        <v>355.10333333333301</v>
      </c>
      <c r="BE815">
        <v>342.046666666666</v>
      </c>
      <c r="BF815">
        <v>331.49</v>
      </c>
      <c r="BG815" s="14"/>
      <c r="BH815" s="14"/>
      <c r="BI815" s="14"/>
      <c r="BJ815" s="199"/>
      <c r="BK815" s="14"/>
      <c r="BL815" s="14"/>
      <c r="BM815" s="14"/>
      <c r="BN815" s="14"/>
      <c r="BO815" s="14"/>
      <c r="BP815" s="14"/>
      <c r="BQ815" s="14"/>
      <c r="BR815" s="14"/>
      <c r="BS815" s="14"/>
      <c r="BT815" s="14"/>
      <c r="BU815" s="14"/>
      <c r="BV815" s="14"/>
      <c r="BW815" s="14"/>
      <c r="BX815" s="14"/>
      <c r="BY815" s="170"/>
    </row>
    <row r="816" spans="9:77" x14ac:dyDescent="0.25">
      <c r="I816">
        <v>8220</v>
      </c>
      <c r="J816" s="1" t="s">
        <v>990</v>
      </c>
      <c r="K816">
        <v>396.84333333333302</v>
      </c>
      <c r="L816">
        <v>360.159999999999</v>
      </c>
      <c r="M816">
        <v>384.21333333333303</v>
      </c>
      <c r="N816">
        <v>367.01666666666603</v>
      </c>
      <c r="O816">
        <v>359.29</v>
      </c>
      <c r="P816">
        <v>353.66</v>
      </c>
      <c r="Q816">
        <v>380.09</v>
      </c>
      <c r="R816">
        <v>325.17666666666599</v>
      </c>
      <c r="S816">
        <v>362.53333333333302</v>
      </c>
      <c r="T816">
        <v>338.02</v>
      </c>
      <c r="U816">
        <v>324.72000000000003</v>
      </c>
      <c r="V816">
        <v>313.993333333333</v>
      </c>
      <c r="W816">
        <v>382.95666666666602</v>
      </c>
      <c r="X816">
        <v>354.62</v>
      </c>
      <c r="Y816">
        <v>365.8</v>
      </c>
      <c r="Z816">
        <v>363.92</v>
      </c>
      <c r="AA816">
        <v>358.20333333333298</v>
      </c>
      <c r="AB816">
        <v>358.20333333333298</v>
      </c>
      <c r="AC816">
        <v>398.11666666666599</v>
      </c>
      <c r="AD816">
        <v>356.99</v>
      </c>
      <c r="AE816">
        <v>384.14333333333298</v>
      </c>
      <c r="AF816">
        <v>372.14</v>
      </c>
      <c r="AG816">
        <v>364.36666666666599</v>
      </c>
      <c r="AH816">
        <v>360.553333333333</v>
      </c>
      <c r="AI816">
        <v>396.84333333333302</v>
      </c>
      <c r="AJ816">
        <v>360.159999999999</v>
      </c>
      <c r="AK816">
        <v>384.21333333333303</v>
      </c>
      <c r="AL816">
        <v>367.01666666666603</v>
      </c>
      <c r="AM816">
        <v>359.29</v>
      </c>
      <c r="AN816">
        <v>353.66</v>
      </c>
      <c r="AO816">
        <v>393.81666666666598</v>
      </c>
      <c r="AP816">
        <v>328.17333333333301</v>
      </c>
      <c r="AQ816">
        <v>375.29333333333301</v>
      </c>
      <c r="AR816">
        <v>343.113333333333</v>
      </c>
      <c r="AS816">
        <v>325.77333333333303</v>
      </c>
      <c r="AT816">
        <v>311.42</v>
      </c>
      <c r="AU816">
        <v>408.12</v>
      </c>
      <c r="AV816">
        <v>355.54333333333301</v>
      </c>
      <c r="AW816">
        <v>391.56</v>
      </c>
      <c r="AX816">
        <v>367.67</v>
      </c>
      <c r="AY816">
        <v>355.433333333333</v>
      </c>
      <c r="AZ816">
        <v>346.43666666666599</v>
      </c>
      <c r="BA816">
        <v>396.91</v>
      </c>
      <c r="BB816">
        <v>342.58333333333297</v>
      </c>
      <c r="BC816">
        <v>379.74</v>
      </c>
      <c r="BD816">
        <v>355.10333333333301</v>
      </c>
      <c r="BE816">
        <v>342.046666666666</v>
      </c>
      <c r="BF816">
        <v>331.49</v>
      </c>
      <c r="BG816" s="14"/>
      <c r="BH816" s="14"/>
      <c r="BI816" s="14"/>
      <c r="BJ816" s="199"/>
      <c r="BK816" s="14"/>
      <c r="BL816" s="14"/>
      <c r="BM816" s="14"/>
      <c r="BN816" s="14"/>
      <c r="BO816" s="14"/>
      <c r="BP816" s="14"/>
      <c r="BQ816" s="14"/>
      <c r="BR816" s="14"/>
      <c r="BS816" s="14"/>
      <c r="BT816" s="14"/>
      <c r="BU816" s="14"/>
      <c r="BV816" s="14"/>
      <c r="BW816" s="14"/>
      <c r="BX816" s="14"/>
      <c r="BY816" s="170"/>
    </row>
    <row r="817" spans="9:77" x14ac:dyDescent="0.25">
      <c r="I817">
        <v>8230</v>
      </c>
      <c r="J817" s="1" t="s">
        <v>991</v>
      </c>
      <c r="K817">
        <v>396.84333333333302</v>
      </c>
      <c r="L817">
        <v>360.159999999999</v>
      </c>
      <c r="M817">
        <v>384.21333333333303</v>
      </c>
      <c r="N817">
        <v>367.01666666666603</v>
      </c>
      <c r="O817">
        <v>359.29</v>
      </c>
      <c r="P817">
        <v>353.66</v>
      </c>
      <c r="Q817">
        <v>380.09</v>
      </c>
      <c r="R817">
        <v>325.17666666666599</v>
      </c>
      <c r="S817">
        <v>362.53333333333302</v>
      </c>
      <c r="T817">
        <v>338.02</v>
      </c>
      <c r="U817">
        <v>324.72000000000003</v>
      </c>
      <c r="V817">
        <v>313.993333333333</v>
      </c>
      <c r="W817">
        <v>382.95666666666602</v>
      </c>
      <c r="X817">
        <v>354.62</v>
      </c>
      <c r="Y817">
        <v>365.8</v>
      </c>
      <c r="Z817">
        <v>363.92</v>
      </c>
      <c r="AA817">
        <v>358.20333333333298</v>
      </c>
      <c r="AB817">
        <v>358.20333333333298</v>
      </c>
      <c r="AC817">
        <v>398.11666666666599</v>
      </c>
      <c r="AD817">
        <v>356.99</v>
      </c>
      <c r="AE817">
        <v>384.14333333333298</v>
      </c>
      <c r="AF817">
        <v>372.14</v>
      </c>
      <c r="AG817">
        <v>364.36666666666599</v>
      </c>
      <c r="AH817">
        <v>360.553333333333</v>
      </c>
      <c r="AI817">
        <v>396.84333333333302</v>
      </c>
      <c r="AJ817">
        <v>360.159999999999</v>
      </c>
      <c r="AK817">
        <v>384.21333333333303</v>
      </c>
      <c r="AL817">
        <v>367.01666666666603</v>
      </c>
      <c r="AM817">
        <v>359.29</v>
      </c>
      <c r="AN817">
        <v>353.66</v>
      </c>
      <c r="AO817">
        <v>393.81666666666598</v>
      </c>
      <c r="AP817">
        <v>328.17333333333301</v>
      </c>
      <c r="AQ817">
        <v>375.29333333333301</v>
      </c>
      <c r="AR817">
        <v>343.113333333333</v>
      </c>
      <c r="AS817">
        <v>325.77333333333303</v>
      </c>
      <c r="AT817">
        <v>311.42</v>
      </c>
      <c r="AU817">
        <v>408.12</v>
      </c>
      <c r="AV817">
        <v>355.54333333333301</v>
      </c>
      <c r="AW817">
        <v>391.56</v>
      </c>
      <c r="AX817">
        <v>367.67</v>
      </c>
      <c r="AY817">
        <v>355.433333333333</v>
      </c>
      <c r="AZ817">
        <v>346.43666666666599</v>
      </c>
      <c r="BA817">
        <v>396.91</v>
      </c>
      <c r="BB817">
        <v>342.58333333333297</v>
      </c>
      <c r="BC817">
        <v>379.74</v>
      </c>
      <c r="BD817">
        <v>355.10333333333301</v>
      </c>
      <c r="BE817">
        <v>342.046666666666</v>
      </c>
      <c r="BF817">
        <v>331.49</v>
      </c>
      <c r="BG817" s="14"/>
      <c r="BH817" s="14"/>
      <c r="BI817" s="14"/>
      <c r="BJ817" s="199"/>
      <c r="BK817" s="14"/>
      <c r="BL817" s="14"/>
      <c r="BM817" s="14"/>
      <c r="BN817" s="14"/>
      <c r="BO817" s="14"/>
      <c r="BP817" s="14"/>
      <c r="BQ817" s="14"/>
      <c r="BR817" s="14"/>
      <c r="BS817" s="14"/>
      <c r="BT817" s="14"/>
      <c r="BU817" s="14"/>
      <c r="BV817" s="14"/>
      <c r="BW817" s="14"/>
      <c r="BX817" s="14"/>
      <c r="BY817" s="170"/>
    </row>
    <row r="818" spans="9:77" x14ac:dyDescent="0.25">
      <c r="I818">
        <v>8240</v>
      </c>
      <c r="J818" s="1" t="s">
        <v>992</v>
      </c>
      <c r="K818">
        <v>396.84333333333302</v>
      </c>
      <c r="L818">
        <v>360.159999999999</v>
      </c>
      <c r="M818">
        <v>384.21333333333303</v>
      </c>
      <c r="N818">
        <v>367.01666666666603</v>
      </c>
      <c r="O818">
        <v>359.29</v>
      </c>
      <c r="P818">
        <v>353.66</v>
      </c>
      <c r="Q818">
        <v>380.09</v>
      </c>
      <c r="R818">
        <v>325.17666666666599</v>
      </c>
      <c r="S818">
        <v>362.53333333333302</v>
      </c>
      <c r="T818">
        <v>338.02</v>
      </c>
      <c r="U818">
        <v>324.72000000000003</v>
      </c>
      <c r="V818">
        <v>313.993333333333</v>
      </c>
      <c r="W818">
        <v>382.95666666666602</v>
      </c>
      <c r="X818">
        <v>354.62</v>
      </c>
      <c r="Y818">
        <v>365.8</v>
      </c>
      <c r="Z818">
        <v>363.92</v>
      </c>
      <c r="AA818">
        <v>358.20333333333298</v>
      </c>
      <c r="AB818">
        <v>358.20333333333298</v>
      </c>
      <c r="AC818">
        <v>398.11666666666599</v>
      </c>
      <c r="AD818">
        <v>356.99</v>
      </c>
      <c r="AE818">
        <v>384.14333333333298</v>
      </c>
      <c r="AF818">
        <v>372.14</v>
      </c>
      <c r="AG818">
        <v>364.36666666666599</v>
      </c>
      <c r="AH818">
        <v>360.553333333333</v>
      </c>
      <c r="AI818">
        <v>396.84333333333302</v>
      </c>
      <c r="AJ818">
        <v>360.159999999999</v>
      </c>
      <c r="AK818">
        <v>384.21333333333303</v>
      </c>
      <c r="AL818">
        <v>367.01666666666603</v>
      </c>
      <c r="AM818">
        <v>359.29</v>
      </c>
      <c r="AN818">
        <v>353.66</v>
      </c>
      <c r="AO818">
        <v>393.81666666666598</v>
      </c>
      <c r="AP818">
        <v>328.17333333333301</v>
      </c>
      <c r="AQ818">
        <v>375.29333333333301</v>
      </c>
      <c r="AR818">
        <v>343.113333333333</v>
      </c>
      <c r="AS818">
        <v>325.77333333333303</v>
      </c>
      <c r="AT818">
        <v>311.42</v>
      </c>
      <c r="AU818">
        <v>408.12</v>
      </c>
      <c r="AV818">
        <v>355.54333333333301</v>
      </c>
      <c r="AW818">
        <v>391.56</v>
      </c>
      <c r="AX818">
        <v>367.67</v>
      </c>
      <c r="AY818">
        <v>355.433333333333</v>
      </c>
      <c r="AZ818">
        <v>346.43666666666599</v>
      </c>
      <c r="BA818">
        <v>396.91</v>
      </c>
      <c r="BB818">
        <v>342.58333333333297</v>
      </c>
      <c r="BC818">
        <v>379.74</v>
      </c>
      <c r="BD818">
        <v>355.10333333333301</v>
      </c>
      <c r="BE818">
        <v>342.046666666666</v>
      </c>
      <c r="BF818">
        <v>331.49</v>
      </c>
      <c r="BG818" s="14"/>
      <c r="BH818" s="14"/>
      <c r="BI818" s="14"/>
      <c r="BJ818" s="199"/>
      <c r="BK818" s="14"/>
      <c r="BL818" s="14"/>
      <c r="BM818" s="14"/>
      <c r="BN818" s="14"/>
      <c r="BO818" s="14"/>
      <c r="BP818" s="14"/>
      <c r="BQ818" s="14"/>
      <c r="BR818" s="14"/>
      <c r="BS818" s="14"/>
      <c r="BT818" s="14"/>
      <c r="BU818" s="14"/>
      <c r="BV818" s="14"/>
      <c r="BW818" s="14"/>
      <c r="BX818" s="14"/>
      <c r="BY818" s="170"/>
    </row>
    <row r="819" spans="9:77" x14ac:dyDescent="0.25">
      <c r="I819">
        <v>8250</v>
      </c>
      <c r="J819" s="1" t="s">
        <v>993</v>
      </c>
      <c r="K819">
        <v>331.88333333333298</v>
      </c>
      <c r="L819">
        <v>295.19999999999902</v>
      </c>
      <c r="M819">
        <v>319.25333333333299</v>
      </c>
      <c r="N819">
        <v>302.05666666666599</v>
      </c>
      <c r="O819">
        <v>294.32999999999902</v>
      </c>
      <c r="P819">
        <v>288.69999999999902</v>
      </c>
      <c r="Q819">
        <v>315.13</v>
      </c>
      <c r="R819">
        <v>260.21666666666601</v>
      </c>
      <c r="S819">
        <v>297.57333333333298</v>
      </c>
      <c r="T819">
        <v>273.06</v>
      </c>
      <c r="U819">
        <v>259.75999999999902</v>
      </c>
      <c r="V819">
        <v>249.03333333333299</v>
      </c>
      <c r="W819">
        <v>317.99666666666599</v>
      </c>
      <c r="X819">
        <v>289.66000000000003</v>
      </c>
      <c r="Y819">
        <v>300.83999999999901</v>
      </c>
      <c r="Z819">
        <v>298.95999999999901</v>
      </c>
      <c r="AA819">
        <v>293.243333333333</v>
      </c>
      <c r="AB819">
        <v>293.243333333333</v>
      </c>
      <c r="AC819">
        <v>333.15666666666601</v>
      </c>
      <c r="AD819">
        <v>292.02999999999901</v>
      </c>
      <c r="AE819">
        <v>319.183333333333</v>
      </c>
      <c r="AF819">
        <v>307.18</v>
      </c>
      <c r="AG819">
        <v>299.40666666666601</v>
      </c>
      <c r="AH819">
        <v>295.59333333333302</v>
      </c>
      <c r="AI819">
        <v>331.88333333333298</v>
      </c>
      <c r="AJ819">
        <v>295.19999999999902</v>
      </c>
      <c r="AK819">
        <v>319.25333333333299</v>
      </c>
      <c r="AL819">
        <v>302.05666666666599</v>
      </c>
      <c r="AM819">
        <v>294.32999999999902</v>
      </c>
      <c r="AN819">
        <v>288.69999999999902</v>
      </c>
      <c r="AO819">
        <v>328.856666666666</v>
      </c>
      <c r="AP819">
        <v>263.21333333333303</v>
      </c>
      <c r="AQ819">
        <v>310.33333333333297</v>
      </c>
      <c r="AR819">
        <v>278.15333333333302</v>
      </c>
      <c r="AS819">
        <v>260.81333333333299</v>
      </c>
      <c r="AT819">
        <v>246.45999999999901</v>
      </c>
      <c r="AU819">
        <v>343.16</v>
      </c>
      <c r="AV819">
        <v>290.58333333333297</v>
      </c>
      <c r="AW819">
        <v>326.60000000000002</v>
      </c>
      <c r="AX819">
        <v>302.70999999999901</v>
      </c>
      <c r="AY819">
        <v>290.47333333333302</v>
      </c>
      <c r="AZ819">
        <v>281.47666666666601</v>
      </c>
      <c r="BA819">
        <v>331.94999999999902</v>
      </c>
      <c r="BB819">
        <v>277.62333333333299</v>
      </c>
      <c r="BC819">
        <v>314.77999999999901</v>
      </c>
      <c r="BD819">
        <v>290.14333333333298</v>
      </c>
      <c r="BE819">
        <v>277.08666666666602</v>
      </c>
      <c r="BF819">
        <v>266.52999999999997</v>
      </c>
      <c r="BG819" s="14"/>
      <c r="BH819" s="14"/>
      <c r="BI819" s="14"/>
      <c r="BJ819" s="199"/>
      <c r="BK819" s="14"/>
      <c r="BL819" s="14"/>
      <c r="BM819" s="14"/>
      <c r="BN819" s="14"/>
      <c r="BO819" s="14"/>
      <c r="BP819" s="14"/>
      <c r="BQ819" s="14"/>
      <c r="BR819" s="14"/>
      <c r="BS819" s="14"/>
      <c r="BT819" s="14"/>
      <c r="BU819" s="14"/>
      <c r="BV819" s="14"/>
      <c r="BW819" s="14"/>
      <c r="BX819" s="14"/>
      <c r="BY819" s="170"/>
    </row>
    <row r="820" spans="9:77" x14ac:dyDescent="0.25">
      <c r="I820">
        <v>8260</v>
      </c>
      <c r="J820" s="1" t="s">
        <v>994</v>
      </c>
      <c r="K820">
        <v>393.08333333333297</v>
      </c>
      <c r="L820">
        <v>356.39999999999901</v>
      </c>
      <c r="M820">
        <v>380.45333333333298</v>
      </c>
      <c r="N820">
        <v>363.25666666666598</v>
      </c>
      <c r="O820">
        <v>355.52999999999901</v>
      </c>
      <c r="P820">
        <v>349.89999999999901</v>
      </c>
      <c r="Q820">
        <v>376.33</v>
      </c>
      <c r="R820">
        <v>321.416666666666</v>
      </c>
      <c r="S820">
        <v>358.77333333333303</v>
      </c>
      <c r="T820">
        <v>334.26</v>
      </c>
      <c r="U820">
        <v>320.95999999999998</v>
      </c>
      <c r="V820">
        <v>310.23333333333301</v>
      </c>
      <c r="W820">
        <v>379.19666666666598</v>
      </c>
      <c r="X820">
        <v>350.86</v>
      </c>
      <c r="Y820">
        <v>362.04</v>
      </c>
      <c r="Z820">
        <v>360.159999999999</v>
      </c>
      <c r="AA820">
        <v>354.44333333333299</v>
      </c>
      <c r="AB820">
        <v>354.44333333333299</v>
      </c>
      <c r="AC820">
        <v>394.356666666666</v>
      </c>
      <c r="AD820">
        <v>353.23</v>
      </c>
      <c r="AE820">
        <v>380.38333333333298</v>
      </c>
      <c r="AF820">
        <v>368.38</v>
      </c>
      <c r="AG820">
        <v>360.606666666666</v>
      </c>
      <c r="AH820">
        <v>356.79333333333301</v>
      </c>
      <c r="AI820">
        <v>393.08333333333297</v>
      </c>
      <c r="AJ820">
        <v>356.39999999999901</v>
      </c>
      <c r="AK820">
        <v>380.45333333333298</v>
      </c>
      <c r="AL820">
        <v>363.25666666666598</v>
      </c>
      <c r="AM820">
        <v>355.52999999999901</v>
      </c>
      <c r="AN820">
        <v>349.89999999999901</v>
      </c>
      <c r="AO820">
        <v>390.05666666666599</v>
      </c>
      <c r="AP820">
        <v>324.41333333333301</v>
      </c>
      <c r="AQ820">
        <v>371.53333333333302</v>
      </c>
      <c r="AR820">
        <v>339.35333333333301</v>
      </c>
      <c r="AS820">
        <v>322.01333333333298</v>
      </c>
      <c r="AT820">
        <v>307.659999999999</v>
      </c>
      <c r="AU820">
        <v>404.36</v>
      </c>
      <c r="AV820">
        <v>351.78333333333302</v>
      </c>
      <c r="AW820">
        <v>387.8</v>
      </c>
      <c r="AX820">
        <v>363.91</v>
      </c>
      <c r="AY820">
        <v>351.67333333333301</v>
      </c>
      <c r="AZ820">
        <v>342.67666666666599</v>
      </c>
      <c r="BA820">
        <v>393.14999999999901</v>
      </c>
      <c r="BB820">
        <v>338.82333333333298</v>
      </c>
      <c r="BC820">
        <v>375.98</v>
      </c>
      <c r="BD820">
        <v>351.34333333333302</v>
      </c>
      <c r="BE820">
        <v>338.28666666666601</v>
      </c>
      <c r="BF820">
        <v>327.73</v>
      </c>
      <c r="BG820" s="14"/>
      <c r="BH820" s="14"/>
      <c r="BI820" s="14"/>
      <c r="BJ820" s="199"/>
      <c r="BK820" s="14"/>
      <c r="BL820" s="14"/>
      <c r="BM820" s="14"/>
      <c r="BN820" s="14"/>
      <c r="BO820" s="14"/>
      <c r="BP820" s="14"/>
      <c r="BQ820" s="14"/>
      <c r="BR820" s="14"/>
      <c r="BS820" s="14"/>
      <c r="BT820" s="14"/>
      <c r="BU820" s="14"/>
      <c r="BV820" s="14"/>
      <c r="BW820" s="14"/>
      <c r="BX820" s="14"/>
      <c r="BY820" s="170"/>
    </row>
    <row r="821" spans="9:77" x14ac:dyDescent="0.25">
      <c r="I821">
        <v>8270</v>
      </c>
      <c r="J821" s="1" t="s">
        <v>995</v>
      </c>
      <c r="K821">
        <v>393.08333333333297</v>
      </c>
      <c r="L821">
        <v>356.39999999999901</v>
      </c>
      <c r="M821">
        <v>380.45333333333298</v>
      </c>
      <c r="N821">
        <v>363.25666666666598</v>
      </c>
      <c r="O821">
        <v>355.52999999999901</v>
      </c>
      <c r="P821">
        <v>349.89999999999901</v>
      </c>
      <c r="Q821">
        <v>376.33</v>
      </c>
      <c r="R821">
        <v>321.416666666666</v>
      </c>
      <c r="S821">
        <v>358.77333333333303</v>
      </c>
      <c r="T821">
        <v>334.26</v>
      </c>
      <c r="U821">
        <v>320.95999999999998</v>
      </c>
      <c r="V821">
        <v>310.23333333333301</v>
      </c>
      <c r="W821">
        <v>379.19666666666598</v>
      </c>
      <c r="X821">
        <v>350.86</v>
      </c>
      <c r="Y821">
        <v>362.04</v>
      </c>
      <c r="Z821">
        <v>360.159999999999</v>
      </c>
      <c r="AA821">
        <v>354.44333333333299</v>
      </c>
      <c r="AB821">
        <v>354.44333333333299</v>
      </c>
      <c r="AC821">
        <v>394.356666666666</v>
      </c>
      <c r="AD821">
        <v>353.23</v>
      </c>
      <c r="AE821">
        <v>380.38333333333298</v>
      </c>
      <c r="AF821">
        <v>368.38</v>
      </c>
      <c r="AG821">
        <v>360.606666666666</v>
      </c>
      <c r="AH821">
        <v>356.79333333333301</v>
      </c>
      <c r="AI821">
        <v>393.08333333333297</v>
      </c>
      <c r="AJ821">
        <v>356.39999999999901</v>
      </c>
      <c r="AK821">
        <v>380.45333333333298</v>
      </c>
      <c r="AL821">
        <v>363.25666666666598</v>
      </c>
      <c r="AM821">
        <v>355.52999999999901</v>
      </c>
      <c r="AN821">
        <v>349.89999999999901</v>
      </c>
      <c r="AO821">
        <v>390.05666666666599</v>
      </c>
      <c r="AP821">
        <v>324.41333333333301</v>
      </c>
      <c r="AQ821">
        <v>371.53333333333302</v>
      </c>
      <c r="AR821">
        <v>339.35333333333301</v>
      </c>
      <c r="AS821">
        <v>322.01333333333298</v>
      </c>
      <c r="AT821">
        <v>307.659999999999</v>
      </c>
      <c r="AU821">
        <v>404.36</v>
      </c>
      <c r="AV821">
        <v>351.78333333333302</v>
      </c>
      <c r="AW821">
        <v>387.8</v>
      </c>
      <c r="AX821">
        <v>363.91</v>
      </c>
      <c r="AY821">
        <v>351.67333333333301</v>
      </c>
      <c r="AZ821">
        <v>342.67666666666599</v>
      </c>
      <c r="BA821">
        <v>393.14999999999901</v>
      </c>
      <c r="BB821">
        <v>338.82333333333298</v>
      </c>
      <c r="BC821">
        <v>375.98</v>
      </c>
      <c r="BD821">
        <v>351.34333333333302</v>
      </c>
      <c r="BE821">
        <v>338.28666666666601</v>
      </c>
      <c r="BF821">
        <v>327.73</v>
      </c>
      <c r="BG821" s="14"/>
      <c r="BH821" s="14"/>
      <c r="BI821" s="14"/>
      <c r="BJ821" s="199"/>
      <c r="BK821" s="14"/>
      <c r="BL821" s="14"/>
      <c r="BM821" s="14"/>
      <c r="BN821" s="14"/>
      <c r="BO821" s="14"/>
      <c r="BP821" s="14"/>
      <c r="BQ821" s="14"/>
      <c r="BR821" s="14"/>
      <c r="BS821" s="14"/>
      <c r="BT821" s="14"/>
      <c r="BU821" s="14"/>
      <c r="BV821" s="14"/>
      <c r="BW821" s="14"/>
      <c r="BX821" s="14"/>
      <c r="BY821" s="170"/>
    </row>
    <row r="822" spans="9:77" x14ac:dyDescent="0.25">
      <c r="I822">
        <v>8300</v>
      </c>
      <c r="J822" s="1" t="s">
        <v>996</v>
      </c>
      <c r="K822">
        <v>355.17333333333301</v>
      </c>
      <c r="L822">
        <v>318.48999999999899</v>
      </c>
      <c r="M822">
        <v>342.54333333333301</v>
      </c>
      <c r="N822">
        <v>325.34666666666601</v>
      </c>
      <c r="O822">
        <v>317.61999999999898</v>
      </c>
      <c r="P822">
        <v>311.98999999999899</v>
      </c>
      <c r="Q822">
        <v>338.42</v>
      </c>
      <c r="R822">
        <v>283.50666666666598</v>
      </c>
      <c r="S822">
        <v>320.863333333333</v>
      </c>
      <c r="T822">
        <v>296.35000000000002</v>
      </c>
      <c r="U822">
        <v>283.04999999999899</v>
      </c>
      <c r="V822">
        <v>272.32333333333298</v>
      </c>
      <c r="W822">
        <v>341.28666666666601</v>
      </c>
      <c r="X822">
        <v>312.94999999999902</v>
      </c>
      <c r="Y822">
        <v>324.12999999999897</v>
      </c>
      <c r="Z822">
        <v>322.24999999999898</v>
      </c>
      <c r="AA822">
        <v>316.53333333333302</v>
      </c>
      <c r="AB822">
        <v>316.53333333333302</v>
      </c>
      <c r="AC822">
        <v>356.44666666666598</v>
      </c>
      <c r="AD822">
        <v>315.31999999999903</v>
      </c>
      <c r="AE822">
        <v>342.47333333333302</v>
      </c>
      <c r="AF822">
        <v>330.469999999999</v>
      </c>
      <c r="AG822">
        <v>322.69666666666598</v>
      </c>
      <c r="AH822">
        <v>318.88333333333298</v>
      </c>
      <c r="AI822">
        <v>355.17333333333301</v>
      </c>
      <c r="AJ822">
        <v>318.48999999999899</v>
      </c>
      <c r="AK822">
        <v>342.54333333333301</v>
      </c>
      <c r="AL822">
        <v>325.34666666666601</v>
      </c>
      <c r="AM822">
        <v>317.61999999999898</v>
      </c>
      <c r="AN822">
        <v>311.98999999999899</v>
      </c>
      <c r="AO822">
        <v>352.14666666666602</v>
      </c>
      <c r="AP822">
        <v>286.50333333333299</v>
      </c>
      <c r="AQ822">
        <v>333.62333333333299</v>
      </c>
      <c r="AR822">
        <v>301.44333333333299</v>
      </c>
      <c r="AS822">
        <v>284.10333333333301</v>
      </c>
      <c r="AT822">
        <v>269.74999999999898</v>
      </c>
      <c r="AU822">
        <v>366.44999999999902</v>
      </c>
      <c r="AV822">
        <v>313.87333333333299</v>
      </c>
      <c r="AW822">
        <v>349.88999999999902</v>
      </c>
      <c r="AX822">
        <v>325.99999999999898</v>
      </c>
      <c r="AY822">
        <v>313.76333333333298</v>
      </c>
      <c r="AZ822">
        <v>304.76666666666603</v>
      </c>
      <c r="BA822">
        <v>355.23999999999899</v>
      </c>
      <c r="BB822">
        <v>300.91333333333301</v>
      </c>
      <c r="BC822">
        <v>338.06999999999903</v>
      </c>
      <c r="BD822">
        <v>313.433333333333</v>
      </c>
      <c r="BE822">
        <v>300.37666666666598</v>
      </c>
      <c r="BF822">
        <v>289.82</v>
      </c>
      <c r="BG822" s="14"/>
      <c r="BH822" s="14"/>
      <c r="BI822" s="14"/>
      <c r="BJ822" s="199"/>
      <c r="BK822" s="14"/>
      <c r="BL822" s="14"/>
      <c r="BM822" s="14"/>
      <c r="BN822" s="14"/>
      <c r="BO822" s="14"/>
      <c r="BP822" s="14"/>
      <c r="BQ822" s="14"/>
      <c r="BR822" s="14"/>
      <c r="BS822" s="14"/>
      <c r="BT822" s="14"/>
      <c r="BU822" s="14"/>
      <c r="BV822" s="14"/>
      <c r="BW822" s="14"/>
      <c r="BX822" s="14"/>
      <c r="BY822" s="170"/>
    </row>
    <row r="823" spans="9:77" x14ac:dyDescent="0.25">
      <c r="I823">
        <v>8305</v>
      </c>
      <c r="J823" s="1" t="s">
        <v>997</v>
      </c>
      <c r="K823">
        <v>258.53333333333302</v>
      </c>
      <c r="L823">
        <v>216.27666666666599</v>
      </c>
      <c r="M823">
        <v>244.23999999999899</v>
      </c>
      <c r="N823">
        <v>224.31666666666601</v>
      </c>
      <c r="O823">
        <v>215.23</v>
      </c>
      <c r="P823">
        <v>208.75</v>
      </c>
      <c r="Q823">
        <v>237.95999999999901</v>
      </c>
      <c r="R823">
        <v>180.91999999999899</v>
      </c>
      <c r="S823">
        <v>220</v>
      </c>
      <c r="T823">
        <v>194.37666666666601</v>
      </c>
      <c r="U823">
        <v>180.67333333333301</v>
      </c>
      <c r="V823">
        <v>169.326666666666</v>
      </c>
      <c r="W823">
        <v>240.83666666666599</v>
      </c>
      <c r="X823">
        <v>212.26999999999899</v>
      </c>
      <c r="Y823">
        <v>223.363333333333</v>
      </c>
      <c r="Z823">
        <v>221.47666666666601</v>
      </c>
      <c r="AA823">
        <v>215.86666666666599</v>
      </c>
      <c r="AB823">
        <v>215.86666666666599</v>
      </c>
      <c r="AC823">
        <v>264.099999999999</v>
      </c>
      <c r="AD823">
        <v>219.85333333333301</v>
      </c>
      <c r="AE823">
        <v>249.523333333333</v>
      </c>
      <c r="AF823">
        <v>236.319999999999</v>
      </c>
      <c r="AG823">
        <v>227.85333333333301</v>
      </c>
      <c r="AH823">
        <v>223.86666666666599</v>
      </c>
      <c r="AI823">
        <v>258.53333333333302</v>
      </c>
      <c r="AJ823">
        <v>216.27666666666599</v>
      </c>
      <c r="AK823">
        <v>244.23999999999899</v>
      </c>
      <c r="AL823">
        <v>224.31666666666601</v>
      </c>
      <c r="AM823">
        <v>215.23</v>
      </c>
      <c r="AN823">
        <v>208.75</v>
      </c>
      <c r="AO823">
        <v>255.99666666666599</v>
      </c>
      <c r="AP823">
        <v>189.07333333333301</v>
      </c>
      <c r="AQ823">
        <v>237.39999999999901</v>
      </c>
      <c r="AR823">
        <v>204.31</v>
      </c>
      <c r="AS823">
        <v>186.576666666666</v>
      </c>
      <c r="AT823">
        <v>172.40666666666601</v>
      </c>
      <c r="AU823">
        <v>269.44999999999902</v>
      </c>
      <c r="AV823">
        <v>217.49666666666599</v>
      </c>
      <c r="AW823">
        <v>252.60333333333301</v>
      </c>
      <c r="AX823">
        <v>229.64</v>
      </c>
      <c r="AY823">
        <v>217.68666666666601</v>
      </c>
      <c r="AZ823">
        <v>208.94333333333299</v>
      </c>
      <c r="BA823">
        <v>261.37333333333299</v>
      </c>
      <c r="BB823">
        <v>206.92</v>
      </c>
      <c r="BC823">
        <v>244.35333333333301</v>
      </c>
      <c r="BD823">
        <v>219.409999999999</v>
      </c>
      <c r="BE823">
        <v>206.416666666666</v>
      </c>
      <c r="BF823">
        <v>195.96666666666599</v>
      </c>
      <c r="BG823" s="14"/>
      <c r="BH823" s="14"/>
      <c r="BI823" s="14"/>
      <c r="BJ823" s="199"/>
      <c r="BK823" s="14"/>
      <c r="BL823" s="14"/>
      <c r="BM823" s="14"/>
      <c r="BN823" s="14"/>
      <c r="BO823" s="14"/>
      <c r="BP823" s="14"/>
      <c r="BQ823" s="14"/>
      <c r="BR823" s="14"/>
      <c r="BS823" s="14"/>
      <c r="BT823" s="14"/>
      <c r="BU823" s="14"/>
      <c r="BV823" s="14"/>
      <c r="BW823" s="14"/>
      <c r="BX823" s="14"/>
      <c r="BY823" s="170"/>
    </row>
    <row r="824" spans="9:77" x14ac:dyDescent="0.25">
      <c r="I824">
        <v>8310</v>
      </c>
      <c r="J824" s="1" t="s">
        <v>998</v>
      </c>
      <c r="K824">
        <v>393.08333333333297</v>
      </c>
      <c r="L824">
        <v>356.39999999999901</v>
      </c>
      <c r="M824">
        <v>380.45333333333298</v>
      </c>
      <c r="N824">
        <v>363.25666666666598</v>
      </c>
      <c r="O824">
        <v>355.52999999999901</v>
      </c>
      <c r="P824">
        <v>349.89999999999901</v>
      </c>
      <c r="Q824">
        <v>376.33</v>
      </c>
      <c r="R824">
        <v>321.416666666666</v>
      </c>
      <c r="S824">
        <v>358.77333333333303</v>
      </c>
      <c r="T824">
        <v>334.26</v>
      </c>
      <c r="U824">
        <v>320.95999999999998</v>
      </c>
      <c r="V824">
        <v>310.23333333333301</v>
      </c>
      <c r="W824">
        <v>379.19666666666598</v>
      </c>
      <c r="X824">
        <v>350.86</v>
      </c>
      <c r="Y824">
        <v>362.04</v>
      </c>
      <c r="Z824">
        <v>360.159999999999</v>
      </c>
      <c r="AA824">
        <v>354.44333333333299</v>
      </c>
      <c r="AB824">
        <v>354.44333333333299</v>
      </c>
      <c r="AC824">
        <v>394.356666666666</v>
      </c>
      <c r="AD824">
        <v>353.23</v>
      </c>
      <c r="AE824">
        <v>380.38333333333298</v>
      </c>
      <c r="AF824">
        <v>368.38</v>
      </c>
      <c r="AG824">
        <v>360.606666666666</v>
      </c>
      <c r="AH824">
        <v>356.79333333333301</v>
      </c>
      <c r="AI824">
        <v>393.08333333333297</v>
      </c>
      <c r="AJ824">
        <v>356.39999999999901</v>
      </c>
      <c r="AK824">
        <v>380.45333333333298</v>
      </c>
      <c r="AL824">
        <v>363.25666666666598</v>
      </c>
      <c r="AM824">
        <v>355.52999999999901</v>
      </c>
      <c r="AN824">
        <v>349.89999999999901</v>
      </c>
      <c r="AO824">
        <v>390.05666666666599</v>
      </c>
      <c r="AP824">
        <v>324.41333333333301</v>
      </c>
      <c r="AQ824">
        <v>371.53333333333302</v>
      </c>
      <c r="AR824">
        <v>339.35333333333301</v>
      </c>
      <c r="AS824">
        <v>322.01333333333298</v>
      </c>
      <c r="AT824">
        <v>307.659999999999</v>
      </c>
      <c r="AU824">
        <v>404.36</v>
      </c>
      <c r="AV824">
        <v>351.78333333333302</v>
      </c>
      <c r="AW824">
        <v>387.8</v>
      </c>
      <c r="AX824">
        <v>363.91</v>
      </c>
      <c r="AY824">
        <v>351.67333333333301</v>
      </c>
      <c r="AZ824">
        <v>342.67666666666599</v>
      </c>
      <c r="BA824">
        <v>393.14999999999901</v>
      </c>
      <c r="BB824">
        <v>338.82333333333298</v>
      </c>
      <c r="BC824">
        <v>375.98</v>
      </c>
      <c r="BD824">
        <v>351.34333333333302</v>
      </c>
      <c r="BE824">
        <v>338.28666666666601</v>
      </c>
      <c r="BF824">
        <v>327.73</v>
      </c>
      <c r="BG824" s="14"/>
      <c r="BH824" s="14"/>
      <c r="BI824" s="14"/>
      <c r="BJ824" s="199"/>
      <c r="BK824" s="14"/>
      <c r="BL824" s="14"/>
      <c r="BM824" s="14"/>
      <c r="BN824" s="14"/>
      <c r="BO824" s="14"/>
      <c r="BP824" s="14"/>
      <c r="BQ824" s="14"/>
      <c r="BR824" s="14"/>
      <c r="BS824" s="14"/>
      <c r="BT824" s="14"/>
      <c r="BU824" s="14"/>
      <c r="BV824" s="14"/>
      <c r="BW824" s="14"/>
      <c r="BX824" s="14"/>
      <c r="BY824" s="170"/>
    </row>
    <row r="825" spans="9:77" x14ac:dyDescent="0.25">
      <c r="I825">
        <v>8320</v>
      </c>
      <c r="J825" s="1" t="s">
        <v>999</v>
      </c>
      <c r="K825">
        <v>393.08333333333297</v>
      </c>
      <c r="L825">
        <v>356.39999999999901</v>
      </c>
      <c r="M825">
        <v>380.45333333333298</v>
      </c>
      <c r="N825">
        <v>363.25666666666598</v>
      </c>
      <c r="O825">
        <v>355.52999999999901</v>
      </c>
      <c r="P825">
        <v>349.89999999999901</v>
      </c>
      <c r="Q825">
        <v>376.33</v>
      </c>
      <c r="R825">
        <v>321.416666666666</v>
      </c>
      <c r="S825">
        <v>358.77333333333303</v>
      </c>
      <c r="T825">
        <v>334.26</v>
      </c>
      <c r="U825">
        <v>320.95999999999998</v>
      </c>
      <c r="V825">
        <v>310.23333333333301</v>
      </c>
      <c r="W825">
        <v>379.19666666666598</v>
      </c>
      <c r="X825">
        <v>350.86</v>
      </c>
      <c r="Y825">
        <v>362.04</v>
      </c>
      <c r="Z825">
        <v>360.159999999999</v>
      </c>
      <c r="AA825">
        <v>354.44333333333299</v>
      </c>
      <c r="AB825">
        <v>354.44333333333299</v>
      </c>
      <c r="AC825">
        <v>394.356666666666</v>
      </c>
      <c r="AD825">
        <v>353.23</v>
      </c>
      <c r="AE825">
        <v>380.38333333333298</v>
      </c>
      <c r="AF825">
        <v>368.38</v>
      </c>
      <c r="AG825">
        <v>360.606666666666</v>
      </c>
      <c r="AH825">
        <v>356.79333333333301</v>
      </c>
      <c r="AI825">
        <v>393.08333333333297</v>
      </c>
      <c r="AJ825">
        <v>356.39999999999901</v>
      </c>
      <c r="AK825">
        <v>380.45333333333298</v>
      </c>
      <c r="AL825">
        <v>363.25666666666598</v>
      </c>
      <c r="AM825">
        <v>355.52999999999901</v>
      </c>
      <c r="AN825">
        <v>349.89999999999901</v>
      </c>
      <c r="AO825">
        <v>390.05666666666599</v>
      </c>
      <c r="AP825">
        <v>324.41333333333301</v>
      </c>
      <c r="AQ825">
        <v>371.53333333333302</v>
      </c>
      <c r="AR825">
        <v>339.35333333333301</v>
      </c>
      <c r="AS825">
        <v>322.01333333333298</v>
      </c>
      <c r="AT825">
        <v>307.659999999999</v>
      </c>
      <c r="AU825">
        <v>404.36</v>
      </c>
      <c r="AV825">
        <v>351.78333333333302</v>
      </c>
      <c r="AW825">
        <v>387.8</v>
      </c>
      <c r="AX825">
        <v>363.91</v>
      </c>
      <c r="AY825">
        <v>351.67333333333301</v>
      </c>
      <c r="AZ825">
        <v>342.67666666666599</v>
      </c>
      <c r="BA825">
        <v>393.14999999999901</v>
      </c>
      <c r="BB825">
        <v>338.82333333333298</v>
      </c>
      <c r="BC825">
        <v>375.98</v>
      </c>
      <c r="BD825">
        <v>351.34333333333302</v>
      </c>
      <c r="BE825">
        <v>338.28666666666601</v>
      </c>
      <c r="BF825">
        <v>327.73</v>
      </c>
      <c r="BG825" s="14"/>
      <c r="BH825" s="14"/>
      <c r="BI825" s="14"/>
      <c r="BJ825" s="199"/>
      <c r="BK825" s="14"/>
      <c r="BL825" s="14"/>
      <c r="BM825" s="14"/>
      <c r="BN825" s="14"/>
      <c r="BO825" s="14"/>
      <c r="BP825" s="14"/>
      <c r="BQ825" s="14"/>
      <c r="BR825" s="14"/>
      <c r="BS825" s="14"/>
      <c r="BT825" s="14"/>
      <c r="BU825" s="14"/>
      <c r="BV825" s="14"/>
      <c r="BW825" s="14"/>
      <c r="BX825" s="14"/>
      <c r="BY825" s="170"/>
    </row>
    <row r="826" spans="9:77" x14ac:dyDescent="0.25">
      <c r="I826">
        <v>8330</v>
      </c>
      <c r="J826" s="1" t="s">
        <v>1000</v>
      </c>
      <c r="K826">
        <v>393.08333333333297</v>
      </c>
      <c r="L826">
        <v>356.39999999999901</v>
      </c>
      <c r="M826">
        <v>380.45333333333298</v>
      </c>
      <c r="N826">
        <v>363.25666666666598</v>
      </c>
      <c r="O826">
        <v>355.52999999999901</v>
      </c>
      <c r="P826">
        <v>349.89999999999901</v>
      </c>
      <c r="Q826">
        <v>376.33</v>
      </c>
      <c r="R826">
        <v>321.416666666666</v>
      </c>
      <c r="S826">
        <v>358.77333333333303</v>
      </c>
      <c r="T826">
        <v>334.26</v>
      </c>
      <c r="U826">
        <v>320.95999999999998</v>
      </c>
      <c r="V826">
        <v>310.23333333333301</v>
      </c>
      <c r="W826">
        <v>379.19666666666598</v>
      </c>
      <c r="X826">
        <v>350.86</v>
      </c>
      <c r="Y826">
        <v>362.04</v>
      </c>
      <c r="Z826">
        <v>360.159999999999</v>
      </c>
      <c r="AA826">
        <v>354.44333333333299</v>
      </c>
      <c r="AB826">
        <v>354.44333333333299</v>
      </c>
      <c r="AC826">
        <v>394.356666666666</v>
      </c>
      <c r="AD826">
        <v>353.23</v>
      </c>
      <c r="AE826">
        <v>380.38333333333298</v>
      </c>
      <c r="AF826">
        <v>368.38</v>
      </c>
      <c r="AG826">
        <v>360.606666666666</v>
      </c>
      <c r="AH826">
        <v>356.79333333333301</v>
      </c>
      <c r="AI826">
        <v>393.08333333333297</v>
      </c>
      <c r="AJ826">
        <v>356.39999999999901</v>
      </c>
      <c r="AK826">
        <v>380.45333333333298</v>
      </c>
      <c r="AL826">
        <v>363.25666666666598</v>
      </c>
      <c r="AM826">
        <v>355.52999999999901</v>
      </c>
      <c r="AN826">
        <v>349.89999999999901</v>
      </c>
      <c r="AO826">
        <v>390.05666666666599</v>
      </c>
      <c r="AP826">
        <v>324.41333333333301</v>
      </c>
      <c r="AQ826">
        <v>371.53333333333302</v>
      </c>
      <c r="AR826">
        <v>339.35333333333301</v>
      </c>
      <c r="AS826">
        <v>322.01333333333298</v>
      </c>
      <c r="AT826">
        <v>307.659999999999</v>
      </c>
      <c r="AU826">
        <v>404.36</v>
      </c>
      <c r="AV826">
        <v>351.78333333333302</v>
      </c>
      <c r="AW826">
        <v>387.8</v>
      </c>
      <c r="AX826">
        <v>363.91</v>
      </c>
      <c r="AY826">
        <v>351.67333333333301</v>
      </c>
      <c r="AZ826">
        <v>342.67666666666599</v>
      </c>
      <c r="BA826">
        <v>393.14999999999901</v>
      </c>
      <c r="BB826">
        <v>338.82333333333298</v>
      </c>
      <c r="BC826">
        <v>375.98</v>
      </c>
      <c r="BD826">
        <v>351.34333333333302</v>
      </c>
      <c r="BE826">
        <v>338.28666666666601</v>
      </c>
      <c r="BF826">
        <v>327.73</v>
      </c>
      <c r="BG826" s="14"/>
      <c r="BH826" s="14"/>
      <c r="BI826" s="14"/>
      <c r="BJ826" s="199"/>
      <c r="BK826" s="14"/>
      <c r="BL826" s="14"/>
      <c r="BM826" s="14"/>
      <c r="BN826" s="14"/>
      <c r="BO826" s="14"/>
      <c r="BP826" s="14"/>
      <c r="BQ826" s="14"/>
      <c r="BR826" s="14"/>
      <c r="BS826" s="14"/>
      <c r="BT826" s="14"/>
      <c r="BU826" s="14"/>
      <c r="BV826" s="14"/>
      <c r="BW826" s="14"/>
      <c r="BX826" s="14"/>
      <c r="BY826" s="170"/>
    </row>
    <row r="827" spans="9:77" x14ac:dyDescent="0.25">
      <c r="I827">
        <v>8340</v>
      </c>
      <c r="J827" s="1" t="s">
        <v>1001</v>
      </c>
      <c r="K827">
        <v>382.85333333333301</v>
      </c>
      <c r="L827">
        <v>346.16999999999899</v>
      </c>
      <c r="M827">
        <v>370.22333333333302</v>
      </c>
      <c r="N827">
        <v>353.02666666666602</v>
      </c>
      <c r="O827">
        <v>345.29999999999899</v>
      </c>
      <c r="P827">
        <v>339.66999999999899</v>
      </c>
      <c r="Q827">
        <v>366.099999999999</v>
      </c>
      <c r="R827">
        <v>311.18666666666599</v>
      </c>
      <c r="S827">
        <v>348.54333333333301</v>
      </c>
      <c r="T827">
        <v>324.02999999999901</v>
      </c>
      <c r="U827">
        <v>310.729999999999</v>
      </c>
      <c r="V827">
        <v>300.00333333333299</v>
      </c>
      <c r="W827">
        <v>368.96666666666601</v>
      </c>
      <c r="X827">
        <v>340.62999999999897</v>
      </c>
      <c r="Y827">
        <v>351.80999999999898</v>
      </c>
      <c r="Z827">
        <v>349.92999999999898</v>
      </c>
      <c r="AA827">
        <v>344.21333333333303</v>
      </c>
      <c r="AB827">
        <v>344.21333333333303</v>
      </c>
      <c r="AC827">
        <v>384.12666666666598</v>
      </c>
      <c r="AD827">
        <v>342.99999999999898</v>
      </c>
      <c r="AE827">
        <v>370.15333333333302</v>
      </c>
      <c r="AF827">
        <v>358.14999999999901</v>
      </c>
      <c r="AG827">
        <v>350.37666666666598</v>
      </c>
      <c r="AH827">
        <v>346.56333333333299</v>
      </c>
      <c r="AI827">
        <v>382.85333333333301</v>
      </c>
      <c r="AJ827">
        <v>346.16999999999899</v>
      </c>
      <c r="AK827">
        <v>370.22333333333302</v>
      </c>
      <c r="AL827">
        <v>353.02666666666602</v>
      </c>
      <c r="AM827">
        <v>345.29999999999899</v>
      </c>
      <c r="AN827">
        <v>339.66999999999899</v>
      </c>
      <c r="AO827">
        <v>379.82666666666597</v>
      </c>
      <c r="AP827">
        <v>314.183333333333</v>
      </c>
      <c r="AQ827">
        <v>361.303333333333</v>
      </c>
      <c r="AR827">
        <v>329.12333333333299</v>
      </c>
      <c r="AS827">
        <v>311.78333333333302</v>
      </c>
      <c r="AT827">
        <v>297.42999999999898</v>
      </c>
      <c r="AU827">
        <v>394.12999999999897</v>
      </c>
      <c r="AV827">
        <v>341.553333333333</v>
      </c>
      <c r="AW827">
        <v>377.56999999999903</v>
      </c>
      <c r="AX827">
        <v>353.67999999999898</v>
      </c>
      <c r="AY827">
        <v>341.44333333333299</v>
      </c>
      <c r="AZ827">
        <v>332.44666666666598</v>
      </c>
      <c r="BA827">
        <v>382.91999999999899</v>
      </c>
      <c r="BB827">
        <v>328.59333333333302</v>
      </c>
      <c r="BC827">
        <v>365.74999999999898</v>
      </c>
      <c r="BD827">
        <v>341.113333333333</v>
      </c>
      <c r="BE827">
        <v>328.05666666666599</v>
      </c>
      <c r="BF827">
        <v>317.5</v>
      </c>
      <c r="BG827" s="14"/>
      <c r="BH827" s="14"/>
      <c r="BI827" s="14"/>
      <c r="BJ827" s="199"/>
      <c r="BK827" s="14"/>
      <c r="BL827" s="14"/>
      <c r="BM827" s="14"/>
      <c r="BN827" s="14"/>
      <c r="BO827" s="14"/>
      <c r="BP827" s="14"/>
      <c r="BQ827" s="14"/>
      <c r="BR827" s="14"/>
      <c r="BS827" s="14"/>
      <c r="BT827" s="14"/>
      <c r="BU827" s="14"/>
      <c r="BV827" s="14"/>
      <c r="BW827" s="14"/>
      <c r="BX827" s="14"/>
      <c r="BY827" s="170"/>
    </row>
    <row r="828" spans="9:77" x14ac:dyDescent="0.25">
      <c r="I828">
        <v>8350</v>
      </c>
      <c r="J828" s="1" t="s">
        <v>1002</v>
      </c>
      <c r="K828">
        <v>396.90333333333302</v>
      </c>
      <c r="L828">
        <v>360.219999999999</v>
      </c>
      <c r="M828">
        <v>384.27333333333303</v>
      </c>
      <c r="N828">
        <v>367.07666666666597</v>
      </c>
      <c r="O828">
        <v>359.349999999999</v>
      </c>
      <c r="P828">
        <v>353.72</v>
      </c>
      <c r="Q828">
        <v>380.15</v>
      </c>
      <c r="R828">
        <v>325.236666666666</v>
      </c>
      <c r="S828">
        <v>362.59333333333302</v>
      </c>
      <c r="T828">
        <v>338.08</v>
      </c>
      <c r="U828">
        <v>324.77999999999997</v>
      </c>
      <c r="V828">
        <v>314.053333333333</v>
      </c>
      <c r="W828">
        <v>383.01666666666603</v>
      </c>
      <c r="X828">
        <v>354.68</v>
      </c>
      <c r="Y828">
        <v>365.86</v>
      </c>
      <c r="Z828">
        <v>363.98</v>
      </c>
      <c r="AA828">
        <v>358.26333333333298</v>
      </c>
      <c r="AB828">
        <v>358.26333333333298</v>
      </c>
      <c r="AC828">
        <v>398.17666666666599</v>
      </c>
      <c r="AD828">
        <v>357.05</v>
      </c>
      <c r="AE828">
        <v>384.20333333333298</v>
      </c>
      <c r="AF828">
        <v>372.2</v>
      </c>
      <c r="AG828">
        <v>364.42666666666599</v>
      </c>
      <c r="AH828">
        <v>360.613333333333</v>
      </c>
      <c r="AI828">
        <v>396.90333333333302</v>
      </c>
      <c r="AJ828">
        <v>360.219999999999</v>
      </c>
      <c r="AK828">
        <v>384.27333333333303</v>
      </c>
      <c r="AL828">
        <v>367.07666666666597</v>
      </c>
      <c r="AM828">
        <v>359.349999999999</v>
      </c>
      <c r="AN828">
        <v>353.72</v>
      </c>
      <c r="AO828">
        <v>393.87666666666598</v>
      </c>
      <c r="AP828">
        <v>328.23333333333301</v>
      </c>
      <c r="AQ828">
        <v>375.35333333333301</v>
      </c>
      <c r="AR828">
        <v>343.17333333333301</v>
      </c>
      <c r="AS828">
        <v>325.83333333333297</v>
      </c>
      <c r="AT828">
        <v>311.48</v>
      </c>
      <c r="AU828">
        <v>408.18</v>
      </c>
      <c r="AV828">
        <v>355.60333333333301</v>
      </c>
      <c r="AW828">
        <v>391.62</v>
      </c>
      <c r="AX828">
        <v>367.73</v>
      </c>
      <c r="AY828">
        <v>355.493333333333</v>
      </c>
      <c r="AZ828">
        <v>346.49666666666599</v>
      </c>
      <c r="BA828">
        <v>396.97</v>
      </c>
      <c r="BB828">
        <v>342.64333333333298</v>
      </c>
      <c r="BC828">
        <v>379.8</v>
      </c>
      <c r="BD828">
        <v>355.16333333333301</v>
      </c>
      <c r="BE828">
        <v>342.106666666666</v>
      </c>
      <c r="BF828">
        <v>331.55</v>
      </c>
      <c r="BG828" s="14"/>
      <c r="BH828" s="14"/>
      <c r="BI828" s="14"/>
      <c r="BJ828" s="199"/>
      <c r="BK828" s="14"/>
      <c r="BL828" s="14"/>
      <c r="BM828" s="14"/>
      <c r="BN828" s="14"/>
      <c r="BO828" s="14"/>
      <c r="BP828" s="14"/>
      <c r="BQ828" s="14"/>
      <c r="BR828" s="14"/>
      <c r="BS828" s="14"/>
      <c r="BT828" s="14"/>
      <c r="BU828" s="14"/>
      <c r="BV828" s="14"/>
      <c r="BW828" s="14"/>
      <c r="BX828" s="14"/>
      <c r="BY828" s="170"/>
    </row>
    <row r="829" spans="9:77" x14ac:dyDescent="0.25">
      <c r="I829">
        <v>8355</v>
      </c>
      <c r="J829" s="1" t="s">
        <v>1003</v>
      </c>
      <c r="K829">
        <v>382.85333333333301</v>
      </c>
      <c r="L829">
        <v>346.16999999999899</v>
      </c>
      <c r="M829">
        <v>370.22333333333302</v>
      </c>
      <c r="N829">
        <v>353.02666666666602</v>
      </c>
      <c r="O829">
        <v>345.29999999999899</v>
      </c>
      <c r="P829">
        <v>339.66999999999899</v>
      </c>
      <c r="Q829">
        <v>366.099999999999</v>
      </c>
      <c r="R829">
        <v>311.18666666666599</v>
      </c>
      <c r="S829">
        <v>348.54333333333301</v>
      </c>
      <c r="T829">
        <v>324.02999999999901</v>
      </c>
      <c r="U829">
        <v>310.729999999999</v>
      </c>
      <c r="V829">
        <v>300.00333333333299</v>
      </c>
      <c r="W829">
        <v>368.96666666666601</v>
      </c>
      <c r="X829">
        <v>340.62999999999897</v>
      </c>
      <c r="Y829">
        <v>351.80999999999898</v>
      </c>
      <c r="Z829">
        <v>349.92999999999898</v>
      </c>
      <c r="AA829">
        <v>344.21333333333303</v>
      </c>
      <c r="AB829">
        <v>344.21333333333303</v>
      </c>
      <c r="AC829">
        <v>384.12666666666598</v>
      </c>
      <c r="AD829">
        <v>342.99999999999898</v>
      </c>
      <c r="AE829">
        <v>370.15333333333302</v>
      </c>
      <c r="AF829">
        <v>358.14999999999901</v>
      </c>
      <c r="AG829">
        <v>350.37666666666598</v>
      </c>
      <c r="AH829">
        <v>346.56333333333299</v>
      </c>
      <c r="AI829">
        <v>382.85333333333301</v>
      </c>
      <c r="AJ829">
        <v>346.16999999999899</v>
      </c>
      <c r="AK829">
        <v>370.22333333333302</v>
      </c>
      <c r="AL829">
        <v>353.02666666666602</v>
      </c>
      <c r="AM829">
        <v>345.29999999999899</v>
      </c>
      <c r="AN829">
        <v>339.66999999999899</v>
      </c>
      <c r="AO829">
        <v>379.82666666666597</v>
      </c>
      <c r="AP829">
        <v>314.183333333333</v>
      </c>
      <c r="AQ829">
        <v>361.303333333333</v>
      </c>
      <c r="AR829">
        <v>329.12333333333299</v>
      </c>
      <c r="AS829">
        <v>311.78333333333302</v>
      </c>
      <c r="AT829">
        <v>297.42999999999898</v>
      </c>
      <c r="AU829">
        <v>394.12999999999897</v>
      </c>
      <c r="AV829">
        <v>341.553333333333</v>
      </c>
      <c r="AW829">
        <v>377.56999999999903</v>
      </c>
      <c r="AX829">
        <v>353.67999999999898</v>
      </c>
      <c r="AY829">
        <v>341.44333333333299</v>
      </c>
      <c r="AZ829">
        <v>332.44666666666598</v>
      </c>
      <c r="BA829">
        <v>382.91999999999899</v>
      </c>
      <c r="BB829">
        <v>328.59333333333302</v>
      </c>
      <c r="BC829">
        <v>365.74999999999898</v>
      </c>
      <c r="BD829">
        <v>341.113333333333</v>
      </c>
      <c r="BE829">
        <v>328.05666666666599</v>
      </c>
      <c r="BF829">
        <v>317.5</v>
      </c>
      <c r="BG829" s="14"/>
      <c r="BH829" s="14"/>
      <c r="BI829" s="14"/>
      <c r="BJ829" s="199"/>
      <c r="BK829" s="14"/>
      <c r="BL829" s="14"/>
      <c r="BM829" s="14"/>
      <c r="BN829" s="14"/>
      <c r="BO829" s="14"/>
      <c r="BP829" s="14"/>
      <c r="BQ829" s="14"/>
      <c r="BR829" s="14"/>
      <c r="BS829" s="14"/>
      <c r="BT829" s="14"/>
      <c r="BU829" s="14"/>
      <c r="BV829" s="14"/>
      <c r="BW829" s="14"/>
      <c r="BX829" s="14"/>
      <c r="BY829" s="170"/>
    </row>
    <row r="830" spans="9:77" x14ac:dyDescent="0.25">
      <c r="I830">
        <v>8361</v>
      </c>
      <c r="J830" s="1" t="s">
        <v>1004</v>
      </c>
      <c r="K830">
        <v>393.08333333333297</v>
      </c>
      <c r="L830">
        <v>356.39999999999901</v>
      </c>
      <c r="M830">
        <v>380.45333333333298</v>
      </c>
      <c r="N830">
        <v>363.25666666666598</v>
      </c>
      <c r="O830">
        <v>355.52999999999901</v>
      </c>
      <c r="P830">
        <v>349.89999999999901</v>
      </c>
      <c r="Q830">
        <v>376.33</v>
      </c>
      <c r="R830">
        <v>321.416666666666</v>
      </c>
      <c r="S830">
        <v>358.77333333333303</v>
      </c>
      <c r="T830">
        <v>334.26</v>
      </c>
      <c r="U830">
        <v>320.95999999999998</v>
      </c>
      <c r="V830">
        <v>310.23333333333301</v>
      </c>
      <c r="W830">
        <v>379.19666666666598</v>
      </c>
      <c r="X830">
        <v>350.86</v>
      </c>
      <c r="Y830">
        <v>362.04</v>
      </c>
      <c r="Z830">
        <v>360.159999999999</v>
      </c>
      <c r="AA830">
        <v>354.44333333333299</v>
      </c>
      <c r="AB830">
        <v>354.44333333333299</v>
      </c>
      <c r="AC830">
        <v>394.356666666666</v>
      </c>
      <c r="AD830">
        <v>353.23</v>
      </c>
      <c r="AE830">
        <v>380.38333333333298</v>
      </c>
      <c r="AF830">
        <v>368.38</v>
      </c>
      <c r="AG830">
        <v>360.606666666666</v>
      </c>
      <c r="AH830">
        <v>356.79333333333301</v>
      </c>
      <c r="AI830">
        <v>393.08333333333297</v>
      </c>
      <c r="AJ830">
        <v>356.39999999999901</v>
      </c>
      <c r="AK830">
        <v>380.45333333333298</v>
      </c>
      <c r="AL830">
        <v>363.25666666666598</v>
      </c>
      <c r="AM830">
        <v>355.52999999999901</v>
      </c>
      <c r="AN830">
        <v>349.89999999999901</v>
      </c>
      <c r="AO830">
        <v>390.05666666666599</v>
      </c>
      <c r="AP830">
        <v>324.41333333333301</v>
      </c>
      <c r="AQ830">
        <v>371.53333333333302</v>
      </c>
      <c r="AR830">
        <v>339.35333333333301</v>
      </c>
      <c r="AS830">
        <v>322.01333333333298</v>
      </c>
      <c r="AT830">
        <v>307.659999999999</v>
      </c>
      <c r="AU830">
        <v>404.36</v>
      </c>
      <c r="AV830">
        <v>351.78333333333302</v>
      </c>
      <c r="AW830">
        <v>387.8</v>
      </c>
      <c r="AX830">
        <v>363.91</v>
      </c>
      <c r="AY830">
        <v>351.67333333333301</v>
      </c>
      <c r="AZ830">
        <v>342.67666666666599</v>
      </c>
      <c r="BA830">
        <v>393.14999999999901</v>
      </c>
      <c r="BB830">
        <v>338.82333333333298</v>
      </c>
      <c r="BC830">
        <v>375.98</v>
      </c>
      <c r="BD830">
        <v>351.34333333333302</v>
      </c>
      <c r="BE830">
        <v>338.28666666666601</v>
      </c>
      <c r="BF830">
        <v>327.73</v>
      </c>
      <c r="BG830" s="14"/>
      <c r="BH830" s="14"/>
      <c r="BI830" s="14"/>
      <c r="BJ830" s="199"/>
      <c r="BK830" s="14"/>
      <c r="BL830" s="14"/>
      <c r="BM830" s="14"/>
      <c r="BN830" s="14"/>
      <c r="BO830" s="14"/>
      <c r="BP830" s="14"/>
      <c r="BQ830" s="14"/>
      <c r="BR830" s="14"/>
      <c r="BS830" s="14"/>
      <c r="BT830" s="14"/>
      <c r="BU830" s="14"/>
      <c r="BV830" s="14"/>
      <c r="BW830" s="14"/>
      <c r="BX830" s="14"/>
      <c r="BY830" s="170"/>
    </row>
    <row r="831" spans="9:77" x14ac:dyDescent="0.25">
      <c r="I831">
        <v>8362</v>
      </c>
      <c r="J831" s="1" t="s">
        <v>1005</v>
      </c>
      <c r="K831">
        <v>435.12333333333299</v>
      </c>
      <c r="L831">
        <v>398.43999999999897</v>
      </c>
      <c r="M831">
        <v>422.493333333333</v>
      </c>
      <c r="N831">
        <v>405.296666666666</v>
      </c>
      <c r="O831">
        <v>397.56999999999903</v>
      </c>
      <c r="P831">
        <v>391.94</v>
      </c>
      <c r="Q831">
        <v>418.37</v>
      </c>
      <c r="R831">
        <v>363.45666666666602</v>
      </c>
      <c r="S831">
        <v>400.81333333333299</v>
      </c>
      <c r="T831">
        <v>376.3</v>
      </c>
      <c r="U831">
        <v>363</v>
      </c>
      <c r="V831">
        <v>352.27333333333303</v>
      </c>
      <c r="W831">
        <v>421.236666666666</v>
      </c>
      <c r="X831">
        <v>392.9</v>
      </c>
      <c r="Y831">
        <v>404.08</v>
      </c>
      <c r="Z831">
        <v>402.2</v>
      </c>
      <c r="AA831">
        <v>396.48333333333301</v>
      </c>
      <c r="AB831">
        <v>396.48333333333301</v>
      </c>
      <c r="AC831">
        <v>436.39666666666602</v>
      </c>
      <c r="AD831">
        <v>395.27</v>
      </c>
      <c r="AE831">
        <v>422.42333333333301</v>
      </c>
      <c r="AF831">
        <v>410.42</v>
      </c>
      <c r="AG831">
        <v>402.64666666666602</v>
      </c>
      <c r="AH831">
        <v>398.83333333333297</v>
      </c>
      <c r="AI831">
        <v>435.12333333333299</v>
      </c>
      <c r="AJ831">
        <v>398.43999999999897</v>
      </c>
      <c r="AK831">
        <v>422.493333333333</v>
      </c>
      <c r="AL831">
        <v>405.296666666666</v>
      </c>
      <c r="AM831">
        <v>397.56999999999903</v>
      </c>
      <c r="AN831">
        <v>391.94</v>
      </c>
      <c r="AO831">
        <v>432.09666666666601</v>
      </c>
      <c r="AP831">
        <v>366.45333333333298</v>
      </c>
      <c r="AQ831">
        <v>413.57333333333298</v>
      </c>
      <c r="AR831">
        <v>381.39333333333298</v>
      </c>
      <c r="AS831">
        <v>364.053333333333</v>
      </c>
      <c r="AT831">
        <v>349.7</v>
      </c>
      <c r="AU831">
        <v>446.4</v>
      </c>
      <c r="AV831">
        <v>393.82333333333298</v>
      </c>
      <c r="AW831">
        <v>429.84</v>
      </c>
      <c r="AX831">
        <v>405.95</v>
      </c>
      <c r="AY831">
        <v>393.71333333333303</v>
      </c>
      <c r="AZ831">
        <v>384.71666666666601</v>
      </c>
      <c r="BA831">
        <v>435.19</v>
      </c>
      <c r="BB831">
        <v>380.863333333333</v>
      </c>
      <c r="BC831">
        <v>418.02</v>
      </c>
      <c r="BD831">
        <v>393.38333333333298</v>
      </c>
      <c r="BE831">
        <v>380.32666666666597</v>
      </c>
      <c r="BF831">
        <v>369.77</v>
      </c>
      <c r="BG831" s="14"/>
      <c r="BH831" s="14"/>
      <c r="BI831" s="14"/>
      <c r="BJ831" s="199"/>
      <c r="BK831" s="14"/>
      <c r="BL831" s="14"/>
      <c r="BM831" s="14"/>
      <c r="BN831" s="14"/>
      <c r="BO831" s="14"/>
      <c r="BP831" s="14"/>
      <c r="BQ831" s="14"/>
      <c r="BR831" s="14"/>
      <c r="BS831" s="14"/>
      <c r="BT831" s="14"/>
      <c r="BU831" s="14"/>
      <c r="BV831" s="14"/>
      <c r="BW831" s="14"/>
      <c r="BX831" s="14"/>
      <c r="BY831" s="170"/>
    </row>
    <row r="832" spans="9:77" x14ac:dyDescent="0.25">
      <c r="I832">
        <v>8370</v>
      </c>
      <c r="J832" s="1" t="s">
        <v>1006</v>
      </c>
      <c r="K832">
        <v>383.17333333333301</v>
      </c>
      <c r="L832">
        <v>346.48999999999899</v>
      </c>
      <c r="M832">
        <v>370.54333333333301</v>
      </c>
      <c r="N832">
        <v>353.34666666666601</v>
      </c>
      <c r="O832">
        <v>345.61999999999898</v>
      </c>
      <c r="P832">
        <v>339.99</v>
      </c>
      <c r="Q832">
        <v>366.42</v>
      </c>
      <c r="R832">
        <v>311.50666666666598</v>
      </c>
      <c r="S832">
        <v>348.863333333333</v>
      </c>
      <c r="T832">
        <v>324.35000000000002</v>
      </c>
      <c r="U832">
        <v>311.05</v>
      </c>
      <c r="V832">
        <v>300.32333333333298</v>
      </c>
      <c r="W832">
        <v>369.28666666666601</v>
      </c>
      <c r="X832">
        <v>340.95</v>
      </c>
      <c r="Y832">
        <v>352.13</v>
      </c>
      <c r="Z832">
        <v>350.25</v>
      </c>
      <c r="AA832">
        <v>344.53333333333302</v>
      </c>
      <c r="AB832">
        <v>344.53333333333302</v>
      </c>
      <c r="AC832">
        <v>384.44666666666598</v>
      </c>
      <c r="AD832">
        <v>343.32</v>
      </c>
      <c r="AE832">
        <v>370.47333333333302</v>
      </c>
      <c r="AF832">
        <v>358.47</v>
      </c>
      <c r="AG832">
        <v>350.69666666666598</v>
      </c>
      <c r="AH832">
        <v>346.88333333333298</v>
      </c>
      <c r="AI832">
        <v>383.17333333333301</v>
      </c>
      <c r="AJ832">
        <v>346.48999999999899</v>
      </c>
      <c r="AK832">
        <v>370.54333333333301</v>
      </c>
      <c r="AL832">
        <v>353.34666666666601</v>
      </c>
      <c r="AM832">
        <v>345.61999999999898</v>
      </c>
      <c r="AN832">
        <v>339.99</v>
      </c>
      <c r="AO832">
        <v>380.14666666666602</v>
      </c>
      <c r="AP832">
        <v>314.50333333333299</v>
      </c>
      <c r="AQ832">
        <v>361.62333333333299</v>
      </c>
      <c r="AR832">
        <v>329.44333333333299</v>
      </c>
      <c r="AS832">
        <v>312.10333333333301</v>
      </c>
      <c r="AT832">
        <v>297.75</v>
      </c>
      <c r="AU832">
        <v>394.45</v>
      </c>
      <c r="AV832">
        <v>341.87333333333299</v>
      </c>
      <c r="AW832">
        <v>377.89</v>
      </c>
      <c r="AX832">
        <v>354</v>
      </c>
      <c r="AY832">
        <v>341.76333333333298</v>
      </c>
      <c r="AZ832">
        <v>332.76666666666603</v>
      </c>
      <c r="BA832">
        <v>383.24</v>
      </c>
      <c r="BB832">
        <v>328.91333333333301</v>
      </c>
      <c r="BC832">
        <v>366.07</v>
      </c>
      <c r="BD832">
        <v>341.433333333333</v>
      </c>
      <c r="BE832">
        <v>328.37666666666598</v>
      </c>
      <c r="BF832">
        <v>317.82</v>
      </c>
      <c r="BG832" s="14"/>
      <c r="BH832" s="14"/>
      <c r="BI832" s="14"/>
      <c r="BJ832" s="199"/>
      <c r="BK832" s="14"/>
      <c r="BL832" s="14"/>
      <c r="BM832" s="14"/>
      <c r="BN832" s="14"/>
      <c r="BO832" s="14"/>
      <c r="BP832" s="14"/>
      <c r="BQ832" s="14"/>
      <c r="BR832" s="14"/>
      <c r="BS832" s="14"/>
      <c r="BT832" s="14"/>
      <c r="BU832" s="14"/>
      <c r="BV832" s="14"/>
      <c r="BW832" s="14"/>
      <c r="BX832" s="14"/>
      <c r="BY832" s="170"/>
    </row>
    <row r="833" spans="9:77" x14ac:dyDescent="0.25">
      <c r="I833">
        <v>8380</v>
      </c>
      <c r="J833" s="1" t="s">
        <v>1007</v>
      </c>
      <c r="K833">
        <v>395.81333333333299</v>
      </c>
      <c r="L833">
        <v>359.12999999999897</v>
      </c>
      <c r="M833">
        <v>383.183333333333</v>
      </c>
      <c r="N833">
        <v>365.986666666666</v>
      </c>
      <c r="O833">
        <v>358.25999999999902</v>
      </c>
      <c r="P833">
        <v>352.63</v>
      </c>
      <c r="Q833">
        <v>379.06</v>
      </c>
      <c r="R833">
        <v>324.14666666666602</v>
      </c>
      <c r="S833">
        <v>361.50333333333299</v>
      </c>
      <c r="T833">
        <v>336.99</v>
      </c>
      <c r="U833">
        <v>323.69</v>
      </c>
      <c r="V833">
        <v>312.96333333333303</v>
      </c>
      <c r="W833">
        <v>381.92666666666599</v>
      </c>
      <c r="X833">
        <v>353.59</v>
      </c>
      <c r="Y833">
        <v>364.77</v>
      </c>
      <c r="Z833">
        <v>362.88999999999902</v>
      </c>
      <c r="AA833">
        <v>357.17333333333301</v>
      </c>
      <c r="AB833">
        <v>357.17333333333301</v>
      </c>
      <c r="AC833">
        <v>397.08666666666602</v>
      </c>
      <c r="AD833">
        <v>355.96</v>
      </c>
      <c r="AE833">
        <v>383.113333333333</v>
      </c>
      <c r="AF833">
        <v>371.11</v>
      </c>
      <c r="AG833">
        <v>363.33666666666602</v>
      </c>
      <c r="AH833">
        <v>359.52333333333303</v>
      </c>
      <c r="AI833">
        <v>395.81333333333299</v>
      </c>
      <c r="AJ833">
        <v>359.12999999999897</v>
      </c>
      <c r="AK833">
        <v>383.183333333333</v>
      </c>
      <c r="AL833">
        <v>365.986666666666</v>
      </c>
      <c r="AM833">
        <v>358.25999999999902</v>
      </c>
      <c r="AN833">
        <v>352.63</v>
      </c>
      <c r="AO833">
        <v>392.78666666666601</v>
      </c>
      <c r="AP833">
        <v>327.14333333333298</v>
      </c>
      <c r="AQ833">
        <v>374.26333333333298</v>
      </c>
      <c r="AR833">
        <v>342.08333333333297</v>
      </c>
      <c r="AS833">
        <v>324.743333333333</v>
      </c>
      <c r="AT833">
        <v>310.38999999999902</v>
      </c>
      <c r="AU833">
        <v>407.09</v>
      </c>
      <c r="AV833">
        <v>354.51333333333298</v>
      </c>
      <c r="AW833">
        <v>390.53</v>
      </c>
      <c r="AX833">
        <v>366.64</v>
      </c>
      <c r="AY833">
        <v>354.40333333333302</v>
      </c>
      <c r="AZ833">
        <v>345.40666666666601</v>
      </c>
      <c r="BA833">
        <v>395.88</v>
      </c>
      <c r="BB833">
        <v>341.553333333333</v>
      </c>
      <c r="BC833">
        <v>378.71</v>
      </c>
      <c r="BD833">
        <v>354.07333333333298</v>
      </c>
      <c r="BE833">
        <v>341.01666666666603</v>
      </c>
      <c r="BF833">
        <v>330.46</v>
      </c>
      <c r="BG833" s="14"/>
      <c r="BH833" s="14"/>
      <c r="BI833" s="14"/>
      <c r="BJ833" s="199"/>
      <c r="BK833" s="14"/>
      <c r="BL833" s="14"/>
      <c r="BM833" s="14"/>
      <c r="BN833" s="14"/>
      <c r="BO833" s="14"/>
      <c r="BP833" s="14"/>
      <c r="BQ833" s="14"/>
      <c r="BR833" s="14"/>
      <c r="BS833" s="14"/>
      <c r="BT833" s="14"/>
      <c r="BU833" s="14"/>
      <c r="BV833" s="14"/>
      <c r="BW833" s="14"/>
      <c r="BX833" s="14"/>
      <c r="BY833" s="170"/>
    </row>
    <row r="834" spans="9:77" x14ac:dyDescent="0.25">
      <c r="I834">
        <v>8381</v>
      </c>
      <c r="J834" s="1" t="s">
        <v>1008</v>
      </c>
      <c r="K834">
        <v>396.84333333333302</v>
      </c>
      <c r="L834">
        <v>360.159999999999</v>
      </c>
      <c r="M834">
        <v>384.21333333333303</v>
      </c>
      <c r="N834">
        <v>367.01666666666603</v>
      </c>
      <c r="O834">
        <v>359.29</v>
      </c>
      <c r="P834">
        <v>353.66</v>
      </c>
      <c r="Q834">
        <v>380.09</v>
      </c>
      <c r="R834">
        <v>325.17666666666599</v>
      </c>
      <c r="S834">
        <v>362.53333333333302</v>
      </c>
      <c r="T834">
        <v>338.02</v>
      </c>
      <c r="U834">
        <v>324.72000000000003</v>
      </c>
      <c r="V834">
        <v>313.993333333333</v>
      </c>
      <c r="W834">
        <v>382.95666666666602</v>
      </c>
      <c r="X834">
        <v>354.62</v>
      </c>
      <c r="Y834">
        <v>365.8</v>
      </c>
      <c r="Z834">
        <v>363.92</v>
      </c>
      <c r="AA834">
        <v>358.20333333333298</v>
      </c>
      <c r="AB834">
        <v>358.20333333333298</v>
      </c>
      <c r="AC834">
        <v>398.11666666666599</v>
      </c>
      <c r="AD834">
        <v>356.99</v>
      </c>
      <c r="AE834">
        <v>384.14333333333298</v>
      </c>
      <c r="AF834">
        <v>372.14</v>
      </c>
      <c r="AG834">
        <v>364.36666666666599</v>
      </c>
      <c r="AH834">
        <v>360.553333333333</v>
      </c>
      <c r="AI834">
        <v>396.84333333333302</v>
      </c>
      <c r="AJ834">
        <v>360.159999999999</v>
      </c>
      <c r="AK834">
        <v>384.21333333333303</v>
      </c>
      <c r="AL834">
        <v>367.01666666666603</v>
      </c>
      <c r="AM834">
        <v>359.29</v>
      </c>
      <c r="AN834">
        <v>353.66</v>
      </c>
      <c r="AO834">
        <v>393.81666666666598</v>
      </c>
      <c r="AP834">
        <v>328.17333333333301</v>
      </c>
      <c r="AQ834">
        <v>375.29333333333301</v>
      </c>
      <c r="AR834">
        <v>343.113333333333</v>
      </c>
      <c r="AS834">
        <v>325.77333333333303</v>
      </c>
      <c r="AT834">
        <v>311.42</v>
      </c>
      <c r="AU834">
        <v>408.12</v>
      </c>
      <c r="AV834">
        <v>355.54333333333301</v>
      </c>
      <c r="AW834">
        <v>391.56</v>
      </c>
      <c r="AX834">
        <v>367.67</v>
      </c>
      <c r="AY834">
        <v>355.433333333333</v>
      </c>
      <c r="AZ834">
        <v>346.43666666666599</v>
      </c>
      <c r="BA834">
        <v>396.91</v>
      </c>
      <c r="BB834">
        <v>342.58333333333297</v>
      </c>
      <c r="BC834">
        <v>379.74</v>
      </c>
      <c r="BD834">
        <v>355.10333333333301</v>
      </c>
      <c r="BE834">
        <v>342.046666666666</v>
      </c>
      <c r="BF834">
        <v>331.49</v>
      </c>
      <c r="BG834" s="14"/>
      <c r="BH834" s="14"/>
      <c r="BI834" s="14"/>
      <c r="BJ834" s="199"/>
      <c r="BK834" s="14"/>
      <c r="BL834" s="14"/>
      <c r="BM834" s="14"/>
      <c r="BN834" s="14"/>
      <c r="BO834" s="14"/>
      <c r="BP834" s="14"/>
      <c r="BQ834" s="14"/>
      <c r="BR834" s="14"/>
      <c r="BS834" s="14"/>
      <c r="BT834" s="14"/>
      <c r="BU834" s="14"/>
      <c r="BV834" s="14"/>
      <c r="BW834" s="14"/>
      <c r="BX834" s="14"/>
      <c r="BY834" s="170"/>
    </row>
    <row r="835" spans="9:77" x14ac:dyDescent="0.25">
      <c r="I835">
        <v>8382</v>
      </c>
      <c r="J835" s="1" t="s">
        <v>1009</v>
      </c>
      <c r="K835">
        <v>419.90333333333302</v>
      </c>
      <c r="L835">
        <v>383.219999999999</v>
      </c>
      <c r="M835">
        <v>407.27333333333303</v>
      </c>
      <c r="N835">
        <v>390.07666666666597</v>
      </c>
      <c r="O835">
        <v>382.349999999999</v>
      </c>
      <c r="P835">
        <v>376.72</v>
      </c>
      <c r="Q835">
        <v>403.15</v>
      </c>
      <c r="R835">
        <v>348.236666666666</v>
      </c>
      <c r="S835">
        <v>385.59333333333302</v>
      </c>
      <c r="T835">
        <v>361.08</v>
      </c>
      <c r="U835">
        <v>347.78</v>
      </c>
      <c r="V835">
        <v>337.053333333333</v>
      </c>
      <c r="W835">
        <v>406.01666666666603</v>
      </c>
      <c r="X835">
        <v>377.68</v>
      </c>
      <c r="Y835">
        <v>388.86</v>
      </c>
      <c r="Z835">
        <v>386.98</v>
      </c>
      <c r="AA835">
        <v>381.26333333333298</v>
      </c>
      <c r="AB835">
        <v>381.26333333333298</v>
      </c>
      <c r="AC835">
        <v>421.17666666666599</v>
      </c>
      <c r="AD835">
        <v>380.05</v>
      </c>
      <c r="AE835">
        <v>407.20333333333298</v>
      </c>
      <c r="AF835">
        <v>395.2</v>
      </c>
      <c r="AG835">
        <v>387.42666666666599</v>
      </c>
      <c r="AH835">
        <v>383.613333333333</v>
      </c>
      <c r="AI835">
        <v>419.90333333333302</v>
      </c>
      <c r="AJ835">
        <v>383.219999999999</v>
      </c>
      <c r="AK835">
        <v>407.27333333333303</v>
      </c>
      <c r="AL835">
        <v>390.07666666666597</v>
      </c>
      <c r="AM835">
        <v>382.349999999999</v>
      </c>
      <c r="AN835">
        <v>376.72</v>
      </c>
      <c r="AO835">
        <v>416.87666666666598</v>
      </c>
      <c r="AP835">
        <v>351.23333333333301</v>
      </c>
      <c r="AQ835">
        <v>398.35333333333301</v>
      </c>
      <c r="AR835">
        <v>366.17333333333301</v>
      </c>
      <c r="AS835">
        <v>348.83333333333297</v>
      </c>
      <c r="AT835">
        <v>334.48</v>
      </c>
      <c r="AU835">
        <v>431.18</v>
      </c>
      <c r="AV835">
        <v>378.60333333333301</v>
      </c>
      <c r="AW835">
        <v>414.62</v>
      </c>
      <c r="AX835">
        <v>390.73</v>
      </c>
      <c r="AY835">
        <v>378.493333333333</v>
      </c>
      <c r="AZ835">
        <v>369.49666666666599</v>
      </c>
      <c r="BA835">
        <v>419.97</v>
      </c>
      <c r="BB835">
        <v>365.64333333333298</v>
      </c>
      <c r="BC835">
        <v>402.8</v>
      </c>
      <c r="BD835">
        <v>378.16333333333301</v>
      </c>
      <c r="BE835">
        <v>365.106666666666</v>
      </c>
      <c r="BF835">
        <v>354.55</v>
      </c>
      <c r="BG835" s="14"/>
      <c r="BH835" s="14"/>
      <c r="BI835" s="14"/>
      <c r="BJ835" s="199"/>
      <c r="BK835" s="14"/>
      <c r="BL835" s="14"/>
      <c r="BM835" s="14"/>
      <c r="BN835" s="14"/>
      <c r="BO835" s="14"/>
      <c r="BP835" s="14"/>
      <c r="BQ835" s="14"/>
      <c r="BR835" s="14"/>
      <c r="BS835" s="14"/>
      <c r="BT835" s="14"/>
      <c r="BU835" s="14"/>
      <c r="BV835" s="14"/>
      <c r="BW835" s="14"/>
      <c r="BX835" s="14"/>
      <c r="BY835" s="170"/>
    </row>
    <row r="836" spans="9:77" x14ac:dyDescent="0.25">
      <c r="I836">
        <v>8400</v>
      </c>
      <c r="J836" s="1" t="s">
        <v>1010</v>
      </c>
      <c r="K836">
        <v>340.10333333333301</v>
      </c>
      <c r="L836">
        <v>303.41999999999899</v>
      </c>
      <c r="M836">
        <v>327.47333333333302</v>
      </c>
      <c r="N836">
        <v>310.27666666666602</v>
      </c>
      <c r="O836">
        <v>302.54999999999899</v>
      </c>
      <c r="P836">
        <v>296.91999999999899</v>
      </c>
      <c r="Q836">
        <v>323.349999999999</v>
      </c>
      <c r="R836">
        <v>268.43666666666599</v>
      </c>
      <c r="S836">
        <v>305.79333333333301</v>
      </c>
      <c r="T836">
        <v>281.27999999999901</v>
      </c>
      <c r="U836">
        <v>267.979999999999</v>
      </c>
      <c r="V836">
        <v>257.25333333333299</v>
      </c>
      <c r="W836">
        <v>326.21666666666601</v>
      </c>
      <c r="X836">
        <v>297.87999999999897</v>
      </c>
      <c r="Y836">
        <v>309.05999999999898</v>
      </c>
      <c r="Z836">
        <v>307.17999999999898</v>
      </c>
      <c r="AA836">
        <v>301.46333333333303</v>
      </c>
      <c r="AB836">
        <v>301.46333333333303</v>
      </c>
      <c r="AC836">
        <v>341.37666666666598</v>
      </c>
      <c r="AD836">
        <v>300.24999999999898</v>
      </c>
      <c r="AE836">
        <v>327.40333333333302</v>
      </c>
      <c r="AF836">
        <v>315.39999999999901</v>
      </c>
      <c r="AG836">
        <v>307.62666666666598</v>
      </c>
      <c r="AH836">
        <v>303.81333333333299</v>
      </c>
      <c r="AI836">
        <v>340.10333333333301</v>
      </c>
      <c r="AJ836">
        <v>303.41999999999899</v>
      </c>
      <c r="AK836">
        <v>327.47333333333302</v>
      </c>
      <c r="AL836">
        <v>310.27666666666602</v>
      </c>
      <c r="AM836">
        <v>302.54999999999899</v>
      </c>
      <c r="AN836">
        <v>296.91999999999899</v>
      </c>
      <c r="AO836">
        <v>337.07666666666597</v>
      </c>
      <c r="AP836">
        <v>271.433333333333</v>
      </c>
      <c r="AQ836">
        <v>318.553333333333</v>
      </c>
      <c r="AR836">
        <v>286.37333333333299</v>
      </c>
      <c r="AS836">
        <v>269.03333333333302</v>
      </c>
      <c r="AT836">
        <v>254.67999999999901</v>
      </c>
      <c r="AU836">
        <v>351.37999999999897</v>
      </c>
      <c r="AV836">
        <v>298.803333333333</v>
      </c>
      <c r="AW836">
        <v>334.81999999999903</v>
      </c>
      <c r="AX836">
        <v>310.92999999999898</v>
      </c>
      <c r="AY836">
        <v>298.69333333333299</v>
      </c>
      <c r="AZ836">
        <v>289.69666666666598</v>
      </c>
      <c r="BA836">
        <v>340.16999999999899</v>
      </c>
      <c r="BB836">
        <v>285.84333333333302</v>
      </c>
      <c r="BC836">
        <v>322.99999999999898</v>
      </c>
      <c r="BD836">
        <v>298.363333333333</v>
      </c>
      <c r="BE836">
        <v>285.30666666666599</v>
      </c>
      <c r="BF836">
        <v>274.75</v>
      </c>
      <c r="BG836" s="14"/>
      <c r="BH836" s="14"/>
      <c r="BI836" s="14"/>
      <c r="BJ836" s="199"/>
      <c r="BK836" s="14"/>
      <c r="BL836" s="14"/>
      <c r="BM836" s="14"/>
      <c r="BN836" s="14"/>
      <c r="BO836" s="14"/>
      <c r="BP836" s="14"/>
      <c r="BQ836" s="14"/>
      <c r="BR836" s="14"/>
      <c r="BS836" s="14"/>
      <c r="BT836" s="14"/>
      <c r="BU836" s="14"/>
      <c r="BV836" s="14"/>
      <c r="BW836" s="14"/>
      <c r="BX836" s="14"/>
      <c r="BY836" s="170"/>
    </row>
    <row r="837" spans="9:77" x14ac:dyDescent="0.25">
      <c r="I837">
        <v>8410</v>
      </c>
      <c r="J837" s="1" t="s">
        <v>1011</v>
      </c>
      <c r="K837">
        <v>377.20333333333298</v>
      </c>
      <c r="L837">
        <v>340.51999999999902</v>
      </c>
      <c r="M837">
        <v>364.57333333333298</v>
      </c>
      <c r="N837">
        <v>347.37666666666598</v>
      </c>
      <c r="O837">
        <v>339.65</v>
      </c>
      <c r="P837">
        <v>334.02</v>
      </c>
      <c r="Q837">
        <v>360.45</v>
      </c>
      <c r="R837">
        <v>305.53666666666601</v>
      </c>
      <c r="S837">
        <v>342.89333333333298</v>
      </c>
      <c r="T837">
        <v>318.38</v>
      </c>
      <c r="U837">
        <v>305.08</v>
      </c>
      <c r="V837">
        <v>294.35333333333301</v>
      </c>
      <c r="W837">
        <v>363.31666666666598</v>
      </c>
      <c r="X837">
        <v>334.98</v>
      </c>
      <c r="Y837">
        <v>346.16</v>
      </c>
      <c r="Z837">
        <v>344.28</v>
      </c>
      <c r="AA837">
        <v>338.56333333333299</v>
      </c>
      <c r="AB837">
        <v>338.56333333333299</v>
      </c>
      <c r="AC837">
        <v>378.47666666666601</v>
      </c>
      <c r="AD837">
        <v>337.35</v>
      </c>
      <c r="AE837">
        <v>364.50333333333299</v>
      </c>
      <c r="AF837">
        <v>352.5</v>
      </c>
      <c r="AG837">
        <v>344.72666666666601</v>
      </c>
      <c r="AH837">
        <v>340.91333333333301</v>
      </c>
      <c r="AI837">
        <v>377.20333333333298</v>
      </c>
      <c r="AJ837">
        <v>340.51999999999902</v>
      </c>
      <c r="AK837">
        <v>364.57333333333298</v>
      </c>
      <c r="AL837">
        <v>347.37666666666598</v>
      </c>
      <c r="AM837">
        <v>339.65</v>
      </c>
      <c r="AN837">
        <v>334.02</v>
      </c>
      <c r="AO837">
        <v>374.17666666666599</v>
      </c>
      <c r="AP837">
        <v>308.53333333333302</v>
      </c>
      <c r="AQ837">
        <v>355.65333333333302</v>
      </c>
      <c r="AR837">
        <v>323.47333333333302</v>
      </c>
      <c r="AS837">
        <v>306.13333333333298</v>
      </c>
      <c r="AT837">
        <v>291.77999999999997</v>
      </c>
      <c r="AU837">
        <v>388.48</v>
      </c>
      <c r="AV837">
        <v>335.90333333333302</v>
      </c>
      <c r="AW837">
        <v>371.92</v>
      </c>
      <c r="AX837">
        <v>348.03</v>
      </c>
      <c r="AY837">
        <v>335.79333333333301</v>
      </c>
      <c r="AZ837">
        <v>326.796666666666</v>
      </c>
      <c r="BA837">
        <v>377.27</v>
      </c>
      <c r="BB837">
        <v>322.94333333333299</v>
      </c>
      <c r="BC837">
        <v>360.1</v>
      </c>
      <c r="BD837">
        <v>335.46333333333303</v>
      </c>
      <c r="BE837">
        <v>322.40666666666601</v>
      </c>
      <c r="BF837">
        <v>311.85000000000002</v>
      </c>
      <c r="BG837" s="14"/>
      <c r="BH837" s="14"/>
      <c r="BI837" s="14"/>
      <c r="BJ837" s="199"/>
      <c r="BK837" s="14"/>
      <c r="BL837" s="14"/>
      <c r="BM837" s="14"/>
      <c r="BN837" s="14"/>
      <c r="BO837" s="14"/>
      <c r="BP837" s="14"/>
      <c r="BQ837" s="14"/>
      <c r="BR837" s="14"/>
      <c r="BS837" s="14"/>
      <c r="BT837" s="14"/>
      <c r="BU837" s="14"/>
      <c r="BV837" s="14"/>
      <c r="BW837" s="14"/>
      <c r="BX837" s="14"/>
      <c r="BY837" s="170"/>
    </row>
    <row r="838" spans="9:77" x14ac:dyDescent="0.25">
      <c r="I838">
        <v>8420</v>
      </c>
      <c r="J838" s="1" t="s">
        <v>1012</v>
      </c>
      <c r="K838">
        <v>311.13333333333298</v>
      </c>
      <c r="L838">
        <v>274.44999999999902</v>
      </c>
      <c r="M838">
        <v>298.50333333333299</v>
      </c>
      <c r="N838">
        <v>281.30666666666599</v>
      </c>
      <c r="O838">
        <v>273.57999999999902</v>
      </c>
      <c r="P838">
        <v>267.94999999999902</v>
      </c>
      <c r="Q838">
        <v>294.38</v>
      </c>
      <c r="R838">
        <v>239.46666666666599</v>
      </c>
      <c r="S838">
        <v>276.82333333333298</v>
      </c>
      <c r="T838">
        <v>252.31</v>
      </c>
      <c r="U838">
        <v>239.009999999999</v>
      </c>
      <c r="V838">
        <v>228.28333333333299</v>
      </c>
      <c r="W838">
        <v>297.24666666666599</v>
      </c>
      <c r="X838">
        <v>268.91000000000003</v>
      </c>
      <c r="Y838">
        <v>280.08999999999901</v>
      </c>
      <c r="Z838">
        <v>278.20999999999901</v>
      </c>
      <c r="AA838">
        <v>272.493333333333</v>
      </c>
      <c r="AB838">
        <v>272.493333333333</v>
      </c>
      <c r="AC838">
        <v>312.40666666666601</v>
      </c>
      <c r="AD838">
        <v>271.27999999999901</v>
      </c>
      <c r="AE838">
        <v>298.433333333333</v>
      </c>
      <c r="AF838">
        <v>286.43</v>
      </c>
      <c r="AG838">
        <v>278.65666666666601</v>
      </c>
      <c r="AH838">
        <v>274.84333333333302</v>
      </c>
      <c r="AI838">
        <v>311.13333333333298</v>
      </c>
      <c r="AJ838">
        <v>274.44999999999902</v>
      </c>
      <c r="AK838">
        <v>298.50333333333299</v>
      </c>
      <c r="AL838">
        <v>281.30666666666599</v>
      </c>
      <c r="AM838">
        <v>273.57999999999902</v>
      </c>
      <c r="AN838">
        <v>267.94999999999902</v>
      </c>
      <c r="AO838">
        <v>308.106666666666</v>
      </c>
      <c r="AP838">
        <v>242.463333333333</v>
      </c>
      <c r="AQ838">
        <v>289.58333333333297</v>
      </c>
      <c r="AR838">
        <v>257.40333333333302</v>
      </c>
      <c r="AS838">
        <v>240.06333333333299</v>
      </c>
      <c r="AT838">
        <v>225.70999999999901</v>
      </c>
      <c r="AU838">
        <v>322.41000000000003</v>
      </c>
      <c r="AV838">
        <v>269.83333333333297</v>
      </c>
      <c r="AW838">
        <v>305.85000000000002</v>
      </c>
      <c r="AX838">
        <v>281.95999999999901</v>
      </c>
      <c r="AY838">
        <v>269.72333333333302</v>
      </c>
      <c r="AZ838">
        <v>260.72666666666601</v>
      </c>
      <c r="BA838">
        <v>311.19999999999902</v>
      </c>
      <c r="BB838">
        <v>256.87333333333299</v>
      </c>
      <c r="BC838">
        <v>294.02999999999901</v>
      </c>
      <c r="BD838">
        <v>269.39333333333298</v>
      </c>
      <c r="BE838">
        <v>256.33666666666602</v>
      </c>
      <c r="BF838">
        <v>245.78</v>
      </c>
      <c r="BG838" s="14"/>
      <c r="BH838" s="14"/>
      <c r="BI838" s="14"/>
      <c r="BJ838" s="199"/>
      <c r="BK838" s="14"/>
      <c r="BL838" s="14"/>
      <c r="BM838" s="14"/>
      <c r="BN838" s="14"/>
      <c r="BO838" s="14"/>
      <c r="BP838" s="14"/>
      <c r="BQ838" s="14"/>
      <c r="BR838" s="14"/>
      <c r="BS838" s="14"/>
      <c r="BT838" s="14"/>
      <c r="BU838" s="14"/>
      <c r="BV838" s="14"/>
      <c r="BW838" s="14"/>
      <c r="BX838" s="14"/>
      <c r="BY838" s="170"/>
    </row>
    <row r="839" spans="9:77" x14ac:dyDescent="0.25">
      <c r="I839">
        <v>8444</v>
      </c>
      <c r="J839" s="1" t="s">
        <v>1013</v>
      </c>
      <c r="K839">
        <v>288.863333333333</v>
      </c>
      <c r="L839">
        <v>252.17999999999901</v>
      </c>
      <c r="M839">
        <v>276.23333333333301</v>
      </c>
      <c r="N839">
        <v>259.03666666666601</v>
      </c>
      <c r="O839">
        <v>251.30999999999901</v>
      </c>
      <c r="P839">
        <v>245.67999999999901</v>
      </c>
      <c r="Q839">
        <v>272.11</v>
      </c>
      <c r="R839">
        <v>217.196666666666</v>
      </c>
      <c r="S839">
        <v>254.553333333333</v>
      </c>
      <c r="T839">
        <v>230.04</v>
      </c>
      <c r="U839">
        <v>216.74</v>
      </c>
      <c r="V839">
        <v>206.01333333333301</v>
      </c>
      <c r="W839">
        <v>274.97666666666601</v>
      </c>
      <c r="X839">
        <v>246.64</v>
      </c>
      <c r="Y839">
        <v>257.81999999999903</v>
      </c>
      <c r="Z839">
        <v>255.939999999999</v>
      </c>
      <c r="AA839">
        <v>250.22333333333299</v>
      </c>
      <c r="AB839">
        <v>250.22333333333299</v>
      </c>
      <c r="AC839">
        <v>290.13666666666597</v>
      </c>
      <c r="AD839">
        <v>249.009999999999</v>
      </c>
      <c r="AE839">
        <v>276.16333333333301</v>
      </c>
      <c r="AF839">
        <v>264.16000000000003</v>
      </c>
      <c r="AG839">
        <v>256.38666666666597</v>
      </c>
      <c r="AH839">
        <v>252.57333333333301</v>
      </c>
      <c r="AI839">
        <v>288.863333333333</v>
      </c>
      <c r="AJ839">
        <v>252.17999999999901</v>
      </c>
      <c r="AK839">
        <v>276.23333333333301</v>
      </c>
      <c r="AL839">
        <v>259.03666666666601</v>
      </c>
      <c r="AM839">
        <v>251.30999999999901</v>
      </c>
      <c r="AN839">
        <v>245.67999999999901</v>
      </c>
      <c r="AO839">
        <v>285.83666666666602</v>
      </c>
      <c r="AP839">
        <v>220.19333333333299</v>
      </c>
      <c r="AQ839">
        <v>267.31333333333299</v>
      </c>
      <c r="AR839">
        <v>235.13333333333301</v>
      </c>
      <c r="AS839">
        <v>217.79333333333301</v>
      </c>
      <c r="AT839">
        <v>203.439999999999</v>
      </c>
      <c r="AU839">
        <v>300.14</v>
      </c>
      <c r="AV839">
        <v>247.56333333333299</v>
      </c>
      <c r="AW839">
        <v>283.58</v>
      </c>
      <c r="AX839">
        <v>259.69</v>
      </c>
      <c r="AY839">
        <v>247.45333333333301</v>
      </c>
      <c r="AZ839">
        <v>238.456666666666</v>
      </c>
      <c r="BA839">
        <v>288.92999999999898</v>
      </c>
      <c r="BB839">
        <v>234.60333333333301</v>
      </c>
      <c r="BC839">
        <v>271.75999999999902</v>
      </c>
      <c r="BD839">
        <v>247.12333333333299</v>
      </c>
      <c r="BE839">
        <v>234.06666666666601</v>
      </c>
      <c r="BF839">
        <v>223.51</v>
      </c>
      <c r="BG839" s="14"/>
      <c r="BH839" s="14"/>
      <c r="BI839" s="14"/>
      <c r="BJ839" s="199"/>
      <c r="BK839" s="14"/>
      <c r="BL839" s="14"/>
      <c r="BM839" s="14"/>
      <c r="BN839" s="14"/>
      <c r="BO839" s="14"/>
      <c r="BP839" s="14"/>
      <c r="BQ839" s="14"/>
      <c r="BR839" s="14"/>
      <c r="BS839" s="14"/>
      <c r="BT839" s="14"/>
      <c r="BU839" s="14"/>
      <c r="BV839" s="14"/>
      <c r="BW839" s="14"/>
      <c r="BX839" s="14"/>
      <c r="BY839" s="170"/>
    </row>
    <row r="840" spans="9:77" x14ac:dyDescent="0.25">
      <c r="I840">
        <v>8450</v>
      </c>
      <c r="J840" s="1" t="s">
        <v>1014</v>
      </c>
      <c r="K840">
        <v>455.98333333333301</v>
      </c>
      <c r="L840">
        <v>419.29999999999899</v>
      </c>
      <c r="M840">
        <v>443.35333333333301</v>
      </c>
      <c r="N840">
        <v>426.15666666666601</v>
      </c>
      <c r="O840">
        <v>418.42999999999898</v>
      </c>
      <c r="P840">
        <v>412.79999999999899</v>
      </c>
      <c r="Q840">
        <v>439.229999999999</v>
      </c>
      <c r="R840">
        <v>384.31666666666598</v>
      </c>
      <c r="S840">
        <v>421.67333333333301</v>
      </c>
      <c r="T840">
        <v>397.159999999999</v>
      </c>
      <c r="U840">
        <v>383.85999999999899</v>
      </c>
      <c r="V840">
        <v>373.13333333333298</v>
      </c>
      <c r="W840">
        <v>442.09666666666601</v>
      </c>
      <c r="X840">
        <v>413.75999999999902</v>
      </c>
      <c r="Y840">
        <v>424.93999999999897</v>
      </c>
      <c r="Z840">
        <v>423.05999999999898</v>
      </c>
      <c r="AA840">
        <v>417.34333333333302</v>
      </c>
      <c r="AB840">
        <v>417.34333333333302</v>
      </c>
      <c r="AC840">
        <v>457.25666666666598</v>
      </c>
      <c r="AD840">
        <v>416.12999999999897</v>
      </c>
      <c r="AE840">
        <v>443.28333333333302</v>
      </c>
      <c r="AF840">
        <v>431.27999999999901</v>
      </c>
      <c r="AG840">
        <v>423.50666666666598</v>
      </c>
      <c r="AH840">
        <v>419.69333333333299</v>
      </c>
      <c r="AI840">
        <v>455.98333333333301</v>
      </c>
      <c r="AJ840">
        <v>419.29999999999899</v>
      </c>
      <c r="AK840">
        <v>443.35333333333301</v>
      </c>
      <c r="AL840">
        <v>426.15666666666601</v>
      </c>
      <c r="AM840">
        <v>418.42999999999898</v>
      </c>
      <c r="AN840">
        <v>412.79999999999899</v>
      </c>
      <c r="AO840">
        <v>452.95666666666602</v>
      </c>
      <c r="AP840">
        <v>387.31333333333299</v>
      </c>
      <c r="AQ840">
        <v>434.433333333333</v>
      </c>
      <c r="AR840">
        <v>402.25333333333299</v>
      </c>
      <c r="AS840">
        <v>384.91333333333301</v>
      </c>
      <c r="AT840">
        <v>370.55999999999898</v>
      </c>
      <c r="AU840">
        <v>467.25999999999902</v>
      </c>
      <c r="AV840">
        <v>414.683333333333</v>
      </c>
      <c r="AW840">
        <v>450.69999999999902</v>
      </c>
      <c r="AX840">
        <v>426.80999999999898</v>
      </c>
      <c r="AY840">
        <v>414.57333333333298</v>
      </c>
      <c r="AZ840">
        <v>405.57666666666597</v>
      </c>
      <c r="BA840">
        <v>456.04999999999899</v>
      </c>
      <c r="BB840">
        <v>401.72333333333302</v>
      </c>
      <c r="BC840">
        <v>438.87999999999897</v>
      </c>
      <c r="BD840">
        <v>414.243333333333</v>
      </c>
      <c r="BE840">
        <v>401.18666666666599</v>
      </c>
      <c r="BF840">
        <v>390.63</v>
      </c>
      <c r="BG840" s="14"/>
      <c r="BH840" s="14"/>
      <c r="BI840" s="14"/>
      <c r="BJ840" s="199"/>
      <c r="BK840" s="14"/>
      <c r="BL840" s="14"/>
      <c r="BM840" s="14"/>
      <c r="BN840" s="14"/>
      <c r="BO840" s="14"/>
      <c r="BP840" s="14"/>
      <c r="BQ840" s="14"/>
      <c r="BR840" s="14"/>
      <c r="BS840" s="14"/>
      <c r="BT840" s="14"/>
      <c r="BU840" s="14"/>
      <c r="BV840" s="14"/>
      <c r="BW840" s="14"/>
      <c r="BX840" s="14"/>
      <c r="BY840" s="170"/>
    </row>
    <row r="841" spans="9:77" x14ac:dyDescent="0.25">
      <c r="I841">
        <v>8462</v>
      </c>
      <c r="J841" s="1" t="s">
        <v>1015</v>
      </c>
      <c r="K841">
        <v>442.90333333333302</v>
      </c>
      <c r="L841">
        <v>406.219999999999</v>
      </c>
      <c r="M841">
        <v>430.27333333333303</v>
      </c>
      <c r="N841">
        <v>413.07666666666597</v>
      </c>
      <c r="O841">
        <v>405.349999999999</v>
      </c>
      <c r="P841">
        <v>399.719999999999</v>
      </c>
      <c r="Q841">
        <v>426.15</v>
      </c>
      <c r="R841">
        <v>371.236666666666</v>
      </c>
      <c r="S841">
        <v>408.59333333333302</v>
      </c>
      <c r="T841">
        <v>384.08</v>
      </c>
      <c r="U841">
        <v>370.77999999999901</v>
      </c>
      <c r="V841">
        <v>360.053333333333</v>
      </c>
      <c r="W841">
        <v>429.01666666666603</v>
      </c>
      <c r="X841">
        <v>400.68</v>
      </c>
      <c r="Y841">
        <v>411.85999999999899</v>
      </c>
      <c r="Z841">
        <v>409.979999999999</v>
      </c>
      <c r="AA841">
        <v>404.26333333333298</v>
      </c>
      <c r="AB841">
        <v>404.26333333333298</v>
      </c>
      <c r="AC841">
        <v>444.17666666666599</v>
      </c>
      <c r="AD841">
        <v>403.04999999999899</v>
      </c>
      <c r="AE841">
        <v>430.20333333333298</v>
      </c>
      <c r="AF841">
        <v>418.19999999999902</v>
      </c>
      <c r="AG841">
        <v>410.42666666666599</v>
      </c>
      <c r="AH841">
        <v>406.613333333333</v>
      </c>
      <c r="AI841">
        <v>442.90333333333302</v>
      </c>
      <c r="AJ841">
        <v>406.219999999999</v>
      </c>
      <c r="AK841">
        <v>430.27333333333303</v>
      </c>
      <c r="AL841">
        <v>413.07666666666597</v>
      </c>
      <c r="AM841">
        <v>405.349999999999</v>
      </c>
      <c r="AN841">
        <v>399.719999999999</v>
      </c>
      <c r="AO841">
        <v>439.87666666666598</v>
      </c>
      <c r="AP841">
        <v>374.23333333333301</v>
      </c>
      <c r="AQ841">
        <v>421.35333333333301</v>
      </c>
      <c r="AR841">
        <v>389.17333333333301</v>
      </c>
      <c r="AS841">
        <v>371.83333333333297</v>
      </c>
      <c r="AT841">
        <v>357.479999999999</v>
      </c>
      <c r="AU841">
        <v>454.18</v>
      </c>
      <c r="AV841">
        <v>401.60333333333301</v>
      </c>
      <c r="AW841">
        <v>437.62</v>
      </c>
      <c r="AX841">
        <v>413.729999999999</v>
      </c>
      <c r="AY841">
        <v>401.493333333333</v>
      </c>
      <c r="AZ841">
        <v>392.49666666666599</v>
      </c>
      <c r="BA841">
        <v>442.969999999999</v>
      </c>
      <c r="BB841">
        <v>388.64333333333298</v>
      </c>
      <c r="BC841">
        <v>425.79999999999899</v>
      </c>
      <c r="BD841">
        <v>401.16333333333301</v>
      </c>
      <c r="BE841">
        <v>388.106666666666</v>
      </c>
      <c r="BF841">
        <v>377.55</v>
      </c>
      <c r="BG841" s="14"/>
      <c r="BH841" s="14"/>
      <c r="BI841" s="14"/>
      <c r="BJ841" s="199"/>
      <c r="BK841" s="14"/>
      <c r="BL841" s="14"/>
      <c r="BM841" s="14"/>
      <c r="BN841" s="14"/>
      <c r="BO841" s="14"/>
      <c r="BP841" s="14"/>
      <c r="BQ841" s="14"/>
      <c r="BR841" s="14"/>
      <c r="BS841" s="14"/>
      <c r="BT841" s="14"/>
      <c r="BU841" s="14"/>
      <c r="BV841" s="14"/>
      <c r="BW841" s="14"/>
      <c r="BX841" s="14"/>
      <c r="BY841" s="170"/>
    </row>
    <row r="842" spans="9:77" x14ac:dyDescent="0.25">
      <c r="I842">
        <v>8464</v>
      </c>
      <c r="J842" s="1" t="s">
        <v>1016</v>
      </c>
      <c r="K842">
        <v>442.90333333333302</v>
      </c>
      <c r="L842">
        <v>406.219999999999</v>
      </c>
      <c r="M842">
        <v>430.27333333333303</v>
      </c>
      <c r="N842">
        <v>413.07666666666597</v>
      </c>
      <c r="O842">
        <v>405.349999999999</v>
      </c>
      <c r="P842">
        <v>399.719999999999</v>
      </c>
      <c r="Q842">
        <v>426.15</v>
      </c>
      <c r="R842">
        <v>371.236666666666</v>
      </c>
      <c r="S842">
        <v>408.59333333333302</v>
      </c>
      <c r="T842">
        <v>384.08</v>
      </c>
      <c r="U842">
        <v>370.77999999999901</v>
      </c>
      <c r="V842">
        <v>360.053333333333</v>
      </c>
      <c r="W842">
        <v>429.01666666666603</v>
      </c>
      <c r="X842">
        <v>400.68</v>
      </c>
      <c r="Y842">
        <v>411.85999999999899</v>
      </c>
      <c r="Z842">
        <v>409.979999999999</v>
      </c>
      <c r="AA842">
        <v>404.26333333333298</v>
      </c>
      <c r="AB842">
        <v>404.26333333333298</v>
      </c>
      <c r="AC842">
        <v>444.17666666666599</v>
      </c>
      <c r="AD842">
        <v>403.04999999999899</v>
      </c>
      <c r="AE842">
        <v>430.20333333333298</v>
      </c>
      <c r="AF842">
        <v>418.19999999999902</v>
      </c>
      <c r="AG842">
        <v>410.42666666666599</v>
      </c>
      <c r="AH842">
        <v>406.613333333333</v>
      </c>
      <c r="AI842">
        <v>442.90333333333302</v>
      </c>
      <c r="AJ842">
        <v>406.219999999999</v>
      </c>
      <c r="AK842">
        <v>430.27333333333303</v>
      </c>
      <c r="AL842">
        <v>413.07666666666597</v>
      </c>
      <c r="AM842">
        <v>405.349999999999</v>
      </c>
      <c r="AN842">
        <v>399.719999999999</v>
      </c>
      <c r="AO842">
        <v>439.87666666666598</v>
      </c>
      <c r="AP842">
        <v>374.23333333333301</v>
      </c>
      <c r="AQ842">
        <v>421.35333333333301</v>
      </c>
      <c r="AR842">
        <v>389.17333333333301</v>
      </c>
      <c r="AS842">
        <v>371.83333333333297</v>
      </c>
      <c r="AT842">
        <v>357.479999999999</v>
      </c>
      <c r="AU842">
        <v>454.18</v>
      </c>
      <c r="AV842">
        <v>401.60333333333301</v>
      </c>
      <c r="AW842">
        <v>437.62</v>
      </c>
      <c r="AX842">
        <v>413.729999999999</v>
      </c>
      <c r="AY842">
        <v>401.493333333333</v>
      </c>
      <c r="AZ842">
        <v>392.49666666666599</v>
      </c>
      <c r="BA842">
        <v>442.969999999999</v>
      </c>
      <c r="BB842">
        <v>388.64333333333298</v>
      </c>
      <c r="BC842">
        <v>425.79999999999899</v>
      </c>
      <c r="BD842">
        <v>401.16333333333301</v>
      </c>
      <c r="BE842">
        <v>388.106666666666</v>
      </c>
      <c r="BF842">
        <v>377.55</v>
      </c>
      <c r="BG842" s="14"/>
      <c r="BH842" s="14"/>
      <c r="BI842" s="14"/>
      <c r="BJ842" s="199"/>
      <c r="BK842" s="14"/>
      <c r="BL842" s="14"/>
      <c r="BM842" s="14"/>
      <c r="BN842" s="14"/>
      <c r="BO842" s="14"/>
      <c r="BP842" s="14"/>
      <c r="BQ842" s="14"/>
      <c r="BR842" s="14"/>
      <c r="BS842" s="14"/>
      <c r="BT842" s="14"/>
      <c r="BU842" s="14"/>
      <c r="BV842" s="14"/>
      <c r="BW842" s="14"/>
      <c r="BX842" s="14"/>
      <c r="BY842" s="170"/>
    </row>
    <row r="843" spans="9:77" x14ac:dyDescent="0.25">
      <c r="I843">
        <v>8471</v>
      </c>
      <c r="J843" s="1" t="s">
        <v>1017</v>
      </c>
      <c r="K843">
        <v>442.90333333333302</v>
      </c>
      <c r="L843">
        <v>406.219999999999</v>
      </c>
      <c r="M843">
        <v>430.27333333333303</v>
      </c>
      <c r="N843">
        <v>413.07666666666597</v>
      </c>
      <c r="O843">
        <v>405.349999999999</v>
      </c>
      <c r="P843">
        <v>399.719999999999</v>
      </c>
      <c r="Q843">
        <v>426.15</v>
      </c>
      <c r="R843">
        <v>371.236666666666</v>
      </c>
      <c r="S843">
        <v>408.59333333333302</v>
      </c>
      <c r="T843">
        <v>384.08</v>
      </c>
      <c r="U843">
        <v>370.77999999999901</v>
      </c>
      <c r="V843">
        <v>360.053333333333</v>
      </c>
      <c r="W843">
        <v>429.01666666666603</v>
      </c>
      <c r="X843">
        <v>400.68</v>
      </c>
      <c r="Y843">
        <v>411.85999999999899</v>
      </c>
      <c r="Z843">
        <v>409.979999999999</v>
      </c>
      <c r="AA843">
        <v>404.26333333333298</v>
      </c>
      <c r="AB843">
        <v>404.26333333333298</v>
      </c>
      <c r="AC843">
        <v>444.17666666666599</v>
      </c>
      <c r="AD843">
        <v>403.04999999999899</v>
      </c>
      <c r="AE843">
        <v>430.20333333333298</v>
      </c>
      <c r="AF843">
        <v>418.19999999999902</v>
      </c>
      <c r="AG843">
        <v>410.42666666666599</v>
      </c>
      <c r="AH843">
        <v>406.613333333333</v>
      </c>
      <c r="AI843">
        <v>442.90333333333302</v>
      </c>
      <c r="AJ843">
        <v>406.219999999999</v>
      </c>
      <c r="AK843">
        <v>430.27333333333303</v>
      </c>
      <c r="AL843">
        <v>413.07666666666597</v>
      </c>
      <c r="AM843">
        <v>405.349999999999</v>
      </c>
      <c r="AN843">
        <v>399.719999999999</v>
      </c>
      <c r="AO843">
        <v>439.87666666666598</v>
      </c>
      <c r="AP843">
        <v>374.23333333333301</v>
      </c>
      <c r="AQ843">
        <v>421.35333333333301</v>
      </c>
      <c r="AR843">
        <v>389.17333333333301</v>
      </c>
      <c r="AS843">
        <v>371.83333333333297</v>
      </c>
      <c r="AT843">
        <v>357.479999999999</v>
      </c>
      <c r="AU843">
        <v>454.18</v>
      </c>
      <c r="AV843">
        <v>401.60333333333301</v>
      </c>
      <c r="AW843">
        <v>437.62</v>
      </c>
      <c r="AX843">
        <v>413.729999999999</v>
      </c>
      <c r="AY843">
        <v>401.493333333333</v>
      </c>
      <c r="AZ843">
        <v>392.49666666666599</v>
      </c>
      <c r="BA843">
        <v>442.969999999999</v>
      </c>
      <c r="BB843">
        <v>388.64333333333298</v>
      </c>
      <c r="BC843">
        <v>425.79999999999899</v>
      </c>
      <c r="BD843">
        <v>401.16333333333301</v>
      </c>
      <c r="BE843">
        <v>388.106666666666</v>
      </c>
      <c r="BF843">
        <v>377.55</v>
      </c>
      <c r="BG843" s="14"/>
      <c r="BH843" s="14"/>
      <c r="BI843" s="14"/>
      <c r="BJ843" s="199"/>
      <c r="BK843" s="14"/>
      <c r="BL843" s="14"/>
      <c r="BM843" s="14"/>
      <c r="BN843" s="14"/>
      <c r="BO843" s="14"/>
      <c r="BP843" s="14"/>
      <c r="BQ843" s="14"/>
      <c r="BR843" s="14"/>
      <c r="BS843" s="14"/>
      <c r="BT843" s="14"/>
      <c r="BU843" s="14"/>
      <c r="BV843" s="14"/>
      <c r="BW843" s="14"/>
      <c r="BX843" s="14"/>
      <c r="BY843" s="170"/>
    </row>
    <row r="844" spans="9:77" x14ac:dyDescent="0.25">
      <c r="I844">
        <v>8472</v>
      </c>
      <c r="J844" s="1" t="s">
        <v>1018</v>
      </c>
      <c r="K844">
        <v>465.57333333333298</v>
      </c>
      <c r="L844">
        <v>428.88999999999902</v>
      </c>
      <c r="M844">
        <v>452.94333333333299</v>
      </c>
      <c r="N844">
        <v>435.74666666666599</v>
      </c>
      <c r="O844">
        <v>428.01999999999902</v>
      </c>
      <c r="P844">
        <v>422.38999999999902</v>
      </c>
      <c r="Q844">
        <v>448.82</v>
      </c>
      <c r="R844">
        <v>393.90666666666601</v>
      </c>
      <c r="S844">
        <v>431.26333333333298</v>
      </c>
      <c r="T844">
        <v>406.75</v>
      </c>
      <c r="U844">
        <v>393.45</v>
      </c>
      <c r="V844">
        <v>382.72333333333302</v>
      </c>
      <c r="W844">
        <v>451.68666666666599</v>
      </c>
      <c r="X844">
        <v>423.35</v>
      </c>
      <c r="Y844">
        <v>434.53</v>
      </c>
      <c r="Z844">
        <v>432.64999999999901</v>
      </c>
      <c r="AA844">
        <v>426.933333333333</v>
      </c>
      <c r="AB844">
        <v>426.933333333333</v>
      </c>
      <c r="AC844">
        <v>466.84666666666601</v>
      </c>
      <c r="AD844">
        <v>425.72</v>
      </c>
      <c r="AE844">
        <v>452.87333333333299</v>
      </c>
      <c r="AF844">
        <v>440.87</v>
      </c>
      <c r="AG844">
        <v>433.09666666666601</v>
      </c>
      <c r="AH844">
        <v>429.28333333333302</v>
      </c>
      <c r="AI844">
        <v>465.57333333333298</v>
      </c>
      <c r="AJ844">
        <v>428.88999999999902</v>
      </c>
      <c r="AK844">
        <v>452.94333333333299</v>
      </c>
      <c r="AL844">
        <v>435.74666666666599</v>
      </c>
      <c r="AM844">
        <v>428.01999999999902</v>
      </c>
      <c r="AN844">
        <v>422.38999999999902</v>
      </c>
      <c r="AO844">
        <v>462.546666666666</v>
      </c>
      <c r="AP844">
        <v>396.90333333333302</v>
      </c>
      <c r="AQ844">
        <v>444.02333333333303</v>
      </c>
      <c r="AR844">
        <v>411.84333333333302</v>
      </c>
      <c r="AS844">
        <v>394.50333333333299</v>
      </c>
      <c r="AT844">
        <v>380.14999999999901</v>
      </c>
      <c r="AU844">
        <v>476.85</v>
      </c>
      <c r="AV844">
        <v>424.27333333333303</v>
      </c>
      <c r="AW844">
        <v>460.29</v>
      </c>
      <c r="AX844">
        <v>436.4</v>
      </c>
      <c r="AY844">
        <v>424.16333333333301</v>
      </c>
      <c r="AZ844">
        <v>415.166666666666</v>
      </c>
      <c r="BA844">
        <v>465.63999999999902</v>
      </c>
      <c r="BB844">
        <v>411.31333333333299</v>
      </c>
      <c r="BC844">
        <v>448.47</v>
      </c>
      <c r="BD844">
        <v>423.83333333333297</v>
      </c>
      <c r="BE844">
        <v>410.77666666666602</v>
      </c>
      <c r="BF844">
        <v>400.22</v>
      </c>
      <c r="BG844" s="14"/>
      <c r="BH844" s="14"/>
      <c r="BI844" s="14"/>
      <c r="BJ844" s="199"/>
      <c r="BK844" s="14"/>
      <c r="BL844" s="14"/>
      <c r="BM844" s="14"/>
      <c r="BN844" s="14"/>
      <c r="BO844" s="14"/>
      <c r="BP844" s="14"/>
      <c r="BQ844" s="14"/>
      <c r="BR844" s="14"/>
      <c r="BS844" s="14"/>
      <c r="BT844" s="14"/>
      <c r="BU844" s="14"/>
      <c r="BV844" s="14"/>
      <c r="BW844" s="14"/>
      <c r="BX844" s="14"/>
      <c r="BY844" s="170"/>
    </row>
    <row r="845" spans="9:77" x14ac:dyDescent="0.25">
      <c r="I845">
        <v>8500</v>
      </c>
      <c r="J845" s="1" t="s">
        <v>1019</v>
      </c>
      <c r="K845">
        <v>293.10333333333301</v>
      </c>
      <c r="L845">
        <v>256.41999999999899</v>
      </c>
      <c r="M845">
        <v>280.47333333333302</v>
      </c>
      <c r="N845">
        <v>263.27666666666602</v>
      </c>
      <c r="O845">
        <v>255.54999999999899</v>
      </c>
      <c r="P845">
        <v>249.91999999999899</v>
      </c>
      <c r="Q845">
        <v>276.35000000000002</v>
      </c>
      <c r="R845">
        <v>221.43666666666601</v>
      </c>
      <c r="S845">
        <v>258.79333333333301</v>
      </c>
      <c r="T845">
        <v>234.28</v>
      </c>
      <c r="U845">
        <v>220.98</v>
      </c>
      <c r="V845">
        <v>210.25333333333299</v>
      </c>
      <c r="W845">
        <v>279.21666666666601</v>
      </c>
      <c r="X845">
        <v>250.88</v>
      </c>
      <c r="Y845">
        <v>262.06</v>
      </c>
      <c r="Z845">
        <v>260.17999999999898</v>
      </c>
      <c r="AA845">
        <v>254.463333333333</v>
      </c>
      <c r="AB845">
        <v>254.463333333333</v>
      </c>
      <c r="AC845">
        <v>294.37666666666598</v>
      </c>
      <c r="AD845">
        <v>253.25</v>
      </c>
      <c r="AE845">
        <v>280.40333333333302</v>
      </c>
      <c r="AF845">
        <v>268.39999999999998</v>
      </c>
      <c r="AG845">
        <v>260.62666666666598</v>
      </c>
      <c r="AH845">
        <v>256.81333333333299</v>
      </c>
      <c r="AI845">
        <v>293.10333333333301</v>
      </c>
      <c r="AJ845">
        <v>256.41999999999899</v>
      </c>
      <c r="AK845">
        <v>280.47333333333302</v>
      </c>
      <c r="AL845">
        <v>263.27666666666602</v>
      </c>
      <c r="AM845">
        <v>255.54999999999899</v>
      </c>
      <c r="AN845">
        <v>249.91999999999899</v>
      </c>
      <c r="AO845">
        <v>290.07666666666597</v>
      </c>
      <c r="AP845">
        <v>224.433333333333</v>
      </c>
      <c r="AQ845">
        <v>271.553333333333</v>
      </c>
      <c r="AR845">
        <v>239.37333333333299</v>
      </c>
      <c r="AS845">
        <v>222.03333333333299</v>
      </c>
      <c r="AT845">
        <v>207.67999999999901</v>
      </c>
      <c r="AU845">
        <v>304.38</v>
      </c>
      <c r="AV845">
        <v>251.803333333333</v>
      </c>
      <c r="AW845">
        <v>287.82</v>
      </c>
      <c r="AX845">
        <v>263.93</v>
      </c>
      <c r="AY845">
        <v>251.69333333333299</v>
      </c>
      <c r="AZ845">
        <v>242.696666666666</v>
      </c>
      <c r="BA845">
        <v>293.16999999999899</v>
      </c>
      <c r="BB845">
        <v>238.84333333333299</v>
      </c>
      <c r="BC845">
        <v>276</v>
      </c>
      <c r="BD845">
        <v>251.363333333333</v>
      </c>
      <c r="BE845">
        <v>238.30666666666599</v>
      </c>
      <c r="BF845">
        <v>227.75</v>
      </c>
      <c r="BG845" s="14"/>
      <c r="BH845" s="14"/>
      <c r="BI845" s="14"/>
      <c r="BJ845" s="199"/>
      <c r="BK845" s="14"/>
      <c r="BL845" s="14"/>
      <c r="BM845" s="14"/>
      <c r="BN845" s="14"/>
      <c r="BO845" s="14"/>
      <c r="BP845" s="14"/>
      <c r="BQ845" s="14"/>
      <c r="BR845" s="14"/>
      <c r="BS845" s="14"/>
      <c r="BT845" s="14"/>
      <c r="BU845" s="14"/>
      <c r="BV845" s="14"/>
      <c r="BW845" s="14"/>
      <c r="BX845" s="14"/>
      <c r="BY845" s="170"/>
    </row>
    <row r="846" spans="9:77" x14ac:dyDescent="0.25">
      <c r="I846">
        <v>8520</v>
      </c>
      <c r="J846" s="1" t="s">
        <v>1020</v>
      </c>
      <c r="K846">
        <v>395.81333333333299</v>
      </c>
      <c r="L846">
        <v>359.12999999999897</v>
      </c>
      <c r="M846">
        <v>383.183333333333</v>
      </c>
      <c r="N846">
        <v>365.986666666666</v>
      </c>
      <c r="O846">
        <v>358.25999999999902</v>
      </c>
      <c r="P846">
        <v>352.63</v>
      </c>
      <c r="Q846">
        <v>379.06</v>
      </c>
      <c r="R846">
        <v>324.14666666666602</v>
      </c>
      <c r="S846">
        <v>361.50333333333299</v>
      </c>
      <c r="T846">
        <v>336.99</v>
      </c>
      <c r="U846">
        <v>323.69</v>
      </c>
      <c r="V846">
        <v>312.96333333333303</v>
      </c>
      <c r="W846">
        <v>381.92666666666599</v>
      </c>
      <c r="X846">
        <v>353.59</v>
      </c>
      <c r="Y846">
        <v>364.77</v>
      </c>
      <c r="Z846">
        <v>362.88999999999902</v>
      </c>
      <c r="AA846">
        <v>357.17333333333301</v>
      </c>
      <c r="AB846">
        <v>357.17333333333301</v>
      </c>
      <c r="AC846">
        <v>397.08666666666602</v>
      </c>
      <c r="AD846">
        <v>355.96</v>
      </c>
      <c r="AE846">
        <v>383.113333333333</v>
      </c>
      <c r="AF846">
        <v>371.11</v>
      </c>
      <c r="AG846">
        <v>363.33666666666602</v>
      </c>
      <c r="AH846">
        <v>359.52333333333303</v>
      </c>
      <c r="AI846">
        <v>395.81333333333299</v>
      </c>
      <c r="AJ846">
        <v>359.12999999999897</v>
      </c>
      <c r="AK846">
        <v>383.183333333333</v>
      </c>
      <c r="AL846">
        <v>365.986666666666</v>
      </c>
      <c r="AM846">
        <v>358.25999999999902</v>
      </c>
      <c r="AN846">
        <v>352.63</v>
      </c>
      <c r="AO846">
        <v>392.78666666666601</v>
      </c>
      <c r="AP846">
        <v>327.14333333333298</v>
      </c>
      <c r="AQ846">
        <v>374.26333333333298</v>
      </c>
      <c r="AR846">
        <v>342.08333333333297</v>
      </c>
      <c r="AS846">
        <v>324.743333333333</v>
      </c>
      <c r="AT846">
        <v>310.38999999999902</v>
      </c>
      <c r="AU846">
        <v>407.09</v>
      </c>
      <c r="AV846">
        <v>354.51333333333298</v>
      </c>
      <c r="AW846">
        <v>390.53</v>
      </c>
      <c r="AX846">
        <v>366.64</v>
      </c>
      <c r="AY846">
        <v>354.40333333333302</v>
      </c>
      <c r="AZ846">
        <v>345.40666666666601</v>
      </c>
      <c r="BA846">
        <v>395.88</v>
      </c>
      <c r="BB846">
        <v>341.553333333333</v>
      </c>
      <c r="BC846">
        <v>378.71</v>
      </c>
      <c r="BD846">
        <v>354.07333333333298</v>
      </c>
      <c r="BE846">
        <v>341.01666666666603</v>
      </c>
      <c r="BF846">
        <v>330.46</v>
      </c>
      <c r="BG846" s="14"/>
      <c r="BH846" s="14"/>
      <c r="BI846" s="14"/>
      <c r="BJ846" s="199"/>
      <c r="BK846" s="14"/>
      <c r="BL846" s="14"/>
      <c r="BM846" s="14"/>
      <c r="BN846" s="14"/>
      <c r="BO846" s="14"/>
      <c r="BP846" s="14"/>
      <c r="BQ846" s="14"/>
      <c r="BR846" s="14"/>
      <c r="BS846" s="14"/>
      <c r="BT846" s="14"/>
      <c r="BU846" s="14"/>
      <c r="BV846" s="14"/>
      <c r="BW846" s="14"/>
      <c r="BX846" s="14"/>
      <c r="BY846" s="170"/>
    </row>
    <row r="847" spans="9:77" x14ac:dyDescent="0.25">
      <c r="I847">
        <v>8530</v>
      </c>
      <c r="J847" s="1" t="s">
        <v>1021</v>
      </c>
      <c r="K847">
        <v>395.81333333333299</v>
      </c>
      <c r="L847">
        <v>359.12999999999897</v>
      </c>
      <c r="M847">
        <v>383.183333333333</v>
      </c>
      <c r="N847">
        <v>365.986666666666</v>
      </c>
      <c r="O847">
        <v>358.25999999999902</v>
      </c>
      <c r="P847">
        <v>352.63</v>
      </c>
      <c r="Q847">
        <v>379.06</v>
      </c>
      <c r="R847">
        <v>324.14666666666602</v>
      </c>
      <c r="S847">
        <v>361.50333333333299</v>
      </c>
      <c r="T847">
        <v>336.99</v>
      </c>
      <c r="U847">
        <v>323.69</v>
      </c>
      <c r="V847">
        <v>312.96333333333303</v>
      </c>
      <c r="W847">
        <v>381.92666666666599</v>
      </c>
      <c r="X847">
        <v>353.59</v>
      </c>
      <c r="Y847">
        <v>364.77</v>
      </c>
      <c r="Z847">
        <v>362.88999999999902</v>
      </c>
      <c r="AA847">
        <v>357.17333333333301</v>
      </c>
      <c r="AB847">
        <v>357.17333333333301</v>
      </c>
      <c r="AC847">
        <v>397.08666666666602</v>
      </c>
      <c r="AD847">
        <v>355.96</v>
      </c>
      <c r="AE847">
        <v>383.113333333333</v>
      </c>
      <c r="AF847">
        <v>371.11</v>
      </c>
      <c r="AG847">
        <v>363.33666666666602</v>
      </c>
      <c r="AH847">
        <v>359.52333333333303</v>
      </c>
      <c r="AI847">
        <v>395.81333333333299</v>
      </c>
      <c r="AJ847">
        <v>359.12999999999897</v>
      </c>
      <c r="AK847">
        <v>383.183333333333</v>
      </c>
      <c r="AL847">
        <v>365.986666666666</v>
      </c>
      <c r="AM847">
        <v>358.25999999999902</v>
      </c>
      <c r="AN847">
        <v>352.63</v>
      </c>
      <c r="AO847">
        <v>392.78666666666601</v>
      </c>
      <c r="AP847">
        <v>327.14333333333298</v>
      </c>
      <c r="AQ847">
        <v>374.26333333333298</v>
      </c>
      <c r="AR847">
        <v>342.08333333333297</v>
      </c>
      <c r="AS847">
        <v>324.743333333333</v>
      </c>
      <c r="AT847">
        <v>310.38999999999902</v>
      </c>
      <c r="AU847">
        <v>407.09</v>
      </c>
      <c r="AV847">
        <v>354.51333333333298</v>
      </c>
      <c r="AW847">
        <v>390.53</v>
      </c>
      <c r="AX847">
        <v>366.64</v>
      </c>
      <c r="AY847">
        <v>354.40333333333302</v>
      </c>
      <c r="AZ847">
        <v>345.40666666666601</v>
      </c>
      <c r="BA847">
        <v>395.88</v>
      </c>
      <c r="BB847">
        <v>341.553333333333</v>
      </c>
      <c r="BC847">
        <v>378.71</v>
      </c>
      <c r="BD847">
        <v>354.07333333333298</v>
      </c>
      <c r="BE847">
        <v>341.01666666666603</v>
      </c>
      <c r="BF847">
        <v>330.46</v>
      </c>
      <c r="BG847" s="14"/>
      <c r="BH847" s="14"/>
      <c r="BI847" s="14"/>
      <c r="BJ847" s="199"/>
      <c r="BK847" s="14"/>
      <c r="BL847" s="14"/>
      <c r="BM847" s="14"/>
      <c r="BN847" s="14"/>
      <c r="BO847" s="14"/>
      <c r="BP847" s="14"/>
      <c r="BQ847" s="14"/>
      <c r="BR847" s="14"/>
      <c r="BS847" s="14"/>
      <c r="BT847" s="14"/>
      <c r="BU847" s="14"/>
      <c r="BV847" s="14"/>
      <c r="BW847" s="14"/>
      <c r="BX847" s="14"/>
      <c r="BY847" s="170"/>
    </row>
    <row r="848" spans="9:77" x14ac:dyDescent="0.25">
      <c r="I848">
        <v>8541</v>
      </c>
      <c r="J848" s="1" t="s">
        <v>1022</v>
      </c>
      <c r="K848">
        <v>357.07333333333298</v>
      </c>
      <c r="L848">
        <v>320.38999999999902</v>
      </c>
      <c r="M848">
        <v>344.44333333333299</v>
      </c>
      <c r="N848">
        <v>327.24666666666599</v>
      </c>
      <c r="O848">
        <v>319.51999999999902</v>
      </c>
      <c r="P848">
        <v>313.88999999999902</v>
      </c>
      <c r="Q848">
        <v>340.32</v>
      </c>
      <c r="R848">
        <v>285.40666666666601</v>
      </c>
      <c r="S848">
        <v>322.76333333333298</v>
      </c>
      <c r="T848">
        <v>298.25</v>
      </c>
      <c r="U848">
        <v>284.95</v>
      </c>
      <c r="V848">
        <v>274.22333333333302</v>
      </c>
      <c r="W848">
        <v>343.18666666666599</v>
      </c>
      <c r="X848">
        <v>314.85000000000002</v>
      </c>
      <c r="Y848">
        <v>326.02999999999997</v>
      </c>
      <c r="Z848">
        <v>324.14999999999901</v>
      </c>
      <c r="AA848">
        <v>318.433333333333</v>
      </c>
      <c r="AB848">
        <v>318.433333333333</v>
      </c>
      <c r="AC848">
        <v>358.34666666666601</v>
      </c>
      <c r="AD848">
        <v>317.22000000000003</v>
      </c>
      <c r="AE848">
        <v>344.37333333333299</v>
      </c>
      <c r="AF848">
        <v>332.37</v>
      </c>
      <c r="AG848">
        <v>324.59666666666601</v>
      </c>
      <c r="AH848">
        <v>320.78333333333302</v>
      </c>
      <c r="AI848">
        <v>357.07333333333298</v>
      </c>
      <c r="AJ848">
        <v>320.38999999999902</v>
      </c>
      <c r="AK848">
        <v>344.44333333333299</v>
      </c>
      <c r="AL848">
        <v>327.24666666666599</v>
      </c>
      <c r="AM848">
        <v>319.51999999999902</v>
      </c>
      <c r="AN848">
        <v>313.88999999999902</v>
      </c>
      <c r="AO848">
        <v>354.046666666666</v>
      </c>
      <c r="AP848">
        <v>288.40333333333302</v>
      </c>
      <c r="AQ848">
        <v>335.52333333333303</v>
      </c>
      <c r="AR848">
        <v>303.34333333333302</v>
      </c>
      <c r="AS848">
        <v>286.00333333333299</v>
      </c>
      <c r="AT848">
        <v>271.64999999999901</v>
      </c>
      <c r="AU848">
        <v>368.35</v>
      </c>
      <c r="AV848">
        <v>315.77333333333303</v>
      </c>
      <c r="AW848">
        <v>351.79</v>
      </c>
      <c r="AX848">
        <v>327.9</v>
      </c>
      <c r="AY848">
        <v>315.66333333333301</v>
      </c>
      <c r="AZ848">
        <v>306.666666666666</v>
      </c>
      <c r="BA848">
        <v>357.13999999999902</v>
      </c>
      <c r="BB848">
        <v>302.81333333333299</v>
      </c>
      <c r="BC848">
        <v>339.97</v>
      </c>
      <c r="BD848">
        <v>315.33333333333297</v>
      </c>
      <c r="BE848">
        <v>302.27666666666602</v>
      </c>
      <c r="BF848">
        <v>291.72000000000003</v>
      </c>
      <c r="BG848" s="14"/>
      <c r="BH848" s="14"/>
      <c r="BI848" s="14"/>
      <c r="BJ848" s="199"/>
      <c r="BK848" s="14"/>
      <c r="BL848" s="14"/>
      <c r="BM848" s="14"/>
      <c r="BN848" s="14"/>
      <c r="BO848" s="14"/>
      <c r="BP848" s="14"/>
      <c r="BQ848" s="14"/>
      <c r="BR848" s="14"/>
      <c r="BS848" s="14"/>
      <c r="BT848" s="14"/>
      <c r="BU848" s="14"/>
      <c r="BV848" s="14"/>
      <c r="BW848" s="14"/>
      <c r="BX848" s="14"/>
      <c r="BY848" s="170"/>
    </row>
    <row r="849" spans="9:77" x14ac:dyDescent="0.25">
      <c r="I849">
        <v>8543</v>
      </c>
      <c r="J849" s="1" t="s">
        <v>1023</v>
      </c>
      <c r="K849">
        <v>374.31333333333299</v>
      </c>
      <c r="L849">
        <v>337.62999999999897</v>
      </c>
      <c r="M849">
        <v>361.683333333333</v>
      </c>
      <c r="N849">
        <v>344.486666666666</v>
      </c>
      <c r="O849">
        <v>336.75999999999902</v>
      </c>
      <c r="P849">
        <v>331.13</v>
      </c>
      <c r="Q849">
        <v>357.56</v>
      </c>
      <c r="R849">
        <v>302.64666666666602</v>
      </c>
      <c r="S849">
        <v>340.00333333333299</v>
      </c>
      <c r="T849">
        <v>315.49</v>
      </c>
      <c r="U849">
        <v>302.19</v>
      </c>
      <c r="V849">
        <v>291.46333333333303</v>
      </c>
      <c r="W849">
        <v>360.42666666666599</v>
      </c>
      <c r="X849">
        <v>332.09</v>
      </c>
      <c r="Y849">
        <v>343.27</v>
      </c>
      <c r="Z849">
        <v>341.38999999999902</v>
      </c>
      <c r="AA849">
        <v>335.67333333333301</v>
      </c>
      <c r="AB849">
        <v>335.67333333333301</v>
      </c>
      <c r="AC849">
        <v>375.58666666666602</v>
      </c>
      <c r="AD849">
        <v>334.46</v>
      </c>
      <c r="AE849">
        <v>361.613333333333</v>
      </c>
      <c r="AF849">
        <v>349.61</v>
      </c>
      <c r="AG849">
        <v>341.83666666666602</v>
      </c>
      <c r="AH849">
        <v>338.02333333333303</v>
      </c>
      <c r="AI849">
        <v>374.31333333333299</v>
      </c>
      <c r="AJ849">
        <v>337.62999999999897</v>
      </c>
      <c r="AK849">
        <v>361.683333333333</v>
      </c>
      <c r="AL849">
        <v>344.486666666666</v>
      </c>
      <c r="AM849">
        <v>336.75999999999902</v>
      </c>
      <c r="AN849">
        <v>331.13</v>
      </c>
      <c r="AO849">
        <v>371.28666666666601</v>
      </c>
      <c r="AP849">
        <v>305.64333333333298</v>
      </c>
      <c r="AQ849">
        <v>352.76333333333298</v>
      </c>
      <c r="AR849">
        <v>320.58333333333297</v>
      </c>
      <c r="AS849">
        <v>303.243333333333</v>
      </c>
      <c r="AT849">
        <v>288.88999999999902</v>
      </c>
      <c r="AU849">
        <v>385.59</v>
      </c>
      <c r="AV849">
        <v>333.01333333333298</v>
      </c>
      <c r="AW849">
        <v>369.03</v>
      </c>
      <c r="AX849">
        <v>345.14</v>
      </c>
      <c r="AY849">
        <v>332.90333333333302</v>
      </c>
      <c r="AZ849">
        <v>323.90666666666601</v>
      </c>
      <c r="BA849">
        <v>374.38</v>
      </c>
      <c r="BB849">
        <v>320.053333333333</v>
      </c>
      <c r="BC849">
        <v>357.21</v>
      </c>
      <c r="BD849">
        <v>332.57333333333298</v>
      </c>
      <c r="BE849">
        <v>319.51666666666603</v>
      </c>
      <c r="BF849">
        <v>308.95999999999998</v>
      </c>
      <c r="BG849" s="14"/>
      <c r="BH849" s="14"/>
      <c r="BI849" s="14"/>
      <c r="BJ849" s="199"/>
      <c r="BK849" s="14"/>
      <c r="BL849" s="14"/>
      <c r="BM849" s="14"/>
      <c r="BN849" s="14"/>
      <c r="BO849" s="14"/>
      <c r="BP849" s="14"/>
      <c r="BQ849" s="14"/>
      <c r="BR849" s="14"/>
      <c r="BS849" s="14"/>
      <c r="BT849" s="14"/>
      <c r="BU849" s="14"/>
      <c r="BV849" s="14"/>
      <c r="BW849" s="14"/>
      <c r="BX849" s="14"/>
      <c r="BY849" s="170"/>
    </row>
    <row r="850" spans="9:77" x14ac:dyDescent="0.25">
      <c r="I850">
        <v>8544</v>
      </c>
      <c r="J850" s="1" t="s">
        <v>1024</v>
      </c>
      <c r="K850">
        <v>374.31333333333299</v>
      </c>
      <c r="L850">
        <v>337.62999999999897</v>
      </c>
      <c r="M850">
        <v>361.683333333333</v>
      </c>
      <c r="N850">
        <v>344.486666666666</v>
      </c>
      <c r="O850">
        <v>336.75999999999902</v>
      </c>
      <c r="P850">
        <v>331.13</v>
      </c>
      <c r="Q850">
        <v>357.56</v>
      </c>
      <c r="R850">
        <v>302.64666666666602</v>
      </c>
      <c r="S850">
        <v>340.00333333333299</v>
      </c>
      <c r="T850">
        <v>315.49</v>
      </c>
      <c r="U850">
        <v>302.19</v>
      </c>
      <c r="V850">
        <v>291.46333333333303</v>
      </c>
      <c r="W850">
        <v>360.42666666666599</v>
      </c>
      <c r="X850">
        <v>332.09</v>
      </c>
      <c r="Y850">
        <v>343.27</v>
      </c>
      <c r="Z850">
        <v>341.38999999999902</v>
      </c>
      <c r="AA850">
        <v>335.67333333333301</v>
      </c>
      <c r="AB850">
        <v>335.67333333333301</v>
      </c>
      <c r="AC850">
        <v>375.58666666666602</v>
      </c>
      <c r="AD850">
        <v>334.46</v>
      </c>
      <c r="AE850">
        <v>361.613333333333</v>
      </c>
      <c r="AF850">
        <v>349.61</v>
      </c>
      <c r="AG850">
        <v>341.83666666666602</v>
      </c>
      <c r="AH850">
        <v>338.02333333333303</v>
      </c>
      <c r="AI850">
        <v>374.31333333333299</v>
      </c>
      <c r="AJ850">
        <v>337.62999999999897</v>
      </c>
      <c r="AK850">
        <v>361.683333333333</v>
      </c>
      <c r="AL850">
        <v>344.486666666666</v>
      </c>
      <c r="AM850">
        <v>336.75999999999902</v>
      </c>
      <c r="AN850">
        <v>331.13</v>
      </c>
      <c r="AO850">
        <v>371.28666666666601</v>
      </c>
      <c r="AP850">
        <v>305.64333333333298</v>
      </c>
      <c r="AQ850">
        <v>352.76333333333298</v>
      </c>
      <c r="AR850">
        <v>320.58333333333297</v>
      </c>
      <c r="AS850">
        <v>303.243333333333</v>
      </c>
      <c r="AT850">
        <v>288.88999999999902</v>
      </c>
      <c r="AU850">
        <v>385.59</v>
      </c>
      <c r="AV850">
        <v>333.01333333333298</v>
      </c>
      <c r="AW850">
        <v>369.03</v>
      </c>
      <c r="AX850">
        <v>345.14</v>
      </c>
      <c r="AY850">
        <v>332.90333333333302</v>
      </c>
      <c r="AZ850">
        <v>323.90666666666601</v>
      </c>
      <c r="BA850">
        <v>374.38</v>
      </c>
      <c r="BB850">
        <v>320.053333333333</v>
      </c>
      <c r="BC850">
        <v>357.21</v>
      </c>
      <c r="BD850">
        <v>332.57333333333298</v>
      </c>
      <c r="BE850">
        <v>319.51666666666603</v>
      </c>
      <c r="BF850">
        <v>308.95999999999998</v>
      </c>
      <c r="BG850" s="14"/>
      <c r="BH850" s="14"/>
      <c r="BI850" s="14"/>
      <c r="BJ850" s="199"/>
      <c r="BK850" s="14"/>
      <c r="BL850" s="14"/>
      <c r="BM850" s="14"/>
      <c r="BN850" s="14"/>
      <c r="BO850" s="14"/>
      <c r="BP850" s="14"/>
      <c r="BQ850" s="14"/>
      <c r="BR850" s="14"/>
      <c r="BS850" s="14"/>
      <c r="BT850" s="14"/>
      <c r="BU850" s="14"/>
      <c r="BV850" s="14"/>
      <c r="BW850" s="14"/>
      <c r="BX850" s="14"/>
      <c r="BY850" s="170"/>
    </row>
    <row r="851" spans="9:77" x14ac:dyDescent="0.25">
      <c r="I851">
        <v>8550</v>
      </c>
      <c r="J851" s="1" t="s">
        <v>1025</v>
      </c>
      <c r="K851">
        <v>377.20333333333298</v>
      </c>
      <c r="L851">
        <v>340.51999999999902</v>
      </c>
      <c r="M851">
        <v>364.57333333333298</v>
      </c>
      <c r="N851">
        <v>347.37666666666598</v>
      </c>
      <c r="O851">
        <v>339.65</v>
      </c>
      <c r="P851">
        <v>334.02</v>
      </c>
      <c r="Q851">
        <v>360.45</v>
      </c>
      <c r="R851">
        <v>305.53666666666601</v>
      </c>
      <c r="S851">
        <v>342.89333333333298</v>
      </c>
      <c r="T851">
        <v>318.38</v>
      </c>
      <c r="U851">
        <v>305.08</v>
      </c>
      <c r="V851">
        <v>294.35333333333301</v>
      </c>
      <c r="W851">
        <v>363.31666666666598</v>
      </c>
      <c r="X851">
        <v>334.98</v>
      </c>
      <c r="Y851">
        <v>346.16</v>
      </c>
      <c r="Z851">
        <v>344.28</v>
      </c>
      <c r="AA851">
        <v>338.56333333333299</v>
      </c>
      <c r="AB851">
        <v>338.56333333333299</v>
      </c>
      <c r="AC851">
        <v>378.47666666666601</v>
      </c>
      <c r="AD851">
        <v>337.35</v>
      </c>
      <c r="AE851">
        <v>364.50333333333299</v>
      </c>
      <c r="AF851">
        <v>352.5</v>
      </c>
      <c r="AG851">
        <v>344.72666666666601</v>
      </c>
      <c r="AH851">
        <v>340.91333333333301</v>
      </c>
      <c r="AI851">
        <v>377.20333333333298</v>
      </c>
      <c r="AJ851">
        <v>340.51999999999902</v>
      </c>
      <c r="AK851">
        <v>364.57333333333298</v>
      </c>
      <c r="AL851">
        <v>347.37666666666598</v>
      </c>
      <c r="AM851">
        <v>339.65</v>
      </c>
      <c r="AN851">
        <v>334.02</v>
      </c>
      <c r="AO851">
        <v>374.17666666666599</v>
      </c>
      <c r="AP851">
        <v>308.53333333333302</v>
      </c>
      <c r="AQ851">
        <v>355.65333333333302</v>
      </c>
      <c r="AR851">
        <v>323.47333333333302</v>
      </c>
      <c r="AS851">
        <v>306.13333333333298</v>
      </c>
      <c r="AT851">
        <v>291.77999999999997</v>
      </c>
      <c r="AU851">
        <v>388.48</v>
      </c>
      <c r="AV851">
        <v>335.90333333333302</v>
      </c>
      <c r="AW851">
        <v>371.92</v>
      </c>
      <c r="AX851">
        <v>348.03</v>
      </c>
      <c r="AY851">
        <v>335.79333333333301</v>
      </c>
      <c r="AZ851">
        <v>326.796666666666</v>
      </c>
      <c r="BA851">
        <v>377.27</v>
      </c>
      <c r="BB851">
        <v>322.94333333333299</v>
      </c>
      <c r="BC851">
        <v>360.1</v>
      </c>
      <c r="BD851">
        <v>335.46333333333303</v>
      </c>
      <c r="BE851">
        <v>322.40666666666601</v>
      </c>
      <c r="BF851">
        <v>311.85000000000002</v>
      </c>
      <c r="BG851" s="14"/>
      <c r="BH851" s="14"/>
      <c r="BI851" s="14"/>
      <c r="BJ851" s="199"/>
      <c r="BK851" s="14"/>
      <c r="BL851" s="14"/>
      <c r="BM851" s="14"/>
      <c r="BN851" s="14"/>
      <c r="BO851" s="14"/>
      <c r="BP851" s="14"/>
      <c r="BQ851" s="14"/>
      <c r="BR851" s="14"/>
      <c r="BS851" s="14"/>
      <c r="BT851" s="14"/>
      <c r="BU851" s="14"/>
      <c r="BV851" s="14"/>
      <c r="BW851" s="14"/>
      <c r="BX851" s="14"/>
      <c r="BY851" s="170"/>
    </row>
    <row r="852" spans="9:77" x14ac:dyDescent="0.25">
      <c r="I852">
        <v>8560</v>
      </c>
      <c r="J852" s="1" t="s">
        <v>1026</v>
      </c>
      <c r="K852">
        <v>356.84333333333302</v>
      </c>
      <c r="L852">
        <v>320.159999999999</v>
      </c>
      <c r="M852">
        <v>344.21333333333303</v>
      </c>
      <c r="N852">
        <v>327.01666666666603</v>
      </c>
      <c r="O852">
        <v>319.289999999999</v>
      </c>
      <c r="P852">
        <v>313.659999999999</v>
      </c>
      <c r="Q852">
        <v>340.08999999999901</v>
      </c>
      <c r="R852">
        <v>285.17666666666599</v>
      </c>
      <c r="S852">
        <v>322.53333333333302</v>
      </c>
      <c r="T852">
        <v>298.01999999999902</v>
      </c>
      <c r="U852">
        <v>284.719999999999</v>
      </c>
      <c r="V852">
        <v>273.993333333333</v>
      </c>
      <c r="W852">
        <v>342.95666666666602</v>
      </c>
      <c r="X852">
        <v>314.61999999999898</v>
      </c>
      <c r="Y852">
        <v>325.79999999999899</v>
      </c>
      <c r="Z852">
        <v>323.91999999999899</v>
      </c>
      <c r="AA852">
        <v>318.20333333333298</v>
      </c>
      <c r="AB852">
        <v>318.20333333333298</v>
      </c>
      <c r="AC852">
        <v>358.11666666666599</v>
      </c>
      <c r="AD852">
        <v>316.98999999999899</v>
      </c>
      <c r="AE852">
        <v>344.14333333333298</v>
      </c>
      <c r="AF852">
        <v>332.13999999999902</v>
      </c>
      <c r="AG852">
        <v>324.36666666666599</v>
      </c>
      <c r="AH852">
        <v>320.553333333333</v>
      </c>
      <c r="AI852">
        <v>356.84333333333302</v>
      </c>
      <c r="AJ852">
        <v>320.159999999999</v>
      </c>
      <c r="AK852">
        <v>344.21333333333303</v>
      </c>
      <c r="AL852">
        <v>327.01666666666603</v>
      </c>
      <c r="AM852">
        <v>319.289999999999</v>
      </c>
      <c r="AN852">
        <v>313.659999999999</v>
      </c>
      <c r="AO852">
        <v>353.81666666666598</v>
      </c>
      <c r="AP852">
        <v>288.17333333333301</v>
      </c>
      <c r="AQ852">
        <v>335.29333333333301</v>
      </c>
      <c r="AR852">
        <v>303.113333333333</v>
      </c>
      <c r="AS852">
        <v>285.77333333333303</v>
      </c>
      <c r="AT852">
        <v>271.41999999999899</v>
      </c>
      <c r="AU852">
        <v>368.11999999999898</v>
      </c>
      <c r="AV852">
        <v>315.54333333333301</v>
      </c>
      <c r="AW852">
        <v>351.55999999999898</v>
      </c>
      <c r="AX852">
        <v>327.66999999999899</v>
      </c>
      <c r="AY852">
        <v>315.433333333333</v>
      </c>
      <c r="AZ852">
        <v>306.43666666666599</v>
      </c>
      <c r="BA852">
        <v>356.909999999999</v>
      </c>
      <c r="BB852">
        <v>302.58333333333297</v>
      </c>
      <c r="BC852">
        <v>339.73999999999899</v>
      </c>
      <c r="BD852">
        <v>315.10333333333301</v>
      </c>
      <c r="BE852">
        <v>302.046666666666</v>
      </c>
      <c r="BF852">
        <v>291.49</v>
      </c>
      <c r="BG852" s="14"/>
      <c r="BH852" s="14"/>
      <c r="BI852" s="14"/>
      <c r="BJ852" s="199"/>
      <c r="BK852" s="14"/>
      <c r="BL852" s="14"/>
      <c r="BM852" s="14"/>
      <c r="BN852" s="14"/>
      <c r="BO852" s="14"/>
      <c r="BP852" s="14"/>
      <c r="BQ852" s="14"/>
      <c r="BR852" s="14"/>
      <c r="BS852" s="14"/>
      <c r="BT852" s="14"/>
      <c r="BU852" s="14"/>
      <c r="BV852" s="14"/>
      <c r="BW852" s="14"/>
      <c r="BX852" s="14"/>
      <c r="BY852" s="170"/>
    </row>
    <row r="853" spans="9:77" x14ac:dyDescent="0.25">
      <c r="I853">
        <v>8570</v>
      </c>
      <c r="J853" s="1" t="s">
        <v>1027</v>
      </c>
      <c r="K853">
        <v>288.863333333333</v>
      </c>
      <c r="L853">
        <v>252.17999999999901</v>
      </c>
      <c r="M853">
        <v>276.23333333333301</v>
      </c>
      <c r="N853">
        <v>259.03666666666601</v>
      </c>
      <c r="O853">
        <v>251.30999999999901</v>
      </c>
      <c r="P853">
        <v>245.67999999999901</v>
      </c>
      <c r="Q853">
        <v>272.11</v>
      </c>
      <c r="R853">
        <v>217.196666666666</v>
      </c>
      <c r="S853">
        <v>254.553333333333</v>
      </c>
      <c r="T853">
        <v>230.04</v>
      </c>
      <c r="U853">
        <v>216.74</v>
      </c>
      <c r="V853">
        <v>206.01333333333301</v>
      </c>
      <c r="W853">
        <v>274.97666666666601</v>
      </c>
      <c r="X853">
        <v>246.64</v>
      </c>
      <c r="Y853">
        <v>257.81999999999903</v>
      </c>
      <c r="Z853">
        <v>255.939999999999</v>
      </c>
      <c r="AA853">
        <v>250.22333333333299</v>
      </c>
      <c r="AB853">
        <v>250.22333333333299</v>
      </c>
      <c r="AC853">
        <v>290.13666666666597</v>
      </c>
      <c r="AD853">
        <v>249.009999999999</v>
      </c>
      <c r="AE853">
        <v>276.16333333333301</v>
      </c>
      <c r="AF853">
        <v>264.16000000000003</v>
      </c>
      <c r="AG853">
        <v>256.38666666666597</v>
      </c>
      <c r="AH853">
        <v>252.57333333333301</v>
      </c>
      <c r="AI853">
        <v>288.863333333333</v>
      </c>
      <c r="AJ853">
        <v>252.17999999999901</v>
      </c>
      <c r="AK853">
        <v>276.23333333333301</v>
      </c>
      <c r="AL853">
        <v>259.03666666666601</v>
      </c>
      <c r="AM853">
        <v>251.30999999999901</v>
      </c>
      <c r="AN853">
        <v>245.67999999999901</v>
      </c>
      <c r="AO853">
        <v>285.83666666666602</v>
      </c>
      <c r="AP853">
        <v>220.19333333333299</v>
      </c>
      <c r="AQ853">
        <v>267.31333333333299</v>
      </c>
      <c r="AR853">
        <v>235.13333333333301</v>
      </c>
      <c r="AS853">
        <v>217.79333333333301</v>
      </c>
      <c r="AT853">
        <v>203.439999999999</v>
      </c>
      <c r="AU853">
        <v>300.14</v>
      </c>
      <c r="AV853">
        <v>247.56333333333299</v>
      </c>
      <c r="AW853">
        <v>283.58</v>
      </c>
      <c r="AX853">
        <v>259.69</v>
      </c>
      <c r="AY853">
        <v>247.45333333333301</v>
      </c>
      <c r="AZ853">
        <v>238.456666666666</v>
      </c>
      <c r="BA853">
        <v>288.92999999999898</v>
      </c>
      <c r="BB853">
        <v>234.60333333333301</v>
      </c>
      <c r="BC853">
        <v>271.75999999999902</v>
      </c>
      <c r="BD853">
        <v>247.12333333333299</v>
      </c>
      <c r="BE853">
        <v>234.06666666666601</v>
      </c>
      <c r="BF853">
        <v>223.51</v>
      </c>
      <c r="BG853" s="14"/>
      <c r="BH853" s="14"/>
      <c r="BI853" s="14"/>
      <c r="BJ853" s="199"/>
      <c r="BK853" s="14"/>
      <c r="BL853" s="14"/>
      <c r="BM853" s="14"/>
      <c r="BN853" s="14"/>
      <c r="BO853" s="14"/>
      <c r="BP853" s="14"/>
      <c r="BQ853" s="14"/>
      <c r="BR853" s="14"/>
      <c r="BS853" s="14"/>
      <c r="BT853" s="14"/>
      <c r="BU853" s="14"/>
      <c r="BV853" s="14"/>
      <c r="BW853" s="14"/>
      <c r="BX853" s="14"/>
      <c r="BY853" s="170"/>
    </row>
    <row r="854" spans="9:77" x14ac:dyDescent="0.25">
      <c r="I854">
        <v>8581</v>
      </c>
      <c r="J854" s="1" t="s">
        <v>1028</v>
      </c>
      <c r="K854">
        <v>352.51333333333298</v>
      </c>
      <c r="L854">
        <v>315.82999999999902</v>
      </c>
      <c r="M854">
        <v>339.88333333333298</v>
      </c>
      <c r="N854">
        <v>322.68666666666599</v>
      </c>
      <c r="O854">
        <v>314.95999999999901</v>
      </c>
      <c r="P854">
        <v>309.32999999999902</v>
      </c>
      <c r="Q854">
        <v>335.76</v>
      </c>
      <c r="R854">
        <v>280.84666666666601</v>
      </c>
      <c r="S854">
        <v>318.20333333333298</v>
      </c>
      <c r="T854">
        <v>293.69</v>
      </c>
      <c r="U854">
        <v>280.38999999999902</v>
      </c>
      <c r="V854">
        <v>269.66333333333301</v>
      </c>
      <c r="W854">
        <v>338.62666666666598</v>
      </c>
      <c r="X854">
        <v>310.29000000000002</v>
      </c>
      <c r="Y854">
        <v>321.469999999999</v>
      </c>
      <c r="Z854">
        <v>319.58999999999901</v>
      </c>
      <c r="AA854">
        <v>313.87333333333299</v>
      </c>
      <c r="AB854">
        <v>313.87333333333299</v>
      </c>
      <c r="AC854">
        <v>353.78666666666601</v>
      </c>
      <c r="AD854">
        <v>312.659999999999</v>
      </c>
      <c r="AE854">
        <v>339.81333333333299</v>
      </c>
      <c r="AF854">
        <v>327.81</v>
      </c>
      <c r="AG854">
        <v>320.03666666666601</v>
      </c>
      <c r="AH854">
        <v>316.22333333333302</v>
      </c>
      <c r="AI854">
        <v>352.51333333333298</v>
      </c>
      <c r="AJ854">
        <v>315.82999999999902</v>
      </c>
      <c r="AK854">
        <v>339.88333333333298</v>
      </c>
      <c r="AL854">
        <v>322.68666666666599</v>
      </c>
      <c r="AM854">
        <v>314.95999999999901</v>
      </c>
      <c r="AN854">
        <v>309.32999999999902</v>
      </c>
      <c r="AO854">
        <v>349.486666666666</v>
      </c>
      <c r="AP854">
        <v>283.84333333333302</v>
      </c>
      <c r="AQ854">
        <v>330.96333333333303</v>
      </c>
      <c r="AR854">
        <v>298.78333333333302</v>
      </c>
      <c r="AS854">
        <v>281.44333333333299</v>
      </c>
      <c r="AT854">
        <v>267.08999999999901</v>
      </c>
      <c r="AU854">
        <v>363.79</v>
      </c>
      <c r="AV854">
        <v>311.21333333333303</v>
      </c>
      <c r="AW854">
        <v>347.23</v>
      </c>
      <c r="AX854">
        <v>323.33999999999901</v>
      </c>
      <c r="AY854">
        <v>311.10333333333301</v>
      </c>
      <c r="AZ854">
        <v>302.106666666666</v>
      </c>
      <c r="BA854">
        <v>352.57999999999902</v>
      </c>
      <c r="BB854">
        <v>298.25333333333299</v>
      </c>
      <c r="BC854">
        <v>335.409999999999</v>
      </c>
      <c r="BD854">
        <v>310.77333333333303</v>
      </c>
      <c r="BE854">
        <v>297.71666666666601</v>
      </c>
      <c r="BF854">
        <v>287.16000000000003</v>
      </c>
      <c r="BG854" s="14"/>
      <c r="BH854" s="14"/>
      <c r="BI854" s="14"/>
      <c r="BJ854" s="199"/>
      <c r="BK854" s="14"/>
      <c r="BL854" s="14"/>
      <c r="BM854" s="14"/>
      <c r="BN854" s="14"/>
      <c r="BO854" s="14"/>
      <c r="BP854" s="14"/>
      <c r="BQ854" s="14"/>
      <c r="BR854" s="14"/>
      <c r="BS854" s="14"/>
      <c r="BT854" s="14"/>
      <c r="BU854" s="14"/>
      <c r="BV854" s="14"/>
      <c r="BW854" s="14"/>
      <c r="BX854" s="14"/>
      <c r="BY854" s="170"/>
    </row>
    <row r="855" spans="9:77" x14ac:dyDescent="0.25">
      <c r="I855">
        <v>8585</v>
      </c>
      <c r="J855" s="1" t="s">
        <v>1029</v>
      </c>
      <c r="K855">
        <v>352.51333333333298</v>
      </c>
      <c r="L855">
        <v>315.82999999999902</v>
      </c>
      <c r="M855">
        <v>339.88333333333298</v>
      </c>
      <c r="N855">
        <v>322.68666666666599</v>
      </c>
      <c r="O855">
        <v>314.95999999999901</v>
      </c>
      <c r="P855">
        <v>309.32999999999902</v>
      </c>
      <c r="Q855">
        <v>335.76</v>
      </c>
      <c r="R855">
        <v>280.84666666666601</v>
      </c>
      <c r="S855">
        <v>318.20333333333298</v>
      </c>
      <c r="T855">
        <v>293.69</v>
      </c>
      <c r="U855">
        <v>280.38999999999902</v>
      </c>
      <c r="V855">
        <v>269.66333333333301</v>
      </c>
      <c r="W855">
        <v>338.62666666666598</v>
      </c>
      <c r="X855">
        <v>310.29000000000002</v>
      </c>
      <c r="Y855">
        <v>321.469999999999</v>
      </c>
      <c r="Z855">
        <v>319.58999999999901</v>
      </c>
      <c r="AA855">
        <v>313.87333333333299</v>
      </c>
      <c r="AB855">
        <v>313.87333333333299</v>
      </c>
      <c r="AC855">
        <v>353.78666666666601</v>
      </c>
      <c r="AD855">
        <v>312.659999999999</v>
      </c>
      <c r="AE855">
        <v>339.81333333333299</v>
      </c>
      <c r="AF855">
        <v>327.81</v>
      </c>
      <c r="AG855">
        <v>320.03666666666601</v>
      </c>
      <c r="AH855">
        <v>316.22333333333302</v>
      </c>
      <c r="AI855">
        <v>352.51333333333298</v>
      </c>
      <c r="AJ855">
        <v>315.82999999999902</v>
      </c>
      <c r="AK855">
        <v>339.88333333333298</v>
      </c>
      <c r="AL855">
        <v>322.68666666666599</v>
      </c>
      <c r="AM855">
        <v>314.95999999999901</v>
      </c>
      <c r="AN855">
        <v>309.32999999999902</v>
      </c>
      <c r="AO855">
        <v>349.486666666666</v>
      </c>
      <c r="AP855">
        <v>283.84333333333302</v>
      </c>
      <c r="AQ855">
        <v>330.96333333333303</v>
      </c>
      <c r="AR855">
        <v>298.78333333333302</v>
      </c>
      <c r="AS855">
        <v>281.44333333333299</v>
      </c>
      <c r="AT855">
        <v>267.08999999999901</v>
      </c>
      <c r="AU855">
        <v>363.79</v>
      </c>
      <c r="AV855">
        <v>311.21333333333303</v>
      </c>
      <c r="AW855">
        <v>347.23</v>
      </c>
      <c r="AX855">
        <v>323.33999999999901</v>
      </c>
      <c r="AY855">
        <v>311.10333333333301</v>
      </c>
      <c r="AZ855">
        <v>302.106666666666</v>
      </c>
      <c r="BA855">
        <v>352.57999999999902</v>
      </c>
      <c r="BB855">
        <v>298.25333333333299</v>
      </c>
      <c r="BC855">
        <v>335.409999999999</v>
      </c>
      <c r="BD855">
        <v>310.77333333333303</v>
      </c>
      <c r="BE855">
        <v>297.71666666666601</v>
      </c>
      <c r="BF855">
        <v>287.16000000000003</v>
      </c>
      <c r="BG855" s="14"/>
      <c r="BH855" s="14"/>
      <c r="BI855" s="14"/>
      <c r="BJ855" s="199"/>
      <c r="BK855" s="14"/>
      <c r="BL855" s="14"/>
      <c r="BM855" s="14"/>
      <c r="BN855" s="14"/>
      <c r="BO855" s="14"/>
      <c r="BP855" s="14"/>
      <c r="BQ855" s="14"/>
      <c r="BR855" s="14"/>
      <c r="BS855" s="14"/>
      <c r="BT855" s="14"/>
      <c r="BU855" s="14"/>
      <c r="BV855" s="14"/>
      <c r="BW855" s="14"/>
      <c r="BX855" s="14"/>
      <c r="BY855" s="170"/>
    </row>
    <row r="856" spans="9:77" x14ac:dyDescent="0.25">
      <c r="I856">
        <v>8586</v>
      </c>
      <c r="J856" s="1" t="s">
        <v>1030</v>
      </c>
      <c r="K856">
        <v>352.51333333333298</v>
      </c>
      <c r="L856">
        <v>315.82999999999902</v>
      </c>
      <c r="M856">
        <v>339.88333333333298</v>
      </c>
      <c r="N856">
        <v>322.68666666666599</v>
      </c>
      <c r="O856">
        <v>314.95999999999901</v>
      </c>
      <c r="P856">
        <v>309.32999999999902</v>
      </c>
      <c r="Q856">
        <v>335.76</v>
      </c>
      <c r="R856">
        <v>280.84666666666601</v>
      </c>
      <c r="S856">
        <v>318.20333333333298</v>
      </c>
      <c r="T856">
        <v>293.69</v>
      </c>
      <c r="U856">
        <v>280.38999999999902</v>
      </c>
      <c r="V856">
        <v>269.66333333333301</v>
      </c>
      <c r="W856">
        <v>338.62666666666598</v>
      </c>
      <c r="X856">
        <v>310.29000000000002</v>
      </c>
      <c r="Y856">
        <v>321.469999999999</v>
      </c>
      <c r="Z856">
        <v>319.58999999999901</v>
      </c>
      <c r="AA856">
        <v>313.87333333333299</v>
      </c>
      <c r="AB856">
        <v>313.87333333333299</v>
      </c>
      <c r="AC856">
        <v>353.78666666666601</v>
      </c>
      <c r="AD856">
        <v>312.659999999999</v>
      </c>
      <c r="AE856">
        <v>339.81333333333299</v>
      </c>
      <c r="AF856">
        <v>327.81</v>
      </c>
      <c r="AG856">
        <v>320.03666666666601</v>
      </c>
      <c r="AH856">
        <v>316.22333333333302</v>
      </c>
      <c r="AI856">
        <v>352.51333333333298</v>
      </c>
      <c r="AJ856">
        <v>315.82999999999902</v>
      </c>
      <c r="AK856">
        <v>339.88333333333298</v>
      </c>
      <c r="AL856">
        <v>322.68666666666599</v>
      </c>
      <c r="AM856">
        <v>314.95999999999901</v>
      </c>
      <c r="AN856">
        <v>309.32999999999902</v>
      </c>
      <c r="AO856">
        <v>349.486666666666</v>
      </c>
      <c r="AP856">
        <v>283.84333333333302</v>
      </c>
      <c r="AQ856">
        <v>330.96333333333303</v>
      </c>
      <c r="AR856">
        <v>298.78333333333302</v>
      </c>
      <c r="AS856">
        <v>281.44333333333299</v>
      </c>
      <c r="AT856">
        <v>267.08999999999901</v>
      </c>
      <c r="AU856">
        <v>363.79</v>
      </c>
      <c r="AV856">
        <v>311.21333333333303</v>
      </c>
      <c r="AW856">
        <v>347.23</v>
      </c>
      <c r="AX856">
        <v>323.33999999999901</v>
      </c>
      <c r="AY856">
        <v>311.10333333333301</v>
      </c>
      <c r="AZ856">
        <v>302.106666666666</v>
      </c>
      <c r="BA856">
        <v>352.57999999999902</v>
      </c>
      <c r="BB856">
        <v>298.25333333333299</v>
      </c>
      <c r="BC856">
        <v>335.409999999999</v>
      </c>
      <c r="BD856">
        <v>310.77333333333303</v>
      </c>
      <c r="BE856">
        <v>297.71666666666601</v>
      </c>
      <c r="BF856">
        <v>287.16000000000003</v>
      </c>
      <c r="BG856" s="14"/>
      <c r="BH856" s="14"/>
      <c r="BI856" s="14"/>
      <c r="BJ856" s="199"/>
      <c r="BK856" s="14"/>
      <c r="BL856" s="14"/>
      <c r="BM856" s="14"/>
      <c r="BN856" s="14"/>
      <c r="BO856" s="14"/>
      <c r="BP856" s="14"/>
      <c r="BQ856" s="14"/>
      <c r="BR856" s="14"/>
      <c r="BS856" s="14"/>
      <c r="BT856" s="14"/>
      <c r="BU856" s="14"/>
      <c r="BV856" s="14"/>
      <c r="BW856" s="14"/>
      <c r="BX856" s="14"/>
      <c r="BY856" s="170"/>
    </row>
    <row r="857" spans="9:77" x14ac:dyDescent="0.25">
      <c r="I857">
        <v>8592</v>
      </c>
      <c r="J857" s="1" t="s">
        <v>1031</v>
      </c>
      <c r="K857">
        <v>325.053333333333</v>
      </c>
      <c r="L857">
        <v>288.36999999999898</v>
      </c>
      <c r="M857">
        <v>312.42333333333301</v>
      </c>
      <c r="N857">
        <v>295.22666666666601</v>
      </c>
      <c r="O857">
        <v>287.49999999999898</v>
      </c>
      <c r="P857">
        <v>281.87</v>
      </c>
      <c r="Q857">
        <v>308.3</v>
      </c>
      <c r="R857">
        <v>253.386666666666</v>
      </c>
      <c r="S857">
        <v>290.743333333333</v>
      </c>
      <c r="T857">
        <v>266.23</v>
      </c>
      <c r="U857">
        <v>252.93</v>
      </c>
      <c r="V857">
        <v>242.20333333333301</v>
      </c>
      <c r="W857">
        <v>311.166666666666</v>
      </c>
      <c r="X857">
        <v>282.83</v>
      </c>
      <c r="Y857">
        <v>294.01</v>
      </c>
      <c r="Z857">
        <v>292.13</v>
      </c>
      <c r="AA857">
        <v>286.41333333333301</v>
      </c>
      <c r="AB857">
        <v>286.41333333333301</v>
      </c>
      <c r="AC857">
        <v>326.32666666666597</v>
      </c>
      <c r="AD857">
        <v>285.2</v>
      </c>
      <c r="AE857">
        <v>312.35333333333301</v>
      </c>
      <c r="AF857">
        <v>300.35000000000002</v>
      </c>
      <c r="AG857">
        <v>292.57666666666597</v>
      </c>
      <c r="AH857">
        <v>288.76333333333298</v>
      </c>
      <c r="AI857">
        <v>325.053333333333</v>
      </c>
      <c r="AJ857">
        <v>288.36999999999898</v>
      </c>
      <c r="AK857">
        <v>312.42333333333301</v>
      </c>
      <c r="AL857">
        <v>295.22666666666601</v>
      </c>
      <c r="AM857">
        <v>287.49999999999898</v>
      </c>
      <c r="AN857">
        <v>281.87</v>
      </c>
      <c r="AO857">
        <v>322.02666666666602</v>
      </c>
      <c r="AP857">
        <v>256.38333333333298</v>
      </c>
      <c r="AQ857">
        <v>303.50333333333299</v>
      </c>
      <c r="AR857">
        <v>271.32333333333298</v>
      </c>
      <c r="AS857">
        <v>253.98333333333301</v>
      </c>
      <c r="AT857">
        <v>239.63</v>
      </c>
      <c r="AU857">
        <v>336.33</v>
      </c>
      <c r="AV857">
        <v>283.75333333333299</v>
      </c>
      <c r="AW857">
        <v>319.77</v>
      </c>
      <c r="AX857">
        <v>295.88</v>
      </c>
      <c r="AY857">
        <v>283.64333333333298</v>
      </c>
      <c r="AZ857">
        <v>274.64666666666602</v>
      </c>
      <c r="BA857">
        <v>325.12</v>
      </c>
      <c r="BB857">
        <v>270.79333333333301</v>
      </c>
      <c r="BC857">
        <v>307.95</v>
      </c>
      <c r="BD857">
        <v>283.31333333333299</v>
      </c>
      <c r="BE857">
        <v>270.25666666666598</v>
      </c>
      <c r="BF857">
        <v>259.7</v>
      </c>
      <c r="BG857" s="14"/>
      <c r="BH857" s="14"/>
      <c r="BI857" s="14"/>
      <c r="BJ857" s="199"/>
      <c r="BK857" s="14"/>
      <c r="BL857" s="14"/>
      <c r="BM857" s="14"/>
      <c r="BN857" s="14"/>
      <c r="BO857" s="14"/>
      <c r="BP857" s="14"/>
      <c r="BQ857" s="14"/>
      <c r="BR857" s="14"/>
      <c r="BS857" s="14"/>
      <c r="BT857" s="14"/>
      <c r="BU857" s="14"/>
      <c r="BV857" s="14"/>
      <c r="BW857" s="14"/>
      <c r="BX857" s="14"/>
      <c r="BY857" s="170"/>
    </row>
    <row r="858" spans="9:77" x14ac:dyDescent="0.25">
      <c r="I858">
        <v>8600</v>
      </c>
      <c r="J858" s="1" t="s">
        <v>1032</v>
      </c>
      <c r="K858">
        <v>506.83999999999901</v>
      </c>
      <c r="L858">
        <v>473.236666666666</v>
      </c>
      <c r="M858">
        <v>494.70999999999901</v>
      </c>
      <c r="N858">
        <v>479.33333333333297</v>
      </c>
      <c r="O858">
        <v>472.599999999999</v>
      </c>
      <c r="P858">
        <v>467.32333333333298</v>
      </c>
      <c r="Q858">
        <v>490.21333333333303</v>
      </c>
      <c r="R858">
        <v>435.75666666666598</v>
      </c>
      <c r="S858">
        <v>473.25999999999902</v>
      </c>
      <c r="T858">
        <v>448.236666666666</v>
      </c>
      <c r="U858">
        <v>435.356666666666</v>
      </c>
      <c r="V858">
        <v>424.86</v>
      </c>
      <c r="W858">
        <v>492.863333333333</v>
      </c>
      <c r="X858">
        <v>465.57666666666597</v>
      </c>
      <c r="Y858">
        <v>476.43666666666599</v>
      </c>
      <c r="Z858">
        <v>474.50999999999902</v>
      </c>
      <c r="AA858">
        <v>469.046666666666</v>
      </c>
      <c r="AB858">
        <v>469.046666666666</v>
      </c>
      <c r="AC858">
        <v>507.54999999999899</v>
      </c>
      <c r="AD858">
        <v>470.26333333333298</v>
      </c>
      <c r="AE858">
        <v>494.27999999999901</v>
      </c>
      <c r="AF858">
        <v>483.55999999999898</v>
      </c>
      <c r="AG858">
        <v>476.83333333333297</v>
      </c>
      <c r="AH858">
        <v>473.546666666666</v>
      </c>
      <c r="AI858">
        <v>506.83999999999901</v>
      </c>
      <c r="AJ858">
        <v>473.236666666666</v>
      </c>
      <c r="AK858">
        <v>494.70999999999901</v>
      </c>
      <c r="AL858">
        <v>479.33333333333297</v>
      </c>
      <c r="AM858">
        <v>472.599999999999</v>
      </c>
      <c r="AN858">
        <v>467.32333333333298</v>
      </c>
      <c r="AO858">
        <v>502.89333333333298</v>
      </c>
      <c r="AP858">
        <v>437.97333333333302</v>
      </c>
      <c r="AQ858">
        <v>484.44333333333299</v>
      </c>
      <c r="AR858">
        <v>453.13666666666597</v>
      </c>
      <c r="AS858">
        <v>435.51666666666603</v>
      </c>
      <c r="AT858">
        <v>421.15333333333302</v>
      </c>
      <c r="AU858">
        <v>515.25666666666598</v>
      </c>
      <c r="AV858">
        <v>463.83666666666602</v>
      </c>
      <c r="AW858">
        <v>499.13333333333298</v>
      </c>
      <c r="AX858">
        <v>475.75999999999902</v>
      </c>
      <c r="AY858">
        <v>463.486666666666</v>
      </c>
      <c r="AZ858">
        <v>454.38333333333298</v>
      </c>
      <c r="BA858">
        <v>504.62999999999897</v>
      </c>
      <c r="BB858">
        <v>452.97</v>
      </c>
      <c r="BC858">
        <v>488.67666666666599</v>
      </c>
      <c r="BD858">
        <v>464.76666666666603</v>
      </c>
      <c r="BE858">
        <v>452.28666666666601</v>
      </c>
      <c r="BF858">
        <v>442.789999999999</v>
      </c>
      <c r="BG858" s="14"/>
      <c r="BH858" s="14"/>
      <c r="BI858" s="14"/>
      <c r="BJ858" s="199"/>
      <c r="BK858" s="14"/>
      <c r="BL858" s="14"/>
      <c r="BM858" s="14"/>
      <c r="BN858" s="14"/>
      <c r="BO858" s="14"/>
      <c r="BP858" s="14"/>
      <c r="BQ858" s="14"/>
      <c r="BR858" s="14"/>
      <c r="BS858" s="14"/>
      <c r="BT858" s="14"/>
      <c r="BU858" s="14"/>
      <c r="BV858" s="14"/>
      <c r="BW858" s="14"/>
      <c r="BX858" s="14"/>
      <c r="BY858" s="170"/>
    </row>
    <row r="859" spans="9:77" x14ac:dyDescent="0.25">
      <c r="I859">
        <v>8620</v>
      </c>
      <c r="J859" s="1" t="s">
        <v>1033</v>
      </c>
      <c r="K859">
        <v>505.22</v>
      </c>
      <c r="L859">
        <v>471.61666666666599</v>
      </c>
      <c r="M859">
        <v>493.08999999999901</v>
      </c>
      <c r="N859">
        <v>477.71333333333303</v>
      </c>
      <c r="O859">
        <v>470.98</v>
      </c>
      <c r="P859">
        <v>465.70333333333298</v>
      </c>
      <c r="Q859">
        <v>488.59333333333302</v>
      </c>
      <c r="R859">
        <v>434.13666666666597</v>
      </c>
      <c r="S859">
        <v>471.63999999999902</v>
      </c>
      <c r="T859">
        <v>446.61666666666599</v>
      </c>
      <c r="U859">
        <v>433.736666666666</v>
      </c>
      <c r="V859">
        <v>423.24</v>
      </c>
      <c r="W859">
        <v>491.243333333333</v>
      </c>
      <c r="X859">
        <v>463.95666666666602</v>
      </c>
      <c r="Y859">
        <v>474.81666666666598</v>
      </c>
      <c r="Z859">
        <v>472.89</v>
      </c>
      <c r="AA859">
        <v>467.42666666666599</v>
      </c>
      <c r="AB859">
        <v>467.42666666666599</v>
      </c>
      <c r="AC859">
        <v>505.93</v>
      </c>
      <c r="AD859">
        <v>468.64333333333298</v>
      </c>
      <c r="AE859">
        <v>492.66</v>
      </c>
      <c r="AF859">
        <v>481.94</v>
      </c>
      <c r="AG859">
        <v>475.21333333333303</v>
      </c>
      <c r="AH859">
        <v>471.92666666666599</v>
      </c>
      <c r="AI859">
        <v>505.22</v>
      </c>
      <c r="AJ859">
        <v>471.61666666666599</v>
      </c>
      <c r="AK859">
        <v>493.08999999999901</v>
      </c>
      <c r="AL859">
        <v>477.71333333333303</v>
      </c>
      <c r="AM859">
        <v>470.98</v>
      </c>
      <c r="AN859">
        <v>465.70333333333298</v>
      </c>
      <c r="AO859">
        <v>501.27333333333303</v>
      </c>
      <c r="AP859">
        <v>436.35333333333301</v>
      </c>
      <c r="AQ859">
        <v>482.82333333333298</v>
      </c>
      <c r="AR859">
        <v>451.51666666666603</v>
      </c>
      <c r="AS859">
        <v>433.89666666666602</v>
      </c>
      <c r="AT859">
        <v>419.53333333333302</v>
      </c>
      <c r="AU859">
        <v>513.63666666666597</v>
      </c>
      <c r="AV859">
        <v>462.21666666666601</v>
      </c>
      <c r="AW859">
        <v>497.51333333333298</v>
      </c>
      <c r="AX859">
        <v>474.14</v>
      </c>
      <c r="AY859">
        <v>461.86666666666599</v>
      </c>
      <c r="AZ859">
        <v>452.76333333333298</v>
      </c>
      <c r="BA859">
        <v>503.01</v>
      </c>
      <c r="BB859">
        <v>451.35</v>
      </c>
      <c r="BC859">
        <v>487.05666666666599</v>
      </c>
      <c r="BD859">
        <v>463.14666666666602</v>
      </c>
      <c r="BE859">
        <v>450.666666666666</v>
      </c>
      <c r="BF859">
        <v>441.17</v>
      </c>
      <c r="BG859" s="14"/>
      <c r="BH859" s="14"/>
      <c r="BI859" s="14"/>
      <c r="BJ859" s="199"/>
      <c r="BK859" s="14"/>
      <c r="BL859" s="14"/>
      <c r="BM859" s="14"/>
      <c r="BN859" s="14"/>
      <c r="BO859" s="14"/>
      <c r="BP859" s="14"/>
      <c r="BQ859" s="14"/>
      <c r="BR859" s="14"/>
      <c r="BS859" s="14"/>
      <c r="BT859" s="14"/>
      <c r="BU859" s="14"/>
      <c r="BV859" s="14"/>
      <c r="BW859" s="14"/>
      <c r="BX859" s="14"/>
      <c r="BY859" s="170"/>
    </row>
    <row r="860" spans="9:77" x14ac:dyDescent="0.25">
      <c r="I860">
        <v>8632</v>
      </c>
      <c r="J860" s="1" t="s">
        <v>1034</v>
      </c>
      <c r="K860">
        <v>465.41999999999899</v>
      </c>
      <c r="L860">
        <v>431.81666666666598</v>
      </c>
      <c r="M860">
        <v>453.289999999999</v>
      </c>
      <c r="N860">
        <v>437.91333333333301</v>
      </c>
      <c r="O860">
        <v>431.18</v>
      </c>
      <c r="P860">
        <v>425.90333333333302</v>
      </c>
      <c r="Q860">
        <v>448.79333333333301</v>
      </c>
      <c r="R860">
        <v>394.33666666666602</v>
      </c>
      <c r="S860">
        <v>431.83999999999901</v>
      </c>
      <c r="T860">
        <v>406.81666666666598</v>
      </c>
      <c r="U860">
        <v>393.93666666666599</v>
      </c>
      <c r="V860">
        <v>383.44</v>
      </c>
      <c r="W860">
        <v>451.44333333333299</v>
      </c>
      <c r="X860">
        <v>424.15666666666601</v>
      </c>
      <c r="Y860">
        <v>435.01666666666603</v>
      </c>
      <c r="Z860">
        <v>433.08999999999901</v>
      </c>
      <c r="AA860">
        <v>427.62666666666598</v>
      </c>
      <c r="AB860">
        <v>427.62666666666598</v>
      </c>
      <c r="AC860">
        <v>466.13</v>
      </c>
      <c r="AD860">
        <v>428.84333333333302</v>
      </c>
      <c r="AE860">
        <v>452.85999999999899</v>
      </c>
      <c r="AF860">
        <v>442.13999999999902</v>
      </c>
      <c r="AG860">
        <v>435.41333333333301</v>
      </c>
      <c r="AH860">
        <v>432.12666666666598</v>
      </c>
      <c r="AI860">
        <v>465.41999999999899</v>
      </c>
      <c r="AJ860">
        <v>431.81666666666598</v>
      </c>
      <c r="AK860">
        <v>453.289999999999</v>
      </c>
      <c r="AL860">
        <v>437.91333333333301</v>
      </c>
      <c r="AM860">
        <v>431.18</v>
      </c>
      <c r="AN860">
        <v>425.90333333333302</v>
      </c>
      <c r="AO860">
        <v>461.47333333333302</v>
      </c>
      <c r="AP860">
        <v>396.553333333333</v>
      </c>
      <c r="AQ860">
        <v>443.02333333333303</v>
      </c>
      <c r="AR860">
        <v>411.71666666666601</v>
      </c>
      <c r="AS860">
        <v>394.09666666666601</v>
      </c>
      <c r="AT860">
        <v>379.73333333333301</v>
      </c>
      <c r="AU860">
        <v>473.83666666666602</v>
      </c>
      <c r="AV860">
        <v>422.416666666666</v>
      </c>
      <c r="AW860">
        <v>457.71333333333303</v>
      </c>
      <c r="AX860">
        <v>434.34</v>
      </c>
      <c r="AY860">
        <v>422.06666666666598</v>
      </c>
      <c r="AZ860">
        <v>412.96333333333303</v>
      </c>
      <c r="BA860">
        <v>463.20999999999901</v>
      </c>
      <c r="BB860">
        <v>411.55</v>
      </c>
      <c r="BC860">
        <v>447.25666666666598</v>
      </c>
      <c r="BD860">
        <v>423.34666666666601</v>
      </c>
      <c r="BE860">
        <v>410.86666666666599</v>
      </c>
      <c r="BF860">
        <v>401.37</v>
      </c>
      <c r="BG860" s="14"/>
      <c r="BH860" s="14"/>
      <c r="BI860" s="14"/>
      <c r="BJ860" s="199"/>
      <c r="BK860" s="14"/>
      <c r="BL860" s="14"/>
      <c r="BM860" s="14"/>
      <c r="BN860" s="14"/>
      <c r="BO860" s="14"/>
      <c r="BP860" s="14"/>
      <c r="BQ860" s="14"/>
      <c r="BR860" s="14"/>
      <c r="BS860" s="14"/>
      <c r="BT860" s="14"/>
      <c r="BU860" s="14"/>
      <c r="BV860" s="14"/>
      <c r="BW860" s="14"/>
      <c r="BX860" s="14"/>
      <c r="BY860" s="170"/>
    </row>
    <row r="861" spans="9:77" x14ac:dyDescent="0.25">
      <c r="I861">
        <v>8641</v>
      </c>
      <c r="J861" s="1" t="s">
        <v>1035</v>
      </c>
      <c r="K861">
        <v>465.57333333333298</v>
      </c>
      <c r="L861">
        <v>428.88999999999902</v>
      </c>
      <c r="M861">
        <v>452.94333333333299</v>
      </c>
      <c r="N861">
        <v>435.74666666666599</v>
      </c>
      <c r="O861">
        <v>428.01999999999902</v>
      </c>
      <c r="P861">
        <v>422.38999999999902</v>
      </c>
      <c r="Q861">
        <v>448.82</v>
      </c>
      <c r="R861">
        <v>393.90666666666601</v>
      </c>
      <c r="S861">
        <v>431.26333333333298</v>
      </c>
      <c r="T861">
        <v>406.75</v>
      </c>
      <c r="U861">
        <v>393.45</v>
      </c>
      <c r="V861">
        <v>382.72333333333302</v>
      </c>
      <c r="W861">
        <v>451.68666666666599</v>
      </c>
      <c r="X861">
        <v>423.35</v>
      </c>
      <c r="Y861">
        <v>434.53</v>
      </c>
      <c r="Z861">
        <v>432.64999999999901</v>
      </c>
      <c r="AA861">
        <v>426.933333333333</v>
      </c>
      <c r="AB861">
        <v>426.933333333333</v>
      </c>
      <c r="AC861">
        <v>466.84666666666601</v>
      </c>
      <c r="AD861">
        <v>425.72</v>
      </c>
      <c r="AE861">
        <v>452.87333333333299</v>
      </c>
      <c r="AF861">
        <v>440.87</v>
      </c>
      <c r="AG861">
        <v>433.09666666666601</v>
      </c>
      <c r="AH861">
        <v>429.28333333333302</v>
      </c>
      <c r="AI861">
        <v>465.57333333333298</v>
      </c>
      <c r="AJ861">
        <v>428.88999999999902</v>
      </c>
      <c r="AK861">
        <v>452.94333333333299</v>
      </c>
      <c r="AL861">
        <v>435.74666666666599</v>
      </c>
      <c r="AM861">
        <v>428.01999999999902</v>
      </c>
      <c r="AN861">
        <v>422.38999999999902</v>
      </c>
      <c r="AO861">
        <v>462.546666666666</v>
      </c>
      <c r="AP861">
        <v>396.90333333333302</v>
      </c>
      <c r="AQ861">
        <v>444.02333333333303</v>
      </c>
      <c r="AR861">
        <v>411.84333333333302</v>
      </c>
      <c r="AS861">
        <v>394.50333333333299</v>
      </c>
      <c r="AT861">
        <v>380.14999999999901</v>
      </c>
      <c r="AU861">
        <v>476.85</v>
      </c>
      <c r="AV861">
        <v>424.27333333333303</v>
      </c>
      <c r="AW861">
        <v>460.29</v>
      </c>
      <c r="AX861">
        <v>436.4</v>
      </c>
      <c r="AY861">
        <v>424.16333333333301</v>
      </c>
      <c r="AZ861">
        <v>415.166666666666</v>
      </c>
      <c r="BA861">
        <v>465.63999999999902</v>
      </c>
      <c r="BB861">
        <v>411.31333333333299</v>
      </c>
      <c r="BC861">
        <v>448.47</v>
      </c>
      <c r="BD861">
        <v>423.83333333333297</v>
      </c>
      <c r="BE861">
        <v>410.77666666666602</v>
      </c>
      <c r="BF861">
        <v>400.22</v>
      </c>
      <c r="BG861" s="14"/>
      <c r="BH861" s="14"/>
      <c r="BI861" s="14"/>
      <c r="BJ861" s="199"/>
      <c r="BK861" s="14"/>
      <c r="BL861" s="14"/>
      <c r="BM861" s="14"/>
      <c r="BN861" s="14"/>
      <c r="BO861" s="14"/>
      <c r="BP861" s="14"/>
      <c r="BQ861" s="14"/>
      <c r="BR861" s="14"/>
      <c r="BS861" s="14"/>
      <c r="BT861" s="14"/>
      <c r="BU861" s="14"/>
      <c r="BV861" s="14"/>
      <c r="BW861" s="14"/>
      <c r="BX861" s="14"/>
      <c r="BY861" s="170"/>
    </row>
    <row r="862" spans="9:77" x14ac:dyDescent="0.25">
      <c r="I862">
        <v>8643</v>
      </c>
      <c r="J862" s="1" t="s">
        <v>1036</v>
      </c>
      <c r="K862">
        <v>464.993333333333</v>
      </c>
      <c r="L862">
        <v>428.30999999999898</v>
      </c>
      <c r="M862">
        <v>452.363333333333</v>
      </c>
      <c r="N862">
        <v>435.166666666666</v>
      </c>
      <c r="O862">
        <v>427.44</v>
      </c>
      <c r="P862">
        <v>421.81</v>
      </c>
      <c r="Q862">
        <v>448.24</v>
      </c>
      <c r="R862">
        <v>393.32666666666597</v>
      </c>
      <c r="S862">
        <v>430.683333333333</v>
      </c>
      <c r="T862">
        <v>406.17</v>
      </c>
      <c r="U862">
        <v>392.87</v>
      </c>
      <c r="V862">
        <v>382.14333333333298</v>
      </c>
      <c r="W862">
        <v>451.106666666666</v>
      </c>
      <c r="X862">
        <v>422.77</v>
      </c>
      <c r="Y862">
        <v>433.95</v>
      </c>
      <c r="Z862">
        <v>432.07</v>
      </c>
      <c r="AA862">
        <v>426.35333333333301</v>
      </c>
      <c r="AB862">
        <v>426.35333333333301</v>
      </c>
      <c r="AC862">
        <v>466.26666666666603</v>
      </c>
      <c r="AD862">
        <v>425.14</v>
      </c>
      <c r="AE862">
        <v>452.29333333333301</v>
      </c>
      <c r="AF862">
        <v>440.29</v>
      </c>
      <c r="AG862">
        <v>432.51666666666603</v>
      </c>
      <c r="AH862">
        <v>428.70333333333298</v>
      </c>
      <c r="AI862">
        <v>464.993333333333</v>
      </c>
      <c r="AJ862">
        <v>428.30999999999898</v>
      </c>
      <c r="AK862">
        <v>452.363333333333</v>
      </c>
      <c r="AL862">
        <v>435.166666666666</v>
      </c>
      <c r="AM862">
        <v>427.44</v>
      </c>
      <c r="AN862">
        <v>421.81</v>
      </c>
      <c r="AO862">
        <v>461.96666666666601</v>
      </c>
      <c r="AP862">
        <v>396.32333333333298</v>
      </c>
      <c r="AQ862">
        <v>443.44333333333299</v>
      </c>
      <c r="AR862">
        <v>411.26333333333298</v>
      </c>
      <c r="AS862">
        <v>393.92333333333301</v>
      </c>
      <c r="AT862">
        <v>379.57</v>
      </c>
      <c r="AU862">
        <v>476.27</v>
      </c>
      <c r="AV862">
        <v>423.69333333333299</v>
      </c>
      <c r="AW862">
        <v>459.71</v>
      </c>
      <c r="AX862">
        <v>435.82</v>
      </c>
      <c r="AY862">
        <v>423.58333333333297</v>
      </c>
      <c r="AZ862">
        <v>414.58666666666602</v>
      </c>
      <c r="BA862">
        <v>465.06</v>
      </c>
      <c r="BB862">
        <v>410.73333333333301</v>
      </c>
      <c r="BC862">
        <v>447.89</v>
      </c>
      <c r="BD862">
        <v>423.25333333333299</v>
      </c>
      <c r="BE862">
        <v>410.19666666666598</v>
      </c>
      <c r="BF862">
        <v>399.64</v>
      </c>
      <c r="BG862" s="14"/>
      <c r="BH862" s="14"/>
      <c r="BI862" s="14"/>
      <c r="BJ862" s="199"/>
      <c r="BK862" s="14"/>
      <c r="BL862" s="14"/>
      <c r="BM862" s="14"/>
      <c r="BN862" s="14"/>
      <c r="BO862" s="14"/>
      <c r="BP862" s="14"/>
      <c r="BQ862" s="14"/>
      <c r="BR862" s="14"/>
      <c r="BS862" s="14"/>
      <c r="BT862" s="14"/>
      <c r="BU862" s="14"/>
      <c r="BV862" s="14"/>
      <c r="BW862" s="14"/>
      <c r="BX862" s="14"/>
      <c r="BY862" s="170"/>
    </row>
    <row r="863" spans="9:77" x14ac:dyDescent="0.25">
      <c r="I863">
        <v>8653</v>
      </c>
      <c r="J863" s="1" t="s">
        <v>1037</v>
      </c>
      <c r="K863">
        <v>598.40333333333297</v>
      </c>
      <c r="L863">
        <v>561.719999999999</v>
      </c>
      <c r="M863">
        <v>585.77333333333297</v>
      </c>
      <c r="N863">
        <v>568.57666666666603</v>
      </c>
      <c r="O863">
        <v>560.849999999999</v>
      </c>
      <c r="P863">
        <v>555.219999999999</v>
      </c>
      <c r="Q863">
        <v>581.65</v>
      </c>
      <c r="R863">
        <v>526.736666666666</v>
      </c>
      <c r="S863">
        <v>564.09333333333302</v>
      </c>
      <c r="T863">
        <v>539.58000000000004</v>
      </c>
      <c r="U863">
        <v>526.27999999999895</v>
      </c>
      <c r="V863">
        <v>515.55333333333294</v>
      </c>
      <c r="W863">
        <v>584.51666666666597</v>
      </c>
      <c r="X863">
        <v>556.17999999999995</v>
      </c>
      <c r="Y863">
        <v>567.35999999999899</v>
      </c>
      <c r="Z863">
        <v>565.479999999999</v>
      </c>
      <c r="AA863">
        <v>559.76333333333298</v>
      </c>
      <c r="AB863">
        <v>559.76333333333298</v>
      </c>
      <c r="AC863">
        <v>599.67666666666605</v>
      </c>
      <c r="AD863">
        <v>558.54999999999905</v>
      </c>
      <c r="AE863">
        <v>585.70333333333303</v>
      </c>
      <c r="AF863">
        <v>573.70000000000005</v>
      </c>
      <c r="AG863">
        <v>565.92666666666605</v>
      </c>
      <c r="AH863">
        <v>562.113333333333</v>
      </c>
      <c r="AI863">
        <v>598.40333333333297</v>
      </c>
      <c r="AJ863">
        <v>561.719999999999</v>
      </c>
      <c r="AK863">
        <v>585.77333333333297</v>
      </c>
      <c r="AL863">
        <v>568.57666666666603</v>
      </c>
      <c r="AM863">
        <v>560.849999999999</v>
      </c>
      <c r="AN863">
        <v>555.219999999999</v>
      </c>
      <c r="AO863">
        <v>595.37666666666598</v>
      </c>
      <c r="AP863">
        <v>529.73333333333301</v>
      </c>
      <c r="AQ863">
        <v>576.85333333333301</v>
      </c>
      <c r="AR863">
        <v>544.67333333333295</v>
      </c>
      <c r="AS863">
        <v>527.33333333333303</v>
      </c>
      <c r="AT863">
        <v>512.979999999999</v>
      </c>
      <c r="AU863">
        <v>609.67999999999995</v>
      </c>
      <c r="AV863">
        <v>557.10333333333301</v>
      </c>
      <c r="AW863">
        <v>593.12</v>
      </c>
      <c r="AX863">
        <v>569.23</v>
      </c>
      <c r="AY863">
        <v>556.993333333333</v>
      </c>
      <c r="AZ863">
        <v>547.99666666666599</v>
      </c>
      <c r="BA863">
        <v>598.469999999999</v>
      </c>
      <c r="BB863">
        <v>544.14333333333298</v>
      </c>
      <c r="BC863">
        <v>581.29999999999905</v>
      </c>
      <c r="BD863">
        <v>556.66333333333296</v>
      </c>
      <c r="BE863">
        <v>543.606666666666</v>
      </c>
      <c r="BF863">
        <v>533.04999999999995</v>
      </c>
      <c r="BG863" s="14"/>
      <c r="BH863" s="14"/>
      <c r="BI863" s="14"/>
      <c r="BJ863" s="199"/>
      <c r="BK863" s="14"/>
      <c r="BL863" s="14"/>
      <c r="BM863" s="14"/>
      <c r="BN863" s="14"/>
      <c r="BO863" s="14"/>
      <c r="BP863" s="14"/>
      <c r="BQ863" s="14"/>
      <c r="BR863" s="14"/>
      <c r="BS863" s="14"/>
      <c r="BT863" s="14"/>
      <c r="BU863" s="14"/>
      <c r="BV863" s="14"/>
      <c r="BW863" s="14"/>
      <c r="BX863" s="14"/>
      <c r="BY863" s="170"/>
    </row>
    <row r="864" spans="9:77" x14ac:dyDescent="0.25">
      <c r="I864">
        <v>8654</v>
      </c>
      <c r="J864" s="1" t="s">
        <v>1038</v>
      </c>
      <c r="K864">
        <v>618.21333333333303</v>
      </c>
      <c r="L864">
        <v>581.52999999999895</v>
      </c>
      <c r="M864">
        <v>605.58333333333303</v>
      </c>
      <c r="N864">
        <v>588.38666666666597</v>
      </c>
      <c r="O864">
        <v>580.66</v>
      </c>
      <c r="P864">
        <v>575.03</v>
      </c>
      <c r="Q864">
        <v>601.46</v>
      </c>
      <c r="R864">
        <v>546.54666666666606</v>
      </c>
      <c r="S864">
        <v>583.90333333333297</v>
      </c>
      <c r="T864">
        <v>559.39</v>
      </c>
      <c r="U864">
        <v>546.09</v>
      </c>
      <c r="V864">
        <v>535.363333333333</v>
      </c>
      <c r="W864">
        <v>604.32666666666603</v>
      </c>
      <c r="X864">
        <v>575.99</v>
      </c>
      <c r="Y864">
        <v>587.16999999999996</v>
      </c>
      <c r="Z864">
        <v>585.29</v>
      </c>
      <c r="AA864">
        <v>579.57333333333304</v>
      </c>
      <c r="AB864">
        <v>579.57333333333304</v>
      </c>
      <c r="AC864">
        <v>619.486666666666</v>
      </c>
      <c r="AD864">
        <v>578.36</v>
      </c>
      <c r="AE864">
        <v>605.51333333333298</v>
      </c>
      <c r="AF864">
        <v>593.51</v>
      </c>
      <c r="AG864">
        <v>585.736666666666</v>
      </c>
      <c r="AH864">
        <v>581.92333333333295</v>
      </c>
      <c r="AI864">
        <v>618.21333333333303</v>
      </c>
      <c r="AJ864">
        <v>581.52999999999895</v>
      </c>
      <c r="AK864">
        <v>605.58333333333303</v>
      </c>
      <c r="AL864">
        <v>588.38666666666597</v>
      </c>
      <c r="AM864">
        <v>580.66</v>
      </c>
      <c r="AN864">
        <v>575.03</v>
      </c>
      <c r="AO864">
        <v>615.18666666666604</v>
      </c>
      <c r="AP864">
        <v>549.54333333333295</v>
      </c>
      <c r="AQ864">
        <v>596.66333333333296</v>
      </c>
      <c r="AR864">
        <v>564.48333333333301</v>
      </c>
      <c r="AS864">
        <v>547.14333333333298</v>
      </c>
      <c r="AT864">
        <v>532.79</v>
      </c>
      <c r="AU864">
        <v>629.49</v>
      </c>
      <c r="AV864">
        <v>576.91333333333296</v>
      </c>
      <c r="AW864">
        <v>612.92999999999995</v>
      </c>
      <c r="AX864">
        <v>589.04</v>
      </c>
      <c r="AY864">
        <v>576.80333333333294</v>
      </c>
      <c r="AZ864">
        <v>567.80666666666605</v>
      </c>
      <c r="BA864">
        <v>618.28</v>
      </c>
      <c r="BB864">
        <v>563.95333333333303</v>
      </c>
      <c r="BC864">
        <v>601.11</v>
      </c>
      <c r="BD864">
        <v>576.47333333333302</v>
      </c>
      <c r="BE864">
        <v>563.41666666666595</v>
      </c>
      <c r="BF864">
        <v>552.86</v>
      </c>
      <c r="BG864" s="14"/>
      <c r="BH864" s="14"/>
      <c r="BI864" s="14"/>
      <c r="BJ864" s="199"/>
      <c r="BK864" s="14"/>
      <c r="BL864" s="14"/>
      <c r="BM864" s="14"/>
      <c r="BN864" s="14"/>
      <c r="BO864" s="14"/>
      <c r="BP864" s="14"/>
      <c r="BQ864" s="14"/>
      <c r="BR864" s="14"/>
      <c r="BS864" s="14"/>
      <c r="BT864" s="14"/>
      <c r="BU864" s="14"/>
      <c r="BV864" s="14"/>
      <c r="BW864" s="14"/>
      <c r="BX864" s="14"/>
      <c r="BY864" s="170"/>
    </row>
    <row r="865" spans="9:77" x14ac:dyDescent="0.25">
      <c r="I865">
        <v>8660</v>
      </c>
      <c r="J865" s="1" t="s">
        <v>1039</v>
      </c>
      <c r="K865">
        <v>466.89333333333298</v>
      </c>
      <c r="L865">
        <v>430.20999999999901</v>
      </c>
      <c r="M865">
        <v>454.26333333333298</v>
      </c>
      <c r="N865">
        <v>437.06666666666598</v>
      </c>
      <c r="O865">
        <v>429.33999999999901</v>
      </c>
      <c r="P865">
        <v>423.70999999999901</v>
      </c>
      <c r="Q865">
        <v>450.14</v>
      </c>
      <c r="R865">
        <v>395.22666666666601</v>
      </c>
      <c r="S865">
        <v>432.58333333333297</v>
      </c>
      <c r="T865">
        <v>408.07</v>
      </c>
      <c r="U865">
        <v>394.76999999999902</v>
      </c>
      <c r="V865">
        <v>384.04333333333301</v>
      </c>
      <c r="W865">
        <v>453.00666666666598</v>
      </c>
      <c r="X865">
        <v>424.67</v>
      </c>
      <c r="Y865">
        <v>435.849999999999</v>
      </c>
      <c r="Z865">
        <v>433.969999999999</v>
      </c>
      <c r="AA865">
        <v>428.25333333333299</v>
      </c>
      <c r="AB865">
        <v>428.25333333333299</v>
      </c>
      <c r="AC865">
        <v>468.166666666666</v>
      </c>
      <c r="AD865">
        <v>427.039999999999</v>
      </c>
      <c r="AE865">
        <v>454.19333333333299</v>
      </c>
      <c r="AF865">
        <v>442.19</v>
      </c>
      <c r="AG865">
        <v>434.416666666666</v>
      </c>
      <c r="AH865">
        <v>430.60333333333301</v>
      </c>
      <c r="AI865">
        <v>466.89333333333298</v>
      </c>
      <c r="AJ865">
        <v>430.20999999999901</v>
      </c>
      <c r="AK865">
        <v>454.26333333333298</v>
      </c>
      <c r="AL865">
        <v>437.06666666666598</v>
      </c>
      <c r="AM865">
        <v>429.33999999999901</v>
      </c>
      <c r="AN865">
        <v>423.70999999999901</v>
      </c>
      <c r="AO865">
        <v>463.86666666666599</v>
      </c>
      <c r="AP865">
        <v>398.22333333333302</v>
      </c>
      <c r="AQ865">
        <v>445.34333333333302</v>
      </c>
      <c r="AR865">
        <v>413.16333333333301</v>
      </c>
      <c r="AS865">
        <v>395.82333333333298</v>
      </c>
      <c r="AT865">
        <v>381.469999999999</v>
      </c>
      <c r="AU865">
        <v>478.17</v>
      </c>
      <c r="AV865">
        <v>425.59333333333302</v>
      </c>
      <c r="AW865">
        <v>461.61</v>
      </c>
      <c r="AX865">
        <v>437.719999999999</v>
      </c>
      <c r="AY865">
        <v>425.48333333333301</v>
      </c>
      <c r="AZ865">
        <v>416.486666666666</v>
      </c>
      <c r="BA865">
        <v>466.95999999999901</v>
      </c>
      <c r="BB865">
        <v>412.63333333333298</v>
      </c>
      <c r="BC865">
        <v>449.789999999999</v>
      </c>
      <c r="BD865">
        <v>425.15333333333302</v>
      </c>
      <c r="BE865">
        <v>412.09666666666601</v>
      </c>
      <c r="BF865">
        <v>401.54</v>
      </c>
      <c r="BG865" s="14"/>
      <c r="BH865" s="14"/>
      <c r="BI865" s="14"/>
      <c r="BJ865" s="199"/>
      <c r="BK865" s="14"/>
      <c r="BL865" s="14"/>
      <c r="BM865" s="14"/>
      <c r="BN865" s="14"/>
      <c r="BO865" s="14"/>
      <c r="BP865" s="14"/>
      <c r="BQ865" s="14"/>
      <c r="BR865" s="14"/>
      <c r="BS865" s="14"/>
      <c r="BT865" s="14"/>
      <c r="BU865" s="14"/>
      <c r="BV865" s="14"/>
      <c r="BW865" s="14"/>
      <c r="BX865" s="14"/>
      <c r="BY865" s="170"/>
    </row>
    <row r="866" spans="9:77" x14ac:dyDescent="0.25">
      <c r="I866">
        <v>8670</v>
      </c>
      <c r="J866" s="1" t="s">
        <v>1040</v>
      </c>
      <c r="K866">
        <v>465.57333333333298</v>
      </c>
      <c r="L866">
        <v>428.88999999999902</v>
      </c>
      <c r="M866">
        <v>452.94333333333299</v>
      </c>
      <c r="N866">
        <v>435.74666666666599</v>
      </c>
      <c r="O866">
        <v>428.01999999999902</v>
      </c>
      <c r="P866">
        <v>422.38999999999902</v>
      </c>
      <c r="Q866">
        <v>448.82</v>
      </c>
      <c r="R866">
        <v>393.90666666666601</v>
      </c>
      <c r="S866">
        <v>431.26333333333298</v>
      </c>
      <c r="T866">
        <v>406.75</v>
      </c>
      <c r="U866">
        <v>393.45</v>
      </c>
      <c r="V866">
        <v>382.72333333333302</v>
      </c>
      <c r="W866">
        <v>451.68666666666599</v>
      </c>
      <c r="X866">
        <v>423.35</v>
      </c>
      <c r="Y866">
        <v>434.53</v>
      </c>
      <c r="Z866">
        <v>432.64999999999901</v>
      </c>
      <c r="AA866">
        <v>426.933333333333</v>
      </c>
      <c r="AB866">
        <v>426.933333333333</v>
      </c>
      <c r="AC866">
        <v>466.84666666666601</v>
      </c>
      <c r="AD866">
        <v>425.72</v>
      </c>
      <c r="AE866">
        <v>452.87333333333299</v>
      </c>
      <c r="AF866">
        <v>440.87</v>
      </c>
      <c r="AG866">
        <v>433.09666666666601</v>
      </c>
      <c r="AH866">
        <v>429.28333333333302</v>
      </c>
      <c r="AI866">
        <v>465.57333333333298</v>
      </c>
      <c r="AJ866">
        <v>428.88999999999902</v>
      </c>
      <c r="AK866">
        <v>452.94333333333299</v>
      </c>
      <c r="AL866">
        <v>435.74666666666599</v>
      </c>
      <c r="AM866">
        <v>428.01999999999902</v>
      </c>
      <c r="AN866">
        <v>422.38999999999902</v>
      </c>
      <c r="AO866">
        <v>462.546666666666</v>
      </c>
      <c r="AP866">
        <v>396.90333333333302</v>
      </c>
      <c r="AQ866">
        <v>444.02333333333303</v>
      </c>
      <c r="AR866">
        <v>411.84333333333302</v>
      </c>
      <c r="AS866">
        <v>394.50333333333299</v>
      </c>
      <c r="AT866">
        <v>380.14999999999901</v>
      </c>
      <c r="AU866">
        <v>476.85</v>
      </c>
      <c r="AV866">
        <v>424.27333333333303</v>
      </c>
      <c r="AW866">
        <v>460.29</v>
      </c>
      <c r="AX866">
        <v>436.4</v>
      </c>
      <c r="AY866">
        <v>424.16333333333301</v>
      </c>
      <c r="AZ866">
        <v>415.166666666666</v>
      </c>
      <c r="BA866">
        <v>465.63999999999902</v>
      </c>
      <c r="BB866">
        <v>411.31333333333299</v>
      </c>
      <c r="BC866">
        <v>448.47</v>
      </c>
      <c r="BD866">
        <v>423.83333333333297</v>
      </c>
      <c r="BE866">
        <v>410.77666666666602</v>
      </c>
      <c r="BF866">
        <v>400.22</v>
      </c>
      <c r="BG866" s="14"/>
      <c r="BH866" s="14"/>
      <c r="BI866" s="14"/>
      <c r="BJ866" s="199"/>
      <c r="BK866" s="14"/>
      <c r="BL866" s="14"/>
      <c r="BM866" s="14"/>
      <c r="BN866" s="14"/>
      <c r="BO866" s="14"/>
      <c r="BP866" s="14"/>
      <c r="BQ866" s="14"/>
      <c r="BR866" s="14"/>
      <c r="BS866" s="14"/>
      <c r="BT866" s="14"/>
      <c r="BU866" s="14"/>
      <c r="BV866" s="14"/>
      <c r="BW866" s="14"/>
      <c r="BX866" s="14"/>
      <c r="BY866" s="170"/>
    </row>
    <row r="867" spans="9:77" x14ac:dyDescent="0.25">
      <c r="I867">
        <v>8680</v>
      </c>
      <c r="J867" s="1" t="s">
        <v>1041</v>
      </c>
      <c r="K867">
        <v>520.28333333333296</v>
      </c>
      <c r="L867">
        <v>483.599999999999</v>
      </c>
      <c r="M867">
        <v>507.65333333333302</v>
      </c>
      <c r="N867">
        <v>490.45666666666602</v>
      </c>
      <c r="O867">
        <v>482.729999999999</v>
      </c>
      <c r="P867">
        <v>477.099999999999</v>
      </c>
      <c r="Q867">
        <v>503.53</v>
      </c>
      <c r="R867">
        <v>448.61666666666599</v>
      </c>
      <c r="S867">
        <v>485.97333333333302</v>
      </c>
      <c r="T867">
        <v>461.46</v>
      </c>
      <c r="U867">
        <v>448.159999999999</v>
      </c>
      <c r="V867">
        <v>437.433333333333</v>
      </c>
      <c r="W867">
        <v>506.39666666666602</v>
      </c>
      <c r="X867">
        <v>478.06</v>
      </c>
      <c r="Y867">
        <v>489.23999999999899</v>
      </c>
      <c r="Z867">
        <v>487.35999999999899</v>
      </c>
      <c r="AA867">
        <v>481.64333333333298</v>
      </c>
      <c r="AB867">
        <v>481.64333333333298</v>
      </c>
      <c r="AC867">
        <v>521.55666666666605</v>
      </c>
      <c r="AD867">
        <v>480.42999999999898</v>
      </c>
      <c r="AE867">
        <v>507.58333333333297</v>
      </c>
      <c r="AF867">
        <v>495.57999999999902</v>
      </c>
      <c r="AG867">
        <v>487.80666666666599</v>
      </c>
      <c r="AH867">
        <v>483.993333333333</v>
      </c>
      <c r="AI867">
        <v>520.28333333333296</v>
      </c>
      <c r="AJ867">
        <v>483.599999999999</v>
      </c>
      <c r="AK867">
        <v>507.65333333333302</v>
      </c>
      <c r="AL867">
        <v>490.45666666666602</v>
      </c>
      <c r="AM867">
        <v>482.729999999999</v>
      </c>
      <c r="AN867">
        <v>477.099999999999</v>
      </c>
      <c r="AO867">
        <v>517.25666666666598</v>
      </c>
      <c r="AP867">
        <v>451.613333333333</v>
      </c>
      <c r="AQ867">
        <v>498.73333333333301</v>
      </c>
      <c r="AR867">
        <v>466.553333333333</v>
      </c>
      <c r="AS867">
        <v>449.21333333333303</v>
      </c>
      <c r="AT867">
        <v>434.85999999999899</v>
      </c>
      <c r="AU867">
        <v>531.55999999999904</v>
      </c>
      <c r="AV867">
        <v>478.98333333333301</v>
      </c>
      <c r="AW867">
        <v>515</v>
      </c>
      <c r="AX867">
        <v>491.10999999999899</v>
      </c>
      <c r="AY867">
        <v>478.87333333333299</v>
      </c>
      <c r="AZ867">
        <v>469.87666666666598</v>
      </c>
      <c r="BA867">
        <v>520.349999999999</v>
      </c>
      <c r="BB867">
        <v>466.02333333333303</v>
      </c>
      <c r="BC867">
        <v>503.17999999999898</v>
      </c>
      <c r="BD867">
        <v>478.54333333333301</v>
      </c>
      <c r="BE867">
        <v>465.486666666666</v>
      </c>
      <c r="BF867">
        <v>454.93</v>
      </c>
      <c r="BG867" s="14"/>
      <c r="BH867" s="14"/>
      <c r="BI867" s="14"/>
      <c r="BJ867" s="199"/>
      <c r="BK867" s="14"/>
      <c r="BL867" s="14"/>
      <c r="BM867" s="14"/>
      <c r="BN867" s="14"/>
      <c r="BO867" s="14"/>
      <c r="BP867" s="14"/>
      <c r="BQ867" s="14"/>
      <c r="BR867" s="14"/>
      <c r="BS867" s="14"/>
      <c r="BT867" s="14"/>
      <c r="BU867" s="14"/>
      <c r="BV867" s="14"/>
      <c r="BW867" s="14"/>
      <c r="BX867" s="14"/>
      <c r="BY867" s="170"/>
    </row>
    <row r="868" spans="9:77" x14ac:dyDescent="0.25">
      <c r="I868">
        <v>8700</v>
      </c>
      <c r="J868" s="1" t="s">
        <v>1042</v>
      </c>
      <c r="K868">
        <v>402.93666666666599</v>
      </c>
      <c r="L868">
        <v>374.95333333333298</v>
      </c>
      <c r="M868">
        <v>392.57666666666597</v>
      </c>
      <c r="N868">
        <v>380.06</v>
      </c>
      <c r="O868">
        <v>374.3</v>
      </c>
      <c r="P868">
        <v>369.87333333333299</v>
      </c>
      <c r="Q868">
        <v>378.82666666666597</v>
      </c>
      <c r="R868">
        <v>330.17</v>
      </c>
      <c r="S868">
        <v>361.68666666666599</v>
      </c>
      <c r="T868">
        <v>341.44666666666598</v>
      </c>
      <c r="U868">
        <v>330.76</v>
      </c>
      <c r="V868">
        <v>323.14</v>
      </c>
      <c r="W868">
        <v>382.33</v>
      </c>
      <c r="X868">
        <v>355.64999999999901</v>
      </c>
      <c r="Y868">
        <v>365.613333333333</v>
      </c>
      <c r="Z868">
        <v>363.86666666666599</v>
      </c>
      <c r="AA868">
        <v>358.88</v>
      </c>
      <c r="AB868">
        <v>358.88</v>
      </c>
      <c r="AC868">
        <v>404.41</v>
      </c>
      <c r="AD868">
        <v>373.18666666666599</v>
      </c>
      <c r="AE868">
        <v>392.79333333333301</v>
      </c>
      <c r="AF868">
        <v>384.05666666666599</v>
      </c>
      <c r="AG868">
        <v>378.37</v>
      </c>
      <c r="AH868">
        <v>375.683333333333</v>
      </c>
      <c r="AI868">
        <v>402.93666666666599</v>
      </c>
      <c r="AJ868">
        <v>374.95333333333298</v>
      </c>
      <c r="AK868">
        <v>392.57666666666597</v>
      </c>
      <c r="AL868">
        <v>380.06</v>
      </c>
      <c r="AM868">
        <v>374.3</v>
      </c>
      <c r="AN868">
        <v>369.87333333333299</v>
      </c>
      <c r="AO868">
        <v>392.70999999999901</v>
      </c>
      <c r="AP868">
        <v>333</v>
      </c>
      <c r="AQ868">
        <v>374.21</v>
      </c>
      <c r="AR868">
        <v>345.38333333333298</v>
      </c>
      <c r="AS868">
        <v>331.64999999999901</v>
      </c>
      <c r="AT868">
        <v>322.14666666666602</v>
      </c>
      <c r="AU868">
        <v>407.45666666666602</v>
      </c>
      <c r="AV868">
        <v>363.07666666666597</v>
      </c>
      <c r="AW868">
        <v>392.26</v>
      </c>
      <c r="AX868">
        <v>373.44333333333299</v>
      </c>
      <c r="AY868">
        <v>363.55999999999898</v>
      </c>
      <c r="AZ868">
        <v>356.92666666666599</v>
      </c>
      <c r="BA868">
        <v>396.43666666666599</v>
      </c>
      <c r="BB868">
        <v>351.06333333333299</v>
      </c>
      <c r="BC868">
        <v>380.78666666666601</v>
      </c>
      <c r="BD868">
        <v>361.12666666666598</v>
      </c>
      <c r="BE868">
        <v>351.17333333333301</v>
      </c>
      <c r="BF868">
        <v>343.75</v>
      </c>
      <c r="BG868" s="14"/>
      <c r="BH868" s="14"/>
      <c r="BI868" s="14"/>
      <c r="BJ868" s="199"/>
      <c r="BK868" s="14"/>
      <c r="BL868" s="14"/>
      <c r="BM868" s="14"/>
      <c r="BN868" s="14"/>
      <c r="BO868" s="14"/>
      <c r="BP868" s="14"/>
      <c r="BQ868" s="14"/>
      <c r="BR868" s="14"/>
      <c r="BS868" s="14"/>
      <c r="BT868" s="14"/>
      <c r="BU868" s="14"/>
      <c r="BV868" s="14"/>
      <c r="BW868" s="14"/>
      <c r="BX868" s="14"/>
      <c r="BY868" s="170"/>
    </row>
    <row r="869" spans="9:77" x14ac:dyDescent="0.25">
      <c r="I869">
        <v>8721</v>
      </c>
      <c r="J869" s="1" t="s">
        <v>1043</v>
      </c>
      <c r="K869">
        <v>444.55666666666599</v>
      </c>
      <c r="L869">
        <v>416.57333333333298</v>
      </c>
      <c r="M869">
        <v>434.19666666666598</v>
      </c>
      <c r="N869">
        <v>421.68</v>
      </c>
      <c r="O869">
        <v>415.92</v>
      </c>
      <c r="P869">
        <v>411.493333333333</v>
      </c>
      <c r="Q869">
        <v>420.44666666666598</v>
      </c>
      <c r="R869">
        <v>371.79</v>
      </c>
      <c r="S869">
        <v>403.30666666666599</v>
      </c>
      <c r="T869">
        <v>383.06666666666598</v>
      </c>
      <c r="U869">
        <v>372.38</v>
      </c>
      <c r="V869">
        <v>364.76</v>
      </c>
      <c r="W869">
        <v>423.95</v>
      </c>
      <c r="X869">
        <v>397.26999999999902</v>
      </c>
      <c r="Y869">
        <v>407.23333333333301</v>
      </c>
      <c r="Z869">
        <v>405.486666666666</v>
      </c>
      <c r="AA869">
        <v>400.5</v>
      </c>
      <c r="AB869">
        <v>400.5</v>
      </c>
      <c r="AC869">
        <v>446.03</v>
      </c>
      <c r="AD869">
        <v>414.80666666666599</v>
      </c>
      <c r="AE869">
        <v>434.41333333333301</v>
      </c>
      <c r="AF869">
        <v>425.67666666666599</v>
      </c>
      <c r="AG869">
        <v>419.99</v>
      </c>
      <c r="AH869">
        <v>417.303333333333</v>
      </c>
      <c r="AI869">
        <v>444.55666666666599</v>
      </c>
      <c r="AJ869">
        <v>416.57333333333298</v>
      </c>
      <c r="AK869">
        <v>434.19666666666598</v>
      </c>
      <c r="AL869">
        <v>421.68</v>
      </c>
      <c r="AM869">
        <v>415.92</v>
      </c>
      <c r="AN869">
        <v>411.493333333333</v>
      </c>
      <c r="AO869">
        <v>434.32999999999902</v>
      </c>
      <c r="AP869">
        <v>374.62</v>
      </c>
      <c r="AQ869">
        <v>415.83</v>
      </c>
      <c r="AR869">
        <v>387.00333333333299</v>
      </c>
      <c r="AS869">
        <v>373.26999999999902</v>
      </c>
      <c r="AT869">
        <v>363.76666666666603</v>
      </c>
      <c r="AU869">
        <v>449.07666666666597</v>
      </c>
      <c r="AV869">
        <v>404.69666666666598</v>
      </c>
      <c r="AW869">
        <v>433.88</v>
      </c>
      <c r="AX869">
        <v>415.06333333333299</v>
      </c>
      <c r="AY869">
        <v>405.17999999999898</v>
      </c>
      <c r="AZ869">
        <v>398.546666666666</v>
      </c>
      <c r="BA869">
        <v>438.05666666666599</v>
      </c>
      <c r="BB869">
        <v>392.683333333333</v>
      </c>
      <c r="BC869">
        <v>422.40666666666601</v>
      </c>
      <c r="BD869">
        <v>402.74666666666599</v>
      </c>
      <c r="BE869">
        <v>392.79333333333301</v>
      </c>
      <c r="BF869">
        <v>385.37</v>
      </c>
      <c r="BG869" s="14"/>
      <c r="BH869" s="14"/>
      <c r="BI869" s="14"/>
      <c r="BJ869" s="199"/>
      <c r="BK869" s="14"/>
      <c r="BL869" s="14"/>
      <c r="BM869" s="14"/>
      <c r="BN869" s="14"/>
      <c r="BO869" s="14"/>
      <c r="BP869" s="14"/>
      <c r="BQ869" s="14"/>
      <c r="BR869" s="14"/>
      <c r="BS869" s="14"/>
      <c r="BT869" s="14"/>
      <c r="BU869" s="14"/>
      <c r="BV869" s="14"/>
      <c r="BW869" s="14"/>
      <c r="BX869" s="14"/>
      <c r="BY869" s="170"/>
    </row>
    <row r="870" spans="9:77" x14ac:dyDescent="0.25">
      <c r="I870">
        <v>8722</v>
      </c>
      <c r="J870" s="1" t="s">
        <v>1044</v>
      </c>
      <c r="K870">
        <v>444.55666666666599</v>
      </c>
      <c r="L870">
        <v>416.57333333333298</v>
      </c>
      <c r="M870">
        <v>434.19666666666598</v>
      </c>
      <c r="N870">
        <v>421.68</v>
      </c>
      <c r="O870">
        <v>415.92</v>
      </c>
      <c r="P870">
        <v>411.493333333333</v>
      </c>
      <c r="Q870">
        <v>420.44666666666598</v>
      </c>
      <c r="R870">
        <v>371.79</v>
      </c>
      <c r="S870">
        <v>403.30666666666599</v>
      </c>
      <c r="T870">
        <v>383.06666666666598</v>
      </c>
      <c r="U870">
        <v>372.38</v>
      </c>
      <c r="V870">
        <v>364.76</v>
      </c>
      <c r="W870">
        <v>423.95</v>
      </c>
      <c r="X870">
        <v>397.26999999999902</v>
      </c>
      <c r="Y870">
        <v>407.23333333333301</v>
      </c>
      <c r="Z870">
        <v>405.486666666666</v>
      </c>
      <c r="AA870">
        <v>400.5</v>
      </c>
      <c r="AB870">
        <v>400.5</v>
      </c>
      <c r="AC870">
        <v>446.03</v>
      </c>
      <c r="AD870">
        <v>414.80666666666599</v>
      </c>
      <c r="AE870">
        <v>434.41333333333301</v>
      </c>
      <c r="AF870">
        <v>425.67666666666599</v>
      </c>
      <c r="AG870">
        <v>419.99</v>
      </c>
      <c r="AH870">
        <v>417.303333333333</v>
      </c>
      <c r="AI870">
        <v>444.55666666666599</v>
      </c>
      <c r="AJ870">
        <v>416.57333333333298</v>
      </c>
      <c r="AK870">
        <v>434.19666666666598</v>
      </c>
      <c r="AL870">
        <v>421.68</v>
      </c>
      <c r="AM870">
        <v>415.92</v>
      </c>
      <c r="AN870">
        <v>411.493333333333</v>
      </c>
      <c r="AO870">
        <v>434.32999999999902</v>
      </c>
      <c r="AP870">
        <v>374.62</v>
      </c>
      <c r="AQ870">
        <v>415.83</v>
      </c>
      <c r="AR870">
        <v>387.00333333333299</v>
      </c>
      <c r="AS870">
        <v>373.26999999999902</v>
      </c>
      <c r="AT870">
        <v>363.76666666666603</v>
      </c>
      <c r="AU870">
        <v>449.07666666666597</v>
      </c>
      <c r="AV870">
        <v>404.69666666666598</v>
      </c>
      <c r="AW870">
        <v>433.88</v>
      </c>
      <c r="AX870">
        <v>415.06333333333299</v>
      </c>
      <c r="AY870">
        <v>405.17999999999898</v>
      </c>
      <c r="AZ870">
        <v>398.546666666666</v>
      </c>
      <c r="BA870">
        <v>438.05666666666599</v>
      </c>
      <c r="BB870">
        <v>392.683333333333</v>
      </c>
      <c r="BC870">
        <v>422.40666666666601</v>
      </c>
      <c r="BD870">
        <v>402.74666666666599</v>
      </c>
      <c r="BE870">
        <v>392.79333333333301</v>
      </c>
      <c r="BF870">
        <v>385.37</v>
      </c>
      <c r="BG870" s="14"/>
      <c r="BH870" s="14"/>
      <c r="BI870" s="14"/>
      <c r="BJ870" s="199"/>
      <c r="BK870" s="14"/>
      <c r="BL870" s="14"/>
      <c r="BM870" s="14"/>
      <c r="BN870" s="14"/>
      <c r="BO870" s="14"/>
      <c r="BP870" s="14"/>
      <c r="BQ870" s="14"/>
      <c r="BR870" s="14"/>
      <c r="BS870" s="14"/>
      <c r="BT870" s="14"/>
      <c r="BU870" s="14"/>
      <c r="BV870" s="14"/>
      <c r="BW870" s="14"/>
      <c r="BX870" s="14"/>
      <c r="BY870" s="170"/>
    </row>
    <row r="871" spans="9:77" x14ac:dyDescent="0.25">
      <c r="I871">
        <v>8723</v>
      </c>
      <c r="J871" s="1" t="s">
        <v>1045</v>
      </c>
      <c r="K871">
        <v>481.38666666666597</v>
      </c>
      <c r="L871">
        <v>453.40333333333302</v>
      </c>
      <c r="M871">
        <v>471.02666666666602</v>
      </c>
      <c r="N871">
        <v>458.50999999999902</v>
      </c>
      <c r="O871">
        <v>452.75</v>
      </c>
      <c r="P871">
        <v>448.32333333333298</v>
      </c>
      <c r="Q871">
        <v>457.27666666666602</v>
      </c>
      <c r="R871">
        <v>408.62</v>
      </c>
      <c r="S871">
        <v>440.13666666666597</v>
      </c>
      <c r="T871">
        <v>419.89666666666602</v>
      </c>
      <c r="U871">
        <v>409.20999999999901</v>
      </c>
      <c r="V871">
        <v>401.59</v>
      </c>
      <c r="W871">
        <v>460.78</v>
      </c>
      <c r="X871">
        <v>434.099999999999</v>
      </c>
      <c r="Y871">
        <v>444.06333333333299</v>
      </c>
      <c r="Z871">
        <v>442.31666666666598</v>
      </c>
      <c r="AA871">
        <v>437.33</v>
      </c>
      <c r="AB871">
        <v>437.33</v>
      </c>
      <c r="AC871">
        <v>482.86</v>
      </c>
      <c r="AD871">
        <v>451.63666666666597</v>
      </c>
      <c r="AE871">
        <v>471.243333333333</v>
      </c>
      <c r="AF871">
        <v>462.50666666666598</v>
      </c>
      <c r="AG871">
        <v>456.81999999999903</v>
      </c>
      <c r="AH871">
        <v>454.13333333333298</v>
      </c>
      <c r="AI871">
        <v>481.38666666666597</v>
      </c>
      <c r="AJ871">
        <v>453.40333333333302</v>
      </c>
      <c r="AK871">
        <v>471.02666666666602</v>
      </c>
      <c r="AL871">
        <v>458.50999999999902</v>
      </c>
      <c r="AM871">
        <v>452.75</v>
      </c>
      <c r="AN871">
        <v>448.32333333333298</v>
      </c>
      <c r="AO871">
        <v>471.159999999999</v>
      </c>
      <c r="AP871">
        <v>411.44999999999902</v>
      </c>
      <c r="AQ871">
        <v>452.659999999999</v>
      </c>
      <c r="AR871">
        <v>423.83333333333297</v>
      </c>
      <c r="AS871">
        <v>410.099999999999</v>
      </c>
      <c r="AT871">
        <v>400.59666666666601</v>
      </c>
      <c r="AU871">
        <v>485.90666666666601</v>
      </c>
      <c r="AV871">
        <v>441.52666666666602</v>
      </c>
      <c r="AW871">
        <v>470.70999999999901</v>
      </c>
      <c r="AX871">
        <v>451.89333333333298</v>
      </c>
      <c r="AY871">
        <v>442.00999999999902</v>
      </c>
      <c r="AZ871">
        <v>435.37666666666598</v>
      </c>
      <c r="BA871">
        <v>474.88666666666597</v>
      </c>
      <c r="BB871">
        <v>429.51333333333298</v>
      </c>
      <c r="BC871">
        <v>459.236666666666</v>
      </c>
      <c r="BD871">
        <v>439.57666666666597</v>
      </c>
      <c r="BE871">
        <v>429.62333333333299</v>
      </c>
      <c r="BF871">
        <v>422.19999999999902</v>
      </c>
      <c r="BG871" s="14"/>
      <c r="BH871" s="14"/>
      <c r="BI871" s="14"/>
      <c r="BJ871" s="199"/>
      <c r="BK871" s="14"/>
      <c r="BL871" s="14"/>
      <c r="BM871" s="14"/>
      <c r="BN871" s="14"/>
      <c r="BO871" s="14"/>
      <c r="BP871" s="14"/>
      <c r="BQ871" s="14"/>
      <c r="BR871" s="14"/>
      <c r="BS871" s="14"/>
      <c r="BT871" s="14"/>
      <c r="BU871" s="14"/>
      <c r="BV871" s="14"/>
      <c r="BW871" s="14"/>
      <c r="BX871" s="14"/>
      <c r="BY871" s="170"/>
    </row>
    <row r="872" spans="9:77" x14ac:dyDescent="0.25">
      <c r="I872">
        <v>8732</v>
      </c>
      <c r="J872" s="1" t="s">
        <v>1046</v>
      </c>
      <c r="K872">
        <v>428.82333333333298</v>
      </c>
      <c r="L872">
        <v>392.13999999999902</v>
      </c>
      <c r="M872">
        <v>416.19333333333299</v>
      </c>
      <c r="N872">
        <v>398.99666666666599</v>
      </c>
      <c r="O872">
        <v>391.26999999999902</v>
      </c>
      <c r="P872">
        <v>385.63999999999902</v>
      </c>
      <c r="Q872">
        <v>412.06999999999903</v>
      </c>
      <c r="R872">
        <v>357.15666666666601</v>
      </c>
      <c r="S872">
        <v>394.51333333333298</v>
      </c>
      <c r="T872">
        <v>370</v>
      </c>
      <c r="U872">
        <v>356.69999999999902</v>
      </c>
      <c r="V872">
        <v>345.97333333333302</v>
      </c>
      <c r="W872">
        <v>414.93666666666599</v>
      </c>
      <c r="X872">
        <v>386.599999999999</v>
      </c>
      <c r="Y872">
        <v>397.77999999999901</v>
      </c>
      <c r="Z872">
        <v>395.89999999999901</v>
      </c>
      <c r="AA872">
        <v>390.183333333333</v>
      </c>
      <c r="AB872">
        <v>390.183333333333</v>
      </c>
      <c r="AC872">
        <v>430.09666666666601</v>
      </c>
      <c r="AD872">
        <v>388.969999999999</v>
      </c>
      <c r="AE872">
        <v>416.12333333333299</v>
      </c>
      <c r="AF872">
        <v>404.11999999999898</v>
      </c>
      <c r="AG872">
        <v>396.34666666666601</v>
      </c>
      <c r="AH872">
        <v>392.53333333333302</v>
      </c>
      <c r="AI872">
        <v>428.82333333333298</v>
      </c>
      <c r="AJ872">
        <v>392.13999999999902</v>
      </c>
      <c r="AK872">
        <v>416.19333333333299</v>
      </c>
      <c r="AL872">
        <v>398.99666666666599</v>
      </c>
      <c r="AM872">
        <v>391.26999999999902</v>
      </c>
      <c r="AN872">
        <v>385.63999999999902</v>
      </c>
      <c r="AO872">
        <v>425.796666666666</v>
      </c>
      <c r="AP872">
        <v>360.15333333333302</v>
      </c>
      <c r="AQ872">
        <v>407.27333333333303</v>
      </c>
      <c r="AR872">
        <v>375.09333333333302</v>
      </c>
      <c r="AS872">
        <v>357.75333333333299</v>
      </c>
      <c r="AT872">
        <v>343.39999999999901</v>
      </c>
      <c r="AU872">
        <v>440.099999999999</v>
      </c>
      <c r="AV872">
        <v>387.52333333333303</v>
      </c>
      <c r="AW872">
        <v>423.539999999999</v>
      </c>
      <c r="AX872">
        <v>399.64999999999901</v>
      </c>
      <c r="AY872">
        <v>387.41333333333301</v>
      </c>
      <c r="AZ872">
        <v>378.416666666666</v>
      </c>
      <c r="BA872">
        <v>428.88999999999902</v>
      </c>
      <c r="BB872">
        <v>374.56333333333299</v>
      </c>
      <c r="BC872">
        <v>411.719999999999</v>
      </c>
      <c r="BD872">
        <v>387.08333333333297</v>
      </c>
      <c r="BE872">
        <v>374.02666666666602</v>
      </c>
      <c r="BF872">
        <v>363.47</v>
      </c>
      <c r="BG872" s="14"/>
      <c r="BH872" s="14"/>
      <c r="BI872" s="14"/>
      <c r="BJ872" s="199"/>
      <c r="BK872" s="14"/>
      <c r="BL872" s="14"/>
      <c r="BM872" s="14"/>
      <c r="BN872" s="14"/>
      <c r="BO872" s="14"/>
      <c r="BP872" s="14"/>
      <c r="BQ872" s="14"/>
      <c r="BR872" s="14"/>
      <c r="BS872" s="14"/>
      <c r="BT872" s="14"/>
      <c r="BU872" s="14"/>
      <c r="BV872" s="14"/>
      <c r="BW872" s="14"/>
      <c r="BX872" s="14"/>
      <c r="BY872" s="170"/>
    </row>
    <row r="873" spans="9:77" x14ac:dyDescent="0.25">
      <c r="I873">
        <v>8740</v>
      </c>
      <c r="J873" s="1" t="s">
        <v>1047</v>
      </c>
      <c r="K873">
        <v>544.613333333333</v>
      </c>
      <c r="L873">
        <v>507.92999999999898</v>
      </c>
      <c r="M873">
        <v>531.98333333333301</v>
      </c>
      <c r="N873">
        <v>514.78666666666595</v>
      </c>
      <c r="O873">
        <v>507.05999999999898</v>
      </c>
      <c r="P873">
        <v>501.42999999999898</v>
      </c>
      <c r="Q873">
        <v>527.86</v>
      </c>
      <c r="R873">
        <v>472.94666666666598</v>
      </c>
      <c r="S873">
        <v>510.303333333333</v>
      </c>
      <c r="T873">
        <v>485.79</v>
      </c>
      <c r="U873">
        <v>472.49</v>
      </c>
      <c r="V873">
        <v>461.76333333333298</v>
      </c>
      <c r="W873">
        <v>530.72666666666601</v>
      </c>
      <c r="X873">
        <v>502.39</v>
      </c>
      <c r="Y873">
        <v>513.56999999999903</v>
      </c>
      <c r="Z873">
        <v>511.68999999999897</v>
      </c>
      <c r="AA873">
        <v>505.97333333333302</v>
      </c>
      <c r="AB873">
        <v>505.97333333333302</v>
      </c>
      <c r="AC873">
        <v>545.88666666666597</v>
      </c>
      <c r="AD873">
        <v>504.75999999999902</v>
      </c>
      <c r="AE873">
        <v>531.91333333333296</v>
      </c>
      <c r="AF873">
        <v>519.91</v>
      </c>
      <c r="AG873">
        <v>512.13666666666597</v>
      </c>
      <c r="AH873">
        <v>508.32333333333298</v>
      </c>
      <c r="AI873">
        <v>544.613333333333</v>
      </c>
      <c r="AJ873">
        <v>507.92999999999898</v>
      </c>
      <c r="AK873">
        <v>531.98333333333301</v>
      </c>
      <c r="AL873">
        <v>514.78666666666595</v>
      </c>
      <c r="AM873">
        <v>507.05999999999898</v>
      </c>
      <c r="AN873">
        <v>501.42999999999898</v>
      </c>
      <c r="AO873">
        <v>541.58666666666602</v>
      </c>
      <c r="AP873">
        <v>475.94333333333299</v>
      </c>
      <c r="AQ873">
        <v>523.06333333333305</v>
      </c>
      <c r="AR873">
        <v>490.88333333333298</v>
      </c>
      <c r="AS873">
        <v>473.54333333333301</v>
      </c>
      <c r="AT873">
        <v>459.18999999999897</v>
      </c>
      <c r="AU873">
        <v>555.89</v>
      </c>
      <c r="AV873">
        <v>503.31333333333299</v>
      </c>
      <c r="AW873">
        <v>539.33000000000004</v>
      </c>
      <c r="AX873">
        <v>515.44000000000005</v>
      </c>
      <c r="AY873">
        <v>503.20333333333298</v>
      </c>
      <c r="AZ873">
        <v>494.20666666666602</v>
      </c>
      <c r="BA873">
        <v>544.67999999999904</v>
      </c>
      <c r="BB873">
        <v>490.35333333333301</v>
      </c>
      <c r="BC873">
        <v>527.50999999999897</v>
      </c>
      <c r="BD873">
        <v>502.87333333333299</v>
      </c>
      <c r="BE873">
        <v>489.81666666666598</v>
      </c>
      <c r="BF873">
        <v>479.26</v>
      </c>
      <c r="BG873" s="14"/>
      <c r="BH873" s="14"/>
      <c r="BI873" s="14"/>
      <c r="BJ873" s="199"/>
      <c r="BK873" s="14"/>
      <c r="BL873" s="14"/>
      <c r="BM873" s="14"/>
      <c r="BN873" s="14"/>
      <c r="BO873" s="14"/>
      <c r="BP873" s="14"/>
      <c r="BQ873" s="14"/>
      <c r="BR873" s="14"/>
      <c r="BS873" s="14"/>
      <c r="BT873" s="14"/>
      <c r="BU873" s="14"/>
      <c r="BV873" s="14"/>
      <c r="BW873" s="14"/>
      <c r="BX873" s="14"/>
      <c r="BY873" s="170"/>
    </row>
    <row r="874" spans="9:77" x14ac:dyDescent="0.25">
      <c r="I874">
        <v>8751</v>
      </c>
      <c r="J874" s="1" t="s">
        <v>1048</v>
      </c>
      <c r="K874">
        <v>451.26333333333298</v>
      </c>
      <c r="L874">
        <v>414.57999999999902</v>
      </c>
      <c r="M874">
        <v>438.63333333333298</v>
      </c>
      <c r="N874">
        <v>421.43666666666599</v>
      </c>
      <c r="O874">
        <v>413.70999999999901</v>
      </c>
      <c r="P874">
        <v>408.08</v>
      </c>
      <c r="Q874">
        <v>434.51</v>
      </c>
      <c r="R874">
        <v>379.59666666666601</v>
      </c>
      <c r="S874">
        <v>416.95333333333298</v>
      </c>
      <c r="T874">
        <v>392.44</v>
      </c>
      <c r="U874">
        <v>379.14</v>
      </c>
      <c r="V874">
        <v>368.41333333333301</v>
      </c>
      <c r="W874">
        <v>437.37666666666598</v>
      </c>
      <c r="X874">
        <v>409.04</v>
      </c>
      <c r="Y874">
        <v>420.22</v>
      </c>
      <c r="Z874">
        <v>418.34</v>
      </c>
      <c r="AA874">
        <v>412.62333333333299</v>
      </c>
      <c r="AB874">
        <v>412.62333333333299</v>
      </c>
      <c r="AC874">
        <v>452.53666666666601</v>
      </c>
      <c r="AD874">
        <v>411.41</v>
      </c>
      <c r="AE874">
        <v>438.56333333333299</v>
      </c>
      <c r="AF874">
        <v>426.56</v>
      </c>
      <c r="AG874">
        <v>418.78666666666601</v>
      </c>
      <c r="AH874">
        <v>414.97333333333302</v>
      </c>
      <c r="AI874">
        <v>451.26333333333298</v>
      </c>
      <c r="AJ874">
        <v>414.57999999999902</v>
      </c>
      <c r="AK874">
        <v>438.63333333333298</v>
      </c>
      <c r="AL874">
        <v>421.43666666666599</v>
      </c>
      <c r="AM874">
        <v>413.70999999999901</v>
      </c>
      <c r="AN874">
        <v>408.08</v>
      </c>
      <c r="AO874">
        <v>448.236666666666</v>
      </c>
      <c r="AP874">
        <v>382.59333333333302</v>
      </c>
      <c r="AQ874">
        <v>429.71333333333303</v>
      </c>
      <c r="AR874">
        <v>397.53333333333302</v>
      </c>
      <c r="AS874">
        <v>380.19333333333299</v>
      </c>
      <c r="AT874">
        <v>365.84</v>
      </c>
      <c r="AU874">
        <v>462.54</v>
      </c>
      <c r="AV874">
        <v>409.96333333333303</v>
      </c>
      <c r="AW874">
        <v>445.98</v>
      </c>
      <c r="AX874">
        <v>422.09</v>
      </c>
      <c r="AY874">
        <v>409.85333333333301</v>
      </c>
      <c r="AZ874">
        <v>400.856666666666</v>
      </c>
      <c r="BA874">
        <v>451.33</v>
      </c>
      <c r="BB874">
        <v>397.00333333333299</v>
      </c>
      <c r="BC874">
        <v>434.16</v>
      </c>
      <c r="BD874">
        <v>409.52333333333303</v>
      </c>
      <c r="BE874">
        <v>396.46666666666601</v>
      </c>
      <c r="BF874">
        <v>385.91</v>
      </c>
      <c r="BG874" s="14"/>
      <c r="BH874" s="14"/>
      <c r="BI874" s="14"/>
      <c r="BJ874" s="199"/>
      <c r="BK874" s="14"/>
      <c r="BL874" s="14"/>
      <c r="BM874" s="14"/>
      <c r="BN874" s="14"/>
      <c r="BO874" s="14"/>
      <c r="BP874" s="14"/>
      <c r="BQ874" s="14"/>
      <c r="BR874" s="14"/>
      <c r="BS874" s="14"/>
      <c r="BT874" s="14"/>
      <c r="BU874" s="14"/>
      <c r="BV874" s="14"/>
      <c r="BW874" s="14"/>
      <c r="BX874" s="14"/>
      <c r="BY874" s="170"/>
    </row>
    <row r="875" spans="9:77" x14ac:dyDescent="0.25">
      <c r="I875">
        <v>8752</v>
      </c>
      <c r="J875" s="1" t="s">
        <v>1049</v>
      </c>
      <c r="K875">
        <v>544.613333333333</v>
      </c>
      <c r="L875">
        <v>507.92999999999898</v>
      </c>
      <c r="M875">
        <v>531.98333333333301</v>
      </c>
      <c r="N875">
        <v>514.78666666666595</v>
      </c>
      <c r="O875">
        <v>507.05999999999898</v>
      </c>
      <c r="P875">
        <v>501.42999999999898</v>
      </c>
      <c r="Q875">
        <v>527.86</v>
      </c>
      <c r="R875">
        <v>472.94666666666598</v>
      </c>
      <c r="S875">
        <v>510.303333333333</v>
      </c>
      <c r="T875">
        <v>485.79</v>
      </c>
      <c r="U875">
        <v>472.49</v>
      </c>
      <c r="V875">
        <v>461.76333333333298</v>
      </c>
      <c r="W875">
        <v>530.72666666666601</v>
      </c>
      <c r="X875">
        <v>502.39</v>
      </c>
      <c r="Y875">
        <v>513.56999999999903</v>
      </c>
      <c r="Z875">
        <v>511.68999999999897</v>
      </c>
      <c r="AA875">
        <v>505.97333333333302</v>
      </c>
      <c r="AB875">
        <v>505.97333333333302</v>
      </c>
      <c r="AC875">
        <v>545.88666666666597</v>
      </c>
      <c r="AD875">
        <v>504.75999999999902</v>
      </c>
      <c r="AE875">
        <v>531.91333333333296</v>
      </c>
      <c r="AF875">
        <v>519.91</v>
      </c>
      <c r="AG875">
        <v>512.13666666666597</v>
      </c>
      <c r="AH875">
        <v>508.32333333333298</v>
      </c>
      <c r="AI875">
        <v>544.613333333333</v>
      </c>
      <c r="AJ875">
        <v>507.92999999999898</v>
      </c>
      <c r="AK875">
        <v>531.98333333333301</v>
      </c>
      <c r="AL875">
        <v>514.78666666666595</v>
      </c>
      <c r="AM875">
        <v>507.05999999999898</v>
      </c>
      <c r="AN875">
        <v>501.42999999999898</v>
      </c>
      <c r="AO875">
        <v>541.58666666666602</v>
      </c>
      <c r="AP875">
        <v>475.94333333333299</v>
      </c>
      <c r="AQ875">
        <v>523.06333333333305</v>
      </c>
      <c r="AR875">
        <v>490.88333333333298</v>
      </c>
      <c r="AS875">
        <v>473.54333333333301</v>
      </c>
      <c r="AT875">
        <v>459.18999999999897</v>
      </c>
      <c r="AU875">
        <v>555.89</v>
      </c>
      <c r="AV875">
        <v>503.31333333333299</v>
      </c>
      <c r="AW875">
        <v>539.33000000000004</v>
      </c>
      <c r="AX875">
        <v>515.44000000000005</v>
      </c>
      <c r="AY875">
        <v>503.20333333333298</v>
      </c>
      <c r="AZ875">
        <v>494.20666666666602</v>
      </c>
      <c r="BA875">
        <v>544.67999999999904</v>
      </c>
      <c r="BB875">
        <v>490.35333333333301</v>
      </c>
      <c r="BC875">
        <v>527.50999999999897</v>
      </c>
      <c r="BD875">
        <v>502.87333333333299</v>
      </c>
      <c r="BE875">
        <v>489.81666666666598</v>
      </c>
      <c r="BF875">
        <v>479.26</v>
      </c>
      <c r="BG875" s="14"/>
      <c r="BH875" s="14"/>
      <c r="BI875" s="14"/>
      <c r="BJ875" s="199"/>
      <c r="BK875" s="14"/>
      <c r="BL875" s="14"/>
      <c r="BM875" s="14"/>
      <c r="BN875" s="14"/>
      <c r="BO875" s="14"/>
      <c r="BP875" s="14"/>
      <c r="BQ875" s="14"/>
      <c r="BR875" s="14"/>
      <c r="BS875" s="14"/>
      <c r="BT875" s="14"/>
      <c r="BU875" s="14"/>
      <c r="BV875" s="14"/>
      <c r="BW875" s="14"/>
      <c r="BX875" s="14"/>
      <c r="BY875" s="170"/>
    </row>
    <row r="876" spans="9:77" x14ac:dyDescent="0.25">
      <c r="I876">
        <v>8762</v>
      </c>
      <c r="J876" s="1" t="s">
        <v>1050</v>
      </c>
      <c r="K876">
        <v>525.113333333333</v>
      </c>
      <c r="L876">
        <v>488.42999999999898</v>
      </c>
      <c r="M876">
        <v>512.48333333333301</v>
      </c>
      <c r="N876">
        <v>495.28666666666601</v>
      </c>
      <c r="O876">
        <v>487.55999999999898</v>
      </c>
      <c r="P876">
        <v>481.92999999999898</v>
      </c>
      <c r="Q876">
        <v>508.36</v>
      </c>
      <c r="R876">
        <v>453.44666666666598</v>
      </c>
      <c r="S876">
        <v>490.803333333333</v>
      </c>
      <c r="T876">
        <v>466.29</v>
      </c>
      <c r="U876">
        <v>452.99</v>
      </c>
      <c r="V876">
        <v>442.26333333333298</v>
      </c>
      <c r="W876">
        <v>511.22666666666601</v>
      </c>
      <c r="X876">
        <v>482.89</v>
      </c>
      <c r="Y876">
        <v>494.06999999999903</v>
      </c>
      <c r="Z876">
        <v>492.18999999999897</v>
      </c>
      <c r="AA876">
        <v>486.47333333333302</v>
      </c>
      <c r="AB876">
        <v>486.47333333333302</v>
      </c>
      <c r="AC876">
        <v>526.38666666666597</v>
      </c>
      <c r="AD876">
        <v>485.25999999999902</v>
      </c>
      <c r="AE876">
        <v>512.41333333333296</v>
      </c>
      <c r="AF876">
        <v>500.41</v>
      </c>
      <c r="AG876">
        <v>492.63666666666597</v>
      </c>
      <c r="AH876">
        <v>488.82333333333298</v>
      </c>
      <c r="AI876">
        <v>525.113333333333</v>
      </c>
      <c r="AJ876">
        <v>488.42999999999898</v>
      </c>
      <c r="AK876">
        <v>512.48333333333301</v>
      </c>
      <c r="AL876">
        <v>495.28666666666601</v>
      </c>
      <c r="AM876">
        <v>487.55999999999898</v>
      </c>
      <c r="AN876">
        <v>481.92999999999898</v>
      </c>
      <c r="AO876">
        <v>522.08666666666602</v>
      </c>
      <c r="AP876">
        <v>456.44333333333299</v>
      </c>
      <c r="AQ876">
        <v>503.56333333333299</v>
      </c>
      <c r="AR876">
        <v>471.38333333333298</v>
      </c>
      <c r="AS876">
        <v>454.04333333333301</v>
      </c>
      <c r="AT876">
        <v>439.68999999999897</v>
      </c>
      <c r="AU876">
        <v>536.39</v>
      </c>
      <c r="AV876">
        <v>483.81333333333299</v>
      </c>
      <c r="AW876">
        <v>519.83000000000004</v>
      </c>
      <c r="AX876">
        <v>495.94</v>
      </c>
      <c r="AY876">
        <v>483.70333333333298</v>
      </c>
      <c r="AZ876">
        <v>474.70666666666602</v>
      </c>
      <c r="BA876">
        <v>525.17999999999904</v>
      </c>
      <c r="BB876">
        <v>470.85333333333301</v>
      </c>
      <c r="BC876">
        <v>508.00999999999902</v>
      </c>
      <c r="BD876">
        <v>483.37333333333299</v>
      </c>
      <c r="BE876">
        <v>470.31666666666598</v>
      </c>
      <c r="BF876">
        <v>459.76</v>
      </c>
      <c r="BG876" s="14"/>
      <c r="BH876" s="14"/>
      <c r="BI876" s="14"/>
      <c r="BJ876" s="199"/>
      <c r="BK876" s="14"/>
      <c r="BL876" s="14"/>
      <c r="BM876" s="14"/>
      <c r="BN876" s="14"/>
      <c r="BO876" s="14"/>
      <c r="BP876" s="14"/>
      <c r="BQ876" s="14"/>
      <c r="BR876" s="14"/>
      <c r="BS876" s="14"/>
      <c r="BT876" s="14"/>
      <c r="BU876" s="14"/>
      <c r="BV876" s="14"/>
      <c r="BW876" s="14"/>
      <c r="BX876" s="14"/>
      <c r="BY876" s="170"/>
    </row>
    <row r="877" spans="9:77" x14ac:dyDescent="0.25">
      <c r="I877">
        <v>8763</v>
      </c>
      <c r="J877" s="1" t="s">
        <v>1051</v>
      </c>
      <c r="K877">
        <v>525.113333333333</v>
      </c>
      <c r="L877">
        <v>488.42999999999898</v>
      </c>
      <c r="M877">
        <v>512.48333333333301</v>
      </c>
      <c r="N877">
        <v>495.28666666666601</v>
      </c>
      <c r="O877">
        <v>487.55999999999898</v>
      </c>
      <c r="P877">
        <v>481.92999999999898</v>
      </c>
      <c r="Q877">
        <v>508.36</v>
      </c>
      <c r="R877">
        <v>453.44666666666598</v>
      </c>
      <c r="S877">
        <v>490.803333333333</v>
      </c>
      <c r="T877">
        <v>466.29</v>
      </c>
      <c r="U877">
        <v>452.99</v>
      </c>
      <c r="V877">
        <v>442.26333333333298</v>
      </c>
      <c r="W877">
        <v>511.22666666666601</v>
      </c>
      <c r="X877">
        <v>482.89</v>
      </c>
      <c r="Y877">
        <v>494.06999999999903</v>
      </c>
      <c r="Z877">
        <v>492.18999999999897</v>
      </c>
      <c r="AA877">
        <v>486.47333333333302</v>
      </c>
      <c r="AB877">
        <v>486.47333333333302</v>
      </c>
      <c r="AC877">
        <v>526.38666666666597</v>
      </c>
      <c r="AD877">
        <v>485.25999999999902</v>
      </c>
      <c r="AE877">
        <v>512.41333333333296</v>
      </c>
      <c r="AF877">
        <v>500.41</v>
      </c>
      <c r="AG877">
        <v>492.63666666666597</v>
      </c>
      <c r="AH877">
        <v>488.82333333333298</v>
      </c>
      <c r="AI877">
        <v>525.113333333333</v>
      </c>
      <c r="AJ877">
        <v>488.42999999999898</v>
      </c>
      <c r="AK877">
        <v>512.48333333333301</v>
      </c>
      <c r="AL877">
        <v>495.28666666666601</v>
      </c>
      <c r="AM877">
        <v>487.55999999999898</v>
      </c>
      <c r="AN877">
        <v>481.92999999999898</v>
      </c>
      <c r="AO877">
        <v>522.08666666666602</v>
      </c>
      <c r="AP877">
        <v>456.44333333333299</v>
      </c>
      <c r="AQ877">
        <v>503.56333333333299</v>
      </c>
      <c r="AR877">
        <v>471.38333333333298</v>
      </c>
      <c r="AS877">
        <v>454.04333333333301</v>
      </c>
      <c r="AT877">
        <v>439.68999999999897</v>
      </c>
      <c r="AU877">
        <v>536.39</v>
      </c>
      <c r="AV877">
        <v>483.81333333333299</v>
      </c>
      <c r="AW877">
        <v>519.83000000000004</v>
      </c>
      <c r="AX877">
        <v>495.94</v>
      </c>
      <c r="AY877">
        <v>483.70333333333298</v>
      </c>
      <c r="AZ877">
        <v>474.70666666666602</v>
      </c>
      <c r="BA877">
        <v>525.17999999999904</v>
      </c>
      <c r="BB877">
        <v>470.85333333333301</v>
      </c>
      <c r="BC877">
        <v>508.00999999999902</v>
      </c>
      <c r="BD877">
        <v>483.37333333333299</v>
      </c>
      <c r="BE877">
        <v>470.31666666666598</v>
      </c>
      <c r="BF877">
        <v>459.76</v>
      </c>
      <c r="BG877" s="14"/>
      <c r="BH877" s="14"/>
      <c r="BI877" s="14"/>
      <c r="BJ877" s="199"/>
      <c r="BK877" s="14"/>
      <c r="BL877" s="14"/>
      <c r="BM877" s="14"/>
      <c r="BN877" s="14"/>
      <c r="BO877" s="14"/>
      <c r="BP877" s="14"/>
      <c r="BQ877" s="14"/>
      <c r="BR877" s="14"/>
      <c r="BS877" s="14"/>
      <c r="BT877" s="14"/>
      <c r="BU877" s="14"/>
      <c r="BV877" s="14"/>
      <c r="BW877" s="14"/>
      <c r="BX877" s="14"/>
      <c r="BY877" s="170"/>
    </row>
    <row r="878" spans="9:77" x14ac:dyDescent="0.25">
      <c r="I878">
        <v>8765</v>
      </c>
      <c r="J878" s="1" t="s">
        <v>1052</v>
      </c>
      <c r="K878">
        <v>578.106666666666</v>
      </c>
      <c r="L878">
        <v>550.12333333333299</v>
      </c>
      <c r="M878">
        <v>567.74666666666599</v>
      </c>
      <c r="N878">
        <v>555.23</v>
      </c>
      <c r="O878">
        <v>549.47</v>
      </c>
      <c r="P878">
        <v>545.04333333333295</v>
      </c>
      <c r="Q878">
        <v>553.99666666666599</v>
      </c>
      <c r="R878">
        <v>505.34</v>
      </c>
      <c r="S878">
        <v>536.856666666666</v>
      </c>
      <c r="T878">
        <v>516.61666666666599</v>
      </c>
      <c r="U878">
        <v>505.93</v>
      </c>
      <c r="V878">
        <v>498.31</v>
      </c>
      <c r="W878">
        <v>557.5</v>
      </c>
      <c r="X878">
        <v>530.81999999999903</v>
      </c>
      <c r="Y878">
        <v>540.78333333333296</v>
      </c>
      <c r="Z878">
        <v>539.03666666666595</v>
      </c>
      <c r="AA878">
        <v>534.04999999999995</v>
      </c>
      <c r="AB878">
        <v>534.04999999999995</v>
      </c>
      <c r="AC878">
        <v>579.58000000000004</v>
      </c>
      <c r="AD878">
        <v>548.356666666666</v>
      </c>
      <c r="AE878">
        <v>567.96333333333303</v>
      </c>
      <c r="AF878">
        <v>559.22666666666601</v>
      </c>
      <c r="AG878">
        <v>553.53999999999905</v>
      </c>
      <c r="AH878">
        <v>550.85333333333301</v>
      </c>
      <c r="AI878">
        <v>578.106666666666</v>
      </c>
      <c r="AJ878">
        <v>550.12333333333299</v>
      </c>
      <c r="AK878">
        <v>567.74666666666599</v>
      </c>
      <c r="AL878">
        <v>555.23</v>
      </c>
      <c r="AM878">
        <v>549.47</v>
      </c>
      <c r="AN878">
        <v>545.04333333333295</v>
      </c>
      <c r="AO878">
        <v>567.87999999999897</v>
      </c>
      <c r="AP878">
        <v>508.16999999999899</v>
      </c>
      <c r="AQ878">
        <v>549.38</v>
      </c>
      <c r="AR878">
        <v>520.55333333333294</v>
      </c>
      <c r="AS878">
        <v>506.81999999999903</v>
      </c>
      <c r="AT878">
        <v>497.31666666666598</v>
      </c>
      <c r="AU878">
        <v>582.62666666666598</v>
      </c>
      <c r="AV878">
        <v>538.24666666666599</v>
      </c>
      <c r="AW878">
        <v>567.42999999999995</v>
      </c>
      <c r="AX878">
        <v>548.613333333333</v>
      </c>
      <c r="AY878">
        <v>538.729999999999</v>
      </c>
      <c r="AZ878">
        <v>532.09666666666601</v>
      </c>
      <c r="BA878">
        <v>571.606666666666</v>
      </c>
      <c r="BB878">
        <v>526.23333333333301</v>
      </c>
      <c r="BC878">
        <v>555.95666666666602</v>
      </c>
      <c r="BD878">
        <v>536.29666666666606</v>
      </c>
      <c r="BE878">
        <v>526.34333333333302</v>
      </c>
      <c r="BF878">
        <v>518.91999999999996</v>
      </c>
      <c r="BG878" s="14"/>
      <c r="BH878" s="14"/>
      <c r="BI878" s="14"/>
      <c r="BJ878" s="199"/>
      <c r="BK878" s="14"/>
      <c r="BL878" s="14"/>
      <c r="BM878" s="14"/>
      <c r="BN878" s="14"/>
      <c r="BO878" s="14"/>
      <c r="BP878" s="14"/>
      <c r="BQ878" s="14"/>
      <c r="BR878" s="14"/>
      <c r="BS878" s="14"/>
      <c r="BT878" s="14"/>
      <c r="BU878" s="14"/>
      <c r="BV878" s="14"/>
      <c r="BW878" s="14"/>
      <c r="BX878" s="14"/>
      <c r="BY878" s="170"/>
    </row>
    <row r="879" spans="9:77" x14ac:dyDescent="0.25">
      <c r="I879">
        <v>8766</v>
      </c>
      <c r="J879" s="1" t="s">
        <v>1053</v>
      </c>
      <c r="K879">
        <v>609.02999999999895</v>
      </c>
      <c r="L879">
        <v>578.35333333333301</v>
      </c>
      <c r="M879">
        <v>597.95000000000005</v>
      </c>
      <c r="N879">
        <v>583.95333333333303</v>
      </c>
      <c r="O879">
        <v>577.76666666666597</v>
      </c>
      <c r="P879">
        <v>573.23333333333301</v>
      </c>
      <c r="Q879">
        <v>589.34333333333302</v>
      </c>
      <c r="R879">
        <v>538.09666666666601</v>
      </c>
      <c r="S879">
        <v>572.75333333333299</v>
      </c>
      <c r="T879">
        <v>549.84333333333302</v>
      </c>
      <c r="U879">
        <v>538.09666666666601</v>
      </c>
      <c r="V879">
        <v>529.05666666666605</v>
      </c>
      <c r="W879">
        <v>592.79666666666606</v>
      </c>
      <c r="X879">
        <v>565.59666666666601</v>
      </c>
      <c r="Y879">
        <v>576.19666666666603</v>
      </c>
      <c r="Z879">
        <v>574.30666666666605</v>
      </c>
      <c r="AA879">
        <v>568.98</v>
      </c>
      <c r="AB879">
        <v>568.98</v>
      </c>
      <c r="AC879">
        <v>611.67333333333295</v>
      </c>
      <c r="AD879">
        <v>577.36666666666599</v>
      </c>
      <c r="AE879">
        <v>599.24666666666599</v>
      </c>
      <c r="AF879">
        <v>589.19666666666603</v>
      </c>
      <c r="AG879">
        <v>583.01999999999896</v>
      </c>
      <c r="AH879">
        <v>580.08666666666602</v>
      </c>
      <c r="AI879">
        <v>609.02999999999895</v>
      </c>
      <c r="AJ879">
        <v>578.35333333333301</v>
      </c>
      <c r="AK879">
        <v>597.95000000000005</v>
      </c>
      <c r="AL879">
        <v>583.95333333333303</v>
      </c>
      <c r="AM879">
        <v>577.76666666666597</v>
      </c>
      <c r="AN879">
        <v>573.23333333333301</v>
      </c>
      <c r="AO879">
        <v>603.67333333333295</v>
      </c>
      <c r="AP879">
        <v>540.23</v>
      </c>
      <c r="AQ879">
        <v>585.46666666666601</v>
      </c>
      <c r="AR879">
        <v>554.74666666666599</v>
      </c>
      <c r="AS879">
        <v>538.32666666666603</v>
      </c>
      <c r="AT879">
        <v>526.21666666666601</v>
      </c>
      <c r="AU879">
        <v>617.18333333333305</v>
      </c>
      <c r="AV879">
        <v>567.736666666666</v>
      </c>
      <c r="AW879">
        <v>601.54999999999905</v>
      </c>
      <c r="AX879">
        <v>579.64666666666596</v>
      </c>
      <c r="AY879">
        <v>568.356666666666</v>
      </c>
      <c r="AZ879">
        <v>560.35</v>
      </c>
      <c r="BA879">
        <v>608.91333333333296</v>
      </c>
      <c r="BB879">
        <v>558.05666666666605</v>
      </c>
      <c r="BC879">
        <v>592.356666666666</v>
      </c>
      <c r="BD879">
        <v>569.72666666666601</v>
      </c>
      <c r="BE879">
        <v>557.93333333333305</v>
      </c>
      <c r="BF879">
        <v>549.50666666666598</v>
      </c>
      <c r="BG879" s="14"/>
      <c r="BH879" s="14"/>
      <c r="BI879" s="14"/>
      <c r="BJ879" s="199"/>
      <c r="BK879" s="14"/>
      <c r="BL879" s="14"/>
      <c r="BM879" s="14"/>
      <c r="BN879" s="14"/>
      <c r="BO879" s="14"/>
      <c r="BP879" s="14"/>
      <c r="BQ879" s="14"/>
      <c r="BR879" s="14"/>
      <c r="BS879" s="14"/>
      <c r="BT879" s="14"/>
      <c r="BU879" s="14"/>
      <c r="BV879" s="14"/>
      <c r="BW879" s="14"/>
      <c r="BX879" s="14"/>
      <c r="BY879" s="170"/>
    </row>
    <row r="880" spans="9:77" x14ac:dyDescent="0.25">
      <c r="I880">
        <v>8781</v>
      </c>
      <c r="J880" s="1" t="s">
        <v>1054</v>
      </c>
      <c r="K880">
        <v>402.93666666666599</v>
      </c>
      <c r="L880">
        <v>374.95333333333298</v>
      </c>
      <c r="M880">
        <v>392.57666666666597</v>
      </c>
      <c r="N880">
        <v>380.06</v>
      </c>
      <c r="O880">
        <v>374.3</v>
      </c>
      <c r="P880">
        <v>369.87333333333299</v>
      </c>
      <c r="Q880">
        <v>378.82666666666597</v>
      </c>
      <c r="R880">
        <v>330.17</v>
      </c>
      <c r="S880">
        <v>361.68666666666599</v>
      </c>
      <c r="T880">
        <v>341.44666666666598</v>
      </c>
      <c r="U880">
        <v>330.76</v>
      </c>
      <c r="V880">
        <v>323.14</v>
      </c>
      <c r="W880">
        <v>382.33</v>
      </c>
      <c r="X880">
        <v>355.64999999999901</v>
      </c>
      <c r="Y880">
        <v>365.613333333333</v>
      </c>
      <c r="Z880">
        <v>363.86666666666599</v>
      </c>
      <c r="AA880">
        <v>358.88</v>
      </c>
      <c r="AB880">
        <v>358.88</v>
      </c>
      <c r="AC880">
        <v>404.41</v>
      </c>
      <c r="AD880">
        <v>373.18666666666599</v>
      </c>
      <c r="AE880">
        <v>392.79333333333301</v>
      </c>
      <c r="AF880">
        <v>384.05666666666599</v>
      </c>
      <c r="AG880">
        <v>378.37</v>
      </c>
      <c r="AH880">
        <v>375.683333333333</v>
      </c>
      <c r="AI880">
        <v>402.93666666666599</v>
      </c>
      <c r="AJ880">
        <v>374.95333333333298</v>
      </c>
      <c r="AK880">
        <v>392.57666666666597</v>
      </c>
      <c r="AL880">
        <v>380.06</v>
      </c>
      <c r="AM880">
        <v>374.3</v>
      </c>
      <c r="AN880">
        <v>369.87333333333299</v>
      </c>
      <c r="AO880">
        <v>392.70999999999901</v>
      </c>
      <c r="AP880">
        <v>333</v>
      </c>
      <c r="AQ880">
        <v>374.21</v>
      </c>
      <c r="AR880">
        <v>345.38333333333298</v>
      </c>
      <c r="AS880">
        <v>331.64999999999901</v>
      </c>
      <c r="AT880">
        <v>322.14666666666602</v>
      </c>
      <c r="AU880">
        <v>407.45666666666602</v>
      </c>
      <c r="AV880">
        <v>363.07666666666597</v>
      </c>
      <c r="AW880">
        <v>392.26</v>
      </c>
      <c r="AX880">
        <v>373.44333333333299</v>
      </c>
      <c r="AY880">
        <v>363.55999999999898</v>
      </c>
      <c r="AZ880">
        <v>356.92666666666599</v>
      </c>
      <c r="BA880">
        <v>396.43666666666599</v>
      </c>
      <c r="BB880">
        <v>351.06333333333299</v>
      </c>
      <c r="BC880">
        <v>380.78666666666601</v>
      </c>
      <c r="BD880">
        <v>361.12666666666598</v>
      </c>
      <c r="BE880">
        <v>351.17333333333301</v>
      </c>
      <c r="BF880">
        <v>343.75</v>
      </c>
      <c r="BG880" s="14"/>
      <c r="BH880" s="14"/>
      <c r="BI880" s="14"/>
      <c r="BJ880" s="199"/>
      <c r="BK880" s="14"/>
      <c r="BL880" s="14"/>
      <c r="BM880" s="14"/>
      <c r="BN880" s="14"/>
      <c r="BO880" s="14"/>
      <c r="BP880" s="14"/>
      <c r="BQ880" s="14"/>
      <c r="BR880" s="14"/>
      <c r="BS880" s="14"/>
      <c r="BT880" s="14"/>
      <c r="BU880" s="14"/>
      <c r="BV880" s="14"/>
      <c r="BW880" s="14"/>
      <c r="BX880" s="14"/>
      <c r="BY880" s="170"/>
    </row>
    <row r="881" spans="9:77" x14ac:dyDescent="0.25">
      <c r="I881">
        <v>8783</v>
      </c>
      <c r="J881" s="1" t="s">
        <v>1055</v>
      </c>
      <c r="K881">
        <v>361.486666666666</v>
      </c>
      <c r="L881">
        <v>333.50333333333299</v>
      </c>
      <c r="M881">
        <v>351.12666666666598</v>
      </c>
      <c r="N881">
        <v>338.60999999999899</v>
      </c>
      <c r="O881">
        <v>332.85</v>
      </c>
      <c r="P881">
        <v>328.42333333333301</v>
      </c>
      <c r="Q881">
        <v>337.37666666666598</v>
      </c>
      <c r="R881">
        <v>288.72000000000003</v>
      </c>
      <c r="S881">
        <v>320.236666666666</v>
      </c>
      <c r="T881">
        <v>299.99666666666599</v>
      </c>
      <c r="U881">
        <v>289.31</v>
      </c>
      <c r="V881">
        <v>281.69</v>
      </c>
      <c r="W881">
        <v>340.88</v>
      </c>
      <c r="X881">
        <v>314.19999999999902</v>
      </c>
      <c r="Y881">
        <v>324.16333333333301</v>
      </c>
      <c r="Z881">
        <v>322.416666666666</v>
      </c>
      <c r="AA881">
        <v>317.43</v>
      </c>
      <c r="AB881">
        <v>317.43</v>
      </c>
      <c r="AC881">
        <v>362.96</v>
      </c>
      <c r="AD881">
        <v>331.736666666666</v>
      </c>
      <c r="AE881">
        <v>351.34333333333302</v>
      </c>
      <c r="AF881">
        <v>342.606666666666</v>
      </c>
      <c r="AG881">
        <v>336.92</v>
      </c>
      <c r="AH881">
        <v>334.23333333333301</v>
      </c>
      <c r="AI881">
        <v>361.486666666666</v>
      </c>
      <c r="AJ881">
        <v>333.50333333333299</v>
      </c>
      <c r="AK881">
        <v>351.12666666666598</v>
      </c>
      <c r="AL881">
        <v>338.60999999999899</v>
      </c>
      <c r="AM881">
        <v>332.85</v>
      </c>
      <c r="AN881">
        <v>328.42333333333301</v>
      </c>
      <c r="AO881">
        <v>351.25999999999902</v>
      </c>
      <c r="AP881">
        <v>291.54999999999899</v>
      </c>
      <c r="AQ881">
        <v>332.75999999999902</v>
      </c>
      <c r="AR881">
        <v>303.933333333333</v>
      </c>
      <c r="AS881">
        <v>290.19999999999902</v>
      </c>
      <c r="AT881">
        <v>280.69666666666598</v>
      </c>
      <c r="AU881">
        <v>366.00666666666598</v>
      </c>
      <c r="AV881">
        <v>321.62666666666598</v>
      </c>
      <c r="AW881">
        <v>350.81</v>
      </c>
      <c r="AX881">
        <v>331.993333333333</v>
      </c>
      <c r="AY881">
        <v>322.10999999999899</v>
      </c>
      <c r="AZ881">
        <v>315.47666666666601</v>
      </c>
      <c r="BA881">
        <v>354.986666666666</v>
      </c>
      <c r="BB881">
        <v>309.613333333333</v>
      </c>
      <c r="BC881">
        <v>339.33666666666602</v>
      </c>
      <c r="BD881">
        <v>319.67666666666599</v>
      </c>
      <c r="BE881">
        <v>309.72333333333302</v>
      </c>
      <c r="BF881">
        <v>302.3</v>
      </c>
      <c r="BG881" s="14"/>
      <c r="BH881" s="14"/>
      <c r="BI881" s="14"/>
      <c r="BJ881" s="199"/>
      <c r="BK881" s="14"/>
      <c r="BL881" s="14"/>
      <c r="BM881" s="14"/>
      <c r="BN881" s="14"/>
      <c r="BO881" s="14"/>
      <c r="BP881" s="14"/>
      <c r="BQ881" s="14"/>
      <c r="BR881" s="14"/>
      <c r="BS881" s="14"/>
      <c r="BT881" s="14"/>
      <c r="BU881" s="14"/>
      <c r="BV881" s="14"/>
      <c r="BW881" s="14"/>
      <c r="BX881" s="14"/>
      <c r="BY881" s="170"/>
    </row>
    <row r="882" spans="9:77" x14ac:dyDescent="0.25">
      <c r="I882">
        <v>8791</v>
      </c>
      <c r="J882" s="1"/>
      <c r="K882">
        <v>258.53333333333302</v>
      </c>
      <c r="L882">
        <v>216.27666666666599</v>
      </c>
      <c r="M882">
        <v>244.23999999999899</v>
      </c>
      <c r="N882">
        <v>224.31666666666601</v>
      </c>
      <c r="O882">
        <v>215.23</v>
      </c>
      <c r="P882">
        <v>208.75</v>
      </c>
      <c r="Q882">
        <v>237.95999999999901</v>
      </c>
      <c r="R882">
        <v>180.91999999999899</v>
      </c>
      <c r="S882">
        <v>220</v>
      </c>
      <c r="T882">
        <v>194.37666666666601</v>
      </c>
      <c r="U882">
        <v>180.67333333333301</v>
      </c>
      <c r="V882">
        <v>169.326666666666</v>
      </c>
      <c r="W882">
        <v>240.83666666666599</v>
      </c>
      <c r="X882">
        <v>212.26999999999899</v>
      </c>
      <c r="Y882">
        <v>223.363333333333</v>
      </c>
      <c r="Z882">
        <v>221.47666666666601</v>
      </c>
      <c r="AA882">
        <v>215.86666666666599</v>
      </c>
      <c r="AB882">
        <v>215.86666666666599</v>
      </c>
      <c r="AC882">
        <v>264.099999999999</v>
      </c>
      <c r="AD882">
        <v>219.85333333333301</v>
      </c>
      <c r="AE882">
        <v>249.523333333333</v>
      </c>
      <c r="AF882">
        <v>236.319999999999</v>
      </c>
      <c r="AG882">
        <v>227.85333333333301</v>
      </c>
      <c r="AH882">
        <v>223.86666666666599</v>
      </c>
      <c r="AI882">
        <v>258.53333333333302</v>
      </c>
      <c r="AJ882">
        <v>216.27666666666599</v>
      </c>
      <c r="AK882">
        <v>244.23999999999899</v>
      </c>
      <c r="AL882">
        <v>224.31666666666601</v>
      </c>
      <c r="AM882">
        <v>215.23</v>
      </c>
      <c r="AN882">
        <v>208.75</v>
      </c>
      <c r="AO882">
        <v>255.99666666666599</v>
      </c>
      <c r="AP882">
        <v>189.07333333333301</v>
      </c>
      <c r="AQ882">
        <v>237.39999999999901</v>
      </c>
      <c r="AR882">
        <v>204.31</v>
      </c>
      <c r="AS882">
        <v>186.576666666666</v>
      </c>
      <c r="AT882">
        <v>172.40666666666601</v>
      </c>
      <c r="AU882">
        <v>269.44999999999902</v>
      </c>
      <c r="AV882">
        <v>217.49666666666599</v>
      </c>
      <c r="AW882">
        <v>252.60333333333301</v>
      </c>
      <c r="AX882">
        <v>229.64</v>
      </c>
      <c r="AY882">
        <v>217.68666666666601</v>
      </c>
      <c r="AZ882">
        <v>208.94333333333299</v>
      </c>
      <c r="BA882">
        <v>261.37333333333299</v>
      </c>
      <c r="BB882">
        <v>206.92</v>
      </c>
      <c r="BC882">
        <v>244.35333333333301</v>
      </c>
      <c r="BD882">
        <v>219.409999999999</v>
      </c>
      <c r="BE882">
        <v>206.416666666666</v>
      </c>
      <c r="BF882">
        <v>195.96666666666599</v>
      </c>
      <c r="BG882" s="14"/>
      <c r="BH882" s="14"/>
      <c r="BI882" s="14"/>
      <c r="BJ882" s="199"/>
      <c r="BK882" s="14"/>
      <c r="BL882" s="14"/>
      <c r="BM882" s="14"/>
      <c r="BN882" s="14"/>
      <c r="BO882" s="14"/>
      <c r="BP882" s="14"/>
      <c r="BQ882" s="14"/>
      <c r="BR882" s="14"/>
      <c r="BS882" s="14"/>
      <c r="BT882" s="14"/>
      <c r="BU882" s="14"/>
      <c r="BV882" s="14"/>
      <c r="BW882" s="14"/>
      <c r="BX882" s="14"/>
      <c r="BY882" s="170"/>
    </row>
    <row r="883" spans="9:77" x14ac:dyDescent="0.25">
      <c r="I883">
        <v>8795</v>
      </c>
      <c r="J883" s="1"/>
      <c r="K883">
        <v>248.41333333333299</v>
      </c>
      <c r="L883">
        <v>211.729999999999</v>
      </c>
      <c r="M883">
        <v>235.78333333333299</v>
      </c>
      <c r="N883">
        <v>218.58666666666599</v>
      </c>
      <c r="O883">
        <v>210.85999999999899</v>
      </c>
      <c r="P883">
        <v>205.229999999999</v>
      </c>
      <c r="Q883">
        <v>231.66</v>
      </c>
      <c r="R883">
        <v>176.74666666666599</v>
      </c>
      <c r="S883">
        <v>214.10333333333301</v>
      </c>
      <c r="T883">
        <v>189.59</v>
      </c>
      <c r="U883">
        <v>176.289999999999</v>
      </c>
      <c r="V883">
        <v>165.56333333333299</v>
      </c>
      <c r="W883">
        <v>234.52666666666599</v>
      </c>
      <c r="X883">
        <v>206.19</v>
      </c>
      <c r="Y883">
        <v>217.36999999999901</v>
      </c>
      <c r="Z883">
        <v>215.48999999999899</v>
      </c>
      <c r="AA883">
        <v>209.773333333333</v>
      </c>
      <c r="AB883">
        <v>209.773333333333</v>
      </c>
      <c r="AC883">
        <v>249.68666666666601</v>
      </c>
      <c r="AD883">
        <v>208.55999999999901</v>
      </c>
      <c r="AE883">
        <v>235.713333333333</v>
      </c>
      <c r="AF883">
        <v>223.70999999999901</v>
      </c>
      <c r="AG883">
        <v>215.93666666666601</v>
      </c>
      <c r="AH883">
        <v>212.12333333333299</v>
      </c>
      <c r="AI883">
        <v>248.41333333333299</v>
      </c>
      <c r="AJ883">
        <v>211.729999999999</v>
      </c>
      <c r="AK883">
        <v>235.78333333333299</v>
      </c>
      <c r="AL883">
        <v>218.58666666666599</v>
      </c>
      <c r="AM883">
        <v>210.85999999999899</v>
      </c>
      <c r="AN883">
        <v>205.229999999999</v>
      </c>
      <c r="AO883">
        <v>245.386666666666</v>
      </c>
      <c r="AP883">
        <v>179.743333333333</v>
      </c>
      <c r="AQ883">
        <v>226.863333333333</v>
      </c>
      <c r="AR883">
        <v>194.683333333333</v>
      </c>
      <c r="AS883">
        <v>177.34333333333299</v>
      </c>
      <c r="AT883">
        <v>162.98999999999899</v>
      </c>
      <c r="AU883">
        <v>259.69</v>
      </c>
      <c r="AV883">
        <v>207.113333333333</v>
      </c>
      <c r="AW883">
        <v>243.13</v>
      </c>
      <c r="AX883">
        <v>219.23999999999899</v>
      </c>
      <c r="AY883">
        <v>207.00333333333299</v>
      </c>
      <c r="AZ883">
        <v>198.00666666666601</v>
      </c>
      <c r="BA883">
        <v>248.479999999999</v>
      </c>
      <c r="BB883">
        <v>194.15333333333299</v>
      </c>
      <c r="BC883">
        <v>231.30999999999901</v>
      </c>
      <c r="BD883">
        <v>206.67333333333301</v>
      </c>
      <c r="BE883">
        <v>193.61666666666599</v>
      </c>
      <c r="BF883">
        <v>183.06</v>
      </c>
      <c r="BG883" s="14"/>
      <c r="BH883" s="14"/>
      <c r="BI883" s="14"/>
      <c r="BJ883" s="199"/>
      <c r="BK883" s="14"/>
      <c r="BL883" s="14"/>
      <c r="BM883" s="14"/>
      <c r="BN883" s="14"/>
      <c r="BO883" s="14"/>
      <c r="BP883" s="14"/>
      <c r="BQ883" s="14"/>
      <c r="BR883" s="14"/>
      <c r="BS883" s="14"/>
      <c r="BT883" s="14"/>
      <c r="BU883" s="14"/>
      <c r="BV883" s="14"/>
      <c r="BW883" s="14"/>
      <c r="BX883" s="14"/>
      <c r="BY883" s="170"/>
    </row>
    <row r="884" spans="9:77" x14ac:dyDescent="0.25">
      <c r="I884">
        <v>8799</v>
      </c>
      <c r="J884" s="1"/>
      <c r="K884">
        <v>266.44333333333299</v>
      </c>
      <c r="L884">
        <v>229.759999999999</v>
      </c>
      <c r="M884">
        <v>253.81333333333299</v>
      </c>
      <c r="N884">
        <v>236.61666666666599</v>
      </c>
      <c r="O884">
        <v>228.88999999999899</v>
      </c>
      <c r="P884">
        <v>223.259999999999</v>
      </c>
      <c r="Q884">
        <v>249.69</v>
      </c>
      <c r="R884">
        <v>194.77666666666599</v>
      </c>
      <c r="S884">
        <v>232.13333333333301</v>
      </c>
      <c r="T884">
        <v>207.62</v>
      </c>
      <c r="U884">
        <v>194.319999999999</v>
      </c>
      <c r="V884">
        <v>183.59333333333299</v>
      </c>
      <c r="W884">
        <v>252.55666666666599</v>
      </c>
      <c r="X884">
        <v>224.219999999999</v>
      </c>
      <c r="Y884">
        <v>235.39999999999901</v>
      </c>
      <c r="Z884">
        <v>233.51999999999899</v>
      </c>
      <c r="AA884">
        <v>227.803333333333</v>
      </c>
      <c r="AB884">
        <v>227.803333333333</v>
      </c>
      <c r="AC884">
        <v>267.71666666666601</v>
      </c>
      <c r="AD884">
        <v>226.58999999999901</v>
      </c>
      <c r="AE884">
        <v>253.743333333333</v>
      </c>
      <c r="AF884">
        <v>241.73999999999899</v>
      </c>
      <c r="AG884">
        <v>233.96666666666599</v>
      </c>
      <c r="AH884">
        <v>230.15333333333299</v>
      </c>
      <c r="AI884">
        <v>266.44333333333299</v>
      </c>
      <c r="AJ884">
        <v>229.759999999999</v>
      </c>
      <c r="AK884">
        <v>253.81333333333299</v>
      </c>
      <c r="AL884">
        <v>236.61666666666599</v>
      </c>
      <c r="AM884">
        <v>228.88999999999899</v>
      </c>
      <c r="AN884">
        <v>223.259999999999</v>
      </c>
      <c r="AO884">
        <v>263.416666666666</v>
      </c>
      <c r="AP884">
        <v>197.773333333333</v>
      </c>
      <c r="AQ884">
        <v>244.893333333333</v>
      </c>
      <c r="AR884">
        <v>212.713333333333</v>
      </c>
      <c r="AS884">
        <v>195.37333333333299</v>
      </c>
      <c r="AT884">
        <v>181.01999999999899</v>
      </c>
      <c r="AU884">
        <v>277.719999999999</v>
      </c>
      <c r="AV884">
        <v>225.143333333333</v>
      </c>
      <c r="AW884">
        <v>261.159999999999</v>
      </c>
      <c r="AX884">
        <v>237.26999999999899</v>
      </c>
      <c r="AY884">
        <v>225.03333333333299</v>
      </c>
      <c r="AZ884">
        <v>216.03666666666601</v>
      </c>
      <c r="BA884">
        <v>266.50999999999902</v>
      </c>
      <c r="BB884">
        <v>212.183333333333</v>
      </c>
      <c r="BC884">
        <v>249.33999999999901</v>
      </c>
      <c r="BD884">
        <v>224.70333333333301</v>
      </c>
      <c r="BE884">
        <v>211.64666666666599</v>
      </c>
      <c r="BF884">
        <v>201.09</v>
      </c>
      <c r="BG884" s="14"/>
      <c r="BH884" s="14"/>
      <c r="BI884" s="14"/>
      <c r="BJ884" s="199"/>
      <c r="BK884" s="14"/>
      <c r="BL884" s="14"/>
      <c r="BM884" s="14"/>
      <c r="BN884" s="14"/>
      <c r="BO884" s="14"/>
      <c r="BP884" s="14"/>
      <c r="BQ884" s="14"/>
      <c r="BR884" s="14"/>
      <c r="BS884" s="14"/>
      <c r="BT884" s="14"/>
      <c r="BU884" s="14"/>
      <c r="BV884" s="14"/>
      <c r="BW884" s="14"/>
      <c r="BX884" s="14"/>
      <c r="BY884" s="170"/>
    </row>
    <row r="885" spans="9:77" x14ac:dyDescent="0.25">
      <c r="I885">
        <v>8800</v>
      </c>
      <c r="J885" s="1" t="s">
        <v>1056</v>
      </c>
      <c r="K885">
        <v>487.67999999999898</v>
      </c>
      <c r="L885">
        <v>454.07666666666597</v>
      </c>
      <c r="M885">
        <v>475.54999999999899</v>
      </c>
      <c r="N885">
        <v>460.17333333333301</v>
      </c>
      <c r="O885">
        <v>453.44</v>
      </c>
      <c r="P885">
        <v>448.16333333333301</v>
      </c>
      <c r="Q885">
        <v>471.053333333333</v>
      </c>
      <c r="R885">
        <v>416.59666666666601</v>
      </c>
      <c r="S885">
        <v>454.099999999999</v>
      </c>
      <c r="T885">
        <v>429.07666666666597</v>
      </c>
      <c r="U885">
        <v>416.19666666666598</v>
      </c>
      <c r="V885">
        <v>405.7</v>
      </c>
      <c r="W885">
        <v>473.70333333333298</v>
      </c>
      <c r="X885">
        <v>446.416666666666</v>
      </c>
      <c r="Y885">
        <v>457.27666666666602</v>
      </c>
      <c r="Z885">
        <v>455.349999999999</v>
      </c>
      <c r="AA885">
        <v>449.88666666666597</v>
      </c>
      <c r="AB885">
        <v>449.88666666666597</v>
      </c>
      <c r="AC885">
        <v>488.38999999999902</v>
      </c>
      <c r="AD885">
        <v>451.10333333333301</v>
      </c>
      <c r="AE885">
        <v>475.11999999999898</v>
      </c>
      <c r="AF885">
        <v>464.39999999999901</v>
      </c>
      <c r="AG885">
        <v>457.67333333333301</v>
      </c>
      <c r="AH885">
        <v>454.38666666666597</v>
      </c>
      <c r="AI885">
        <v>487.67999999999898</v>
      </c>
      <c r="AJ885">
        <v>454.07666666666597</v>
      </c>
      <c r="AK885">
        <v>475.54999999999899</v>
      </c>
      <c r="AL885">
        <v>460.17333333333301</v>
      </c>
      <c r="AM885">
        <v>453.44</v>
      </c>
      <c r="AN885">
        <v>448.16333333333301</v>
      </c>
      <c r="AO885">
        <v>483.73333333333301</v>
      </c>
      <c r="AP885">
        <v>418.81333333333299</v>
      </c>
      <c r="AQ885">
        <v>465.28333333333302</v>
      </c>
      <c r="AR885">
        <v>433.97666666666601</v>
      </c>
      <c r="AS885">
        <v>416.356666666666</v>
      </c>
      <c r="AT885">
        <v>401.993333333333</v>
      </c>
      <c r="AU885">
        <v>496.09666666666601</v>
      </c>
      <c r="AV885">
        <v>444.67666666666599</v>
      </c>
      <c r="AW885">
        <v>479.97333333333302</v>
      </c>
      <c r="AX885">
        <v>456.6</v>
      </c>
      <c r="AY885">
        <v>444.32666666666597</v>
      </c>
      <c r="AZ885">
        <v>435.22333333333302</v>
      </c>
      <c r="BA885">
        <v>485.469999999999</v>
      </c>
      <c r="BB885">
        <v>433.81</v>
      </c>
      <c r="BC885">
        <v>469.51666666666603</v>
      </c>
      <c r="BD885">
        <v>445.606666666666</v>
      </c>
      <c r="BE885">
        <v>433.12666666666598</v>
      </c>
      <c r="BF885">
        <v>423.63</v>
      </c>
      <c r="BG885" s="14"/>
      <c r="BH885" s="14"/>
      <c r="BI885" s="14"/>
      <c r="BJ885" s="199"/>
      <c r="BK885" s="14"/>
      <c r="BL885" s="14"/>
      <c r="BM885" s="14"/>
      <c r="BN885" s="14"/>
      <c r="BO885" s="14"/>
      <c r="BP885" s="14"/>
      <c r="BQ885" s="14"/>
      <c r="BR885" s="14"/>
      <c r="BS885" s="14"/>
      <c r="BT885" s="14"/>
      <c r="BU885" s="14"/>
      <c r="BV885" s="14"/>
      <c r="BW885" s="14"/>
      <c r="BX885" s="14"/>
      <c r="BY885" s="170"/>
    </row>
    <row r="886" spans="9:77" x14ac:dyDescent="0.25">
      <c r="I886">
        <v>8830</v>
      </c>
      <c r="J886" s="1" t="s">
        <v>1057</v>
      </c>
      <c r="K886">
        <v>419.96</v>
      </c>
      <c r="L886">
        <v>386.356666666666</v>
      </c>
      <c r="M886">
        <v>407.83</v>
      </c>
      <c r="N886">
        <v>392.45333333333298</v>
      </c>
      <c r="O886">
        <v>385.72</v>
      </c>
      <c r="P886">
        <v>380.44333333333299</v>
      </c>
      <c r="Q886">
        <v>403.33333333333297</v>
      </c>
      <c r="R886">
        <v>348.87666666666598</v>
      </c>
      <c r="S886">
        <v>386.38</v>
      </c>
      <c r="T886">
        <v>361.356666666666</v>
      </c>
      <c r="U886">
        <v>348.47666666666601</v>
      </c>
      <c r="V886">
        <v>337.98</v>
      </c>
      <c r="W886">
        <v>405.98333333333301</v>
      </c>
      <c r="X886">
        <v>378.69666666666598</v>
      </c>
      <c r="Y886">
        <v>389.55666666666599</v>
      </c>
      <c r="Z886">
        <v>387.63</v>
      </c>
      <c r="AA886">
        <v>382.166666666666</v>
      </c>
      <c r="AB886">
        <v>382.166666666666</v>
      </c>
      <c r="AC886">
        <v>420.67</v>
      </c>
      <c r="AD886">
        <v>383.38333333333298</v>
      </c>
      <c r="AE886">
        <v>407.4</v>
      </c>
      <c r="AF886">
        <v>396.68</v>
      </c>
      <c r="AG886">
        <v>389.95333333333298</v>
      </c>
      <c r="AH886">
        <v>386.666666666666</v>
      </c>
      <c r="AI886">
        <v>419.96</v>
      </c>
      <c r="AJ886">
        <v>386.356666666666</v>
      </c>
      <c r="AK886">
        <v>407.83</v>
      </c>
      <c r="AL886">
        <v>392.45333333333298</v>
      </c>
      <c r="AM886">
        <v>385.72</v>
      </c>
      <c r="AN886">
        <v>380.44333333333299</v>
      </c>
      <c r="AO886">
        <v>416.01333333333298</v>
      </c>
      <c r="AP886">
        <v>351.09333333333302</v>
      </c>
      <c r="AQ886">
        <v>397.56333333333299</v>
      </c>
      <c r="AR886">
        <v>366.25666666666598</v>
      </c>
      <c r="AS886">
        <v>348.63666666666597</v>
      </c>
      <c r="AT886">
        <v>334.27333333333303</v>
      </c>
      <c r="AU886">
        <v>428.37666666666598</v>
      </c>
      <c r="AV886">
        <v>376.95666666666602</v>
      </c>
      <c r="AW886">
        <v>412.25333333333299</v>
      </c>
      <c r="AX886">
        <v>388.88</v>
      </c>
      <c r="AY886">
        <v>376.606666666666</v>
      </c>
      <c r="AZ886">
        <v>367.50333333333299</v>
      </c>
      <c r="BA886">
        <v>417.75</v>
      </c>
      <c r="BB886">
        <v>366.09</v>
      </c>
      <c r="BC886">
        <v>401.796666666666</v>
      </c>
      <c r="BD886">
        <v>377.88666666666597</v>
      </c>
      <c r="BE886">
        <v>365.40666666666601</v>
      </c>
      <c r="BF886">
        <v>355.91</v>
      </c>
      <c r="BG886" s="14"/>
      <c r="BH886" s="14"/>
      <c r="BI886" s="14"/>
      <c r="BJ886" s="199"/>
      <c r="BK886" s="14"/>
      <c r="BL886" s="14"/>
      <c r="BM886" s="14"/>
      <c r="BN886" s="14"/>
      <c r="BO886" s="14"/>
      <c r="BP886" s="14"/>
      <c r="BQ886" s="14"/>
      <c r="BR886" s="14"/>
      <c r="BS886" s="14"/>
      <c r="BT886" s="14"/>
      <c r="BU886" s="14"/>
      <c r="BV886" s="14"/>
      <c r="BW886" s="14"/>
      <c r="BX886" s="14"/>
      <c r="BY886" s="170"/>
    </row>
    <row r="887" spans="9:77" x14ac:dyDescent="0.25">
      <c r="I887">
        <v>8831</v>
      </c>
      <c r="J887" s="1" t="s">
        <v>1058</v>
      </c>
      <c r="K887">
        <v>464.70999999999901</v>
      </c>
      <c r="L887">
        <v>431.106666666666</v>
      </c>
      <c r="M887">
        <v>452.57999999999902</v>
      </c>
      <c r="N887">
        <v>437.20333333333298</v>
      </c>
      <c r="O887">
        <v>430.469999999999</v>
      </c>
      <c r="P887">
        <v>425.19333333333299</v>
      </c>
      <c r="Q887">
        <v>448.08333333333297</v>
      </c>
      <c r="R887">
        <v>393.62666666666598</v>
      </c>
      <c r="S887">
        <v>431.12999999999897</v>
      </c>
      <c r="T887">
        <v>406.106666666666</v>
      </c>
      <c r="U887">
        <v>393.22666666666601</v>
      </c>
      <c r="V887">
        <v>382.73</v>
      </c>
      <c r="W887">
        <v>450.73333333333301</v>
      </c>
      <c r="X887">
        <v>423.44666666666598</v>
      </c>
      <c r="Y887">
        <v>434.30666666666599</v>
      </c>
      <c r="Z887">
        <v>432.37999999999897</v>
      </c>
      <c r="AA887">
        <v>426.916666666666</v>
      </c>
      <c r="AB887">
        <v>426.916666666666</v>
      </c>
      <c r="AC887">
        <v>465.41999999999899</v>
      </c>
      <c r="AD887">
        <v>428.13333333333298</v>
      </c>
      <c r="AE887">
        <v>452.14999999999901</v>
      </c>
      <c r="AF887">
        <v>441.42999999999898</v>
      </c>
      <c r="AG887">
        <v>434.70333333333298</v>
      </c>
      <c r="AH887">
        <v>431.416666666666</v>
      </c>
      <c r="AI887">
        <v>464.70999999999901</v>
      </c>
      <c r="AJ887">
        <v>431.106666666666</v>
      </c>
      <c r="AK887">
        <v>452.57999999999902</v>
      </c>
      <c r="AL887">
        <v>437.20333333333298</v>
      </c>
      <c r="AM887">
        <v>430.469999999999</v>
      </c>
      <c r="AN887">
        <v>425.19333333333299</v>
      </c>
      <c r="AO887">
        <v>460.76333333333298</v>
      </c>
      <c r="AP887">
        <v>395.84333333333302</v>
      </c>
      <c r="AQ887">
        <v>442.31333333333299</v>
      </c>
      <c r="AR887">
        <v>411.00666666666598</v>
      </c>
      <c r="AS887">
        <v>393.38666666666597</v>
      </c>
      <c r="AT887">
        <v>379.02333333333303</v>
      </c>
      <c r="AU887">
        <v>473.12666666666598</v>
      </c>
      <c r="AV887">
        <v>421.70666666666602</v>
      </c>
      <c r="AW887">
        <v>457.00333333333299</v>
      </c>
      <c r="AX887">
        <v>433.63</v>
      </c>
      <c r="AY887">
        <v>421.356666666666</v>
      </c>
      <c r="AZ887">
        <v>412.25333333333299</v>
      </c>
      <c r="BA887">
        <v>462.49999999999898</v>
      </c>
      <c r="BB887">
        <v>410.84</v>
      </c>
      <c r="BC887">
        <v>446.546666666666</v>
      </c>
      <c r="BD887">
        <v>422.63666666666597</v>
      </c>
      <c r="BE887">
        <v>410.15666666666601</v>
      </c>
      <c r="BF887">
        <v>400.659999999999</v>
      </c>
      <c r="BG887" s="14"/>
      <c r="BH887" s="14"/>
      <c r="BI887" s="14"/>
      <c r="BJ887" s="199"/>
      <c r="BK887" s="14"/>
      <c r="BL887" s="14"/>
      <c r="BM887" s="14"/>
      <c r="BN887" s="14"/>
      <c r="BO887" s="14"/>
      <c r="BP887" s="14"/>
      <c r="BQ887" s="14"/>
      <c r="BR887" s="14"/>
      <c r="BS887" s="14"/>
      <c r="BT887" s="14"/>
      <c r="BU887" s="14"/>
      <c r="BV887" s="14"/>
      <c r="BW887" s="14"/>
      <c r="BX887" s="14"/>
      <c r="BY887" s="170"/>
    </row>
    <row r="888" spans="9:77" x14ac:dyDescent="0.25">
      <c r="I888">
        <v>8832</v>
      </c>
      <c r="J888" s="1" t="s">
        <v>1059</v>
      </c>
      <c r="K888">
        <v>464.70999999999901</v>
      </c>
      <c r="L888">
        <v>431.106666666666</v>
      </c>
      <c r="M888">
        <v>452.57999999999902</v>
      </c>
      <c r="N888">
        <v>437.20333333333298</v>
      </c>
      <c r="O888">
        <v>430.469999999999</v>
      </c>
      <c r="P888">
        <v>425.19333333333299</v>
      </c>
      <c r="Q888">
        <v>448.08333333333297</v>
      </c>
      <c r="R888">
        <v>393.62666666666598</v>
      </c>
      <c r="S888">
        <v>431.12999999999897</v>
      </c>
      <c r="T888">
        <v>406.106666666666</v>
      </c>
      <c r="U888">
        <v>393.22666666666601</v>
      </c>
      <c r="V888">
        <v>382.73</v>
      </c>
      <c r="W888">
        <v>450.73333333333301</v>
      </c>
      <c r="X888">
        <v>423.44666666666598</v>
      </c>
      <c r="Y888">
        <v>434.30666666666599</v>
      </c>
      <c r="Z888">
        <v>432.37999999999897</v>
      </c>
      <c r="AA888">
        <v>426.916666666666</v>
      </c>
      <c r="AB888">
        <v>426.916666666666</v>
      </c>
      <c r="AC888">
        <v>465.41999999999899</v>
      </c>
      <c r="AD888">
        <v>428.13333333333298</v>
      </c>
      <c r="AE888">
        <v>452.14999999999901</v>
      </c>
      <c r="AF888">
        <v>441.42999999999898</v>
      </c>
      <c r="AG888">
        <v>434.70333333333298</v>
      </c>
      <c r="AH888">
        <v>431.416666666666</v>
      </c>
      <c r="AI888">
        <v>464.70999999999901</v>
      </c>
      <c r="AJ888">
        <v>431.106666666666</v>
      </c>
      <c r="AK888">
        <v>452.57999999999902</v>
      </c>
      <c r="AL888">
        <v>437.20333333333298</v>
      </c>
      <c r="AM888">
        <v>430.469999999999</v>
      </c>
      <c r="AN888">
        <v>425.19333333333299</v>
      </c>
      <c r="AO888">
        <v>460.76333333333298</v>
      </c>
      <c r="AP888">
        <v>395.84333333333302</v>
      </c>
      <c r="AQ888">
        <v>442.31333333333299</v>
      </c>
      <c r="AR888">
        <v>411.00666666666598</v>
      </c>
      <c r="AS888">
        <v>393.38666666666597</v>
      </c>
      <c r="AT888">
        <v>379.02333333333303</v>
      </c>
      <c r="AU888">
        <v>473.12666666666598</v>
      </c>
      <c r="AV888">
        <v>421.70666666666602</v>
      </c>
      <c r="AW888">
        <v>457.00333333333299</v>
      </c>
      <c r="AX888">
        <v>433.63</v>
      </c>
      <c r="AY888">
        <v>421.356666666666</v>
      </c>
      <c r="AZ888">
        <v>412.25333333333299</v>
      </c>
      <c r="BA888">
        <v>462.49999999999898</v>
      </c>
      <c r="BB888">
        <v>410.84</v>
      </c>
      <c r="BC888">
        <v>446.546666666666</v>
      </c>
      <c r="BD888">
        <v>422.63666666666597</v>
      </c>
      <c r="BE888">
        <v>410.15666666666601</v>
      </c>
      <c r="BF888">
        <v>400.659999999999</v>
      </c>
      <c r="BG888" s="14"/>
      <c r="BH888" s="14"/>
      <c r="BI888" s="14"/>
      <c r="BJ888" s="199"/>
      <c r="BK888" s="14"/>
      <c r="BL888" s="14"/>
      <c r="BM888" s="14"/>
      <c r="BN888" s="14"/>
      <c r="BO888" s="14"/>
      <c r="BP888" s="14"/>
      <c r="BQ888" s="14"/>
      <c r="BR888" s="14"/>
      <c r="BS888" s="14"/>
      <c r="BT888" s="14"/>
      <c r="BU888" s="14"/>
      <c r="BV888" s="14"/>
      <c r="BW888" s="14"/>
      <c r="BX888" s="14"/>
      <c r="BY888" s="170"/>
    </row>
    <row r="889" spans="9:77" x14ac:dyDescent="0.25">
      <c r="I889">
        <v>8840</v>
      </c>
      <c r="J889" s="1" t="s">
        <v>1060</v>
      </c>
      <c r="K889">
        <v>431.61</v>
      </c>
      <c r="L889">
        <v>398.00666666666598</v>
      </c>
      <c r="M889">
        <v>419.48</v>
      </c>
      <c r="N889">
        <v>404.10333333333301</v>
      </c>
      <c r="O889">
        <v>397.37</v>
      </c>
      <c r="P889">
        <v>392.09333333333302</v>
      </c>
      <c r="Q889">
        <v>414.98333333333301</v>
      </c>
      <c r="R889">
        <v>360.52666666666602</v>
      </c>
      <c r="S889">
        <v>398.03</v>
      </c>
      <c r="T889">
        <v>373.00666666666598</v>
      </c>
      <c r="U889">
        <v>360.12666666666598</v>
      </c>
      <c r="V889">
        <v>349.63</v>
      </c>
      <c r="W889">
        <v>417.63333333333298</v>
      </c>
      <c r="X889">
        <v>390.34666666666601</v>
      </c>
      <c r="Y889">
        <v>401.20666666666602</v>
      </c>
      <c r="Z889">
        <v>399.28</v>
      </c>
      <c r="AA889">
        <v>393.81666666666598</v>
      </c>
      <c r="AB889">
        <v>393.81666666666598</v>
      </c>
      <c r="AC889">
        <v>432.32</v>
      </c>
      <c r="AD889">
        <v>395.03333333333302</v>
      </c>
      <c r="AE889">
        <v>419.05</v>
      </c>
      <c r="AF889">
        <v>408.33</v>
      </c>
      <c r="AG889">
        <v>401.60333333333301</v>
      </c>
      <c r="AH889">
        <v>398.31666666666598</v>
      </c>
      <c r="AI889">
        <v>431.61</v>
      </c>
      <c r="AJ889">
        <v>398.00666666666598</v>
      </c>
      <c r="AK889">
        <v>419.48</v>
      </c>
      <c r="AL889">
        <v>404.10333333333301</v>
      </c>
      <c r="AM889">
        <v>397.37</v>
      </c>
      <c r="AN889">
        <v>392.09333333333302</v>
      </c>
      <c r="AO889">
        <v>427.66333333333301</v>
      </c>
      <c r="AP889">
        <v>362.743333333333</v>
      </c>
      <c r="AQ889">
        <v>409.21333333333303</v>
      </c>
      <c r="AR889">
        <v>377.90666666666601</v>
      </c>
      <c r="AS889">
        <v>360.28666666666601</v>
      </c>
      <c r="AT889">
        <v>345.92333333333301</v>
      </c>
      <c r="AU889">
        <v>440.02666666666602</v>
      </c>
      <c r="AV889">
        <v>388.606666666666</v>
      </c>
      <c r="AW889">
        <v>423.90333333333302</v>
      </c>
      <c r="AX889">
        <v>400.53</v>
      </c>
      <c r="AY889">
        <v>388.25666666666598</v>
      </c>
      <c r="AZ889">
        <v>379.15333333333302</v>
      </c>
      <c r="BA889">
        <v>429.4</v>
      </c>
      <c r="BB889">
        <v>377.74</v>
      </c>
      <c r="BC889">
        <v>413.44666666666598</v>
      </c>
      <c r="BD889">
        <v>389.53666666666601</v>
      </c>
      <c r="BE889">
        <v>377.05666666666599</v>
      </c>
      <c r="BF889">
        <v>367.56</v>
      </c>
      <c r="BG889" s="14"/>
      <c r="BH889" s="14"/>
      <c r="BI889" s="14"/>
      <c r="BJ889" s="199"/>
      <c r="BK889" s="14"/>
      <c r="BL889" s="14"/>
      <c r="BM889" s="14"/>
      <c r="BN889" s="14"/>
      <c r="BO889" s="14"/>
      <c r="BP889" s="14"/>
      <c r="BQ889" s="14"/>
      <c r="BR889" s="14"/>
      <c r="BS889" s="14"/>
      <c r="BT889" s="14"/>
      <c r="BU889" s="14"/>
      <c r="BV889" s="14"/>
      <c r="BW889" s="14"/>
      <c r="BX889" s="14"/>
      <c r="BY889" s="170"/>
    </row>
    <row r="890" spans="9:77" x14ac:dyDescent="0.25">
      <c r="I890">
        <v>8850</v>
      </c>
      <c r="J890" s="1" t="s">
        <v>1061</v>
      </c>
      <c r="K890">
        <v>412.78</v>
      </c>
      <c r="L890">
        <v>379.17666666666599</v>
      </c>
      <c r="M890">
        <v>400.65</v>
      </c>
      <c r="N890">
        <v>385.27333333333303</v>
      </c>
      <c r="O890">
        <v>378.54</v>
      </c>
      <c r="P890">
        <v>373.26333333333298</v>
      </c>
      <c r="Q890">
        <v>396.15333333333302</v>
      </c>
      <c r="R890">
        <v>341.69666666666598</v>
      </c>
      <c r="S890">
        <v>379.19999999999902</v>
      </c>
      <c r="T890">
        <v>354.17666666666599</v>
      </c>
      <c r="U890">
        <v>341.296666666666</v>
      </c>
      <c r="V890">
        <v>330.8</v>
      </c>
      <c r="W890">
        <v>398.803333333333</v>
      </c>
      <c r="X890">
        <v>371.51666666666603</v>
      </c>
      <c r="Y890">
        <v>382.37666666666598</v>
      </c>
      <c r="Z890">
        <v>380.45</v>
      </c>
      <c r="AA890">
        <v>374.986666666666</v>
      </c>
      <c r="AB890">
        <v>374.986666666666</v>
      </c>
      <c r="AC890">
        <v>413.49</v>
      </c>
      <c r="AD890">
        <v>376.20333333333298</v>
      </c>
      <c r="AE890">
        <v>400.22</v>
      </c>
      <c r="AF890">
        <v>389.5</v>
      </c>
      <c r="AG890">
        <v>382.77333333333303</v>
      </c>
      <c r="AH890">
        <v>379.486666666666</v>
      </c>
      <c r="AI890">
        <v>412.78</v>
      </c>
      <c r="AJ890">
        <v>379.17666666666599</v>
      </c>
      <c r="AK890">
        <v>400.65</v>
      </c>
      <c r="AL890">
        <v>385.27333333333303</v>
      </c>
      <c r="AM890">
        <v>378.54</v>
      </c>
      <c r="AN890">
        <v>373.26333333333298</v>
      </c>
      <c r="AO890">
        <v>408.83333333333297</v>
      </c>
      <c r="AP890">
        <v>343.91333333333301</v>
      </c>
      <c r="AQ890">
        <v>390.38333333333298</v>
      </c>
      <c r="AR890">
        <v>359.07666666666597</v>
      </c>
      <c r="AS890">
        <v>341.45666666666602</v>
      </c>
      <c r="AT890">
        <v>327.09333333333302</v>
      </c>
      <c r="AU890">
        <v>421.19666666666598</v>
      </c>
      <c r="AV890">
        <v>369.77666666666602</v>
      </c>
      <c r="AW890">
        <v>405.07333333333298</v>
      </c>
      <c r="AX890">
        <v>381.7</v>
      </c>
      <c r="AY890">
        <v>369.42666666666599</v>
      </c>
      <c r="AZ890">
        <v>360.32333333333298</v>
      </c>
      <c r="BA890">
        <v>410.57</v>
      </c>
      <c r="BB890">
        <v>358.91</v>
      </c>
      <c r="BC890">
        <v>394.61666666666599</v>
      </c>
      <c r="BD890">
        <v>370.70666666666602</v>
      </c>
      <c r="BE890">
        <v>358.22666666666601</v>
      </c>
      <c r="BF890">
        <v>348.73</v>
      </c>
      <c r="BG890" s="14"/>
      <c r="BH890" s="14"/>
      <c r="BI890" s="14"/>
      <c r="BJ890" s="199"/>
      <c r="BK890" s="14"/>
      <c r="BL890" s="14"/>
      <c r="BM890" s="14"/>
      <c r="BN890" s="14"/>
      <c r="BO890" s="14"/>
      <c r="BP890" s="14"/>
      <c r="BQ890" s="14"/>
      <c r="BR890" s="14"/>
      <c r="BS890" s="14"/>
      <c r="BT890" s="14"/>
      <c r="BU890" s="14"/>
      <c r="BV890" s="14"/>
      <c r="BW890" s="14"/>
      <c r="BX890" s="14"/>
      <c r="BY890" s="170"/>
    </row>
    <row r="891" spans="9:77" x14ac:dyDescent="0.25">
      <c r="I891">
        <v>8860</v>
      </c>
      <c r="J891" s="1" t="s">
        <v>1062</v>
      </c>
      <c r="K891">
        <v>407.48333333333301</v>
      </c>
      <c r="L891">
        <v>370.79999999999899</v>
      </c>
      <c r="M891">
        <v>394.85333333333301</v>
      </c>
      <c r="N891">
        <v>377.65666666666601</v>
      </c>
      <c r="O891">
        <v>369.92999999999898</v>
      </c>
      <c r="P891">
        <v>364.29999999999899</v>
      </c>
      <c r="Q891">
        <v>390.73</v>
      </c>
      <c r="R891">
        <v>335.81666666666598</v>
      </c>
      <c r="S891">
        <v>373.17333333333301</v>
      </c>
      <c r="T891">
        <v>348.66</v>
      </c>
      <c r="U891">
        <v>335.36</v>
      </c>
      <c r="V891">
        <v>324.63333333333298</v>
      </c>
      <c r="W891">
        <v>393.59666666666601</v>
      </c>
      <c r="X891">
        <v>365.26</v>
      </c>
      <c r="Y891">
        <v>376.44</v>
      </c>
      <c r="Z891">
        <v>374.55999999999898</v>
      </c>
      <c r="AA891">
        <v>368.84333333333302</v>
      </c>
      <c r="AB891">
        <v>368.84333333333302</v>
      </c>
      <c r="AC891">
        <v>408.75666666666598</v>
      </c>
      <c r="AD891">
        <v>367.63</v>
      </c>
      <c r="AE891">
        <v>394.78333333333302</v>
      </c>
      <c r="AF891">
        <v>382.78</v>
      </c>
      <c r="AG891">
        <v>375.00666666666598</v>
      </c>
      <c r="AH891">
        <v>371.19333333333299</v>
      </c>
      <c r="AI891">
        <v>407.48333333333301</v>
      </c>
      <c r="AJ891">
        <v>370.79999999999899</v>
      </c>
      <c r="AK891">
        <v>394.85333333333301</v>
      </c>
      <c r="AL891">
        <v>377.65666666666601</v>
      </c>
      <c r="AM891">
        <v>369.92999999999898</v>
      </c>
      <c r="AN891">
        <v>364.29999999999899</v>
      </c>
      <c r="AO891">
        <v>404.45666666666602</v>
      </c>
      <c r="AP891">
        <v>338.81333333333299</v>
      </c>
      <c r="AQ891">
        <v>385.933333333333</v>
      </c>
      <c r="AR891">
        <v>353.75333333333299</v>
      </c>
      <c r="AS891">
        <v>336.41333333333301</v>
      </c>
      <c r="AT891">
        <v>322.05999999999898</v>
      </c>
      <c r="AU891">
        <v>418.76</v>
      </c>
      <c r="AV891">
        <v>366.183333333333</v>
      </c>
      <c r="AW891">
        <v>402.2</v>
      </c>
      <c r="AX891">
        <v>378.31</v>
      </c>
      <c r="AY891">
        <v>366.07333333333298</v>
      </c>
      <c r="AZ891">
        <v>357.07666666666597</v>
      </c>
      <c r="BA891">
        <v>407.54999999999899</v>
      </c>
      <c r="BB891">
        <v>353.22333333333302</v>
      </c>
      <c r="BC891">
        <v>390.38</v>
      </c>
      <c r="BD891">
        <v>365.743333333333</v>
      </c>
      <c r="BE891">
        <v>352.68666666666599</v>
      </c>
      <c r="BF891">
        <v>342.13</v>
      </c>
      <c r="BG891" s="14"/>
      <c r="BH891" s="14"/>
      <c r="BI891" s="14"/>
      <c r="BJ891" s="199"/>
      <c r="BK891" s="14"/>
      <c r="BL891" s="14"/>
      <c r="BM891" s="14"/>
      <c r="BN891" s="14"/>
      <c r="BO891" s="14"/>
      <c r="BP891" s="14"/>
      <c r="BQ891" s="14"/>
      <c r="BR891" s="14"/>
      <c r="BS891" s="14"/>
      <c r="BT891" s="14"/>
      <c r="BU891" s="14"/>
      <c r="BV891" s="14"/>
      <c r="BW891" s="14"/>
      <c r="BX891" s="14"/>
      <c r="BY891" s="170"/>
    </row>
    <row r="892" spans="9:77" x14ac:dyDescent="0.25">
      <c r="I892">
        <v>8870</v>
      </c>
      <c r="J892" s="1" t="s">
        <v>1063</v>
      </c>
      <c r="K892">
        <v>407.48333333333301</v>
      </c>
      <c r="L892">
        <v>370.79999999999899</v>
      </c>
      <c r="M892">
        <v>394.85333333333301</v>
      </c>
      <c r="N892">
        <v>377.65666666666601</v>
      </c>
      <c r="O892">
        <v>369.92999999999898</v>
      </c>
      <c r="P892">
        <v>364.29999999999899</v>
      </c>
      <c r="Q892">
        <v>390.73</v>
      </c>
      <c r="R892">
        <v>335.81666666666598</v>
      </c>
      <c r="S892">
        <v>373.17333333333301</v>
      </c>
      <c r="T892">
        <v>348.66</v>
      </c>
      <c r="U892">
        <v>335.36</v>
      </c>
      <c r="V892">
        <v>324.63333333333298</v>
      </c>
      <c r="W892">
        <v>393.59666666666601</v>
      </c>
      <c r="X892">
        <v>365.26</v>
      </c>
      <c r="Y892">
        <v>376.44</v>
      </c>
      <c r="Z892">
        <v>374.55999999999898</v>
      </c>
      <c r="AA892">
        <v>368.84333333333302</v>
      </c>
      <c r="AB892">
        <v>368.84333333333302</v>
      </c>
      <c r="AC892">
        <v>408.75666666666598</v>
      </c>
      <c r="AD892">
        <v>367.63</v>
      </c>
      <c r="AE892">
        <v>394.78333333333302</v>
      </c>
      <c r="AF892">
        <v>382.78</v>
      </c>
      <c r="AG892">
        <v>375.00666666666598</v>
      </c>
      <c r="AH892">
        <v>371.19333333333299</v>
      </c>
      <c r="AI892">
        <v>407.48333333333301</v>
      </c>
      <c r="AJ892">
        <v>370.79999999999899</v>
      </c>
      <c r="AK892">
        <v>394.85333333333301</v>
      </c>
      <c r="AL892">
        <v>377.65666666666601</v>
      </c>
      <c r="AM892">
        <v>369.92999999999898</v>
      </c>
      <c r="AN892">
        <v>364.29999999999899</v>
      </c>
      <c r="AO892">
        <v>404.45666666666602</v>
      </c>
      <c r="AP892">
        <v>338.81333333333299</v>
      </c>
      <c r="AQ892">
        <v>385.933333333333</v>
      </c>
      <c r="AR892">
        <v>353.75333333333299</v>
      </c>
      <c r="AS892">
        <v>336.41333333333301</v>
      </c>
      <c r="AT892">
        <v>322.05999999999898</v>
      </c>
      <c r="AU892">
        <v>418.76</v>
      </c>
      <c r="AV892">
        <v>366.183333333333</v>
      </c>
      <c r="AW892">
        <v>402.2</v>
      </c>
      <c r="AX892">
        <v>378.31</v>
      </c>
      <c r="AY892">
        <v>366.07333333333298</v>
      </c>
      <c r="AZ892">
        <v>357.07666666666597</v>
      </c>
      <c r="BA892">
        <v>407.54999999999899</v>
      </c>
      <c r="BB892">
        <v>353.22333333333302</v>
      </c>
      <c r="BC892">
        <v>390.38</v>
      </c>
      <c r="BD892">
        <v>365.743333333333</v>
      </c>
      <c r="BE892">
        <v>352.68666666666599</v>
      </c>
      <c r="BF892">
        <v>342.13</v>
      </c>
      <c r="BG892" s="14"/>
      <c r="BH892" s="14"/>
      <c r="BI892" s="14"/>
      <c r="BJ892" s="199"/>
      <c r="BK892" s="14"/>
      <c r="BL892" s="14"/>
      <c r="BM892" s="14"/>
      <c r="BN892" s="14"/>
      <c r="BO892" s="14"/>
      <c r="BP892" s="14"/>
      <c r="BQ892" s="14"/>
      <c r="BR892" s="14"/>
      <c r="BS892" s="14"/>
      <c r="BT892" s="14"/>
      <c r="BU892" s="14"/>
      <c r="BV892" s="14"/>
      <c r="BW892" s="14"/>
      <c r="BX892" s="14"/>
      <c r="BY892" s="170"/>
    </row>
    <row r="893" spans="9:77" x14ac:dyDescent="0.25">
      <c r="I893">
        <v>8881</v>
      </c>
      <c r="J893" s="1" t="s">
        <v>1064</v>
      </c>
      <c r="K893">
        <v>455.98333333333301</v>
      </c>
      <c r="L893">
        <v>419.29999999999899</v>
      </c>
      <c r="M893">
        <v>443.35333333333301</v>
      </c>
      <c r="N893">
        <v>426.15666666666601</v>
      </c>
      <c r="O893">
        <v>418.42999999999898</v>
      </c>
      <c r="P893">
        <v>412.79999999999899</v>
      </c>
      <c r="Q893">
        <v>439.229999999999</v>
      </c>
      <c r="R893">
        <v>384.31666666666598</v>
      </c>
      <c r="S893">
        <v>421.67333333333301</v>
      </c>
      <c r="T893">
        <v>397.159999999999</v>
      </c>
      <c r="U893">
        <v>383.85999999999899</v>
      </c>
      <c r="V893">
        <v>373.13333333333298</v>
      </c>
      <c r="W893">
        <v>442.09666666666601</v>
      </c>
      <c r="X893">
        <v>413.75999999999902</v>
      </c>
      <c r="Y893">
        <v>424.93999999999897</v>
      </c>
      <c r="Z893">
        <v>423.05999999999898</v>
      </c>
      <c r="AA893">
        <v>417.34333333333302</v>
      </c>
      <c r="AB893">
        <v>417.34333333333302</v>
      </c>
      <c r="AC893">
        <v>457.25666666666598</v>
      </c>
      <c r="AD893">
        <v>416.12999999999897</v>
      </c>
      <c r="AE893">
        <v>443.28333333333302</v>
      </c>
      <c r="AF893">
        <v>431.27999999999901</v>
      </c>
      <c r="AG893">
        <v>423.50666666666598</v>
      </c>
      <c r="AH893">
        <v>419.69333333333299</v>
      </c>
      <c r="AI893">
        <v>455.98333333333301</v>
      </c>
      <c r="AJ893">
        <v>419.29999999999899</v>
      </c>
      <c r="AK893">
        <v>443.35333333333301</v>
      </c>
      <c r="AL893">
        <v>426.15666666666601</v>
      </c>
      <c r="AM893">
        <v>418.42999999999898</v>
      </c>
      <c r="AN893">
        <v>412.79999999999899</v>
      </c>
      <c r="AO893">
        <v>452.95666666666602</v>
      </c>
      <c r="AP893">
        <v>387.31333333333299</v>
      </c>
      <c r="AQ893">
        <v>434.433333333333</v>
      </c>
      <c r="AR893">
        <v>402.25333333333299</v>
      </c>
      <c r="AS893">
        <v>384.91333333333301</v>
      </c>
      <c r="AT893">
        <v>370.55999999999898</v>
      </c>
      <c r="AU893">
        <v>467.25999999999902</v>
      </c>
      <c r="AV893">
        <v>414.683333333333</v>
      </c>
      <c r="AW893">
        <v>450.69999999999902</v>
      </c>
      <c r="AX893">
        <v>426.80999999999898</v>
      </c>
      <c r="AY893">
        <v>414.57333333333298</v>
      </c>
      <c r="AZ893">
        <v>405.57666666666597</v>
      </c>
      <c r="BA893">
        <v>456.04999999999899</v>
      </c>
      <c r="BB893">
        <v>401.72333333333302</v>
      </c>
      <c r="BC893">
        <v>438.87999999999897</v>
      </c>
      <c r="BD893">
        <v>414.243333333333</v>
      </c>
      <c r="BE893">
        <v>401.18666666666599</v>
      </c>
      <c r="BF893">
        <v>390.63</v>
      </c>
      <c r="BG893" s="14"/>
      <c r="BH893" s="14"/>
      <c r="BI893" s="14"/>
      <c r="BJ893" s="199"/>
      <c r="BK893" s="14"/>
      <c r="BL893" s="14"/>
      <c r="BM893" s="14"/>
      <c r="BN893" s="14"/>
      <c r="BO893" s="14"/>
      <c r="BP893" s="14"/>
      <c r="BQ893" s="14"/>
      <c r="BR893" s="14"/>
      <c r="BS893" s="14"/>
      <c r="BT893" s="14"/>
      <c r="BU893" s="14"/>
      <c r="BV893" s="14"/>
      <c r="BW893" s="14"/>
      <c r="BX893" s="14"/>
      <c r="BY893" s="170"/>
    </row>
    <row r="894" spans="9:77" x14ac:dyDescent="0.25">
      <c r="I894">
        <v>8882</v>
      </c>
      <c r="J894" s="1" t="s">
        <v>1065</v>
      </c>
      <c r="K894">
        <v>464.993333333333</v>
      </c>
      <c r="L894">
        <v>428.30999999999898</v>
      </c>
      <c r="M894">
        <v>452.363333333333</v>
      </c>
      <c r="N894">
        <v>435.166666666666</v>
      </c>
      <c r="O894">
        <v>427.44</v>
      </c>
      <c r="P894">
        <v>421.81</v>
      </c>
      <c r="Q894">
        <v>448.24</v>
      </c>
      <c r="R894">
        <v>393.32666666666597</v>
      </c>
      <c r="S894">
        <v>430.683333333333</v>
      </c>
      <c r="T894">
        <v>406.17</v>
      </c>
      <c r="U894">
        <v>392.87</v>
      </c>
      <c r="V894">
        <v>382.14333333333298</v>
      </c>
      <c r="W894">
        <v>451.106666666666</v>
      </c>
      <c r="X894">
        <v>422.77</v>
      </c>
      <c r="Y894">
        <v>433.95</v>
      </c>
      <c r="Z894">
        <v>432.07</v>
      </c>
      <c r="AA894">
        <v>426.35333333333301</v>
      </c>
      <c r="AB894">
        <v>426.35333333333301</v>
      </c>
      <c r="AC894">
        <v>466.26666666666603</v>
      </c>
      <c r="AD894">
        <v>425.14</v>
      </c>
      <c r="AE894">
        <v>452.29333333333301</v>
      </c>
      <c r="AF894">
        <v>440.29</v>
      </c>
      <c r="AG894">
        <v>432.51666666666603</v>
      </c>
      <c r="AH894">
        <v>428.70333333333298</v>
      </c>
      <c r="AI894">
        <v>464.993333333333</v>
      </c>
      <c r="AJ894">
        <v>428.30999999999898</v>
      </c>
      <c r="AK894">
        <v>452.363333333333</v>
      </c>
      <c r="AL894">
        <v>435.166666666666</v>
      </c>
      <c r="AM894">
        <v>427.44</v>
      </c>
      <c r="AN894">
        <v>421.81</v>
      </c>
      <c r="AO894">
        <v>461.96666666666601</v>
      </c>
      <c r="AP894">
        <v>396.32333333333298</v>
      </c>
      <c r="AQ894">
        <v>443.44333333333299</v>
      </c>
      <c r="AR894">
        <v>411.26333333333298</v>
      </c>
      <c r="AS894">
        <v>393.92333333333301</v>
      </c>
      <c r="AT894">
        <v>379.57</v>
      </c>
      <c r="AU894">
        <v>476.27</v>
      </c>
      <c r="AV894">
        <v>423.69333333333299</v>
      </c>
      <c r="AW894">
        <v>459.71</v>
      </c>
      <c r="AX894">
        <v>435.82</v>
      </c>
      <c r="AY894">
        <v>423.58333333333297</v>
      </c>
      <c r="AZ894">
        <v>414.58666666666602</v>
      </c>
      <c r="BA894">
        <v>465.06</v>
      </c>
      <c r="BB894">
        <v>410.73333333333301</v>
      </c>
      <c r="BC894">
        <v>447.89</v>
      </c>
      <c r="BD894">
        <v>423.25333333333299</v>
      </c>
      <c r="BE894">
        <v>410.19666666666598</v>
      </c>
      <c r="BF894">
        <v>399.64</v>
      </c>
      <c r="BG894" s="14"/>
      <c r="BH894" s="14"/>
      <c r="BI894" s="14"/>
      <c r="BJ894" s="199"/>
      <c r="BK894" s="14"/>
      <c r="BL894" s="14"/>
      <c r="BM894" s="14"/>
      <c r="BN894" s="14"/>
      <c r="BO894" s="14"/>
      <c r="BP894" s="14"/>
      <c r="BQ894" s="14"/>
      <c r="BR894" s="14"/>
      <c r="BS894" s="14"/>
      <c r="BT894" s="14"/>
      <c r="BU894" s="14"/>
      <c r="BV894" s="14"/>
      <c r="BW894" s="14"/>
      <c r="BX894" s="14"/>
      <c r="BY894" s="170"/>
    </row>
    <row r="895" spans="9:77" x14ac:dyDescent="0.25">
      <c r="I895">
        <v>8883</v>
      </c>
      <c r="J895" s="1" t="s">
        <v>1066</v>
      </c>
      <c r="K895">
        <v>484.62333333333299</v>
      </c>
      <c r="L895">
        <v>447.93999999999897</v>
      </c>
      <c r="M895">
        <v>471.993333333333</v>
      </c>
      <c r="N895">
        <v>454.796666666666</v>
      </c>
      <c r="O895">
        <v>447.06999999999903</v>
      </c>
      <c r="P895">
        <v>441.43999999999897</v>
      </c>
      <c r="Q895">
        <v>467.87</v>
      </c>
      <c r="R895">
        <v>412.95666666666602</v>
      </c>
      <c r="S895">
        <v>450.31333333333299</v>
      </c>
      <c r="T895">
        <v>425.8</v>
      </c>
      <c r="U895">
        <v>412.5</v>
      </c>
      <c r="V895">
        <v>401.77333333333303</v>
      </c>
      <c r="W895">
        <v>470.736666666666</v>
      </c>
      <c r="X895">
        <v>442.4</v>
      </c>
      <c r="Y895">
        <v>453.57999999999902</v>
      </c>
      <c r="Z895">
        <v>451.69999999999902</v>
      </c>
      <c r="AA895">
        <v>445.98333333333301</v>
      </c>
      <c r="AB895">
        <v>445.98333333333301</v>
      </c>
      <c r="AC895">
        <v>485.89666666666602</v>
      </c>
      <c r="AD895">
        <v>444.76999999999902</v>
      </c>
      <c r="AE895">
        <v>471.92333333333301</v>
      </c>
      <c r="AF895">
        <v>459.92</v>
      </c>
      <c r="AG895">
        <v>452.14666666666602</v>
      </c>
      <c r="AH895">
        <v>448.33333333333297</v>
      </c>
      <c r="AI895">
        <v>484.62333333333299</v>
      </c>
      <c r="AJ895">
        <v>447.93999999999897</v>
      </c>
      <c r="AK895">
        <v>471.993333333333</v>
      </c>
      <c r="AL895">
        <v>454.796666666666</v>
      </c>
      <c r="AM895">
        <v>447.06999999999903</v>
      </c>
      <c r="AN895">
        <v>441.43999999999897</v>
      </c>
      <c r="AO895">
        <v>481.59666666666601</v>
      </c>
      <c r="AP895">
        <v>415.95333333333298</v>
      </c>
      <c r="AQ895">
        <v>463.07333333333298</v>
      </c>
      <c r="AR895">
        <v>430.89333333333298</v>
      </c>
      <c r="AS895">
        <v>413.553333333333</v>
      </c>
      <c r="AT895">
        <v>399.19999999999902</v>
      </c>
      <c r="AU895">
        <v>495.9</v>
      </c>
      <c r="AV895">
        <v>443.32333333333298</v>
      </c>
      <c r="AW895">
        <v>479.34</v>
      </c>
      <c r="AX895">
        <v>455.44999999999902</v>
      </c>
      <c r="AY895">
        <v>443.21333333333303</v>
      </c>
      <c r="AZ895">
        <v>434.21666666666601</v>
      </c>
      <c r="BA895">
        <v>484.68999999999897</v>
      </c>
      <c r="BB895">
        <v>430.363333333333</v>
      </c>
      <c r="BC895">
        <v>467.51999999999902</v>
      </c>
      <c r="BD895">
        <v>442.88333333333298</v>
      </c>
      <c r="BE895">
        <v>429.82666666666597</v>
      </c>
      <c r="BF895">
        <v>419.27</v>
      </c>
      <c r="BG895" s="14"/>
      <c r="BH895" s="14"/>
      <c r="BI895" s="14"/>
      <c r="BJ895" s="199"/>
      <c r="BK895" s="14"/>
      <c r="BL895" s="14"/>
      <c r="BM895" s="14"/>
      <c r="BN895" s="14"/>
      <c r="BO895" s="14"/>
      <c r="BP895" s="14"/>
      <c r="BQ895" s="14"/>
      <c r="BR895" s="14"/>
      <c r="BS895" s="14"/>
      <c r="BT895" s="14"/>
      <c r="BU895" s="14"/>
      <c r="BV895" s="14"/>
      <c r="BW895" s="14"/>
      <c r="BX895" s="14"/>
      <c r="BY895" s="170"/>
    </row>
    <row r="896" spans="9:77" x14ac:dyDescent="0.25">
      <c r="I896">
        <v>8900</v>
      </c>
      <c r="J896" s="1" t="s">
        <v>1067</v>
      </c>
      <c r="K896">
        <v>373.77333333333303</v>
      </c>
      <c r="L896">
        <v>337.08999999999901</v>
      </c>
      <c r="M896">
        <v>361.14333333333298</v>
      </c>
      <c r="N896">
        <v>343.94666666666598</v>
      </c>
      <c r="O896">
        <v>336.219999999999</v>
      </c>
      <c r="P896">
        <v>330.58999999999901</v>
      </c>
      <c r="Q896">
        <v>357.02</v>
      </c>
      <c r="R896">
        <v>302.106666666666</v>
      </c>
      <c r="S896">
        <v>339.46333333333303</v>
      </c>
      <c r="T896">
        <v>314.95</v>
      </c>
      <c r="U896">
        <v>301.64999999999901</v>
      </c>
      <c r="V896">
        <v>290.92333333333301</v>
      </c>
      <c r="W896">
        <v>359.88666666666597</v>
      </c>
      <c r="X896">
        <v>331.55</v>
      </c>
      <c r="Y896">
        <v>342.729999999999</v>
      </c>
      <c r="Z896">
        <v>340.849999999999</v>
      </c>
      <c r="AA896">
        <v>335.13333333333298</v>
      </c>
      <c r="AB896">
        <v>335.13333333333298</v>
      </c>
      <c r="AC896">
        <v>375.046666666666</v>
      </c>
      <c r="AD896">
        <v>333.91999999999899</v>
      </c>
      <c r="AE896">
        <v>361.07333333333298</v>
      </c>
      <c r="AF896">
        <v>349.06999999999903</v>
      </c>
      <c r="AG896">
        <v>341.296666666666</v>
      </c>
      <c r="AH896">
        <v>337.48333333333301</v>
      </c>
      <c r="AI896">
        <v>373.77333333333303</v>
      </c>
      <c r="AJ896">
        <v>337.08999999999901</v>
      </c>
      <c r="AK896">
        <v>361.14333333333298</v>
      </c>
      <c r="AL896">
        <v>343.94666666666598</v>
      </c>
      <c r="AM896">
        <v>336.219999999999</v>
      </c>
      <c r="AN896">
        <v>330.58999999999901</v>
      </c>
      <c r="AO896">
        <v>370.74666666666599</v>
      </c>
      <c r="AP896">
        <v>305.10333333333301</v>
      </c>
      <c r="AQ896">
        <v>352.22333333333302</v>
      </c>
      <c r="AR896">
        <v>320.04333333333301</v>
      </c>
      <c r="AS896">
        <v>302.70333333333298</v>
      </c>
      <c r="AT896">
        <v>288.349999999999</v>
      </c>
      <c r="AU896">
        <v>385.05</v>
      </c>
      <c r="AV896">
        <v>332.47333333333302</v>
      </c>
      <c r="AW896">
        <v>368.49</v>
      </c>
      <c r="AX896">
        <v>344.599999999999</v>
      </c>
      <c r="AY896">
        <v>332.363333333333</v>
      </c>
      <c r="AZ896">
        <v>323.36666666666599</v>
      </c>
      <c r="BA896">
        <v>373.83999999999901</v>
      </c>
      <c r="BB896">
        <v>319.51333333333298</v>
      </c>
      <c r="BC896">
        <v>356.66999999999899</v>
      </c>
      <c r="BD896">
        <v>332.03333333333302</v>
      </c>
      <c r="BE896">
        <v>318.97666666666601</v>
      </c>
      <c r="BF896">
        <v>308.42</v>
      </c>
      <c r="BG896" s="14"/>
      <c r="BH896" s="14"/>
      <c r="BI896" s="14"/>
      <c r="BJ896" s="199"/>
      <c r="BK896" s="14"/>
      <c r="BL896" s="14"/>
      <c r="BM896" s="14"/>
      <c r="BN896" s="14"/>
      <c r="BO896" s="14"/>
      <c r="BP896" s="14"/>
      <c r="BQ896" s="14"/>
      <c r="BR896" s="14"/>
      <c r="BS896" s="14"/>
      <c r="BT896" s="14"/>
      <c r="BU896" s="14"/>
      <c r="BV896" s="14"/>
      <c r="BW896" s="14"/>
      <c r="BX896" s="14"/>
      <c r="BY896" s="170"/>
    </row>
    <row r="897" spans="9:77" x14ac:dyDescent="0.25">
      <c r="I897">
        <v>8920</v>
      </c>
      <c r="J897" s="1"/>
      <c r="K897">
        <v>373.77333333333303</v>
      </c>
      <c r="L897">
        <v>337.08999999999901</v>
      </c>
      <c r="M897">
        <v>361.14333333333298</v>
      </c>
      <c r="N897">
        <v>343.94666666666598</v>
      </c>
      <c r="O897">
        <v>336.219999999999</v>
      </c>
      <c r="P897">
        <v>330.58999999999901</v>
      </c>
      <c r="Q897">
        <v>357.02</v>
      </c>
      <c r="R897">
        <v>302.106666666666</v>
      </c>
      <c r="S897">
        <v>339.46333333333303</v>
      </c>
      <c r="T897">
        <v>314.95</v>
      </c>
      <c r="U897">
        <v>301.64999999999901</v>
      </c>
      <c r="V897">
        <v>290.92333333333301</v>
      </c>
      <c r="W897">
        <v>359.88666666666597</v>
      </c>
      <c r="X897">
        <v>331.55</v>
      </c>
      <c r="Y897">
        <v>342.729999999999</v>
      </c>
      <c r="Z897">
        <v>340.849999999999</v>
      </c>
      <c r="AA897">
        <v>335.13333333333298</v>
      </c>
      <c r="AB897">
        <v>335.13333333333298</v>
      </c>
      <c r="AC897">
        <v>375.046666666666</v>
      </c>
      <c r="AD897">
        <v>333.91999999999899</v>
      </c>
      <c r="AE897">
        <v>361.07333333333298</v>
      </c>
      <c r="AF897">
        <v>349.06999999999903</v>
      </c>
      <c r="AG897">
        <v>341.296666666666</v>
      </c>
      <c r="AH897">
        <v>337.48333333333301</v>
      </c>
      <c r="AI897">
        <v>373.77333333333303</v>
      </c>
      <c r="AJ897">
        <v>337.08999999999901</v>
      </c>
      <c r="AK897">
        <v>361.14333333333298</v>
      </c>
      <c r="AL897">
        <v>343.94666666666598</v>
      </c>
      <c r="AM897">
        <v>336.219999999999</v>
      </c>
      <c r="AN897">
        <v>330.58999999999901</v>
      </c>
      <c r="AO897">
        <v>370.74666666666599</v>
      </c>
      <c r="AP897">
        <v>305.10333333333301</v>
      </c>
      <c r="AQ897">
        <v>352.22333333333302</v>
      </c>
      <c r="AR897">
        <v>320.04333333333301</v>
      </c>
      <c r="AS897">
        <v>302.70333333333298</v>
      </c>
      <c r="AT897">
        <v>288.349999999999</v>
      </c>
      <c r="AU897">
        <v>385.05</v>
      </c>
      <c r="AV897">
        <v>332.47333333333302</v>
      </c>
      <c r="AW897">
        <v>368.49</v>
      </c>
      <c r="AX897">
        <v>344.599999999999</v>
      </c>
      <c r="AY897">
        <v>332.363333333333</v>
      </c>
      <c r="AZ897">
        <v>323.36666666666599</v>
      </c>
      <c r="BA897">
        <v>373.83999999999901</v>
      </c>
      <c r="BB897">
        <v>319.51333333333298</v>
      </c>
      <c r="BC897">
        <v>356.66999999999899</v>
      </c>
      <c r="BD897">
        <v>332.03333333333302</v>
      </c>
      <c r="BE897">
        <v>318.97666666666601</v>
      </c>
      <c r="BF897">
        <v>308.42</v>
      </c>
      <c r="BG897" s="14"/>
      <c r="BH897" s="14"/>
      <c r="BI897" s="14"/>
      <c r="BJ897" s="199"/>
      <c r="BK897" s="14"/>
      <c r="BL897" s="14"/>
      <c r="BM897" s="14"/>
      <c r="BN897" s="14"/>
      <c r="BO897" s="14"/>
      <c r="BP897" s="14"/>
      <c r="BQ897" s="14"/>
      <c r="BR897" s="14"/>
      <c r="BS897" s="14"/>
      <c r="BT897" s="14"/>
      <c r="BU897" s="14"/>
      <c r="BV897" s="14"/>
      <c r="BW897" s="14"/>
      <c r="BX897" s="14"/>
      <c r="BY897" s="170"/>
    </row>
    <row r="898" spans="9:77" x14ac:dyDescent="0.25">
      <c r="I898">
        <v>8930</v>
      </c>
      <c r="J898" s="1"/>
      <c r="K898">
        <v>373.77333333333303</v>
      </c>
      <c r="L898">
        <v>337.08999999999901</v>
      </c>
      <c r="M898">
        <v>361.14333333333298</v>
      </c>
      <c r="N898">
        <v>343.94666666666598</v>
      </c>
      <c r="O898">
        <v>336.219999999999</v>
      </c>
      <c r="P898">
        <v>330.58999999999901</v>
      </c>
      <c r="Q898">
        <v>357.02</v>
      </c>
      <c r="R898">
        <v>302.106666666666</v>
      </c>
      <c r="S898">
        <v>339.46333333333303</v>
      </c>
      <c r="T898">
        <v>314.95</v>
      </c>
      <c r="U898">
        <v>301.64999999999901</v>
      </c>
      <c r="V898">
        <v>290.92333333333301</v>
      </c>
      <c r="W898">
        <v>359.88666666666597</v>
      </c>
      <c r="X898">
        <v>331.55</v>
      </c>
      <c r="Y898">
        <v>342.729999999999</v>
      </c>
      <c r="Z898">
        <v>340.849999999999</v>
      </c>
      <c r="AA898">
        <v>335.13333333333298</v>
      </c>
      <c r="AB898">
        <v>335.13333333333298</v>
      </c>
      <c r="AC898">
        <v>375.046666666666</v>
      </c>
      <c r="AD898">
        <v>333.91999999999899</v>
      </c>
      <c r="AE898">
        <v>361.07333333333298</v>
      </c>
      <c r="AF898">
        <v>349.06999999999903</v>
      </c>
      <c r="AG898">
        <v>341.296666666666</v>
      </c>
      <c r="AH898">
        <v>337.48333333333301</v>
      </c>
      <c r="AI898">
        <v>373.77333333333303</v>
      </c>
      <c r="AJ898">
        <v>337.08999999999901</v>
      </c>
      <c r="AK898">
        <v>361.14333333333298</v>
      </c>
      <c r="AL898">
        <v>343.94666666666598</v>
      </c>
      <c r="AM898">
        <v>336.219999999999</v>
      </c>
      <c r="AN898">
        <v>330.58999999999901</v>
      </c>
      <c r="AO898">
        <v>370.74666666666599</v>
      </c>
      <c r="AP898">
        <v>305.10333333333301</v>
      </c>
      <c r="AQ898">
        <v>352.22333333333302</v>
      </c>
      <c r="AR898">
        <v>320.04333333333301</v>
      </c>
      <c r="AS898">
        <v>302.70333333333298</v>
      </c>
      <c r="AT898">
        <v>288.349999999999</v>
      </c>
      <c r="AU898">
        <v>385.05</v>
      </c>
      <c r="AV898">
        <v>332.47333333333302</v>
      </c>
      <c r="AW898">
        <v>368.49</v>
      </c>
      <c r="AX898">
        <v>344.599999999999</v>
      </c>
      <c r="AY898">
        <v>332.363333333333</v>
      </c>
      <c r="AZ898">
        <v>323.36666666666599</v>
      </c>
      <c r="BA898">
        <v>373.83999999999901</v>
      </c>
      <c r="BB898">
        <v>319.51333333333298</v>
      </c>
      <c r="BC898">
        <v>356.66999999999899</v>
      </c>
      <c r="BD898">
        <v>332.03333333333302</v>
      </c>
      <c r="BE898">
        <v>318.97666666666601</v>
      </c>
      <c r="BF898">
        <v>308.42</v>
      </c>
      <c r="BG898" s="14"/>
      <c r="BH898" s="14"/>
      <c r="BI898" s="14"/>
      <c r="BJ898" s="199"/>
      <c r="BK898" s="14"/>
      <c r="BL898" s="14"/>
      <c r="BM898" s="14"/>
      <c r="BN898" s="14"/>
      <c r="BO898" s="14"/>
      <c r="BP898" s="14"/>
      <c r="BQ898" s="14"/>
      <c r="BR898" s="14"/>
      <c r="BS898" s="14"/>
      <c r="BT898" s="14"/>
      <c r="BU898" s="14"/>
      <c r="BV898" s="14"/>
      <c r="BW898" s="14"/>
      <c r="BX898" s="14"/>
      <c r="BY898" s="170"/>
    </row>
    <row r="899" spans="9:77" x14ac:dyDescent="0.25">
      <c r="I899">
        <v>8940</v>
      </c>
      <c r="J899" s="1"/>
      <c r="K899">
        <v>364.88333333333298</v>
      </c>
      <c r="L899">
        <v>328.19999999999902</v>
      </c>
      <c r="M899">
        <v>352.25333333333299</v>
      </c>
      <c r="N899">
        <v>335.05666666666599</v>
      </c>
      <c r="O899">
        <v>327.32999999999902</v>
      </c>
      <c r="P899">
        <v>321.7</v>
      </c>
      <c r="Q899">
        <v>348.13</v>
      </c>
      <c r="R899">
        <v>293.21666666666601</v>
      </c>
      <c r="S899">
        <v>330.57333333333298</v>
      </c>
      <c r="T899">
        <v>306.06</v>
      </c>
      <c r="U899">
        <v>292.76</v>
      </c>
      <c r="V899">
        <v>282.03333333333302</v>
      </c>
      <c r="W899">
        <v>350.99666666666599</v>
      </c>
      <c r="X899">
        <v>322.66000000000003</v>
      </c>
      <c r="Y899">
        <v>333.84</v>
      </c>
      <c r="Z899">
        <v>331.96</v>
      </c>
      <c r="AA899">
        <v>326.243333333333</v>
      </c>
      <c r="AB899">
        <v>326.243333333333</v>
      </c>
      <c r="AC899">
        <v>366.15666666666601</v>
      </c>
      <c r="AD899">
        <v>325.02999999999997</v>
      </c>
      <c r="AE899">
        <v>352.183333333333</v>
      </c>
      <c r="AF899">
        <v>340.18</v>
      </c>
      <c r="AG899">
        <v>332.40666666666601</v>
      </c>
      <c r="AH899">
        <v>328.59333333333302</v>
      </c>
      <c r="AI899">
        <v>364.88333333333298</v>
      </c>
      <c r="AJ899">
        <v>328.19999999999902</v>
      </c>
      <c r="AK899">
        <v>352.25333333333299</v>
      </c>
      <c r="AL899">
        <v>335.05666666666599</v>
      </c>
      <c r="AM899">
        <v>327.32999999999902</v>
      </c>
      <c r="AN899">
        <v>321.7</v>
      </c>
      <c r="AO899">
        <v>361.856666666666</v>
      </c>
      <c r="AP899">
        <v>296.21333333333303</v>
      </c>
      <c r="AQ899">
        <v>343.33333333333297</v>
      </c>
      <c r="AR899">
        <v>311.15333333333302</v>
      </c>
      <c r="AS899">
        <v>293.81333333333299</v>
      </c>
      <c r="AT899">
        <v>279.45999999999998</v>
      </c>
      <c r="AU899">
        <v>376.16</v>
      </c>
      <c r="AV899">
        <v>323.58333333333297</v>
      </c>
      <c r="AW899">
        <v>359.6</v>
      </c>
      <c r="AX899">
        <v>335.71</v>
      </c>
      <c r="AY899">
        <v>323.47333333333302</v>
      </c>
      <c r="AZ899">
        <v>314.47666666666601</v>
      </c>
      <c r="BA899">
        <v>364.95</v>
      </c>
      <c r="BB899">
        <v>310.62333333333299</v>
      </c>
      <c r="BC899">
        <v>347.78</v>
      </c>
      <c r="BD899">
        <v>323.14333333333298</v>
      </c>
      <c r="BE899">
        <v>310.08666666666602</v>
      </c>
      <c r="BF899">
        <v>299.52999999999997</v>
      </c>
      <c r="BG899" s="14"/>
      <c r="BH899" s="14"/>
      <c r="BI899" s="14"/>
      <c r="BJ899" s="199"/>
      <c r="BK899" s="14"/>
      <c r="BL899" s="14"/>
      <c r="BM899" s="14"/>
      <c r="BN899" s="14"/>
      <c r="BO899" s="14"/>
      <c r="BP899" s="14"/>
      <c r="BQ899" s="14"/>
      <c r="BR899" s="14"/>
      <c r="BS899" s="14"/>
      <c r="BT899" s="14"/>
      <c r="BU899" s="14"/>
      <c r="BV899" s="14"/>
      <c r="BW899" s="14"/>
      <c r="BX899" s="14"/>
      <c r="BY899" s="170"/>
    </row>
    <row r="900" spans="9:77" x14ac:dyDescent="0.25">
      <c r="I900">
        <v>8950</v>
      </c>
      <c r="J900" s="1" t="s">
        <v>1068</v>
      </c>
      <c r="K900">
        <v>364.88333333333298</v>
      </c>
      <c r="L900">
        <v>328.19999999999902</v>
      </c>
      <c r="M900">
        <v>352.25333333333299</v>
      </c>
      <c r="N900">
        <v>335.05666666666599</v>
      </c>
      <c r="O900">
        <v>327.32999999999902</v>
      </c>
      <c r="P900">
        <v>321.7</v>
      </c>
      <c r="Q900">
        <v>348.13</v>
      </c>
      <c r="R900">
        <v>293.21666666666601</v>
      </c>
      <c r="S900">
        <v>330.57333333333298</v>
      </c>
      <c r="T900">
        <v>306.06</v>
      </c>
      <c r="U900">
        <v>292.76</v>
      </c>
      <c r="V900">
        <v>282.03333333333302</v>
      </c>
      <c r="W900">
        <v>350.99666666666599</v>
      </c>
      <c r="X900">
        <v>322.66000000000003</v>
      </c>
      <c r="Y900">
        <v>333.84</v>
      </c>
      <c r="Z900">
        <v>331.96</v>
      </c>
      <c r="AA900">
        <v>326.243333333333</v>
      </c>
      <c r="AB900">
        <v>326.243333333333</v>
      </c>
      <c r="AC900">
        <v>366.15666666666601</v>
      </c>
      <c r="AD900">
        <v>325.02999999999997</v>
      </c>
      <c r="AE900">
        <v>352.183333333333</v>
      </c>
      <c r="AF900">
        <v>340.18</v>
      </c>
      <c r="AG900">
        <v>332.40666666666601</v>
      </c>
      <c r="AH900">
        <v>328.59333333333302</v>
      </c>
      <c r="AI900">
        <v>364.88333333333298</v>
      </c>
      <c r="AJ900">
        <v>328.19999999999902</v>
      </c>
      <c r="AK900">
        <v>352.25333333333299</v>
      </c>
      <c r="AL900">
        <v>335.05666666666599</v>
      </c>
      <c r="AM900">
        <v>327.32999999999902</v>
      </c>
      <c r="AN900">
        <v>321.7</v>
      </c>
      <c r="AO900">
        <v>361.856666666666</v>
      </c>
      <c r="AP900">
        <v>296.21333333333303</v>
      </c>
      <c r="AQ900">
        <v>343.33333333333297</v>
      </c>
      <c r="AR900">
        <v>311.15333333333302</v>
      </c>
      <c r="AS900">
        <v>293.81333333333299</v>
      </c>
      <c r="AT900">
        <v>279.45999999999998</v>
      </c>
      <c r="AU900">
        <v>376.16</v>
      </c>
      <c r="AV900">
        <v>323.58333333333297</v>
      </c>
      <c r="AW900">
        <v>359.6</v>
      </c>
      <c r="AX900">
        <v>335.71</v>
      </c>
      <c r="AY900">
        <v>323.47333333333302</v>
      </c>
      <c r="AZ900">
        <v>314.47666666666601</v>
      </c>
      <c r="BA900">
        <v>364.95</v>
      </c>
      <c r="BB900">
        <v>310.62333333333299</v>
      </c>
      <c r="BC900">
        <v>347.78</v>
      </c>
      <c r="BD900">
        <v>323.14333333333298</v>
      </c>
      <c r="BE900">
        <v>310.08666666666602</v>
      </c>
      <c r="BF900">
        <v>299.52999999999997</v>
      </c>
      <c r="BG900" s="14"/>
      <c r="BH900" s="14"/>
      <c r="BI900" s="14"/>
      <c r="BJ900" s="199"/>
      <c r="BK900" s="14"/>
      <c r="BL900" s="14"/>
      <c r="BM900" s="14"/>
      <c r="BN900" s="14"/>
      <c r="BO900" s="14"/>
      <c r="BP900" s="14"/>
      <c r="BQ900" s="14"/>
      <c r="BR900" s="14"/>
      <c r="BS900" s="14"/>
      <c r="BT900" s="14"/>
      <c r="BU900" s="14"/>
      <c r="BV900" s="14"/>
      <c r="BW900" s="14"/>
      <c r="BX900" s="14"/>
      <c r="BY900" s="170"/>
    </row>
    <row r="901" spans="9:77" x14ac:dyDescent="0.25">
      <c r="I901">
        <v>8960</v>
      </c>
      <c r="J901" s="1"/>
      <c r="K901">
        <v>364.88333333333298</v>
      </c>
      <c r="L901">
        <v>328.19999999999902</v>
      </c>
      <c r="M901">
        <v>352.25333333333299</v>
      </c>
      <c r="N901">
        <v>335.05666666666599</v>
      </c>
      <c r="O901">
        <v>327.32999999999902</v>
      </c>
      <c r="P901">
        <v>321.7</v>
      </c>
      <c r="Q901">
        <v>348.13</v>
      </c>
      <c r="R901">
        <v>293.21666666666601</v>
      </c>
      <c r="S901">
        <v>330.57333333333298</v>
      </c>
      <c r="T901">
        <v>306.06</v>
      </c>
      <c r="U901">
        <v>292.76</v>
      </c>
      <c r="V901">
        <v>282.03333333333302</v>
      </c>
      <c r="W901">
        <v>350.99666666666599</v>
      </c>
      <c r="X901">
        <v>322.66000000000003</v>
      </c>
      <c r="Y901">
        <v>333.84</v>
      </c>
      <c r="Z901">
        <v>331.96</v>
      </c>
      <c r="AA901">
        <v>326.243333333333</v>
      </c>
      <c r="AB901">
        <v>326.243333333333</v>
      </c>
      <c r="AC901">
        <v>366.15666666666601</v>
      </c>
      <c r="AD901">
        <v>325.02999999999997</v>
      </c>
      <c r="AE901">
        <v>352.183333333333</v>
      </c>
      <c r="AF901">
        <v>340.18</v>
      </c>
      <c r="AG901">
        <v>332.40666666666601</v>
      </c>
      <c r="AH901">
        <v>328.59333333333302</v>
      </c>
      <c r="AI901">
        <v>364.88333333333298</v>
      </c>
      <c r="AJ901">
        <v>328.19999999999902</v>
      </c>
      <c r="AK901">
        <v>352.25333333333299</v>
      </c>
      <c r="AL901">
        <v>335.05666666666599</v>
      </c>
      <c r="AM901">
        <v>327.32999999999902</v>
      </c>
      <c r="AN901">
        <v>321.7</v>
      </c>
      <c r="AO901">
        <v>361.856666666666</v>
      </c>
      <c r="AP901">
        <v>296.21333333333303</v>
      </c>
      <c r="AQ901">
        <v>343.33333333333297</v>
      </c>
      <c r="AR901">
        <v>311.15333333333302</v>
      </c>
      <c r="AS901">
        <v>293.81333333333299</v>
      </c>
      <c r="AT901">
        <v>279.45999999999998</v>
      </c>
      <c r="AU901">
        <v>376.16</v>
      </c>
      <c r="AV901">
        <v>323.58333333333297</v>
      </c>
      <c r="AW901">
        <v>359.6</v>
      </c>
      <c r="AX901">
        <v>335.71</v>
      </c>
      <c r="AY901">
        <v>323.47333333333302</v>
      </c>
      <c r="AZ901">
        <v>314.47666666666601</v>
      </c>
      <c r="BA901">
        <v>364.95</v>
      </c>
      <c r="BB901">
        <v>310.62333333333299</v>
      </c>
      <c r="BC901">
        <v>347.78</v>
      </c>
      <c r="BD901">
        <v>323.14333333333298</v>
      </c>
      <c r="BE901">
        <v>310.08666666666602</v>
      </c>
      <c r="BF901">
        <v>299.52999999999997</v>
      </c>
      <c r="BG901" s="14"/>
      <c r="BH901" s="14"/>
      <c r="BI901" s="14"/>
      <c r="BJ901" s="199"/>
      <c r="BK901" s="14"/>
      <c r="BL901" s="14"/>
      <c r="BM901" s="14"/>
      <c r="BN901" s="14"/>
      <c r="BO901" s="14"/>
      <c r="BP901" s="14"/>
      <c r="BQ901" s="14"/>
      <c r="BR901" s="14"/>
      <c r="BS901" s="14"/>
      <c r="BT901" s="14"/>
      <c r="BU901" s="14"/>
      <c r="BV901" s="14"/>
      <c r="BW901" s="14"/>
      <c r="BX901" s="14"/>
      <c r="BY901" s="170"/>
    </row>
    <row r="902" spans="9:77" x14ac:dyDescent="0.25">
      <c r="I902">
        <v>8961</v>
      </c>
      <c r="J902" s="1" t="s">
        <v>1069</v>
      </c>
      <c r="K902">
        <v>374.07333333333298</v>
      </c>
      <c r="L902">
        <v>337.38999999999902</v>
      </c>
      <c r="M902">
        <v>361.44333333333299</v>
      </c>
      <c r="N902">
        <v>344.24666666666599</v>
      </c>
      <c r="O902">
        <v>336.51999999999902</v>
      </c>
      <c r="P902">
        <v>330.88999999999902</v>
      </c>
      <c r="Q902">
        <v>357.32</v>
      </c>
      <c r="R902">
        <v>302.40666666666601</v>
      </c>
      <c r="S902">
        <v>339.76333333333298</v>
      </c>
      <c r="T902">
        <v>315.25</v>
      </c>
      <c r="U902">
        <v>301.95</v>
      </c>
      <c r="V902">
        <v>291.22333333333302</v>
      </c>
      <c r="W902">
        <v>360.18666666666599</v>
      </c>
      <c r="X902">
        <v>331.85</v>
      </c>
      <c r="Y902">
        <v>343.03</v>
      </c>
      <c r="Z902">
        <v>341.14999999999901</v>
      </c>
      <c r="AA902">
        <v>335.433333333333</v>
      </c>
      <c r="AB902">
        <v>335.433333333333</v>
      </c>
      <c r="AC902">
        <v>375.34666666666601</v>
      </c>
      <c r="AD902">
        <v>334.22</v>
      </c>
      <c r="AE902">
        <v>361.37333333333299</v>
      </c>
      <c r="AF902">
        <v>349.37</v>
      </c>
      <c r="AG902">
        <v>341.59666666666601</v>
      </c>
      <c r="AH902">
        <v>337.78333333333302</v>
      </c>
      <c r="AI902">
        <v>374.07333333333298</v>
      </c>
      <c r="AJ902">
        <v>337.38999999999902</v>
      </c>
      <c r="AK902">
        <v>361.44333333333299</v>
      </c>
      <c r="AL902">
        <v>344.24666666666599</v>
      </c>
      <c r="AM902">
        <v>336.51999999999902</v>
      </c>
      <c r="AN902">
        <v>330.88999999999902</v>
      </c>
      <c r="AO902">
        <v>371.046666666666</v>
      </c>
      <c r="AP902">
        <v>305.40333333333302</v>
      </c>
      <c r="AQ902">
        <v>352.52333333333303</v>
      </c>
      <c r="AR902">
        <v>320.34333333333302</v>
      </c>
      <c r="AS902">
        <v>303.00333333333299</v>
      </c>
      <c r="AT902">
        <v>288.64999999999901</v>
      </c>
      <c r="AU902">
        <v>385.35</v>
      </c>
      <c r="AV902">
        <v>332.77333333333303</v>
      </c>
      <c r="AW902">
        <v>368.79</v>
      </c>
      <c r="AX902">
        <v>344.9</v>
      </c>
      <c r="AY902">
        <v>332.66333333333301</v>
      </c>
      <c r="AZ902">
        <v>323.666666666666</v>
      </c>
      <c r="BA902">
        <v>374.13999999999902</v>
      </c>
      <c r="BB902">
        <v>319.81333333333299</v>
      </c>
      <c r="BC902">
        <v>356.97</v>
      </c>
      <c r="BD902">
        <v>332.33333333333297</v>
      </c>
      <c r="BE902">
        <v>319.27666666666602</v>
      </c>
      <c r="BF902">
        <v>308.72000000000003</v>
      </c>
      <c r="BG902" s="14"/>
      <c r="BH902" s="14"/>
      <c r="BI902" s="14"/>
      <c r="BJ902" s="199"/>
      <c r="BK902" s="14"/>
      <c r="BL902" s="14"/>
      <c r="BM902" s="14"/>
      <c r="BN902" s="14"/>
      <c r="BO902" s="14"/>
      <c r="BP902" s="14"/>
      <c r="BQ902" s="14"/>
      <c r="BR902" s="14"/>
      <c r="BS902" s="14"/>
      <c r="BT902" s="14"/>
      <c r="BU902" s="14"/>
      <c r="BV902" s="14"/>
      <c r="BW902" s="14"/>
      <c r="BX902" s="14"/>
      <c r="BY902" s="170"/>
    </row>
    <row r="903" spans="9:77" x14ac:dyDescent="0.25">
      <c r="I903">
        <v>8963</v>
      </c>
      <c r="J903" s="1" t="s">
        <v>1070</v>
      </c>
      <c r="K903">
        <v>378.60333333333301</v>
      </c>
      <c r="L903">
        <v>341.91999999999899</v>
      </c>
      <c r="M903">
        <v>365.97333333333302</v>
      </c>
      <c r="N903">
        <v>348.77666666666602</v>
      </c>
      <c r="O903">
        <v>341.04999999999899</v>
      </c>
      <c r="P903">
        <v>335.41999999999899</v>
      </c>
      <c r="Q903">
        <v>361.85</v>
      </c>
      <c r="R903">
        <v>306.93666666666599</v>
      </c>
      <c r="S903">
        <v>344.29333333333301</v>
      </c>
      <c r="T903">
        <v>319.77999999999997</v>
      </c>
      <c r="U903">
        <v>306.48</v>
      </c>
      <c r="V903">
        <v>295.75333333333299</v>
      </c>
      <c r="W903">
        <v>364.71666666666601</v>
      </c>
      <c r="X903">
        <v>336.38</v>
      </c>
      <c r="Y903">
        <v>347.56</v>
      </c>
      <c r="Z903">
        <v>345.67999999999898</v>
      </c>
      <c r="AA903">
        <v>339.96333333333303</v>
      </c>
      <c r="AB903">
        <v>339.96333333333303</v>
      </c>
      <c r="AC903">
        <v>379.87666666666598</v>
      </c>
      <c r="AD903">
        <v>338.75</v>
      </c>
      <c r="AE903">
        <v>365.90333333333302</v>
      </c>
      <c r="AF903">
        <v>353.9</v>
      </c>
      <c r="AG903">
        <v>346.12666666666598</v>
      </c>
      <c r="AH903">
        <v>342.31333333333299</v>
      </c>
      <c r="AI903">
        <v>378.60333333333301</v>
      </c>
      <c r="AJ903">
        <v>341.91999999999899</v>
      </c>
      <c r="AK903">
        <v>365.97333333333302</v>
      </c>
      <c r="AL903">
        <v>348.77666666666602</v>
      </c>
      <c r="AM903">
        <v>341.04999999999899</v>
      </c>
      <c r="AN903">
        <v>335.41999999999899</v>
      </c>
      <c r="AO903">
        <v>375.57666666666597</v>
      </c>
      <c r="AP903">
        <v>309.933333333333</v>
      </c>
      <c r="AQ903">
        <v>357.053333333333</v>
      </c>
      <c r="AR903">
        <v>324.87333333333299</v>
      </c>
      <c r="AS903">
        <v>307.53333333333302</v>
      </c>
      <c r="AT903">
        <v>293.17999999999898</v>
      </c>
      <c r="AU903">
        <v>389.88</v>
      </c>
      <c r="AV903">
        <v>337.303333333333</v>
      </c>
      <c r="AW903">
        <v>373.32</v>
      </c>
      <c r="AX903">
        <v>349.43</v>
      </c>
      <c r="AY903">
        <v>337.19333333333299</v>
      </c>
      <c r="AZ903">
        <v>328.19666666666598</v>
      </c>
      <c r="BA903">
        <v>378.66999999999899</v>
      </c>
      <c r="BB903">
        <v>324.34333333333302</v>
      </c>
      <c r="BC903">
        <v>361.5</v>
      </c>
      <c r="BD903">
        <v>336.863333333333</v>
      </c>
      <c r="BE903">
        <v>323.80666666666599</v>
      </c>
      <c r="BF903">
        <v>313.25</v>
      </c>
      <c r="BG903" s="14"/>
      <c r="BH903" s="14"/>
      <c r="BI903" s="14"/>
      <c r="BJ903" s="199"/>
      <c r="BK903" s="14"/>
      <c r="BL903" s="14"/>
      <c r="BM903" s="14"/>
      <c r="BN903" s="14"/>
      <c r="BO903" s="14"/>
      <c r="BP903" s="14"/>
      <c r="BQ903" s="14"/>
      <c r="BR903" s="14"/>
      <c r="BS903" s="14"/>
      <c r="BT903" s="14"/>
      <c r="BU903" s="14"/>
      <c r="BV903" s="14"/>
      <c r="BW903" s="14"/>
      <c r="BX903" s="14"/>
      <c r="BY903" s="170"/>
    </row>
    <row r="904" spans="9:77" x14ac:dyDescent="0.25">
      <c r="I904">
        <v>8970</v>
      </c>
      <c r="J904" s="1" t="s">
        <v>1071</v>
      </c>
      <c r="K904">
        <v>386.00333333333299</v>
      </c>
      <c r="L904">
        <v>349.31999999999903</v>
      </c>
      <c r="M904">
        <v>373.37333333333299</v>
      </c>
      <c r="N904">
        <v>356.17666666666599</v>
      </c>
      <c r="O904">
        <v>348.44999999999902</v>
      </c>
      <c r="P904">
        <v>342.82</v>
      </c>
      <c r="Q904">
        <v>369.25</v>
      </c>
      <c r="R904">
        <v>314.33666666666602</v>
      </c>
      <c r="S904">
        <v>351.69333333333299</v>
      </c>
      <c r="T904">
        <v>327.18</v>
      </c>
      <c r="U904">
        <v>313.88</v>
      </c>
      <c r="V904">
        <v>303.15333333333302</v>
      </c>
      <c r="W904">
        <v>372.11666666666599</v>
      </c>
      <c r="X904">
        <v>343.78</v>
      </c>
      <c r="Y904">
        <v>354.96</v>
      </c>
      <c r="Z904">
        <v>353.08</v>
      </c>
      <c r="AA904">
        <v>347.363333333333</v>
      </c>
      <c r="AB904">
        <v>347.363333333333</v>
      </c>
      <c r="AC904">
        <v>387.27666666666602</v>
      </c>
      <c r="AD904">
        <v>346.15</v>
      </c>
      <c r="AE904">
        <v>373.303333333333</v>
      </c>
      <c r="AF904">
        <v>361.3</v>
      </c>
      <c r="AG904">
        <v>353.52666666666602</v>
      </c>
      <c r="AH904">
        <v>349.71333333333303</v>
      </c>
      <c r="AI904">
        <v>386.00333333333299</v>
      </c>
      <c r="AJ904">
        <v>349.31999999999903</v>
      </c>
      <c r="AK904">
        <v>373.37333333333299</v>
      </c>
      <c r="AL904">
        <v>356.17666666666599</v>
      </c>
      <c r="AM904">
        <v>348.44999999999902</v>
      </c>
      <c r="AN904">
        <v>342.82</v>
      </c>
      <c r="AO904">
        <v>382.97666666666601</v>
      </c>
      <c r="AP904">
        <v>317.33333333333297</v>
      </c>
      <c r="AQ904">
        <v>364.45333333333298</v>
      </c>
      <c r="AR904">
        <v>332.27333333333303</v>
      </c>
      <c r="AS904">
        <v>314.933333333333</v>
      </c>
      <c r="AT904">
        <v>300.58</v>
      </c>
      <c r="AU904">
        <v>397.28</v>
      </c>
      <c r="AV904">
        <v>344.70333333333298</v>
      </c>
      <c r="AW904">
        <v>380.72</v>
      </c>
      <c r="AX904">
        <v>356.83</v>
      </c>
      <c r="AY904">
        <v>344.59333333333302</v>
      </c>
      <c r="AZ904">
        <v>335.59666666666601</v>
      </c>
      <c r="BA904">
        <v>386.07</v>
      </c>
      <c r="BB904">
        <v>331.743333333333</v>
      </c>
      <c r="BC904">
        <v>368.9</v>
      </c>
      <c r="BD904">
        <v>344.26333333333298</v>
      </c>
      <c r="BE904">
        <v>331.20666666666602</v>
      </c>
      <c r="BF904">
        <v>320.64999999999998</v>
      </c>
      <c r="BG904" s="14"/>
      <c r="BH904" s="14"/>
      <c r="BI904" s="14"/>
      <c r="BJ904" s="199"/>
      <c r="BK904" s="14"/>
      <c r="BL904" s="14"/>
      <c r="BM904" s="14"/>
      <c r="BN904" s="14"/>
      <c r="BO904" s="14"/>
      <c r="BP904" s="14"/>
      <c r="BQ904" s="14"/>
      <c r="BR904" s="14"/>
      <c r="BS904" s="14"/>
      <c r="BT904" s="14"/>
      <c r="BU904" s="14"/>
      <c r="BV904" s="14"/>
      <c r="BW904" s="14"/>
      <c r="BX904" s="14"/>
      <c r="BY904" s="170"/>
    </row>
    <row r="905" spans="9:77" x14ac:dyDescent="0.25">
      <c r="I905">
        <v>8981</v>
      </c>
      <c r="J905" s="1" t="s">
        <v>1072</v>
      </c>
      <c r="K905">
        <v>410.47333333333302</v>
      </c>
      <c r="L905">
        <v>373.789999999999</v>
      </c>
      <c r="M905">
        <v>397.84333333333302</v>
      </c>
      <c r="N905">
        <v>380.64666666666602</v>
      </c>
      <c r="O905">
        <v>372.92</v>
      </c>
      <c r="P905">
        <v>367.29</v>
      </c>
      <c r="Q905">
        <v>393.72</v>
      </c>
      <c r="R905">
        <v>338.80666666666599</v>
      </c>
      <c r="S905">
        <v>376.16333333333301</v>
      </c>
      <c r="T905">
        <v>351.65</v>
      </c>
      <c r="U905">
        <v>338.35</v>
      </c>
      <c r="V905">
        <v>327.62333333333299</v>
      </c>
      <c r="W905">
        <v>396.58666666666602</v>
      </c>
      <c r="X905">
        <v>368.25</v>
      </c>
      <c r="Y905">
        <v>379.43</v>
      </c>
      <c r="Z905">
        <v>377.55</v>
      </c>
      <c r="AA905">
        <v>371.83333333333297</v>
      </c>
      <c r="AB905">
        <v>371.83333333333297</v>
      </c>
      <c r="AC905">
        <v>411.74666666666599</v>
      </c>
      <c r="AD905">
        <v>370.62</v>
      </c>
      <c r="AE905">
        <v>397.77333333333303</v>
      </c>
      <c r="AF905">
        <v>385.77</v>
      </c>
      <c r="AG905">
        <v>377.99666666666599</v>
      </c>
      <c r="AH905">
        <v>374.183333333333</v>
      </c>
      <c r="AI905">
        <v>410.47333333333302</v>
      </c>
      <c r="AJ905">
        <v>373.789999999999</v>
      </c>
      <c r="AK905">
        <v>397.84333333333302</v>
      </c>
      <c r="AL905">
        <v>380.64666666666602</v>
      </c>
      <c r="AM905">
        <v>372.92</v>
      </c>
      <c r="AN905">
        <v>367.29</v>
      </c>
      <c r="AO905">
        <v>407.44666666666598</v>
      </c>
      <c r="AP905">
        <v>341.803333333333</v>
      </c>
      <c r="AQ905">
        <v>388.92333333333301</v>
      </c>
      <c r="AR905">
        <v>356.743333333333</v>
      </c>
      <c r="AS905">
        <v>339.40333333333302</v>
      </c>
      <c r="AT905">
        <v>325.05</v>
      </c>
      <c r="AU905">
        <v>421.75</v>
      </c>
      <c r="AV905">
        <v>369.17333333333301</v>
      </c>
      <c r="AW905">
        <v>405.19</v>
      </c>
      <c r="AX905">
        <v>381.3</v>
      </c>
      <c r="AY905">
        <v>369.06333333333299</v>
      </c>
      <c r="AZ905">
        <v>360.06666666666598</v>
      </c>
      <c r="BA905">
        <v>410.54</v>
      </c>
      <c r="BB905">
        <v>356.21333333333303</v>
      </c>
      <c r="BC905">
        <v>393.37</v>
      </c>
      <c r="BD905">
        <v>368.73333333333301</v>
      </c>
      <c r="BE905">
        <v>355.67666666666599</v>
      </c>
      <c r="BF905">
        <v>345.12</v>
      </c>
      <c r="BG905" s="14"/>
      <c r="BH905" s="14"/>
      <c r="BI905" s="14"/>
      <c r="BJ905" s="199"/>
      <c r="BK905" s="14"/>
      <c r="BL905" s="14"/>
      <c r="BM905" s="14"/>
      <c r="BN905" s="14"/>
      <c r="BO905" s="14"/>
      <c r="BP905" s="14"/>
      <c r="BQ905" s="14"/>
      <c r="BR905" s="14"/>
      <c r="BS905" s="14"/>
      <c r="BT905" s="14"/>
      <c r="BU905" s="14"/>
      <c r="BV905" s="14"/>
      <c r="BW905" s="14"/>
      <c r="BX905" s="14"/>
      <c r="BY905" s="170"/>
    </row>
    <row r="906" spans="9:77" x14ac:dyDescent="0.25">
      <c r="I906">
        <v>8983</v>
      </c>
      <c r="J906" s="1" t="s">
        <v>1073</v>
      </c>
      <c r="K906">
        <v>387.03333333333302</v>
      </c>
      <c r="L906">
        <v>350.349999999999</v>
      </c>
      <c r="M906">
        <v>374.40333333333302</v>
      </c>
      <c r="N906">
        <v>357.20666666666602</v>
      </c>
      <c r="O906">
        <v>349.479999999999</v>
      </c>
      <c r="P906">
        <v>343.849999999999</v>
      </c>
      <c r="Q906">
        <v>370.28</v>
      </c>
      <c r="R906">
        <v>315.36666666666599</v>
      </c>
      <c r="S906">
        <v>352.72333333333302</v>
      </c>
      <c r="T906">
        <v>328.21</v>
      </c>
      <c r="U906">
        <v>314.909999999999</v>
      </c>
      <c r="V906">
        <v>304.183333333333</v>
      </c>
      <c r="W906">
        <v>373.14666666666602</v>
      </c>
      <c r="X906">
        <v>344.81</v>
      </c>
      <c r="Y906">
        <v>355.98999999999899</v>
      </c>
      <c r="Z906">
        <v>354.10999999999899</v>
      </c>
      <c r="AA906">
        <v>348.39333333333298</v>
      </c>
      <c r="AB906">
        <v>348.39333333333298</v>
      </c>
      <c r="AC906">
        <v>388.30666666666599</v>
      </c>
      <c r="AD906">
        <v>347.17999999999898</v>
      </c>
      <c r="AE906">
        <v>374.33333333333297</v>
      </c>
      <c r="AF906">
        <v>362.32999999999902</v>
      </c>
      <c r="AG906">
        <v>354.55666666666599</v>
      </c>
      <c r="AH906">
        <v>350.743333333333</v>
      </c>
      <c r="AI906">
        <v>387.03333333333302</v>
      </c>
      <c r="AJ906">
        <v>350.349999999999</v>
      </c>
      <c r="AK906">
        <v>374.40333333333302</v>
      </c>
      <c r="AL906">
        <v>357.20666666666602</v>
      </c>
      <c r="AM906">
        <v>349.479999999999</v>
      </c>
      <c r="AN906">
        <v>343.849999999999</v>
      </c>
      <c r="AO906">
        <v>384.00666666666598</v>
      </c>
      <c r="AP906">
        <v>318.363333333333</v>
      </c>
      <c r="AQ906">
        <v>365.48333333333301</v>
      </c>
      <c r="AR906">
        <v>333.303333333333</v>
      </c>
      <c r="AS906">
        <v>315.96333333333303</v>
      </c>
      <c r="AT906">
        <v>301.60999999999899</v>
      </c>
      <c r="AU906">
        <v>398.31</v>
      </c>
      <c r="AV906">
        <v>345.73333333333301</v>
      </c>
      <c r="AW906">
        <v>381.75</v>
      </c>
      <c r="AX906">
        <v>357.85999999999899</v>
      </c>
      <c r="AY906">
        <v>345.62333333333299</v>
      </c>
      <c r="AZ906">
        <v>336.62666666666598</v>
      </c>
      <c r="BA906">
        <v>387.099999999999</v>
      </c>
      <c r="BB906">
        <v>332.77333333333303</v>
      </c>
      <c r="BC906">
        <v>369.92999999999898</v>
      </c>
      <c r="BD906">
        <v>345.29333333333301</v>
      </c>
      <c r="BE906">
        <v>332.236666666666</v>
      </c>
      <c r="BF906">
        <v>321.68</v>
      </c>
      <c r="BG906" s="14"/>
      <c r="BH906" s="14"/>
      <c r="BI906" s="14"/>
      <c r="BJ906" s="199"/>
      <c r="BK906" s="14"/>
      <c r="BL906" s="14"/>
      <c r="BM906" s="14"/>
      <c r="BN906" s="14"/>
      <c r="BO906" s="14"/>
      <c r="BP906" s="14"/>
      <c r="BQ906" s="14"/>
      <c r="BR906" s="14"/>
      <c r="BS906" s="14"/>
      <c r="BT906" s="14"/>
      <c r="BU906" s="14"/>
      <c r="BV906" s="14"/>
      <c r="BW906" s="14"/>
      <c r="BX906" s="14"/>
      <c r="BY906" s="170"/>
    </row>
    <row r="907" spans="9:77" x14ac:dyDescent="0.25">
      <c r="I907">
        <v>8990</v>
      </c>
      <c r="J907" s="1" t="s">
        <v>1074</v>
      </c>
      <c r="K907">
        <v>400.63999999999902</v>
      </c>
      <c r="L907">
        <v>367.03666666666601</v>
      </c>
      <c r="M907">
        <v>388.50999999999902</v>
      </c>
      <c r="N907">
        <v>373.13333333333298</v>
      </c>
      <c r="O907">
        <v>366.4</v>
      </c>
      <c r="P907">
        <v>361.12333333333299</v>
      </c>
      <c r="Q907">
        <v>384.01333333333298</v>
      </c>
      <c r="R907">
        <v>329.55666666666599</v>
      </c>
      <c r="S907">
        <v>367.05999999999898</v>
      </c>
      <c r="T907">
        <v>342.03666666666601</v>
      </c>
      <c r="U907">
        <v>329.15666666666601</v>
      </c>
      <c r="V907">
        <v>318.66000000000003</v>
      </c>
      <c r="W907">
        <v>386.66333333333301</v>
      </c>
      <c r="X907">
        <v>359.37666666666598</v>
      </c>
      <c r="Y907">
        <v>370.236666666666</v>
      </c>
      <c r="Z907">
        <v>368.31</v>
      </c>
      <c r="AA907">
        <v>362.84666666666601</v>
      </c>
      <c r="AB907">
        <v>362.84666666666601</v>
      </c>
      <c r="AC907">
        <v>401.35</v>
      </c>
      <c r="AD907">
        <v>364.06333333333299</v>
      </c>
      <c r="AE907">
        <v>388.07999999999902</v>
      </c>
      <c r="AF907">
        <v>377.35999999999899</v>
      </c>
      <c r="AG907">
        <v>370.63333333333298</v>
      </c>
      <c r="AH907">
        <v>367.34666666666601</v>
      </c>
      <c r="AI907">
        <v>400.63999999999902</v>
      </c>
      <c r="AJ907">
        <v>367.03666666666601</v>
      </c>
      <c r="AK907">
        <v>388.50999999999902</v>
      </c>
      <c r="AL907">
        <v>373.13333333333298</v>
      </c>
      <c r="AM907">
        <v>366.4</v>
      </c>
      <c r="AN907">
        <v>361.12333333333299</v>
      </c>
      <c r="AO907">
        <v>396.69333333333299</v>
      </c>
      <c r="AP907">
        <v>331.77333333333303</v>
      </c>
      <c r="AQ907">
        <v>378.243333333333</v>
      </c>
      <c r="AR907">
        <v>346.93666666666599</v>
      </c>
      <c r="AS907">
        <v>329.31666666666598</v>
      </c>
      <c r="AT907">
        <v>314.95333333333298</v>
      </c>
      <c r="AU907">
        <v>409.05666666666599</v>
      </c>
      <c r="AV907">
        <v>357.63666666666597</v>
      </c>
      <c r="AW907">
        <v>392.933333333333</v>
      </c>
      <c r="AX907">
        <v>369.56</v>
      </c>
      <c r="AY907">
        <v>357.28666666666601</v>
      </c>
      <c r="AZ907">
        <v>348.183333333333</v>
      </c>
      <c r="BA907">
        <v>398.43</v>
      </c>
      <c r="BB907">
        <v>346.77</v>
      </c>
      <c r="BC907">
        <v>382.47666666666601</v>
      </c>
      <c r="BD907">
        <v>358.56666666666598</v>
      </c>
      <c r="BE907">
        <v>346.08666666666602</v>
      </c>
      <c r="BF907">
        <v>336.59</v>
      </c>
      <c r="BG907" s="14"/>
      <c r="BH907" s="14"/>
      <c r="BI907" s="14"/>
      <c r="BJ907" s="199"/>
      <c r="BK907" s="14"/>
      <c r="BL907" s="14"/>
      <c r="BM907" s="14"/>
      <c r="BN907" s="14"/>
      <c r="BO907" s="14"/>
      <c r="BP907" s="14"/>
      <c r="BQ907" s="14"/>
      <c r="BR907" s="14"/>
      <c r="BS907" s="14"/>
      <c r="BT907" s="14"/>
      <c r="BU907" s="14"/>
      <c r="BV907" s="14"/>
      <c r="BW907" s="14"/>
      <c r="BX907" s="14"/>
      <c r="BY907" s="170"/>
    </row>
    <row r="908" spans="9:77" x14ac:dyDescent="0.25">
      <c r="I908">
        <v>9000</v>
      </c>
      <c r="J908" s="1" t="s">
        <v>1075</v>
      </c>
      <c r="K908">
        <v>399.486666666666</v>
      </c>
      <c r="L908">
        <v>364.94666666666598</v>
      </c>
      <c r="M908">
        <v>387.44333333333299</v>
      </c>
      <c r="N908">
        <v>371.66333333333301</v>
      </c>
      <c r="O908">
        <v>364.28</v>
      </c>
      <c r="P908">
        <v>358.68666666666599</v>
      </c>
      <c r="Q908">
        <v>377.659999999999</v>
      </c>
      <c r="R908">
        <v>322.46333333333303</v>
      </c>
      <c r="S908">
        <v>359.02999999999901</v>
      </c>
      <c r="T908">
        <v>335.14333333333298</v>
      </c>
      <c r="U908">
        <v>322.16333333333301</v>
      </c>
      <c r="V908">
        <v>312.32333333333298</v>
      </c>
      <c r="W908">
        <v>380.40333333333302</v>
      </c>
      <c r="X908">
        <v>351.67999999999898</v>
      </c>
      <c r="Y908">
        <v>362.599999999999</v>
      </c>
      <c r="Z908">
        <v>360.57333333333298</v>
      </c>
      <c r="AA908">
        <v>355.12666666666598</v>
      </c>
      <c r="AB908">
        <v>355.12666666666598</v>
      </c>
      <c r="AC908">
        <v>399.97666666666601</v>
      </c>
      <c r="AD908">
        <v>360.66333333333301</v>
      </c>
      <c r="AE908">
        <v>386.21666666666601</v>
      </c>
      <c r="AF908">
        <v>375.03666666666601</v>
      </c>
      <c r="AG908">
        <v>367.63666666666597</v>
      </c>
      <c r="AH908">
        <v>364</v>
      </c>
      <c r="AI908">
        <v>399.486666666666</v>
      </c>
      <c r="AJ908">
        <v>364.94666666666598</v>
      </c>
      <c r="AK908">
        <v>387.44333333333299</v>
      </c>
      <c r="AL908">
        <v>371.66333333333301</v>
      </c>
      <c r="AM908">
        <v>364.28</v>
      </c>
      <c r="AN908">
        <v>358.68666666666599</v>
      </c>
      <c r="AO908">
        <v>387.93666666666599</v>
      </c>
      <c r="AP908">
        <v>322.84333333333302</v>
      </c>
      <c r="AQ908">
        <v>369.26666666666603</v>
      </c>
      <c r="AR908">
        <v>337.96666666666601</v>
      </c>
      <c r="AS908">
        <v>320.92</v>
      </c>
      <c r="AT908">
        <v>307.31333333333299</v>
      </c>
      <c r="AU908">
        <v>403.78</v>
      </c>
      <c r="AV908">
        <v>351.666666666666</v>
      </c>
      <c r="AW908">
        <v>386.97</v>
      </c>
      <c r="AX908">
        <v>363.67999999999898</v>
      </c>
      <c r="AY908">
        <v>351.51</v>
      </c>
      <c r="AZ908">
        <v>342.54</v>
      </c>
      <c r="BA908">
        <v>393.68666666666599</v>
      </c>
      <c r="BB908">
        <v>340.95666666666602</v>
      </c>
      <c r="BC908">
        <v>376.52999999999901</v>
      </c>
      <c r="BD908">
        <v>352.93999999999897</v>
      </c>
      <c r="BE908">
        <v>340.46333333333303</v>
      </c>
      <c r="BF908">
        <v>330.993333333333</v>
      </c>
      <c r="BG908" s="14"/>
      <c r="BH908" s="14"/>
      <c r="BI908" s="14"/>
      <c r="BJ908" s="199"/>
      <c r="BK908" s="14"/>
      <c r="BL908" s="14"/>
      <c r="BM908" s="14"/>
      <c r="BN908" s="14"/>
      <c r="BO908" s="14"/>
      <c r="BP908" s="14"/>
      <c r="BQ908" s="14"/>
      <c r="BR908" s="14"/>
      <c r="BS908" s="14"/>
      <c r="BT908" s="14"/>
      <c r="BU908" s="14"/>
      <c r="BV908" s="14"/>
      <c r="BW908" s="14"/>
      <c r="BX908" s="14"/>
      <c r="BY908" s="170"/>
    </row>
    <row r="909" spans="9:77" x14ac:dyDescent="0.25">
      <c r="I909">
        <v>9200</v>
      </c>
      <c r="J909" s="1" t="s">
        <v>1076</v>
      </c>
      <c r="K909">
        <v>459.72666666666601</v>
      </c>
      <c r="L909">
        <v>425.18666666666599</v>
      </c>
      <c r="M909">
        <v>447.683333333333</v>
      </c>
      <c r="N909">
        <v>431.90333333333302</v>
      </c>
      <c r="O909">
        <v>424.51999999999902</v>
      </c>
      <c r="P909">
        <v>418.92666666666599</v>
      </c>
      <c r="Q909">
        <v>437.89999999999901</v>
      </c>
      <c r="R909">
        <v>382.70333333333298</v>
      </c>
      <c r="S909">
        <v>419.26999999999902</v>
      </c>
      <c r="T909">
        <v>395.38333333333298</v>
      </c>
      <c r="U909">
        <v>382.40333333333302</v>
      </c>
      <c r="V909">
        <v>372.56333333333299</v>
      </c>
      <c r="W909">
        <v>440.64333333333298</v>
      </c>
      <c r="X909">
        <v>411.91999999999899</v>
      </c>
      <c r="Y909">
        <v>422.83999999999901</v>
      </c>
      <c r="Z909">
        <v>420.81333333333299</v>
      </c>
      <c r="AA909">
        <v>415.36666666666599</v>
      </c>
      <c r="AB909">
        <v>415.36666666666599</v>
      </c>
      <c r="AC909">
        <v>460.21666666666601</v>
      </c>
      <c r="AD909">
        <v>420.90333333333302</v>
      </c>
      <c r="AE909">
        <v>446.45666666666602</v>
      </c>
      <c r="AF909">
        <v>435.27666666666602</v>
      </c>
      <c r="AG909">
        <v>427.87666666666598</v>
      </c>
      <c r="AH909">
        <v>424.23999999999899</v>
      </c>
      <c r="AI909">
        <v>459.72666666666601</v>
      </c>
      <c r="AJ909">
        <v>425.18666666666599</v>
      </c>
      <c r="AK909">
        <v>447.683333333333</v>
      </c>
      <c r="AL909">
        <v>431.90333333333302</v>
      </c>
      <c r="AM909">
        <v>424.51999999999902</v>
      </c>
      <c r="AN909">
        <v>418.92666666666599</v>
      </c>
      <c r="AO909">
        <v>448.17666666666599</v>
      </c>
      <c r="AP909">
        <v>383.08333333333297</v>
      </c>
      <c r="AQ909">
        <v>429.50666666666598</v>
      </c>
      <c r="AR909">
        <v>398.20666666666602</v>
      </c>
      <c r="AS909">
        <v>381.159999999999</v>
      </c>
      <c r="AT909">
        <v>367.553333333333</v>
      </c>
      <c r="AU909">
        <v>464.01999999999902</v>
      </c>
      <c r="AV909">
        <v>411.90666666666601</v>
      </c>
      <c r="AW909">
        <v>447.20999999999901</v>
      </c>
      <c r="AX909">
        <v>423.91999999999899</v>
      </c>
      <c r="AY909">
        <v>411.74999999999898</v>
      </c>
      <c r="AZ909">
        <v>402.77999999999901</v>
      </c>
      <c r="BA909">
        <v>453.92666666666599</v>
      </c>
      <c r="BB909">
        <v>401.19666666666598</v>
      </c>
      <c r="BC909">
        <v>436.76999999999902</v>
      </c>
      <c r="BD909">
        <v>413.17999999999898</v>
      </c>
      <c r="BE909">
        <v>400.70333333333298</v>
      </c>
      <c r="BF909">
        <v>391.23333333333301</v>
      </c>
      <c r="BG909" s="14"/>
      <c r="BH909" s="14"/>
      <c r="BI909" s="14"/>
      <c r="BJ909" s="199"/>
      <c r="BK909" s="14"/>
      <c r="BL909" s="14"/>
      <c r="BM909" s="14"/>
      <c r="BN909" s="14"/>
      <c r="BO909" s="14"/>
      <c r="BP909" s="14"/>
      <c r="BQ909" s="14"/>
      <c r="BR909" s="14"/>
      <c r="BS909" s="14"/>
      <c r="BT909" s="14"/>
      <c r="BU909" s="14"/>
      <c r="BV909" s="14"/>
      <c r="BW909" s="14"/>
      <c r="BX909" s="14"/>
      <c r="BY909" s="170"/>
    </row>
    <row r="910" spans="9:77" x14ac:dyDescent="0.25">
      <c r="I910">
        <v>9210</v>
      </c>
      <c r="J910" s="1" t="s">
        <v>1077</v>
      </c>
      <c r="K910">
        <v>424.14666666666602</v>
      </c>
      <c r="L910">
        <v>389.606666666666</v>
      </c>
      <c r="M910">
        <v>412.10333333333301</v>
      </c>
      <c r="N910">
        <v>396.32333333333298</v>
      </c>
      <c r="O910">
        <v>388.94</v>
      </c>
      <c r="P910">
        <v>383.34666666666601</v>
      </c>
      <c r="Q910">
        <v>402.32</v>
      </c>
      <c r="R910">
        <v>347.12333333333299</v>
      </c>
      <c r="S910">
        <v>383.69</v>
      </c>
      <c r="T910">
        <v>359.803333333333</v>
      </c>
      <c r="U910">
        <v>346.82333333333298</v>
      </c>
      <c r="V910">
        <v>336.98333333333301</v>
      </c>
      <c r="W910">
        <v>405.06333333333299</v>
      </c>
      <c r="X910">
        <v>376.33999999999901</v>
      </c>
      <c r="Y910">
        <v>387.25999999999902</v>
      </c>
      <c r="Z910">
        <v>385.23333333333301</v>
      </c>
      <c r="AA910">
        <v>379.78666666666601</v>
      </c>
      <c r="AB910">
        <v>379.78666666666601</v>
      </c>
      <c r="AC910">
        <v>424.63666666666597</v>
      </c>
      <c r="AD910">
        <v>385.32333333333298</v>
      </c>
      <c r="AE910">
        <v>410.87666666666598</v>
      </c>
      <c r="AF910">
        <v>399.69666666666598</v>
      </c>
      <c r="AG910">
        <v>392.296666666666</v>
      </c>
      <c r="AH910">
        <v>388.66</v>
      </c>
      <c r="AI910">
        <v>424.14666666666602</v>
      </c>
      <c r="AJ910">
        <v>389.606666666666</v>
      </c>
      <c r="AK910">
        <v>412.10333333333301</v>
      </c>
      <c r="AL910">
        <v>396.32333333333298</v>
      </c>
      <c r="AM910">
        <v>388.94</v>
      </c>
      <c r="AN910">
        <v>383.34666666666601</v>
      </c>
      <c r="AO910">
        <v>412.59666666666601</v>
      </c>
      <c r="AP910">
        <v>347.50333333333299</v>
      </c>
      <c r="AQ910">
        <v>393.92666666666599</v>
      </c>
      <c r="AR910">
        <v>362.62666666666598</v>
      </c>
      <c r="AS910">
        <v>345.58</v>
      </c>
      <c r="AT910">
        <v>331.97333333333302</v>
      </c>
      <c r="AU910">
        <v>428.44</v>
      </c>
      <c r="AV910">
        <v>376.32666666666597</v>
      </c>
      <c r="AW910">
        <v>411.63</v>
      </c>
      <c r="AX910">
        <v>388.33999999999901</v>
      </c>
      <c r="AY910">
        <v>376.17</v>
      </c>
      <c r="AZ910">
        <v>367.2</v>
      </c>
      <c r="BA910">
        <v>418.34666666666601</v>
      </c>
      <c r="BB910">
        <v>365.61666666666599</v>
      </c>
      <c r="BC910">
        <v>401.19</v>
      </c>
      <c r="BD910">
        <v>377.6</v>
      </c>
      <c r="BE910">
        <v>365.12333333333299</v>
      </c>
      <c r="BF910">
        <v>355.65333333333302</v>
      </c>
      <c r="BG910" s="14"/>
      <c r="BH910" s="14"/>
      <c r="BI910" s="14"/>
      <c r="BJ910" s="199"/>
      <c r="BK910" s="14"/>
      <c r="BL910" s="14"/>
      <c r="BM910" s="14"/>
      <c r="BN910" s="14"/>
      <c r="BO910" s="14"/>
      <c r="BP910" s="14"/>
      <c r="BQ910" s="14"/>
      <c r="BR910" s="14"/>
      <c r="BS910" s="14"/>
      <c r="BT910" s="14"/>
      <c r="BU910" s="14"/>
      <c r="BV910" s="14"/>
      <c r="BW910" s="14"/>
      <c r="BX910" s="14"/>
      <c r="BY910" s="170"/>
    </row>
    <row r="911" spans="9:77" x14ac:dyDescent="0.25">
      <c r="I911">
        <v>9220</v>
      </c>
      <c r="J911" s="1" t="s">
        <v>1078</v>
      </c>
      <c r="K911">
        <v>396.606666666666</v>
      </c>
      <c r="L911">
        <v>362.06666666666598</v>
      </c>
      <c r="M911">
        <v>384.56333333333299</v>
      </c>
      <c r="N911">
        <v>368.78333333333302</v>
      </c>
      <c r="O911">
        <v>361.4</v>
      </c>
      <c r="P911">
        <v>355.80666666666599</v>
      </c>
      <c r="Q911">
        <v>374.77999999999901</v>
      </c>
      <c r="R911">
        <v>319.58333333333297</v>
      </c>
      <c r="S911">
        <v>356.14999999999901</v>
      </c>
      <c r="T911">
        <v>332.26333333333298</v>
      </c>
      <c r="U911">
        <v>319.28333333333302</v>
      </c>
      <c r="V911">
        <v>309.44333333333299</v>
      </c>
      <c r="W911">
        <v>377.52333333333303</v>
      </c>
      <c r="X911">
        <v>348.79999999999899</v>
      </c>
      <c r="Y911">
        <v>359.719999999999</v>
      </c>
      <c r="Z911">
        <v>357.69333333333299</v>
      </c>
      <c r="AA911">
        <v>352.24666666666599</v>
      </c>
      <c r="AB911">
        <v>352.24666666666599</v>
      </c>
      <c r="AC911">
        <v>397.09666666666601</v>
      </c>
      <c r="AD911">
        <v>357.78333333333302</v>
      </c>
      <c r="AE911">
        <v>383.33666666666602</v>
      </c>
      <c r="AF911">
        <v>372.15666666666601</v>
      </c>
      <c r="AG911">
        <v>364.75666666666598</v>
      </c>
      <c r="AH911">
        <v>361.12</v>
      </c>
      <c r="AI911">
        <v>396.606666666666</v>
      </c>
      <c r="AJ911">
        <v>362.06666666666598</v>
      </c>
      <c r="AK911">
        <v>384.56333333333299</v>
      </c>
      <c r="AL911">
        <v>368.78333333333302</v>
      </c>
      <c r="AM911">
        <v>361.4</v>
      </c>
      <c r="AN911">
        <v>355.80666666666599</v>
      </c>
      <c r="AO911">
        <v>385.05666666666599</v>
      </c>
      <c r="AP911">
        <v>319.96333333333303</v>
      </c>
      <c r="AQ911">
        <v>366.38666666666597</v>
      </c>
      <c r="AR911">
        <v>335.08666666666602</v>
      </c>
      <c r="AS911">
        <v>318.04000000000002</v>
      </c>
      <c r="AT911">
        <v>304.433333333333</v>
      </c>
      <c r="AU911">
        <v>400.9</v>
      </c>
      <c r="AV911">
        <v>348.78666666666601</v>
      </c>
      <c r="AW911">
        <v>384.09</v>
      </c>
      <c r="AX911">
        <v>360.79999999999899</v>
      </c>
      <c r="AY911">
        <v>348.63</v>
      </c>
      <c r="AZ911">
        <v>339.66</v>
      </c>
      <c r="BA911">
        <v>390.80666666666599</v>
      </c>
      <c r="BB911">
        <v>338.07666666666597</v>
      </c>
      <c r="BC911">
        <v>373.64999999999901</v>
      </c>
      <c r="BD911">
        <v>350.05999999999898</v>
      </c>
      <c r="BE911">
        <v>337.58333333333297</v>
      </c>
      <c r="BF911">
        <v>328.113333333333</v>
      </c>
      <c r="BG911" s="14"/>
      <c r="BH911" s="14"/>
      <c r="BI911" s="14"/>
      <c r="BJ911" s="199"/>
      <c r="BK911" s="14"/>
      <c r="BL911" s="14"/>
      <c r="BM911" s="14"/>
      <c r="BN911" s="14"/>
      <c r="BO911" s="14"/>
      <c r="BP911" s="14"/>
      <c r="BQ911" s="14"/>
      <c r="BR911" s="14"/>
      <c r="BS911" s="14"/>
      <c r="BT911" s="14"/>
      <c r="BU911" s="14"/>
      <c r="BV911" s="14"/>
      <c r="BW911" s="14"/>
      <c r="BX911" s="14"/>
      <c r="BY911" s="170"/>
    </row>
    <row r="912" spans="9:77" x14ac:dyDescent="0.25">
      <c r="I912">
        <v>9230</v>
      </c>
      <c r="J912" s="1" t="s">
        <v>1079</v>
      </c>
      <c r="K912">
        <v>459.72666666666601</v>
      </c>
      <c r="L912">
        <v>425.18666666666599</v>
      </c>
      <c r="M912">
        <v>447.683333333333</v>
      </c>
      <c r="N912">
        <v>431.90333333333302</v>
      </c>
      <c r="O912">
        <v>424.51999999999902</v>
      </c>
      <c r="P912">
        <v>418.92666666666599</v>
      </c>
      <c r="Q912">
        <v>437.89999999999901</v>
      </c>
      <c r="R912">
        <v>382.70333333333298</v>
      </c>
      <c r="S912">
        <v>419.26999999999902</v>
      </c>
      <c r="T912">
        <v>395.38333333333298</v>
      </c>
      <c r="U912">
        <v>382.40333333333302</v>
      </c>
      <c r="V912">
        <v>372.56333333333299</v>
      </c>
      <c r="W912">
        <v>440.64333333333298</v>
      </c>
      <c r="X912">
        <v>411.91999999999899</v>
      </c>
      <c r="Y912">
        <v>422.83999999999901</v>
      </c>
      <c r="Z912">
        <v>420.81333333333299</v>
      </c>
      <c r="AA912">
        <v>415.36666666666599</v>
      </c>
      <c r="AB912">
        <v>415.36666666666599</v>
      </c>
      <c r="AC912">
        <v>460.21666666666601</v>
      </c>
      <c r="AD912">
        <v>420.90333333333302</v>
      </c>
      <c r="AE912">
        <v>446.45666666666602</v>
      </c>
      <c r="AF912">
        <v>435.27666666666602</v>
      </c>
      <c r="AG912">
        <v>427.87666666666598</v>
      </c>
      <c r="AH912">
        <v>424.23999999999899</v>
      </c>
      <c r="AI912">
        <v>459.72666666666601</v>
      </c>
      <c r="AJ912">
        <v>425.18666666666599</v>
      </c>
      <c r="AK912">
        <v>447.683333333333</v>
      </c>
      <c r="AL912">
        <v>431.90333333333302</v>
      </c>
      <c r="AM912">
        <v>424.51999999999902</v>
      </c>
      <c r="AN912">
        <v>418.92666666666599</v>
      </c>
      <c r="AO912">
        <v>448.17666666666599</v>
      </c>
      <c r="AP912">
        <v>383.08333333333297</v>
      </c>
      <c r="AQ912">
        <v>429.50666666666598</v>
      </c>
      <c r="AR912">
        <v>398.20666666666602</v>
      </c>
      <c r="AS912">
        <v>381.159999999999</v>
      </c>
      <c r="AT912">
        <v>367.553333333333</v>
      </c>
      <c r="AU912">
        <v>464.01999999999902</v>
      </c>
      <c r="AV912">
        <v>411.90666666666601</v>
      </c>
      <c r="AW912">
        <v>447.20999999999901</v>
      </c>
      <c r="AX912">
        <v>423.91999999999899</v>
      </c>
      <c r="AY912">
        <v>411.74999999999898</v>
      </c>
      <c r="AZ912">
        <v>402.77999999999901</v>
      </c>
      <c r="BA912">
        <v>453.92666666666599</v>
      </c>
      <c r="BB912">
        <v>401.19666666666598</v>
      </c>
      <c r="BC912">
        <v>436.76999999999902</v>
      </c>
      <c r="BD912">
        <v>413.17999999999898</v>
      </c>
      <c r="BE912">
        <v>400.70333333333298</v>
      </c>
      <c r="BF912">
        <v>391.23333333333301</v>
      </c>
      <c r="BG912" s="14"/>
      <c r="BH912" s="14"/>
      <c r="BI912" s="14"/>
      <c r="BJ912" s="199"/>
      <c r="BK912" s="14"/>
      <c r="BL912" s="14"/>
      <c r="BM912" s="14"/>
      <c r="BN912" s="14"/>
      <c r="BO912" s="14"/>
      <c r="BP912" s="14"/>
      <c r="BQ912" s="14"/>
      <c r="BR912" s="14"/>
      <c r="BS912" s="14"/>
      <c r="BT912" s="14"/>
      <c r="BU912" s="14"/>
      <c r="BV912" s="14"/>
      <c r="BW912" s="14"/>
      <c r="BX912" s="14"/>
      <c r="BY912" s="170"/>
    </row>
    <row r="913" spans="9:77" x14ac:dyDescent="0.25">
      <c r="I913">
        <v>9240</v>
      </c>
      <c r="J913" s="1" t="s">
        <v>1080</v>
      </c>
      <c r="K913">
        <v>494.43666666666599</v>
      </c>
      <c r="L913">
        <v>459.89666666666602</v>
      </c>
      <c r="M913">
        <v>482.39333333333298</v>
      </c>
      <c r="N913">
        <v>466.613333333333</v>
      </c>
      <c r="O913">
        <v>459.23</v>
      </c>
      <c r="P913">
        <v>453.63666666666597</v>
      </c>
      <c r="Q913">
        <v>472.61</v>
      </c>
      <c r="R913">
        <v>417.41333333333301</v>
      </c>
      <c r="S913">
        <v>453.979999999999</v>
      </c>
      <c r="T913">
        <v>430.09333333333302</v>
      </c>
      <c r="U913">
        <v>417.113333333333</v>
      </c>
      <c r="V913">
        <v>407.27333333333303</v>
      </c>
      <c r="W913">
        <v>475.35333333333301</v>
      </c>
      <c r="X913">
        <v>446.62999999999897</v>
      </c>
      <c r="Y913">
        <v>457.54999999999899</v>
      </c>
      <c r="Z913">
        <v>455.52333333333303</v>
      </c>
      <c r="AA913">
        <v>450.07666666666597</v>
      </c>
      <c r="AB913">
        <v>450.07666666666597</v>
      </c>
      <c r="AC913">
        <v>494.92666666666599</v>
      </c>
      <c r="AD913">
        <v>455.613333333333</v>
      </c>
      <c r="AE913">
        <v>481.166666666666</v>
      </c>
      <c r="AF913">
        <v>469.986666666666</v>
      </c>
      <c r="AG913">
        <v>462.58666666666602</v>
      </c>
      <c r="AH913">
        <v>458.95</v>
      </c>
      <c r="AI913">
        <v>494.43666666666599</v>
      </c>
      <c r="AJ913">
        <v>459.89666666666602</v>
      </c>
      <c r="AK913">
        <v>482.39333333333298</v>
      </c>
      <c r="AL913">
        <v>466.613333333333</v>
      </c>
      <c r="AM913">
        <v>459.23</v>
      </c>
      <c r="AN913">
        <v>453.63666666666597</v>
      </c>
      <c r="AO913">
        <v>482.88666666666597</v>
      </c>
      <c r="AP913">
        <v>417.79333333333301</v>
      </c>
      <c r="AQ913">
        <v>464.21666666666601</v>
      </c>
      <c r="AR913">
        <v>432.916666666666</v>
      </c>
      <c r="AS913">
        <v>415.87</v>
      </c>
      <c r="AT913">
        <v>402.26333333333298</v>
      </c>
      <c r="AU913">
        <v>498.73</v>
      </c>
      <c r="AV913">
        <v>446.61666666666599</v>
      </c>
      <c r="AW913">
        <v>481.92</v>
      </c>
      <c r="AX913">
        <v>458.62999999999897</v>
      </c>
      <c r="AY913">
        <v>446.46</v>
      </c>
      <c r="AZ913">
        <v>437.49</v>
      </c>
      <c r="BA913">
        <v>488.63666666666597</v>
      </c>
      <c r="BB913">
        <v>435.90666666666601</v>
      </c>
      <c r="BC913">
        <v>471.479999999999</v>
      </c>
      <c r="BD913">
        <v>447.88999999999902</v>
      </c>
      <c r="BE913">
        <v>435.41333333333301</v>
      </c>
      <c r="BF913">
        <v>425.94333333333299</v>
      </c>
      <c r="BG913" s="14"/>
      <c r="BH913" s="14"/>
      <c r="BI913" s="14"/>
      <c r="BJ913" s="199"/>
      <c r="BK913" s="14"/>
      <c r="BL913" s="14"/>
      <c r="BM913" s="14"/>
      <c r="BN913" s="14"/>
      <c r="BO913" s="14"/>
      <c r="BP913" s="14"/>
      <c r="BQ913" s="14"/>
      <c r="BR913" s="14"/>
      <c r="BS913" s="14"/>
      <c r="BT913" s="14"/>
      <c r="BU913" s="14"/>
      <c r="BV913" s="14"/>
      <c r="BW913" s="14"/>
      <c r="BX913" s="14"/>
      <c r="BY913" s="170"/>
    </row>
    <row r="914" spans="9:77" x14ac:dyDescent="0.25">
      <c r="I914">
        <v>9260</v>
      </c>
      <c r="J914" s="1" t="s">
        <v>1081</v>
      </c>
      <c r="K914">
        <v>445.43666666666599</v>
      </c>
      <c r="L914">
        <v>410.89666666666602</v>
      </c>
      <c r="M914">
        <v>433.39333333333298</v>
      </c>
      <c r="N914">
        <v>417.613333333333</v>
      </c>
      <c r="O914">
        <v>410.23</v>
      </c>
      <c r="P914">
        <v>404.63666666666597</v>
      </c>
      <c r="Q914">
        <v>423.60999999999899</v>
      </c>
      <c r="R914">
        <v>368.41333333333301</v>
      </c>
      <c r="S914">
        <v>404.979999999999</v>
      </c>
      <c r="T914">
        <v>381.09333333333302</v>
      </c>
      <c r="U914">
        <v>368.113333333333</v>
      </c>
      <c r="V914">
        <v>358.27333333333303</v>
      </c>
      <c r="W914">
        <v>426.35333333333301</v>
      </c>
      <c r="X914">
        <v>397.62999999999897</v>
      </c>
      <c r="Y914">
        <v>408.54999999999899</v>
      </c>
      <c r="Z914">
        <v>406.52333333333303</v>
      </c>
      <c r="AA914">
        <v>401.07666666666597</v>
      </c>
      <c r="AB914">
        <v>401.07666666666597</v>
      </c>
      <c r="AC914">
        <v>445.92666666666599</v>
      </c>
      <c r="AD914">
        <v>406.613333333333</v>
      </c>
      <c r="AE914">
        <v>432.166666666666</v>
      </c>
      <c r="AF914">
        <v>420.986666666666</v>
      </c>
      <c r="AG914">
        <v>413.58666666666602</v>
      </c>
      <c r="AH914">
        <v>409.94999999999902</v>
      </c>
      <c r="AI914">
        <v>445.43666666666599</v>
      </c>
      <c r="AJ914">
        <v>410.89666666666602</v>
      </c>
      <c r="AK914">
        <v>433.39333333333298</v>
      </c>
      <c r="AL914">
        <v>417.613333333333</v>
      </c>
      <c r="AM914">
        <v>410.23</v>
      </c>
      <c r="AN914">
        <v>404.63666666666597</v>
      </c>
      <c r="AO914">
        <v>433.88666666666597</v>
      </c>
      <c r="AP914">
        <v>368.79333333333301</v>
      </c>
      <c r="AQ914">
        <v>415.21666666666601</v>
      </c>
      <c r="AR914">
        <v>383.916666666666</v>
      </c>
      <c r="AS914">
        <v>366.87</v>
      </c>
      <c r="AT914">
        <v>353.26333333333298</v>
      </c>
      <c r="AU914">
        <v>449.729999999999</v>
      </c>
      <c r="AV914">
        <v>397.61666666666599</v>
      </c>
      <c r="AW914">
        <v>432.92</v>
      </c>
      <c r="AX914">
        <v>409.62999999999897</v>
      </c>
      <c r="AY914">
        <v>397.45999999999901</v>
      </c>
      <c r="AZ914">
        <v>388.48999999999899</v>
      </c>
      <c r="BA914">
        <v>439.63666666666597</v>
      </c>
      <c r="BB914">
        <v>386.90666666666601</v>
      </c>
      <c r="BC914">
        <v>422.479999999999</v>
      </c>
      <c r="BD914">
        <v>398.88999999999902</v>
      </c>
      <c r="BE914">
        <v>386.41333333333301</v>
      </c>
      <c r="BF914">
        <v>376.94333333333299</v>
      </c>
      <c r="BG914" s="14"/>
      <c r="BH914" s="14"/>
      <c r="BI914" s="14"/>
      <c r="BJ914" s="199"/>
      <c r="BK914" s="14"/>
      <c r="BL914" s="14"/>
      <c r="BM914" s="14"/>
      <c r="BN914" s="14"/>
      <c r="BO914" s="14"/>
      <c r="BP914" s="14"/>
      <c r="BQ914" s="14"/>
      <c r="BR914" s="14"/>
      <c r="BS914" s="14"/>
      <c r="BT914" s="14"/>
      <c r="BU914" s="14"/>
      <c r="BV914" s="14"/>
      <c r="BW914" s="14"/>
      <c r="BX914" s="14"/>
      <c r="BY914" s="170"/>
    </row>
    <row r="915" spans="9:77" x14ac:dyDescent="0.25">
      <c r="I915">
        <v>9270</v>
      </c>
      <c r="J915" s="1" t="s">
        <v>1082</v>
      </c>
      <c r="K915">
        <v>424.14666666666602</v>
      </c>
      <c r="L915">
        <v>389.606666666666</v>
      </c>
      <c r="M915">
        <v>412.10333333333301</v>
      </c>
      <c r="N915">
        <v>396.32333333333298</v>
      </c>
      <c r="O915">
        <v>388.94</v>
      </c>
      <c r="P915">
        <v>383.34666666666601</v>
      </c>
      <c r="Q915">
        <v>402.32</v>
      </c>
      <c r="R915">
        <v>347.12333333333299</v>
      </c>
      <c r="S915">
        <v>383.69</v>
      </c>
      <c r="T915">
        <v>359.803333333333</v>
      </c>
      <c r="U915">
        <v>346.82333333333298</v>
      </c>
      <c r="V915">
        <v>336.98333333333301</v>
      </c>
      <c r="W915">
        <v>405.06333333333299</v>
      </c>
      <c r="X915">
        <v>376.33999999999901</v>
      </c>
      <c r="Y915">
        <v>387.25999999999902</v>
      </c>
      <c r="Z915">
        <v>385.23333333333301</v>
      </c>
      <c r="AA915">
        <v>379.78666666666601</v>
      </c>
      <c r="AB915">
        <v>379.78666666666601</v>
      </c>
      <c r="AC915">
        <v>424.63666666666597</v>
      </c>
      <c r="AD915">
        <v>385.32333333333298</v>
      </c>
      <c r="AE915">
        <v>410.87666666666598</v>
      </c>
      <c r="AF915">
        <v>399.69666666666598</v>
      </c>
      <c r="AG915">
        <v>392.296666666666</v>
      </c>
      <c r="AH915">
        <v>388.66</v>
      </c>
      <c r="AI915">
        <v>424.14666666666602</v>
      </c>
      <c r="AJ915">
        <v>389.606666666666</v>
      </c>
      <c r="AK915">
        <v>412.10333333333301</v>
      </c>
      <c r="AL915">
        <v>396.32333333333298</v>
      </c>
      <c r="AM915">
        <v>388.94</v>
      </c>
      <c r="AN915">
        <v>383.34666666666601</v>
      </c>
      <c r="AO915">
        <v>412.59666666666601</v>
      </c>
      <c r="AP915">
        <v>347.50333333333299</v>
      </c>
      <c r="AQ915">
        <v>393.92666666666599</v>
      </c>
      <c r="AR915">
        <v>362.62666666666598</v>
      </c>
      <c r="AS915">
        <v>345.58</v>
      </c>
      <c r="AT915">
        <v>331.97333333333302</v>
      </c>
      <c r="AU915">
        <v>428.44</v>
      </c>
      <c r="AV915">
        <v>376.32666666666597</v>
      </c>
      <c r="AW915">
        <v>411.63</v>
      </c>
      <c r="AX915">
        <v>388.33999999999901</v>
      </c>
      <c r="AY915">
        <v>376.17</v>
      </c>
      <c r="AZ915">
        <v>367.2</v>
      </c>
      <c r="BA915">
        <v>418.34666666666601</v>
      </c>
      <c r="BB915">
        <v>365.61666666666599</v>
      </c>
      <c r="BC915">
        <v>401.19</v>
      </c>
      <c r="BD915">
        <v>377.6</v>
      </c>
      <c r="BE915">
        <v>365.12333333333299</v>
      </c>
      <c r="BF915">
        <v>355.65333333333302</v>
      </c>
      <c r="BG915" s="14"/>
      <c r="BH915" s="14"/>
      <c r="BI915" s="14"/>
      <c r="BJ915" s="199"/>
      <c r="BK915" s="14"/>
      <c r="BL915" s="14"/>
      <c r="BM915" s="14"/>
      <c r="BN915" s="14"/>
      <c r="BO915" s="14"/>
      <c r="BP915" s="14"/>
      <c r="BQ915" s="14"/>
      <c r="BR915" s="14"/>
      <c r="BS915" s="14"/>
      <c r="BT915" s="14"/>
      <c r="BU915" s="14"/>
      <c r="BV915" s="14"/>
      <c r="BW915" s="14"/>
      <c r="BX915" s="14"/>
      <c r="BY915" s="170"/>
    </row>
    <row r="916" spans="9:77" x14ac:dyDescent="0.25">
      <c r="I916">
        <v>9280</v>
      </c>
      <c r="J916" s="1" t="s">
        <v>1083</v>
      </c>
      <c r="K916">
        <v>372.02666666666602</v>
      </c>
      <c r="L916">
        <v>337.486666666666</v>
      </c>
      <c r="M916">
        <v>359.98333333333301</v>
      </c>
      <c r="N916">
        <v>344.20333333333298</v>
      </c>
      <c r="O916">
        <v>336.82</v>
      </c>
      <c r="P916">
        <v>331.22666666666601</v>
      </c>
      <c r="Q916">
        <v>350.2</v>
      </c>
      <c r="R916">
        <v>295.00333333333299</v>
      </c>
      <c r="S916">
        <v>331.56999999999903</v>
      </c>
      <c r="T916">
        <v>307.683333333333</v>
      </c>
      <c r="U916">
        <v>294.70333333333298</v>
      </c>
      <c r="V916">
        <v>284.863333333333</v>
      </c>
      <c r="W916">
        <v>352.94333333333299</v>
      </c>
      <c r="X916">
        <v>324.219999999999</v>
      </c>
      <c r="Y916">
        <v>335.13999999999902</v>
      </c>
      <c r="Z916">
        <v>333.113333333333</v>
      </c>
      <c r="AA916">
        <v>327.666666666666</v>
      </c>
      <c r="AB916">
        <v>327.666666666666</v>
      </c>
      <c r="AC916">
        <v>372.51666666666603</v>
      </c>
      <c r="AD916">
        <v>333.20333333333298</v>
      </c>
      <c r="AE916">
        <v>358.75666666666598</v>
      </c>
      <c r="AF916">
        <v>347.57666666666597</v>
      </c>
      <c r="AG916">
        <v>340.17666666666599</v>
      </c>
      <c r="AH916">
        <v>336.54</v>
      </c>
      <c r="AI916">
        <v>372.02666666666602</v>
      </c>
      <c r="AJ916">
        <v>337.486666666666</v>
      </c>
      <c r="AK916">
        <v>359.98333333333301</v>
      </c>
      <c r="AL916">
        <v>344.20333333333298</v>
      </c>
      <c r="AM916">
        <v>336.82</v>
      </c>
      <c r="AN916">
        <v>331.22666666666601</v>
      </c>
      <c r="AO916">
        <v>360.47666666666601</v>
      </c>
      <c r="AP916">
        <v>295.38333333333298</v>
      </c>
      <c r="AQ916">
        <v>341.80666666666599</v>
      </c>
      <c r="AR916">
        <v>310.50666666666598</v>
      </c>
      <c r="AS916">
        <v>293.45999999999998</v>
      </c>
      <c r="AT916">
        <v>279.85333333333301</v>
      </c>
      <c r="AU916">
        <v>376.32</v>
      </c>
      <c r="AV916">
        <v>324.20666666666602</v>
      </c>
      <c r="AW916">
        <v>359.51</v>
      </c>
      <c r="AX916">
        <v>336.219999999999</v>
      </c>
      <c r="AY916">
        <v>324.05</v>
      </c>
      <c r="AZ916">
        <v>315.08</v>
      </c>
      <c r="BA916">
        <v>366.22666666666601</v>
      </c>
      <c r="BB916">
        <v>313.49666666666599</v>
      </c>
      <c r="BC916">
        <v>349.06999999999903</v>
      </c>
      <c r="BD916">
        <v>325.48</v>
      </c>
      <c r="BE916">
        <v>313.00333333333299</v>
      </c>
      <c r="BF916">
        <v>303.53333333333302</v>
      </c>
      <c r="BG916" s="14"/>
      <c r="BH916" s="14"/>
      <c r="BI916" s="14"/>
      <c r="BJ916" s="199"/>
      <c r="BK916" s="14"/>
      <c r="BL916" s="14"/>
      <c r="BM916" s="14"/>
      <c r="BN916" s="14"/>
      <c r="BO916" s="14"/>
      <c r="BP916" s="14"/>
      <c r="BQ916" s="14"/>
      <c r="BR916" s="14"/>
      <c r="BS916" s="14"/>
      <c r="BT916" s="14"/>
      <c r="BU916" s="14"/>
      <c r="BV916" s="14"/>
      <c r="BW916" s="14"/>
      <c r="BX916" s="14"/>
      <c r="BY916" s="170"/>
    </row>
    <row r="917" spans="9:77" x14ac:dyDescent="0.25">
      <c r="I917">
        <v>9293</v>
      </c>
      <c r="J917" s="1" t="s">
        <v>1084</v>
      </c>
      <c r="K917">
        <v>372.02666666666602</v>
      </c>
      <c r="L917">
        <v>337.486666666666</v>
      </c>
      <c r="M917">
        <v>359.98333333333301</v>
      </c>
      <c r="N917">
        <v>344.20333333333298</v>
      </c>
      <c r="O917">
        <v>336.82</v>
      </c>
      <c r="P917">
        <v>331.22666666666601</v>
      </c>
      <c r="Q917">
        <v>350.2</v>
      </c>
      <c r="R917">
        <v>295.00333333333299</v>
      </c>
      <c r="S917">
        <v>331.56999999999903</v>
      </c>
      <c r="T917">
        <v>307.683333333333</v>
      </c>
      <c r="U917">
        <v>294.70333333333298</v>
      </c>
      <c r="V917">
        <v>284.863333333333</v>
      </c>
      <c r="W917">
        <v>352.94333333333299</v>
      </c>
      <c r="X917">
        <v>324.219999999999</v>
      </c>
      <c r="Y917">
        <v>335.13999999999902</v>
      </c>
      <c r="Z917">
        <v>333.113333333333</v>
      </c>
      <c r="AA917">
        <v>327.666666666666</v>
      </c>
      <c r="AB917">
        <v>327.666666666666</v>
      </c>
      <c r="AC917">
        <v>372.51666666666603</v>
      </c>
      <c r="AD917">
        <v>333.20333333333298</v>
      </c>
      <c r="AE917">
        <v>358.75666666666598</v>
      </c>
      <c r="AF917">
        <v>347.57666666666597</v>
      </c>
      <c r="AG917">
        <v>340.17666666666599</v>
      </c>
      <c r="AH917">
        <v>336.54</v>
      </c>
      <c r="AI917">
        <v>372.02666666666602</v>
      </c>
      <c r="AJ917">
        <v>337.486666666666</v>
      </c>
      <c r="AK917">
        <v>359.98333333333301</v>
      </c>
      <c r="AL917">
        <v>344.20333333333298</v>
      </c>
      <c r="AM917">
        <v>336.82</v>
      </c>
      <c r="AN917">
        <v>331.22666666666601</v>
      </c>
      <c r="AO917">
        <v>360.47666666666601</v>
      </c>
      <c r="AP917">
        <v>295.38333333333298</v>
      </c>
      <c r="AQ917">
        <v>341.80666666666599</v>
      </c>
      <c r="AR917">
        <v>310.50666666666598</v>
      </c>
      <c r="AS917">
        <v>293.45999999999998</v>
      </c>
      <c r="AT917">
        <v>279.85333333333301</v>
      </c>
      <c r="AU917">
        <v>376.32</v>
      </c>
      <c r="AV917">
        <v>324.20666666666602</v>
      </c>
      <c r="AW917">
        <v>359.51</v>
      </c>
      <c r="AX917">
        <v>336.219999999999</v>
      </c>
      <c r="AY917">
        <v>324.05</v>
      </c>
      <c r="AZ917">
        <v>315.08</v>
      </c>
      <c r="BA917">
        <v>366.22666666666601</v>
      </c>
      <c r="BB917">
        <v>313.49666666666599</v>
      </c>
      <c r="BC917">
        <v>349.06999999999903</v>
      </c>
      <c r="BD917">
        <v>325.48</v>
      </c>
      <c r="BE917">
        <v>313.00333333333299</v>
      </c>
      <c r="BF917">
        <v>303.53333333333302</v>
      </c>
      <c r="BG917" s="14"/>
      <c r="BH917" s="14"/>
      <c r="BI917" s="14"/>
      <c r="BJ917" s="199"/>
      <c r="BK917" s="14"/>
      <c r="BL917" s="14"/>
      <c r="BM917" s="14"/>
      <c r="BN917" s="14"/>
      <c r="BO917" s="14"/>
      <c r="BP917" s="14"/>
      <c r="BQ917" s="14"/>
      <c r="BR917" s="14"/>
      <c r="BS917" s="14"/>
      <c r="BT917" s="14"/>
      <c r="BU917" s="14"/>
      <c r="BV917" s="14"/>
      <c r="BW917" s="14"/>
      <c r="BX917" s="14"/>
      <c r="BY917" s="170"/>
    </row>
    <row r="918" spans="9:77" x14ac:dyDescent="0.25">
      <c r="I918">
        <v>9300</v>
      </c>
      <c r="J918" s="1" t="s">
        <v>1085</v>
      </c>
      <c r="K918">
        <v>361.296666666666</v>
      </c>
      <c r="L918">
        <v>326.75666666666598</v>
      </c>
      <c r="M918">
        <v>349.25333333333299</v>
      </c>
      <c r="N918">
        <v>333.47333333333302</v>
      </c>
      <c r="O918">
        <v>326.08999999999997</v>
      </c>
      <c r="P918">
        <v>320.49666666666599</v>
      </c>
      <c r="Q918">
        <v>339.47</v>
      </c>
      <c r="R918">
        <v>284.27333333333303</v>
      </c>
      <c r="S918">
        <v>320.83999999999901</v>
      </c>
      <c r="T918">
        <v>296.95333333333298</v>
      </c>
      <c r="U918">
        <v>283.97333333333302</v>
      </c>
      <c r="V918">
        <v>274.13333333333298</v>
      </c>
      <c r="W918">
        <v>342.21333333333303</v>
      </c>
      <c r="X918">
        <v>313.48999999999899</v>
      </c>
      <c r="Y918">
        <v>324.409999999999</v>
      </c>
      <c r="Z918">
        <v>322.38333333333298</v>
      </c>
      <c r="AA918">
        <v>316.93666666666599</v>
      </c>
      <c r="AB918">
        <v>316.93666666666599</v>
      </c>
      <c r="AC918">
        <v>361.78666666666601</v>
      </c>
      <c r="AD918">
        <v>322.47333333333302</v>
      </c>
      <c r="AE918">
        <v>348.02666666666602</v>
      </c>
      <c r="AF918">
        <v>336.84666666666601</v>
      </c>
      <c r="AG918">
        <v>329.44666666666598</v>
      </c>
      <c r="AH918">
        <v>325.81</v>
      </c>
      <c r="AI918">
        <v>361.296666666666</v>
      </c>
      <c r="AJ918">
        <v>326.75666666666598</v>
      </c>
      <c r="AK918">
        <v>349.25333333333299</v>
      </c>
      <c r="AL918">
        <v>333.47333333333302</v>
      </c>
      <c r="AM918">
        <v>326.08999999999997</v>
      </c>
      <c r="AN918">
        <v>320.49666666666599</v>
      </c>
      <c r="AO918">
        <v>349.74666666666599</v>
      </c>
      <c r="AP918">
        <v>284.65333333333302</v>
      </c>
      <c r="AQ918">
        <v>331.07666666666597</v>
      </c>
      <c r="AR918">
        <v>299.77666666666602</v>
      </c>
      <c r="AS918">
        <v>282.73</v>
      </c>
      <c r="AT918">
        <v>269.12333333333299</v>
      </c>
      <c r="AU918">
        <v>365.59</v>
      </c>
      <c r="AV918">
        <v>313.47666666666601</v>
      </c>
      <c r="AW918">
        <v>348.78</v>
      </c>
      <c r="AX918">
        <v>325.48999999999899</v>
      </c>
      <c r="AY918">
        <v>313.32</v>
      </c>
      <c r="AZ918">
        <v>304.35000000000002</v>
      </c>
      <c r="BA918">
        <v>355.49666666666599</v>
      </c>
      <c r="BB918">
        <v>302.76666666666603</v>
      </c>
      <c r="BC918">
        <v>338.33999999999901</v>
      </c>
      <c r="BD918">
        <v>314.75</v>
      </c>
      <c r="BE918">
        <v>302.27333333333303</v>
      </c>
      <c r="BF918">
        <v>292.803333333333</v>
      </c>
      <c r="BG918" s="14"/>
      <c r="BH918" s="14"/>
      <c r="BI918" s="14"/>
      <c r="BJ918" s="199"/>
      <c r="BK918" s="14"/>
      <c r="BL918" s="14"/>
      <c r="BM918" s="14"/>
      <c r="BN918" s="14"/>
      <c r="BO918" s="14"/>
      <c r="BP918" s="14"/>
      <c r="BQ918" s="14"/>
      <c r="BR918" s="14"/>
      <c r="BS918" s="14"/>
      <c r="BT918" s="14"/>
      <c r="BU918" s="14"/>
      <c r="BV918" s="14"/>
      <c r="BW918" s="14"/>
      <c r="BX918" s="14"/>
      <c r="BY918" s="170"/>
    </row>
    <row r="919" spans="9:77" x14ac:dyDescent="0.25">
      <c r="I919">
        <v>9310</v>
      </c>
      <c r="J919" s="1" t="s">
        <v>1086</v>
      </c>
      <c r="K919">
        <v>381.26666666666603</v>
      </c>
      <c r="L919">
        <v>346.72666666666601</v>
      </c>
      <c r="M919">
        <v>369.22333333333302</v>
      </c>
      <c r="N919">
        <v>353.44333333333299</v>
      </c>
      <c r="O919">
        <v>346.06</v>
      </c>
      <c r="P919">
        <v>340.46666666666601</v>
      </c>
      <c r="Q919">
        <v>359.43999999999897</v>
      </c>
      <c r="R919">
        <v>304.243333333333</v>
      </c>
      <c r="S919">
        <v>340.80999999999898</v>
      </c>
      <c r="T919">
        <v>316.92333333333301</v>
      </c>
      <c r="U919">
        <v>303.94333333333299</v>
      </c>
      <c r="V919">
        <v>294.10333333333301</v>
      </c>
      <c r="W919">
        <v>362.183333333333</v>
      </c>
      <c r="X919">
        <v>333.45999999999901</v>
      </c>
      <c r="Y919">
        <v>344.37999999999897</v>
      </c>
      <c r="Z919">
        <v>342.35333333333301</v>
      </c>
      <c r="AA919">
        <v>336.90666666666601</v>
      </c>
      <c r="AB919">
        <v>336.90666666666601</v>
      </c>
      <c r="AC919">
        <v>381.75666666666598</v>
      </c>
      <c r="AD919">
        <v>342.44333333333299</v>
      </c>
      <c r="AE919">
        <v>367.99666666666599</v>
      </c>
      <c r="AF919">
        <v>356.81666666666598</v>
      </c>
      <c r="AG919">
        <v>349.416666666666</v>
      </c>
      <c r="AH919">
        <v>345.77999999999901</v>
      </c>
      <c r="AI919">
        <v>381.26666666666603</v>
      </c>
      <c r="AJ919">
        <v>346.72666666666601</v>
      </c>
      <c r="AK919">
        <v>369.22333333333302</v>
      </c>
      <c r="AL919">
        <v>353.44333333333299</v>
      </c>
      <c r="AM919">
        <v>346.06</v>
      </c>
      <c r="AN919">
        <v>340.46666666666601</v>
      </c>
      <c r="AO919">
        <v>369.71666666666601</v>
      </c>
      <c r="AP919">
        <v>304.62333333333299</v>
      </c>
      <c r="AQ919">
        <v>351.046666666666</v>
      </c>
      <c r="AR919">
        <v>319.74666666666599</v>
      </c>
      <c r="AS919">
        <v>302.7</v>
      </c>
      <c r="AT919">
        <v>289.09333333333302</v>
      </c>
      <c r="AU919">
        <v>385.56</v>
      </c>
      <c r="AV919">
        <v>333.44666666666598</v>
      </c>
      <c r="AW919">
        <v>368.75</v>
      </c>
      <c r="AX919">
        <v>345.45999999999901</v>
      </c>
      <c r="AY919">
        <v>333.29</v>
      </c>
      <c r="AZ919">
        <v>324.31999999999903</v>
      </c>
      <c r="BA919">
        <v>375.46666666666601</v>
      </c>
      <c r="BB919">
        <v>322.736666666666</v>
      </c>
      <c r="BC919">
        <v>358.30999999999898</v>
      </c>
      <c r="BD919">
        <v>334.719999999999</v>
      </c>
      <c r="BE919">
        <v>322.243333333333</v>
      </c>
      <c r="BF919">
        <v>312.77333333333303</v>
      </c>
      <c r="BG919" s="14"/>
      <c r="BH919" s="14"/>
      <c r="BI919" s="14"/>
      <c r="BJ919" s="199"/>
      <c r="BK919" s="14"/>
      <c r="BL919" s="14"/>
      <c r="BM919" s="14"/>
      <c r="BN919" s="14"/>
      <c r="BO919" s="14"/>
      <c r="BP919" s="14"/>
      <c r="BQ919" s="14"/>
      <c r="BR919" s="14"/>
      <c r="BS919" s="14"/>
      <c r="BT919" s="14"/>
      <c r="BU919" s="14"/>
      <c r="BV919" s="14"/>
      <c r="BW919" s="14"/>
      <c r="BX919" s="14"/>
      <c r="BY919" s="170"/>
    </row>
    <row r="920" spans="9:77" x14ac:dyDescent="0.25">
      <c r="I920">
        <v>9320</v>
      </c>
      <c r="J920" s="1" t="s">
        <v>1087</v>
      </c>
      <c r="K920">
        <v>435.47666666666601</v>
      </c>
      <c r="L920">
        <v>400.93666666666599</v>
      </c>
      <c r="M920">
        <v>423.433333333333</v>
      </c>
      <c r="N920">
        <v>407.65333333333302</v>
      </c>
      <c r="O920">
        <v>400.27</v>
      </c>
      <c r="P920">
        <v>394.67666666666599</v>
      </c>
      <c r="Q920">
        <v>413.65</v>
      </c>
      <c r="R920">
        <v>358.45333333333298</v>
      </c>
      <c r="S920">
        <v>395.02</v>
      </c>
      <c r="T920">
        <v>371.13333333333298</v>
      </c>
      <c r="U920">
        <v>358.15333333333302</v>
      </c>
      <c r="V920">
        <v>348.31333333333299</v>
      </c>
      <c r="W920">
        <v>416.39333333333298</v>
      </c>
      <c r="X920">
        <v>387.67</v>
      </c>
      <c r="Y920">
        <v>398.59</v>
      </c>
      <c r="Z920">
        <v>396.56333333333299</v>
      </c>
      <c r="AA920">
        <v>391.11666666666599</v>
      </c>
      <c r="AB920">
        <v>391.11666666666599</v>
      </c>
      <c r="AC920">
        <v>435.96666666666601</v>
      </c>
      <c r="AD920">
        <v>396.65333333333302</v>
      </c>
      <c r="AE920">
        <v>422.20666666666602</v>
      </c>
      <c r="AF920">
        <v>411.02666666666602</v>
      </c>
      <c r="AG920">
        <v>403.62666666666598</v>
      </c>
      <c r="AH920">
        <v>399.99</v>
      </c>
      <c r="AI920">
        <v>435.47666666666601</v>
      </c>
      <c r="AJ920">
        <v>400.93666666666599</v>
      </c>
      <c r="AK920">
        <v>423.433333333333</v>
      </c>
      <c r="AL920">
        <v>407.65333333333302</v>
      </c>
      <c r="AM920">
        <v>400.27</v>
      </c>
      <c r="AN920">
        <v>394.67666666666599</v>
      </c>
      <c r="AO920">
        <v>423.92666666666599</v>
      </c>
      <c r="AP920">
        <v>358.83333333333297</v>
      </c>
      <c r="AQ920">
        <v>405.25666666666598</v>
      </c>
      <c r="AR920">
        <v>373.95666666666602</v>
      </c>
      <c r="AS920">
        <v>356.91</v>
      </c>
      <c r="AT920">
        <v>343.303333333333</v>
      </c>
      <c r="AU920">
        <v>439.77</v>
      </c>
      <c r="AV920">
        <v>387.65666666666601</v>
      </c>
      <c r="AW920">
        <v>422.96</v>
      </c>
      <c r="AX920">
        <v>399.67</v>
      </c>
      <c r="AY920">
        <v>387.5</v>
      </c>
      <c r="AZ920">
        <v>378.53</v>
      </c>
      <c r="BA920">
        <v>429.67666666666599</v>
      </c>
      <c r="BB920">
        <v>376.94666666666598</v>
      </c>
      <c r="BC920">
        <v>412.52</v>
      </c>
      <c r="BD920">
        <v>388.93</v>
      </c>
      <c r="BE920">
        <v>376.45333333333298</v>
      </c>
      <c r="BF920">
        <v>366.98333333333301</v>
      </c>
      <c r="BG920" s="14"/>
      <c r="BH920" s="14"/>
      <c r="BI920" s="14"/>
      <c r="BJ920" s="199"/>
      <c r="BK920" s="14"/>
      <c r="BL920" s="14"/>
      <c r="BM920" s="14"/>
      <c r="BN920" s="14"/>
      <c r="BO920" s="14"/>
      <c r="BP920" s="14"/>
      <c r="BQ920" s="14"/>
      <c r="BR920" s="14"/>
      <c r="BS920" s="14"/>
      <c r="BT920" s="14"/>
      <c r="BU920" s="14"/>
      <c r="BV920" s="14"/>
      <c r="BW920" s="14"/>
      <c r="BX920" s="14"/>
      <c r="BY920" s="170"/>
    </row>
    <row r="921" spans="9:77" x14ac:dyDescent="0.25">
      <c r="I921">
        <v>9330</v>
      </c>
      <c r="J921" s="1" t="s">
        <v>1088</v>
      </c>
      <c r="K921">
        <v>385.736666666666</v>
      </c>
      <c r="L921">
        <v>351.19666666666598</v>
      </c>
      <c r="M921">
        <v>373.69333333333299</v>
      </c>
      <c r="N921">
        <v>357.91333333333301</v>
      </c>
      <c r="O921">
        <v>350.53</v>
      </c>
      <c r="P921">
        <v>344.93666666666599</v>
      </c>
      <c r="Q921">
        <v>363.909999999999</v>
      </c>
      <c r="R921">
        <v>308.71333333333303</v>
      </c>
      <c r="S921">
        <v>345.27999999999901</v>
      </c>
      <c r="T921">
        <v>321.39333333333298</v>
      </c>
      <c r="U921">
        <v>308.41333333333301</v>
      </c>
      <c r="V921">
        <v>298.57333333333298</v>
      </c>
      <c r="W921">
        <v>366.65333333333302</v>
      </c>
      <c r="X921">
        <v>337.92999999999898</v>
      </c>
      <c r="Y921">
        <v>348.849999999999</v>
      </c>
      <c r="Z921">
        <v>346.82333333333298</v>
      </c>
      <c r="AA921">
        <v>341.37666666666598</v>
      </c>
      <c r="AB921">
        <v>341.37666666666598</v>
      </c>
      <c r="AC921">
        <v>386.22666666666601</v>
      </c>
      <c r="AD921">
        <v>346.91333333333301</v>
      </c>
      <c r="AE921">
        <v>372.46666666666601</v>
      </c>
      <c r="AF921">
        <v>361.28666666666601</v>
      </c>
      <c r="AG921">
        <v>353.88666666666597</v>
      </c>
      <c r="AH921">
        <v>350.25</v>
      </c>
      <c r="AI921">
        <v>385.736666666666</v>
      </c>
      <c r="AJ921">
        <v>351.19666666666598</v>
      </c>
      <c r="AK921">
        <v>373.69333333333299</v>
      </c>
      <c r="AL921">
        <v>357.91333333333301</v>
      </c>
      <c r="AM921">
        <v>350.53</v>
      </c>
      <c r="AN921">
        <v>344.93666666666599</v>
      </c>
      <c r="AO921">
        <v>374.18666666666599</v>
      </c>
      <c r="AP921">
        <v>309.09333333333302</v>
      </c>
      <c r="AQ921">
        <v>355.51666666666603</v>
      </c>
      <c r="AR921">
        <v>324.21666666666601</v>
      </c>
      <c r="AS921">
        <v>307.17</v>
      </c>
      <c r="AT921">
        <v>293.56333333333299</v>
      </c>
      <c r="AU921">
        <v>390.03</v>
      </c>
      <c r="AV921">
        <v>337.916666666666</v>
      </c>
      <c r="AW921">
        <v>373.22</v>
      </c>
      <c r="AX921">
        <v>349.92999999999898</v>
      </c>
      <c r="AY921">
        <v>337.76</v>
      </c>
      <c r="AZ921">
        <v>328.79</v>
      </c>
      <c r="BA921">
        <v>379.93666666666599</v>
      </c>
      <c r="BB921">
        <v>327.20666666666602</v>
      </c>
      <c r="BC921">
        <v>362.77999999999901</v>
      </c>
      <c r="BD921">
        <v>339.18999999999897</v>
      </c>
      <c r="BE921">
        <v>326.71333333333303</v>
      </c>
      <c r="BF921">
        <v>317.243333333333</v>
      </c>
      <c r="BG921" s="14"/>
      <c r="BH921" s="14"/>
      <c r="BI921" s="14"/>
      <c r="BJ921" s="199"/>
      <c r="BK921" s="14"/>
      <c r="BL921" s="14"/>
      <c r="BM921" s="14"/>
      <c r="BN921" s="14"/>
      <c r="BO921" s="14"/>
      <c r="BP921" s="14"/>
      <c r="BQ921" s="14"/>
      <c r="BR921" s="14"/>
      <c r="BS921" s="14"/>
      <c r="BT921" s="14"/>
      <c r="BU921" s="14"/>
      <c r="BV921" s="14"/>
      <c r="BW921" s="14"/>
      <c r="BX921" s="14"/>
      <c r="BY921" s="170"/>
    </row>
    <row r="922" spans="9:77" x14ac:dyDescent="0.25">
      <c r="I922">
        <v>9340</v>
      </c>
      <c r="J922" s="1" t="s">
        <v>1089</v>
      </c>
      <c r="K922">
        <v>385.736666666666</v>
      </c>
      <c r="L922">
        <v>351.19666666666598</v>
      </c>
      <c r="M922">
        <v>373.69333333333299</v>
      </c>
      <c r="N922">
        <v>357.91333333333301</v>
      </c>
      <c r="O922">
        <v>350.53</v>
      </c>
      <c r="P922">
        <v>344.93666666666599</v>
      </c>
      <c r="Q922">
        <v>363.909999999999</v>
      </c>
      <c r="R922">
        <v>308.71333333333303</v>
      </c>
      <c r="S922">
        <v>345.27999999999901</v>
      </c>
      <c r="T922">
        <v>321.39333333333298</v>
      </c>
      <c r="U922">
        <v>308.41333333333301</v>
      </c>
      <c r="V922">
        <v>298.57333333333298</v>
      </c>
      <c r="W922">
        <v>366.65333333333302</v>
      </c>
      <c r="X922">
        <v>337.92999999999898</v>
      </c>
      <c r="Y922">
        <v>348.849999999999</v>
      </c>
      <c r="Z922">
        <v>346.82333333333298</v>
      </c>
      <c r="AA922">
        <v>341.37666666666598</v>
      </c>
      <c r="AB922">
        <v>341.37666666666598</v>
      </c>
      <c r="AC922">
        <v>386.22666666666601</v>
      </c>
      <c r="AD922">
        <v>346.91333333333301</v>
      </c>
      <c r="AE922">
        <v>372.46666666666601</v>
      </c>
      <c r="AF922">
        <v>361.28666666666601</v>
      </c>
      <c r="AG922">
        <v>353.88666666666597</v>
      </c>
      <c r="AH922">
        <v>350.25</v>
      </c>
      <c r="AI922">
        <v>385.736666666666</v>
      </c>
      <c r="AJ922">
        <v>351.19666666666598</v>
      </c>
      <c r="AK922">
        <v>373.69333333333299</v>
      </c>
      <c r="AL922">
        <v>357.91333333333301</v>
      </c>
      <c r="AM922">
        <v>350.53</v>
      </c>
      <c r="AN922">
        <v>344.93666666666599</v>
      </c>
      <c r="AO922">
        <v>374.18666666666599</v>
      </c>
      <c r="AP922">
        <v>309.09333333333302</v>
      </c>
      <c r="AQ922">
        <v>355.51666666666603</v>
      </c>
      <c r="AR922">
        <v>324.21666666666601</v>
      </c>
      <c r="AS922">
        <v>307.17</v>
      </c>
      <c r="AT922">
        <v>293.56333333333299</v>
      </c>
      <c r="AU922">
        <v>390.03</v>
      </c>
      <c r="AV922">
        <v>337.916666666666</v>
      </c>
      <c r="AW922">
        <v>373.22</v>
      </c>
      <c r="AX922">
        <v>349.92999999999898</v>
      </c>
      <c r="AY922">
        <v>337.76</v>
      </c>
      <c r="AZ922">
        <v>328.79</v>
      </c>
      <c r="BA922">
        <v>379.93666666666599</v>
      </c>
      <c r="BB922">
        <v>327.20666666666602</v>
      </c>
      <c r="BC922">
        <v>362.77999999999901</v>
      </c>
      <c r="BD922">
        <v>339.18999999999897</v>
      </c>
      <c r="BE922">
        <v>326.71333333333303</v>
      </c>
      <c r="BF922">
        <v>317.243333333333</v>
      </c>
      <c r="BG922" s="14"/>
      <c r="BH922" s="14"/>
      <c r="BI922" s="14"/>
      <c r="BJ922" s="199"/>
      <c r="BK922" s="14"/>
      <c r="BL922" s="14"/>
      <c r="BM922" s="14"/>
      <c r="BN922" s="14"/>
      <c r="BO922" s="14"/>
      <c r="BP922" s="14"/>
      <c r="BQ922" s="14"/>
      <c r="BR922" s="14"/>
      <c r="BS922" s="14"/>
      <c r="BT922" s="14"/>
      <c r="BU922" s="14"/>
      <c r="BV922" s="14"/>
      <c r="BW922" s="14"/>
      <c r="BX922" s="14"/>
      <c r="BY922" s="170"/>
    </row>
    <row r="923" spans="9:77" x14ac:dyDescent="0.25">
      <c r="I923">
        <v>9352</v>
      </c>
      <c r="J923" s="1" t="s">
        <v>1090</v>
      </c>
      <c r="K923">
        <v>425.26666666666603</v>
      </c>
      <c r="L923">
        <v>390.72666666666601</v>
      </c>
      <c r="M923">
        <v>413.22333333333302</v>
      </c>
      <c r="N923">
        <v>397.44333333333299</v>
      </c>
      <c r="O923">
        <v>390.06</v>
      </c>
      <c r="P923">
        <v>384.46666666666601</v>
      </c>
      <c r="Q923">
        <v>403.44</v>
      </c>
      <c r="R923">
        <v>348.243333333333</v>
      </c>
      <c r="S923">
        <v>384.81</v>
      </c>
      <c r="T923">
        <v>360.92333333333301</v>
      </c>
      <c r="U923">
        <v>347.94333333333299</v>
      </c>
      <c r="V923">
        <v>338.10333333333301</v>
      </c>
      <c r="W923">
        <v>406.183333333333</v>
      </c>
      <c r="X923">
        <v>377.45999999999901</v>
      </c>
      <c r="Y923">
        <v>388.38</v>
      </c>
      <c r="Z923">
        <v>386.35333333333301</v>
      </c>
      <c r="AA923">
        <v>380.90666666666601</v>
      </c>
      <c r="AB923">
        <v>380.90666666666601</v>
      </c>
      <c r="AC923">
        <v>425.75666666666598</v>
      </c>
      <c r="AD923">
        <v>386.44333333333299</v>
      </c>
      <c r="AE923">
        <v>411.99666666666599</v>
      </c>
      <c r="AF923">
        <v>400.81666666666598</v>
      </c>
      <c r="AG923">
        <v>393.416666666666</v>
      </c>
      <c r="AH923">
        <v>389.78</v>
      </c>
      <c r="AI923">
        <v>425.26666666666603</v>
      </c>
      <c r="AJ923">
        <v>390.72666666666601</v>
      </c>
      <c r="AK923">
        <v>413.22333333333302</v>
      </c>
      <c r="AL923">
        <v>397.44333333333299</v>
      </c>
      <c r="AM923">
        <v>390.06</v>
      </c>
      <c r="AN923">
        <v>384.46666666666601</v>
      </c>
      <c r="AO923">
        <v>413.71666666666601</v>
      </c>
      <c r="AP923">
        <v>348.62333333333299</v>
      </c>
      <c r="AQ923">
        <v>395.046666666666</v>
      </c>
      <c r="AR923">
        <v>363.74666666666599</v>
      </c>
      <c r="AS923">
        <v>346.7</v>
      </c>
      <c r="AT923">
        <v>333.09333333333302</v>
      </c>
      <c r="AU923">
        <v>429.56</v>
      </c>
      <c r="AV923">
        <v>377.44666666666598</v>
      </c>
      <c r="AW923">
        <v>412.75</v>
      </c>
      <c r="AX923">
        <v>389.45999999999901</v>
      </c>
      <c r="AY923">
        <v>377.29</v>
      </c>
      <c r="AZ923">
        <v>368.32</v>
      </c>
      <c r="BA923">
        <v>419.46666666666601</v>
      </c>
      <c r="BB923">
        <v>366.736666666666</v>
      </c>
      <c r="BC923">
        <v>402.31</v>
      </c>
      <c r="BD923">
        <v>378.72</v>
      </c>
      <c r="BE923">
        <v>366.243333333333</v>
      </c>
      <c r="BF923">
        <v>356.77333333333303</v>
      </c>
      <c r="BG923" s="14"/>
      <c r="BH923" s="14"/>
      <c r="BI923" s="14"/>
      <c r="BJ923" s="199"/>
      <c r="BK923" s="14"/>
      <c r="BL923" s="14"/>
      <c r="BM923" s="14"/>
      <c r="BN923" s="14"/>
      <c r="BO923" s="14"/>
      <c r="BP923" s="14"/>
      <c r="BQ923" s="14"/>
      <c r="BR923" s="14"/>
      <c r="BS923" s="14"/>
      <c r="BT923" s="14"/>
      <c r="BU923" s="14"/>
      <c r="BV923" s="14"/>
      <c r="BW923" s="14"/>
      <c r="BX923" s="14"/>
      <c r="BY923" s="170"/>
    </row>
    <row r="924" spans="9:77" x14ac:dyDescent="0.25">
      <c r="I924">
        <v>9362</v>
      </c>
      <c r="J924" s="1" t="s">
        <v>1091</v>
      </c>
      <c r="K924">
        <v>381.26666666666603</v>
      </c>
      <c r="L924">
        <v>346.72666666666601</v>
      </c>
      <c r="M924">
        <v>369.22333333333302</v>
      </c>
      <c r="N924">
        <v>353.44333333333299</v>
      </c>
      <c r="O924">
        <v>346.06</v>
      </c>
      <c r="P924">
        <v>340.46666666666601</v>
      </c>
      <c r="Q924">
        <v>359.43999999999897</v>
      </c>
      <c r="R924">
        <v>304.243333333333</v>
      </c>
      <c r="S924">
        <v>340.80999999999898</v>
      </c>
      <c r="T924">
        <v>316.92333333333301</v>
      </c>
      <c r="U924">
        <v>303.94333333333299</v>
      </c>
      <c r="V924">
        <v>294.10333333333301</v>
      </c>
      <c r="W924">
        <v>362.183333333333</v>
      </c>
      <c r="X924">
        <v>333.45999999999901</v>
      </c>
      <c r="Y924">
        <v>344.37999999999897</v>
      </c>
      <c r="Z924">
        <v>342.35333333333301</v>
      </c>
      <c r="AA924">
        <v>336.90666666666601</v>
      </c>
      <c r="AB924">
        <v>336.90666666666601</v>
      </c>
      <c r="AC924">
        <v>381.75666666666598</v>
      </c>
      <c r="AD924">
        <v>342.44333333333299</v>
      </c>
      <c r="AE924">
        <v>367.99666666666599</v>
      </c>
      <c r="AF924">
        <v>356.81666666666598</v>
      </c>
      <c r="AG924">
        <v>349.416666666666</v>
      </c>
      <c r="AH924">
        <v>345.77999999999901</v>
      </c>
      <c r="AI924">
        <v>381.26666666666603</v>
      </c>
      <c r="AJ924">
        <v>346.72666666666601</v>
      </c>
      <c r="AK924">
        <v>369.22333333333302</v>
      </c>
      <c r="AL924">
        <v>353.44333333333299</v>
      </c>
      <c r="AM924">
        <v>346.06</v>
      </c>
      <c r="AN924">
        <v>340.46666666666601</v>
      </c>
      <c r="AO924">
        <v>369.71666666666601</v>
      </c>
      <c r="AP924">
        <v>304.62333333333299</v>
      </c>
      <c r="AQ924">
        <v>351.046666666666</v>
      </c>
      <c r="AR924">
        <v>319.74666666666599</v>
      </c>
      <c r="AS924">
        <v>302.7</v>
      </c>
      <c r="AT924">
        <v>289.09333333333302</v>
      </c>
      <c r="AU924">
        <v>385.56</v>
      </c>
      <c r="AV924">
        <v>333.44666666666598</v>
      </c>
      <c r="AW924">
        <v>368.75</v>
      </c>
      <c r="AX924">
        <v>345.45999999999901</v>
      </c>
      <c r="AY924">
        <v>333.29</v>
      </c>
      <c r="AZ924">
        <v>324.31999999999903</v>
      </c>
      <c r="BA924">
        <v>375.46666666666601</v>
      </c>
      <c r="BB924">
        <v>322.736666666666</v>
      </c>
      <c r="BC924">
        <v>358.30999999999898</v>
      </c>
      <c r="BD924">
        <v>334.719999999999</v>
      </c>
      <c r="BE924">
        <v>322.243333333333</v>
      </c>
      <c r="BF924">
        <v>312.77333333333303</v>
      </c>
      <c r="BG924" s="14"/>
      <c r="BH924" s="14"/>
      <c r="BI924" s="14"/>
      <c r="BJ924" s="199"/>
      <c r="BK924" s="14"/>
      <c r="BL924" s="14"/>
      <c r="BM924" s="14"/>
      <c r="BN924" s="14"/>
      <c r="BO924" s="14"/>
      <c r="BP924" s="14"/>
      <c r="BQ924" s="14"/>
      <c r="BR924" s="14"/>
      <c r="BS924" s="14"/>
      <c r="BT924" s="14"/>
      <c r="BU924" s="14"/>
      <c r="BV924" s="14"/>
      <c r="BW924" s="14"/>
      <c r="BX924" s="14"/>
      <c r="BY924" s="170"/>
    </row>
    <row r="925" spans="9:77" x14ac:dyDescent="0.25">
      <c r="I925">
        <v>9370</v>
      </c>
      <c r="J925" s="1" t="s">
        <v>1092</v>
      </c>
      <c r="K925">
        <v>341.546666666666</v>
      </c>
      <c r="L925">
        <v>307.00666666666598</v>
      </c>
      <c r="M925">
        <v>329.50333333333299</v>
      </c>
      <c r="N925">
        <v>313.72333333333302</v>
      </c>
      <c r="O925">
        <v>306.33999999999997</v>
      </c>
      <c r="P925">
        <v>300.74666666666599</v>
      </c>
      <c r="Q925">
        <v>319.72000000000003</v>
      </c>
      <c r="R925">
        <v>264.52333333333303</v>
      </c>
      <c r="S925">
        <v>301.08999999999901</v>
      </c>
      <c r="T925">
        <v>277.20333333333298</v>
      </c>
      <c r="U925">
        <v>264.22333333333302</v>
      </c>
      <c r="V925">
        <v>254.38333333333301</v>
      </c>
      <c r="W925">
        <v>322.46333333333303</v>
      </c>
      <c r="X925">
        <v>293.73999999999899</v>
      </c>
      <c r="Y925">
        <v>304.659999999999</v>
      </c>
      <c r="Z925">
        <v>302.63333333333298</v>
      </c>
      <c r="AA925">
        <v>297.18666666666599</v>
      </c>
      <c r="AB925">
        <v>297.18666666666599</v>
      </c>
      <c r="AC925">
        <v>342.03666666666601</v>
      </c>
      <c r="AD925">
        <v>302.72333333333302</v>
      </c>
      <c r="AE925">
        <v>328.27666666666602</v>
      </c>
      <c r="AF925">
        <v>317.09666666666601</v>
      </c>
      <c r="AG925">
        <v>309.69666666666598</v>
      </c>
      <c r="AH925">
        <v>306.06</v>
      </c>
      <c r="AI925">
        <v>341.546666666666</v>
      </c>
      <c r="AJ925">
        <v>307.00666666666598</v>
      </c>
      <c r="AK925">
        <v>329.50333333333299</v>
      </c>
      <c r="AL925">
        <v>313.72333333333302</v>
      </c>
      <c r="AM925">
        <v>306.33999999999997</v>
      </c>
      <c r="AN925">
        <v>300.74666666666599</v>
      </c>
      <c r="AO925">
        <v>329.99666666666599</v>
      </c>
      <c r="AP925">
        <v>264.90333333333302</v>
      </c>
      <c r="AQ925">
        <v>311.32666666666597</v>
      </c>
      <c r="AR925">
        <v>280.02666666666602</v>
      </c>
      <c r="AS925">
        <v>262.98</v>
      </c>
      <c r="AT925">
        <v>249.37333333333299</v>
      </c>
      <c r="AU925">
        <v>345.84</v>
      </c>
      <c r="AV925">
        <v>293.72666666666601</v>
      </c>
      <c r="AW925">
        <v>329.03</v>
      </c>
      <c r="AX925">
        <v>305.73999999999899</v>
      </c>
      <c r="AY925">
        <v>293.57</v>
      </c>
      <c r="AZ925">
        <v>284.60000000000002</v>
      </c>
      <c r="BA925">
        <v>335.74666666666599</v>
      </c>
      <c r="BB925">
        <v>283.01666666666603</v>
      </c>
      <c r="BC925">
        <v>318.58999999999901</v>
      </c>
      <c r="BD925">
        <v>295</v>
      </c>
      <c r="BE925">
        <v>282.52333333333303</v>
      </c>
      <c r="BF925">
        <v>273.053333333333</v>
      </c>
      <c r="BG925" s="14"/>
      <c r="BH925" s="14"/>
      <c r="BI925" s="14"/>
      <c r="BJ925" s="199"/>
      <c r="BK925" s="14"/>
      <c r="BL925" s="14"/>
      <c r="BM925" s="14"/>
      <c r="BN925" s="14"/>
      <c r="BO925" s="14"/>
      <c r="BP925" s="14"/>
      <c r="BQ925" s="14"/>
      <c r="BR925" s="14"/>
      <c r="BS925" s="14"/>
      <c r="BT925" s="14"/>
      <c r="BU925" s="14"/>
      <c r="BV925" s="14"/>
      <c r="BW925" s="14"/>
      <c r="BX925" s="14"/>
      <c r="BY925" s="170"/>
    </row>
    <row r="926" spans="9:77" x14ac:dyDescent="0.25">
      <c r="I926">
        <v>9380</v>
      </c>
      <c r="J926" s="1" t="s">
        <v>1093</v>
      </c>
      <c r="K926">
        <v>420.61666666666599</v>
      </c>
      <c r="L926">
        <v>386.07666666666597</v>
      </c>
      <c r="M926">
        <v>408.57333333333298</v>
      </c>
      <c r="N926">
        <v>392.79333333333301</v>
      </c>
      <c r="O926">
        <v>385.41</v>
      </c>
      <c r="P926">
        <v>379.81666666666598</v>
      </c>
      <c r="Q926">
        <v>398.789999999999</v>
      </c>
      <c r="R926">
        <v>343.59333333333302</v>
      </c>
      <c r="S926">
        <v>380.159999999999</v>
      </c>
      <c r="T926">
        <v>356.27333333333303</v>
      </c>
      <c r="U926">
        <v>343.29333333333301</v>
      </c>
      <c r="V926">
        <v>333.45333333333298</v>
      </c>
      <c r="W926">
        <v>401.53333333333302</v>
      </c>
      <c r="X926">
        <v>372.80999999999898</v>
      </c>
      <c r="Y926">
        <v>383.729999999999</v>
      </c>
      <c r="Z926">
        <v>381.70333333333298</v>
      </c>
      <c r="AA926">
        <v>376.25666666666598</v>
      </c>
      <c r="AB926">
        <v>376.25666666666598</v>
      </c>
      <c r="AC926">
        <v>421.106666666666</v>
      </c>
      <c r="AD926">
        <v>381.79333333333301</v>
      </c>
      <c r="AE926">
        <v>407.34666666666601</v>
      </c>
      <c r="AF926">
        <v>396.166666666666</v>
      </c>
      <c r="AG926">
        <v>388.76666666666603</v>
      </c>
      <c r="AH926">
        <v>385.13</v>
      </c>
      <c r="AI926">
        <v>420.61666666666599</v>
      </c>
      <c r="AJ926">
        <v>386.07666666666597</v>
      </c>
      <c r="AK926">
        <v>408.57333333333298</v>
      </c>
      <c r="AL926">
        <v>392.79333333333301</v>
      </c>
      <c r="AM926">
        <v>385.41</v>
      </c>
      <c r="AN926">
        <v>379.81666666666598</v>
      </c>
      <c r="AO926">
        <v>409.06666666666598</v>
      </c>
      <c r="AP926">
        <v>343.97333333333302</v>
      </c>
      <c r="AQ926">
        <v>390.39666666666602</v>
      </c>
      <c r="AR926">
        <v>359.09666666666601</v>
      </c>
      <c r="AS926">
        <v>342.05</v>
      </c>
      <c r="AT926">
        <v>328.44333333333299</v>
      </c>
      <c r="AU926">
        <v>424.91</v>
      </c>
      <c r="AV926">
        <v>372.796666666666</v>
      </c>
      <c r="AW926">
        <v>408.1</v>
      </c>
      <c r="AX926">
        <v>384.80999999999898</v>
      </c>
      <c r="AY926">
        <v>372.64</v>
      </c>
      <c r="AZ926">
        <v>363.67</v>
      </c>
      <c r="BA926">
        <v>414.81666666666598</v>
      </c>
      <c r="BB926">
        <v>362.08666666666602</v>
      </c>
      <c r="BC926">
        <v>397.659999999999</v>
      </c>
      <c r="BD926">
        <v>374.06999999999903</v>
      </c>
      <c r="BE926">
        <v>361.59333333333302</v>
      </c>
      <c r="BF926">
        <v>352.12333333333299</v>
      </c>
      <c r="BG926" s="14"/>
      <c r="BH926" s="14"/>
      <c r="BI926" s="14"/>
      <c r="BJ926" s="199"/>
      <c r="BK926" s="14"/>
      <c r="BL926" s="14"/>
      <c r="BM926" s="14"/>
      <c r="BN926" s="14"/>
      <c r="BO926" s="14"/>
      <c r="BP926" s="14"/>
      <c r="BQ926" s="14"/>
      <c r="BR926" s="14"/>
      <c r="BS926" s="14"/>
      <c r="BT926" s="14"/>
      <c r="BU926" s="14"/>
      <c r="BV926" s="14"/>
      <c r="BW926" s="14"/>
      <c r="BX926" s="14"/>
      <c r="BY926" s="170"/>
    </row>
    <row r="927" spans="9:77" x14ac:dyDescent="0.25">
      <c r="I927">
        <v>9381</v>
      </c>
      <c r="J927" s="1"/>
      <c r="K927">
        <v>407.51666666666603</v>
      </c>
      <c r="L927">
        <v>372.97666666666601</v>
      </c>
      <c r="M927">
        <v>395.47333333333302</v>
      </c>
      <c r="N927">
        <v>379.69333333333299</v>
      </c>
      <c r="O927">
        <v>372.31</v>
      </c>
      <c r="P927">
        <v>366.71666666666601</v>
      </c>
      <c r="Q927">
        <v>385.68999999999897</v>
      </c>
      <c r="R927">
        <v>330.493333333333</v>
      </c>
      <c r="S927">
        <v>367.05999999999898</v>
      </c>
      <c r="T927">
        <v>343.17333333333301</v>
      </c>
      <c r="U927">
        <v>330.19333333333299</v>
      </c>
      <c r="V927">
        <v>320.35333333333301</v>
      </c>
      <c r="W927">
        <v>388.433333333333</v>
      </c>
      <c r="X927">
        <v>359.70999999999901</v>
      </c>
      <c r="Y927">
        <v>370.62999999999897</v>
      </c>
      <c r="Z927">
        <v>368.60333333333301</v>
      </c>
      <c r="AA927">
        <v>363.15666666666601</v>
      </c>
      <c r="AB927">
        <v>363.15666666666601</v>
      </c>
      <c r="AC927">
        <v>408.00666666666598</v>
      </c>
      <c r="AD927">
        <v>368.69333333333299</v>
      </c>
      <c r="AE927">
        <v>394.24666666666599</v>
      </c>
      <c r="AF927">
        <v>383.06666666666598</v>
      </c>
      <c r="AG927">
        <v>375.666666666666</v>
      </c>
      <c r="AH927">
        <v>372.02999999999901</v>
      </c>
      <c r="AI927">
        <v>407.51666666666603</v>
      </c>
      <c r="AJ927">
        <v>372.97666666666601</v>
      </c>
      <c r="AK927">
        <v>395.47333333333302</v>
      </c>
      <c r="AL927">
        <v>379.69333333333299</v>
      </c>
      <c r="AM927">
        <v>372.31</v>
      </c>
      <c r="AN927">
        <v>366.71666666666601</v>
      </c>
      <c r="AO927">
        <v>395.96666666666601</v>
      </c>
      <c r="AP927">
        <v>330.87333333333299</v>
      </c>
      <c r="AQ927">
        <v>377.296666666666</v>
      </c>
      <c r="AR927">
        <v>345.99666666666599</v>
      </c>
      <c r="AS927">
        <v>328.95</v>
      </c>
      <c r="AT927">
        <v>315.34333333333302</v>
      </c>
      <c r="AU927">
        <v>411.81</v>
      </c>
      <c r="AV927">
        <v>359.69666666666598</v>
      </c>
      <c r="AW927">
        <v>395</v>
      </c>
      <c r="AX927">
        <v>371.70999999999901</v>
      </c>
      <c r="AY927">
        <v>359.54</v>
      </c>
      <c r="AZ927">
        <v>350.56999999999903</v>
      </c>
      <c r="BA927">
        <v>401.71666666666601</v>
      </c>
      <c r="BB927">
        <v>348.986666666666</v>
      </c>
      <c r="BC927">
        <v>384.55999999999898</v>
      </c>
      <c r="BD927">
        <v>360.969999999999</v>
      </c>
      <c r="BE927">
        <v>348.493333333333</v>
      </c>
      <c r="BF927">
        <v>339.02333333333303</v>
      </c>
      <c r="BG927" s="14"/>
      <c r="BH927" s="14"/>
      <c r="BI927" s="14"/>
      <c r="BJ927" s="199"/>
      <c r="BK927" s="14"/>
      <c r="BL927" s="14"/>
      <c r="BM927" s="14"/>
      <c r="BN927" s="14"/>
      <c r="BO927" s="14"/>
      <c r="BP927" s="14"/>
      <c r="BQ927" s="14"/>
      <c r="BR927" s="14"/>
      <c r="BS927" s="14"/>
      <c r="BT927" s="14"/>
      <c r="BU927" s="14"/>
      <c r="BV927" s="14"/>
      <c r="BW927" s="14"/>
      <c r="BX927" s="14"/>
      <c r="BY927" s="170"/>
    </row>
    <row r="928" spans="9:77" x14ac:dyDescent="0.25">
      <c r="I928">
        <v>9382</v>
      </c>
      <c r="J928" s="1" t="s">
        <v>1094</v>
      </c>
      <c r="K928">
        <v>407.51666666666603</v>
      </c>
      <c r="L928">
        <v>372.97666666666601</v>
      </c>
      <c r="M928">
        <v>395.47333333333302</v>
      </c>
      <c r="N928">
        <v>379.69333333333299</v>
      </c>
      <c r="O928">
        <v>372.31</v>
      </c>
      <c r="P928">
        <v>366.71666666666601</v>
      </c>
      <c r="Q928">
        <v>385.68999999999897</v>
      </c>
      <c r="R928">
        <v>330.493333333333</v>
      </c>
      <c r="S928">
        <v>367.05999999999898</v>
      </c>
      <c r="T928">
        <v>343.17333333333301</v>
      </c>
      <c r="U928">
        <v>330.19333333333299</v>
      </c>
      <c r="V928">
        <v>320.35333333333301</v>
      </c>
      <c r="W928">
        <v>388.433333333333</v>
      </c>
      <c r="X928">
        <v>359.70999999999901</v>
      </c>
      <c r="Y928">
        <v>370.62999999999897</v>
      </c>
      <c r="Z928">
        <v>368.60333333333301</v>
      </c>
      <c r="AA928">
        <v>363.15666666666601</v>
      </c>
      <c r="AB928">
        <v>363.15666666666601</v>
      </c>
      <c r="AC928">
        <v>408.00666666666598</v>
      </c>
      <c r="AD928">
        <v>368.69333333333299</v>
      </c>
      <c r="AE928">
        <v>394.24666666666599</v>
      </c>
      <c r="AF928">
        <v>383.06666666666598</v>
      </c>
      <c r="AG928">
        <v>375.666666666666</v>
      </c>
      <c r="AH928">
        <v>372.02999999999901</v>
      </c>
      <c r="AI928">
        <v>407.51666666666603</v>
      </c>
      <c r="AJ928">
        <v>372.97666666666601</v>
      </c>
      <c r="AK928">
        <v>395.47333333333302</v>
      </c>
      <c r="AL928">
        <v>379.69333333333299</v>
      </c>
      <c r="AM928">
        <v>372.31</v>
      </c>
      <c r="AN928">
        <v>366.71666666666601</v>
      </c>
      <c r="AO928">
        <v>395.96666666666601</v>
      </c>
      <c r="AP928">
        <v>330.87333333333299</v>
      </c>
      <c r="AQ928">
        <v>377.296666666666</v>
      </c>
      <c r="AR928">
        <v>345.99666666666599</v>
      </c>
      <c r="AS928">
        <v>328.95</v>
      </c>
      <c r="AT928">
        <v>315.34333333333302</v>
      </c>
      <c r="AU928">
        <v>411.81</v>
      </c>
      <c r="AV928">
        <v>359.69666666666598</v>
      </c>
      <c r="AW928">
        <v>395</v>
      </c>
      <c r="AX928">
        <v>371.70999999999901</v>
      </c>
      <c r="AY928">
        <v>359.54</v>
      </c>
      <c r="AZ928">
        <v>350.56999999999903</v>
      </c>
      <c r="BA928">
        <v>401.71666666666601</v>
      </c>
      <c r="BB928">
        <v>348.986666666666</v>
      </c>
      <c r="BC928">
        <v>384.55999999999898</v>
      </c>
      <c r="BD928">
        <v>360.969999999999</v>
      </c>
      <c r="BE928">
        <v>348.493333333333</v>
      </c>
      <c r="BF928">
        <v>339.02333333333303</v>
      </c>
      <c r="BG928" s="14"/>
      <c r="BH928" s="14"/>
      <c r="BI928" s="14"/>
      <c r="BJ928" s="199"/>
      <c r="BK928" s="14"/>
      <c r="BL928" s="14"/>
      <c r="BM928" s="14"/>
      <c r="BN928" s="14"/>
      <c r="BO928" s="14"/>
      <c r="BP928" s="14"/>
      <c r="BQ928" s="14"/>
      <c r="BR928" s="14"/>
      <c r="BS928" s="14"/>
      <c r="BT928" s="14"/>
      <c r="BU928" s="14"/>
      <c r="BV928" s="14"/>
      <c r="BW928" s="14"/>
      <c r="BX928" s="14"/>
      <c r="BY928" s="170"/>
    </row>
    <row r="929" spans="9:77" x14ac:dyDescent="0.25">
      <c r="I929">
        <v>9400</v>
      </c>
      <c r="J929" s="1" t="s">
        <v>1095</v>
      </c>
      <c r="K929">
        <v>396.606666666666</v>
      </c>
      <c r="L929">
        <v>362.06666666666598</v>
      </c>
      <c r="M929">
        <v>384.56333333333299</v>
      </c>
      <c r="N929">
        <v>368.78333333333302</v>
      </c>
      <c r="O929">
        <v>361.4</v>
      </c>
      <c r="P929">
        <v>355.80666666666599</v>
      </c>
      <c r="Q929">
        <v>374.77999999999901</v>
      </c>
      <c r="R929">
        <v>319.58333333333297</v>
      </c>
      <c r="S929">
        <v>356.14999999999901</v>
      </c>
      <c r="T929">
        <v>332.26333333333298</v>
      </c>
      <c r="U929">
        <v>319.28333333333302</v>
      </c>
      <c r="V929">
        <v>309.44333333333299</v>
      </c>
      <c r="W929">
        <v>377.52333333333303</v>
      </c>
      <c r="X929">
        <v>348.79999999999899</v>
      </c>
      <c r="Y929">
        <v>359.719999999999</v>
      </c>
      <c r="Z929">
        <v>357.69333333333299</v>
      </c>
      <c r="AA929">
        <v>352.24666666666599</v>
      </c>
      <c r="AB929">
        <v>352.24666666666599</v>
      </c>
      <c r="AC929">
        <v>397.09666666666601</v>
      </c>
      <c r="AD929">
        <v>357.78333333333302</v>
      </c>
      <c r="AE929">
        <v>383.33666666666602</v>
      </c>
      <c r="AF929">
        <v>372.15666666666601</v>
      </c>
      <c r="AG929">
        <v>364.75666666666598</v>
      </c>
      <c r="AH929">
        <v>361.12</v>
      </c>
      <c r="AI929">
        <v>396.606666666666</v>
      </c>
      <c r="AJ929">
        <v>362.06666666666598</v>
      </c>
      <c r="AK929">
        <v>384.56333333333299</v>
      </c>
      <c r="AL929">
        <v>368.78333333333302</v>
      </c>
      <c r="AM929">
        <v>361.4</v>
      </c>
      <c r="AN929">
        <v>355.80666666666599</v>
      </c>
      <c r="AO929">
        <v>385.05666666666599</v>
      </c>
      <c r="AP929">
        <v>319.96333333333303</v>
      </c>
      <c r="AQ929">
        <v>366.38666666666597</v>
      </c>
      <c r="AR929">
        <v>335.08666666666602</v>
      </c>
      <c r="AS929">
        <v>318.04000000000002</v>
      </c>
      <c r="AT929">
        <v>304.433333333333</v>
      </c>
      <c r="AU929">
        <v>400.9</v>
      </c>
      <c r="AV929">
        <v>348.78666666666601</v>
      </c>
      <c r="AW929">
        <v>384.09</v>
      </c>
      <c r="AX929">
        <v>360.79999999999899</v>
      </c>
      <c r="AY929">
        <v>348.63</v>
      </c>
      <c r="AZ929">
        <v>339.66</v>
      </c>
      <c r="BA929">
        <v>390.80666666666599</v>
      </c>
      <c r="BB929">
        <v>338.07666666666597</v>
      </c>
      <c r="BC929">
        <v>373.64999999999901</v>
      </c>
      <c r="BD929">
        <v>350.05999999999898</v>
      </c>
      <c r="BE929">
        <v>337.58333333333297</v>
      </c>
      <c r="BF929">
        <v>328.113333333333</v>
      </c>
      <c r="BG929" s="14"/>
      <c r="BH929" s="14"/>
      <c r="BI929" s="14"/>
      <c r="BJ929" s="199"/>
      <c r="BK929" s="14"/>
      <c r="BL929" s="14"/>
      <c r="BM929" s="14"/>
      <c r="BN929" s="14"/>
      <c r="BO929" s="14"/>
      <c r="BP929" s="14"/>
      <c r="BQ929" s="14"/>
      <c r="BR929" s="14"/>
      <c r="BS929" s="14"/>
      <c r="BT929" s="14"/>
      <c r="BU929" s="14"/>
      <c r="BV929" s="14"/>
      <c r="BW929" s="14"/>
      <c r="BX929" s="14"/>
      <c r="BY929" s="170"/>
    </row>
    <row r="930" spans="9:77" x14ac:dyDescent="0.25">
      <c r="I930">
        <v>9430</v>
      </c>
      <c r="J930" s="1" t="s">
        <v>1096</v>
      </c>
      <c r="K930">
        <v>407.51666666666603</v>
      </c>
      <c r="L930">
        <v>372.97666666666601</v>
      </c>
      <c r="M930">
        <v>395.47333333333302</v>
      </c>
      <c r="N930">
        <v>379.69333333333299</v>
      </c>
      <c r="O930">
        <v>372.31</v>
      </c>
      <c r="P930">
        <v>366.71666666666601</v>
      </c>
      <c r="Q930">
        <v>385.68999999999897</v>
      </c>
      <c r="R930">
        <v>330.493333333333</v>
      </c>
      <c r="S930">
        <v>367.05999999999898</v>
      </c>
      <c r="T930">
        <v>343.17333333333301</v>
      </c>
      <c r="U930">
        <v>330.19333333333299</v>
      </c>
      <c r="V930">
        <v>320.35333333333301</v>
      </c>
      <c r="W930">
        <v>388.433333333333</v>
      </c>
      <c r="X930">
        <v>359.70999999999901</v>
      </c>
      <c r="Y930">
        <v>370.62999999999897</v>
      </c>
      <c r="Z930">
        <v>368.60333333333301</v>
      </c>
      <c r="AA930">
        <v>363.15666666666601</v>
      </c>
      <c r="AB930">
        <v>363.15666666666601</v>
      </c>
      <c r="AC930">
        <v>408.00666666666598</v>
      </c>
      <c r="AD930">
        <v>368.69333333333299</v>
      </c>
      <c r="AE930">
        <v>394.24666666666599</v>
      </c>
      <c r="AF930">
        <v>383.06666666666598</v>
      </c>
      <c r="AG930">
        <v>375.666666666666</v>
      </c>
      <c r="AH930">
        <v>372.02999999999901</v>
      </c>
      <c r="AI930">
        <v>407.51666666666603</v>
      </c>
      <c r="AJ930">
        <v>372.97666666666601</v>
      </c>
      <c r="AK930">
        <v>395.47333333333302</v>
      </c>
      <c r="AL930">
        <v>379.69333333333299</v>
      </c>
      <c r="AM930">
        <v>372.31</v>
      </c>
      <c r="AN930">
        <v>366.71666666666601</v>
      </c>
      <c r="AO930">
        <v>395.96666666666601</v>
      </c>
      <c r="AP930">
        <v>330.87333333333299</v>
      </c>
      <c r="AQ930">
        <v>377.296666666666</v>
      </c>
      <c r="AR930">
        <v>345.99666666666599</v>
      </c>
      <c r="AS930">
        <v>328.95</v>
      </c>
      <c r="AT930">
        <v>315.34333333333302</v>
      </c>
      <c r="AU930">
        <v>411.81</v>
      </c>
      <c r="AV930">
        <v>359.69666666666598</v>
      </c>
      <c r="AW930">
        <v>395</v>
      </c>
      <c r="AX930">
        <v>371.70999999999901</v>
      </c>
      <c r="AY930">
        <v>359.54</v>
      </c>
      <c r="AZ930">
        <v>350.56999999999903</v>
      </c>
      <c r="BA930">
        <v>401.71666666666601</v>
      </c>
      <c r="BB930">
        <v>348.986666666666</v>
      </c>
      <c r="BC930">
        <v>384.55999999999898</v>
      </c>
      <c r="BD930">
        <v>360.969999999999</v>
      </c>
      <c r="BE930">
        <v>348.493333333333</v>
      </c>
      <c r="BF930">
        <v>339.02333333333303</v>
      </c>
      <c r="BG930" s="14"/>
      <c r="BH930" s="14"/>
      <c r="BI930" s="14"/>
      <c r="BJ930" s="199"/>
      <c r="BK930" s="14"/>
      <c r="BL930" s="14"/>
      <c r="BM930" s="14"/>
      <c r="BN930" s="14"/>
      <c r="BO930" s="14"/>
      <c r="BP930" s="14"/>
      <c r="BQ930" s="14"/>
      <c r="BR930" s="14"/>
      <c r="BS930" s="14"/>
      <c r="BT930" s="14"/>
      <c r="BU930" s="14"/>
      <c r="BV930" s="14"/>
      <c r="BW930" s="14"/>
      <c r="BX930" s="14"/>
      <c r="BY930" s="170"/>
    </row>
    <row r="931" spans="9:77" x14ac:dyDescent="0.25">
      <c r="I931">
        <v>9440</v>
      </c>
      <c r="J931" s="1" t="s">
        <v>1097</v>
      </c>
      <c r="K931">
        <v>417.39666666666602</v>
      </c>
      <c r="L931">
        <v>382.856666666666</v>
      </c>
      <c r="M931">
        <v>405.35333333333301</v>
      </c>
      <c r="N931">
        <v>389.57333333333298</v>
      </c>
      <c r="O931">
        <v>382.19</v>
      </c>
      <c r="P931">
        <v>376.59666666666601</v>
      </c>
      <c r="Q931">
        <v>395.57</v>
      </c>
      <c r="R931">
        <v>340.37333333333299</v>
      </c>
      <c r="S931">
        <v>376.94</v>
      </c>
      <c r="T931">
        <v>353.053333333333</v>
      </c>
      <c r="U931">
        <v>340.07333333333298</v>
      </c>
      <c r="V931">
        <v>330.23333333333301</v>
      </c>
      <c r="W931">
        <v>398.31333333333299</v>
      </c>
      <c r="X931">
        <v>369.59</v>
      </c>
      <c r="Y931">
        <v>380.51</v>
      </c>
      <c r="Z931">
        <v>378.48333333333301</v>
      </c>
      <c r="AA931">
        <v>373.03666666666601</v>
      </c>
      <c r="AB931">
        <v>373.03666666666601</v>
      </c>
      <c r="AC931">
        <v>417.88666666666597</v>
      </c>
      <c r="AD931">
        <v>378.57333333333298</v>
      </c>
      <c r="AE931">
        <v>404.12666666666598</v>
      </c>
      <c r="AF931">
        <v>392.94666666666598</v>
      </c>
      <c r="AG931">
        <v>385.546666666666</v>
      </c>
      <c r="AH931">
        <v>381.91</v>
      </c>
      <c r="AI931">
        <v>417.39666666666602</v>
      </c>
      <c r="AJ931">
        <v>382.856666666666</v>
      </c>
      <c r="AK931">
        <v>405.35333333333301</v>
      </c>
      <c r="AL931">
        <v>389.57333333333298</v>
      </c>
      <c r="AM931">
        <v>382.19</v>
      </c>
      <c r="AN931">
        <v>376.59666666666601</v>
      </c>
      <c r="AO931">
        <v>405.84666666666601</v>
      </c>
      <c r="AP931">
        <v>340.75333333333299</v>
      </c>
      <c r="AQ931">
        <v>387.17666666666599</v>
      </c>
      <c r="AR931">
        <v>355.87666666666598</v>
      </c>
      <c r="AS931">
        <v>338.83</v>
      </c>
      <c r="AT931">
        <v>325.22333333333302</v>
      </c>
      <c r="AU931">
        <v>421.69</v>
      </c>
      <c r="AV931">
        <v>369.57666666666597</v>
      </c>
      <c r="AW931">
        <v>404.88</v>
      </c>
      <c r="AX931">
        <v>381.59</v>
      </c>
      <c r="AY931">
        <v>369.42</v>
      </c>
      <c r="AZ931">
        <v>360.45</v>
      </c>
      <c r="BA931">
        <v>411.59666666666601</v>
      </c>
      <c r="BB931">
        <v>358.86666666666599</v>
      </c>
      <c r="BC931">
        <v>394.44</v>
      </c>
      <c r="BD931">
        <v>370.85</v>
      </c>
      <c r="BE931">
        <v>358.37333333333299</v>
      </c>
      <c r="BF931">
        <v>348.90333333333302</v>
      </c>
      <c r="BG931" s="14"/>
      <c r="BH931" s="14"/>
      <c r="BI931" s="14"/>
      <c r="BJ931" s="199"/>
      <c r="BK931" s="14"/>
      <c r="BL931" s="14"/>
      <c r="BM931" s="14"/>
      <c r="BN931" s="14"/>
      <c r="BO931" s="14"/>
      <c r="BP931" s="14"/>
      <c r="BQ931" s="14"/>
      <c r="BR931" s="14"/>
      <c r="BS931" s="14"/>
      <c r="BT931" s="14"/>
      <c r="BU931" s="14"/>
      <c r="BV931" s="14"/>
      <c r="BW931" s="14"/>
      <c r="BX931" s="14"/>
      <c r="BY931" s="170"/>
    </row>
    <row r="932" spans="9:77" x14ac:dyDescent="0.25">
      <c r="I932">
        <v>9460</v>
      </c>
      <c r="J932" s="1" t="s">
        <v>1098</v>
      </c>
      <c r="K932">
        <v>425.27666666666602</v>
      </c>
      <c r="L932">
        <v>390.736666666666</v>
      </c>
      <c r="M932">
        <v>413.23333333333301</v>
      </c>
      <c r="N932">
        <v>397.45333333333298</v>
      </c>
      <c r="O932">
        <v>390.07</v>
      </c>
      <c r="P932">
        <v>384.47666666666601</v>
      </c>
      <c r="Q932">
        <v>403.45</v>
      </c>
      <c r="R932">
        <v>348.25333333333299</v>
      </c>
      <c r="S932">
        <v>384.82</v>
      </c>
      <c r="T932">
        <v>360.933333333333</v>
      </c>
      <c r="U932">
        <v>347.95333333333298</v>
      </c>
      <c r="V932">
        <v>338.113333333333</v>
      </c>
      <c r="W932">
        <v>406.19333333333299</v>
      </c>
      <c r="X932">
        <v>377.47</v>
      </c>
      <c r="Y932">
        <v>388.39</v>
      </c>
      <c r="Z932">
        <v>386.363333333333</v>
      </c>
      <c r="AA932">
        <v>380.916666666666</v>
      </c>
      <c r="AB932">
        <v>380.916666666666</v>
      </c>
      <c r="AC932">
        <v>425.76666666666603</v>
      </c>
      <c r="AD932">
        <v>386.45333333333298</v>
      </c>
      <c r="AE932">
        <v>412.00666666666598</v>
      </c>
      <c r="AF932">
        <v>400.82666666666597</v>
      </c>
      <c r="AG932">
        <v>393.42666666666599</v>
      </c>
      <c r="AH932">
        <v>389.79</v>
      </c>
      <c r="AI932">
        <v>425.27666666666602</v>
      </c>
      <c r="AJ932">
        <v>390.736666666666</v>
      </c>
      <c r="AK932">
        <v>413.23333333333301</v>
      </c>
      <c r="AL932">
        <v>397.45333333333298</v>
      </c>
      <c r="AM932">
        <v>390.07</v>
      </c>
      <c r="AN932">
        <v>384.47666666666601</v>
      </c>
      <c r="AO932">
        <v>413.72666666666601</v>
      </c>
      <c r="AP932">
        <v>348.63333333333298</v>
      </c>
      <c r="AQ932">
        <v>395.05666666666599</v>
      </c>
      <c r="AR932">
        <v>363.75666666666598</v>
      </c>
      <c r="AS932">
        <v>346.71</v>
      </c>
      <c r="AT932">
        <v>333.10333333333301</v>
      </c>
      <c r="AU932">
        <v>429.57</v>
      </c>
      <c r="AV932">
        <v>377.45666666666602</v>
      </c>
      <c r="AW932">
        <v>412.76</v>
      </c>
      <c r="AX932">
        <v>389.47</v>
      </c>
      <c r="AY932">
        <v>377.3</v>
      </c>
      <c r="AZ932">
        <v>368.33</v>
      </c>
      <c r="BA932">
        <v>419.47666666666601</v>
      </c>
      <c r="BB932">
        <v>366.74666666666599</v>
      </c>
      <c r="BC932">
        <v>402.32</v>
      </c>
      <c r="BD932">
        <v>378.73</v>
      </c>
      <c r="BE932">
        <v>366.25333333333299</v>
      </c>
      <c r="BF932">
        <v>356.78333333333302</v>
      </c>
      <c r="BG932" s="14"/>
      <c r="BH932" s="14"/>
      <c r="BI932" s="14"/>
      <c r="BJ932" s="199"/>
      <c r="BK932" s="14"/>
      <c r="BL932" s="14"/>
      <c r="BM932" s="14"/>
      <c r="BN932" s="14"/>
      <c r="BO932" s="14"/>
      <c r="BP932" s="14"/>
      <c r="BQ932" s="14"/>
      <c r="BR932" s="14"/>
      <c r="BS932" s="14"/>
      <c r="BT932" s="14"/>
      <c r="BU932" s="14"/>
      <c r="BV932" s="14"/>
      <c r="BW932" s="14"/>
      <c r="BX932" s="14"/>
      <c r="BY932" s="170"/>
    </row>
    <row r="933" spans="9:77" x14ac:dyDescent="0.25">
      <c r="I933">
        <v>9480</v>
      </c>
      <c r="J933" s="1" t="s">
        <v>1099</v>
      </c>
      <c r="K933">
        <v>427.99666666666599</v>
      </c>
      <c r="L933">
        <v>393.45666666666602</v>
      </c>
      <c r="M933">
        <v>415.95333333333298</v>
      </c>
      <c r="N933">
        <v>400.17333333333301</v>
      </c>
      <c r="O933">
        <v>392.79</v>
      </c>
      <c r="P933">
        <v>387.19666666666598</v>
      </c>
      <c r="Q933">
        <v>406.16999999999899</v>
      </c>
      <c r="R933">
        <v>350.97333333333302</v>
      </c>
      <c r="S933">
        <v>387.539999999999</v>
      </c>
      <c r="T933">
        <v>363.65333333333302</v>
      </c>
      <c r="U933">
        <v>350.67333333333301</v>
      </c>
      <c r="V933">
        <v>340.83333333333297</v>
      </c>
      <c r="W933">
        <v>408.91333333333301</v>
      </c>
      <c r="X933">
        <v>380.18999999999897</v>
      </c>
      <c r="Y933">
        <v>391.10999999999899</v>
      </c>
      <c r="Z933">
        <v>389.08333333333297</v>
      </c>
      <c r="AA933">
        <v>383.63666666666597</v>
      </c>
      <c r="AB933">
        <v>383.63666666666597</v>
      </c>
      <c r="AC933">
        <v>428.486666666666</v>
      </c>
      <c r="AD933">
        <v>389.17333333333301</v>
      </c>
      <c r="AE933">
        <v>414.72666666666601</v>
      </c>
      <c r="AF933">
        <v>403.546666666666</v>
      </c>
      <c r="AG933">
        <v>396.14666666666602</v>
      </c>
      <c r="AH933">
        <v>392.50999999999902</v>
      </c>
      <c r="AI933">
        <v>427.99666666666599</v>
      </c>
      <c r="AJ933">
        <v>393.45666666666602</v>
      </c>
      <c r="AK933">
        <v>415.95333333333298</v>
      </c>
      <c r="AL933">
        <v>400.17333333333301</v>
      </c>
      <c r="AM933">
        <v>392.79</v>
      </c>
      <c r="AN933">
        <v>387.19666666666598</v>
      </c>
      <c r="AO933">
        <v>416.44666666666598</v>
      </c>
      <c r="AP933">
        <v>351.35333333333301</v>
      </c>
      <c r="AQ933">
        <v>397.77666666666602</v>
      </c>
      <c r="AR933">
        <v>366.47666666666601</v>
      </c>
      <c r="AS933">
        <v>349.43</v>
      </c>
      <c r="AT933">
        <v>335.82333333333298</v>
      </c>
      <c r="AU933">
        <v>432.29</v>
      </c>
      <c r="AV933">
        <v>380.17666666666599</v>
      </c>
      <c r="AW933">
        <v>415.48</v>
      </c>
      <c r="AX933">
        <v>392.18999999999897</v>
      </c>
      <c r="AY933">
        <v>380.02</v>
      </c>
      <c r="AZ933">
        <v>371.05</v>
      </c>
      <c r="BA933">
        <v>422.19666666666598</v>
      </c>
      <c r="BB933">
        <v>369.46666666666601</v>
      </c>
      <c r="BC933">
        <v>405.039999999999</v>
      </c>
      <c r="BD933">
        <v>381.44999999999902</v>
      </c>
      <c r="BE933">
        <v>368.97333333333302</v>
      </c>
      <c r="BF933">
        <v>359.50333333333299</v>
      </c>
      <c r="BG933" s="14"/>
      <c r="BH933" s="14"/>
      <c r="BI933" s="14"/>
      <c r="BJ933" s="199"/>
      <c r="BK933" s="14"/>
      <c r="BL933" s="14"/>
      <c r="BM933" s="14"/>
      <c r="BN933" s="14"/>
      <c r="BO933" s="14"/>
      <c r="BP933" s="14"/>
      <c r="BQ933" s="14"/>
      <c r="BR933" s="14"/>
      <c r="BS933" s="14"/>
      <c r="BT933" s="14"/>
      <c r="BU933" s="14"/>
      <c r="BV933" s="14"/>
      <c r="BW933" s="14"/>
      <c r="BX933" s="14"/>
      <c r="BY933" s="170"/>
    </row>
    <row r="934" spans="9:77" x14ac:dyDescent="0.25">
      <c r="I934">
        <v>9490</v>
      </c>
      <c r="J934" s="1" t="s">
        <v>1100</v>
      </c>
      <c r="K934">
        <v>417.39666666666602</v>
      </c>
      <c r="L934">
        <v>382.856666666666</v>
      </c>
      <c r="M934">
        <v>405.35333333333301</v>
      </c>
      <c r="N934">
        <v>389.57333333333298</v>
      </c>
      <c r="O934">
        <v>382.19</v>
      </c>
      <c r="P934">
        <v>376.59666666666601</v>
      </c>
      <c r="Q934">
        <v>395.57</v>
      </c>
      <c r="R934">
        <v>340.37333333333299</v>
      </c>
      <c r="S934">
        <v>376.94</v>
      </c>
      <c r="T934">
        <v>353.053333333333</v>
      </c>
      <c r="U934">
        <v>340.07333333333298</v>
      </c>
      <c r="V934">
        <v>330.23333333333301</v>
      </c>
      <c r="W934">
        <v>398.31333333333299</v>
      </c>
      <c r="X934">
        <v>369.59</v>
      </c>
      <c r="Y934">
        <v>380.51</v>
      </c>
      <c r="Z934">
        <v>378.48333333333301</v>
      </c>
      <c r="AA934">
        <v>373.03666666666601</v>
      </c>
      <c r="AB934">
        <v>373.03666666666601</v>
      </c>
      <c r="AC934">
        <v>417.88666666666597</v>
      </c>
      <c r="AD934">
        <v>378.57333333333298</v>
      </c>
      <c r="AE934">
        <v>404.12666666666598</v>
      </c>
      <c r="AF934">
        <v>392.94666666666598</v>
      </c>
      <c r="AG934">
        <v>385.546666666666</v>
      </c>
      <c r="AH934">
        <v>381.91</v>
      </c>
      <c r="AI934">
        <v>417.39666666666602</v>
      </c>
      <c r="AJ934">
        <v>382.856666666666</v>
      </c>
      <c r="AK934">
        <v>405.35333333333301</v>
      </c>
      <c r="AL934">
        <v>389.57333333333298</v>
      </c>
      <c r="AM934">
        <v>382.19</v>
      </c>
      <c r="AN934">
        <v>376.59666666666601</v>
      </c>
      <c r="AO934">
        <v>405.84666666666601</v>
      </c>
      <c r="AP934">
        <v>340.75333333333299</v>
      </c>
      <c r="AQ934">
        <v>387.17666666666599</v>
      </c>
      <c r="AR934">
        <v>355.87666666666598</v>
      </c>
      <c r="AS934">
        <v>338.83</v>
      </c>
      <c r="AT934">
        <v>325.22333333333302</v>
      </c>
      <c r="AU934">
        <v>421.69</v>
      </c>
      <c r="AV934">
        <v>369.57666666666597</v>
      </c>
      <c r="AW934">
        <v>404.88</v>
      </c>
      <c r="AX934">
        <v>381.59</v>
      </c>
      <c r="AY934">
        <v>369.42</v>
      </c>
      <c r="AZ934">
        <v>360.45</v>
      </c>
      <c r="BA934">
        <v>411.59666666666601</v>
      </c>
      <c r="BB934">
        <v>358.86666666666599</v>
      </c>
      <c r="BC934">
        <v>394.44</v>
      </c>
      <c r="BD934">
        <v>370.85</v>
      </c>
      <c r="BE934">
        <v>358.37333333333299</v>
      </c>
      <c r="BF934">
        <v>348.90333333333302</v>
      </c>
      <c r="BG934" s="14"/>
      <c r="BH934" s="14"/>
      <c r="BI934" s="14"/>
      <c r="BJ934" s="199"/>
      <c r="BK934" s="14"/>
      <c r="BL934" s="14"/>
      <c r="BM934" s="14"/>
      <c r="BN934" s="14"/>
      <c r="BO934" s="14"/>
      <c r="BP934" s="14"/>
      <c r="BQ934" s="14"/>
      <c r="BR934" s="14"/>
      <c r="BS934" s="14"/>
      <c r="BT934" s="14"/>
      <c r="BU934" s="14"/>
      <c r="BV934" s="14"/>
      <c r="BW934" s="14"/>
      <c r="BX934" s="14"/>
      <c r="BY934" s="170"/>
    </row>
    <row r="935" spans="9:77" x14ac:dyDescent="0.25">
      <c r="I935">
        <v>9492</v>
      </c>
      <c r="J935" s="1" t="s">
        <v>1101</v>
      </c>
      <c r="K935">
        <v>444.81666666666598</v>
      </c>
      <c r="L935">
        <v>410.27666666666602</v>
      </c>
      <c r="M935">
        <v>432.77333333333303</v>
      </c>
      <c r="N935">
        <v>416.993333333333</v>
      </c>
      <c r="O935">
        <v>409.61</v>
      </c>
      <c r="P935">
        <v>404.01666666666603</v>
      </c>
      <c r="Q935">
        <v>422.99</v>
      </c>
      <c r="R935">
        <v>367.79333333333301</v>
      </c>
      <c r="S935">
        <v>404.36</v>
      </c>
      <c r="T935">
        <v>380.47333333333302</v>
      </c>
      <c r="U935">
        <v>367.493333333333</v>
      </c>
      <c r="V935">
        <v>357.65333333333302</v>
      </c>
      <c r="W935">
        <v>425.73333333333301</v>
      </c>
      <c r="X935">
        <v>397.01</v>
      </c>
      <c r="Y935">
        <v>407.93</v>
      </c>
      <c r="Z935">
        <v>405.90333333333302</v>
      </c>
      <c r="AA935">
        <v>400.45666666666602</v>
      </c>
      <c r="AB935">
        <v>400.45666666666602</v>
      </c>
      <c r="AC935">
        <v>445.30666666666599</v>
      </c>
      <c r="AD935">
        <v>405.993333333333</v>
      </c>
      <c r="AE935">
        <v>431.546666666666</v>
      </c>
      <c r="AF935">
        <v>420.36666666666599</v>
      </c>
      <c r="AG935">
        <v>412.96666666666601</v>
      </c>
      <c r="AH935">
        <v>409.33</v>
      </c>
      <c r="AI935">
        <v>444.81666666666598</v>
      </c>
      <c r="AJ935">
        <v>410.27666666666602</v>
      </c>
      <c r="AK935">
        <v>432.77333333333303</v>
      </c>
      <c r="AL935">
        <v>416.993333333333</v>
      </c>
      <c r="AM935">
        <v>409.61</v>
      </c>
      <c r="AN935">
        <v>404.01666666666603</v>
      </c>
      <c r="AO935">
        <v>433.26666666666603</v>
      </c>
      <c r="AP935">
        <v>368.17333333333301</v>
      </c>
      <c r="AQ935">
        <v>414.59666666666601</v>
      </c>
      <c r="AR935">
        <v>383.296666666666</v>
      </c>
      <c r="AS935">
        <v>366.25</v>
      </c>
      <c r="AT935">
        <v>352.64333333333298</v>
      </c>
      <c r="AU935">
        <v>449.11</v>
      </c>
      <c r="AV935">
        <v>396.99666666666599</v>
      </c>
      <c r="AW935">
        <v>432.3</v>
      </c>
      <c r="AX935">
        <v>409.01</v>
      </c>
      <c r="AY935">
        <v>396.84</v>
      </c>
      <c r="AZ935">
        <v>387.87</v>
      </c>
      <c r="BA935">
        <v>439.01666666666603</v>
      </c>
      <c r="BB935">
        <v>386.28666666666601</v>
      </c>
      <c r="BC935">
        <v>421.86</v>
      </c>
      <c r="BD935">
        <v>398.27</v>
      </c>
      <c r="BE935">
        <v>385.79333333333301</v>
      </c>
      <c r="BF935">
        <v>376.32333333333298</v>
      </c>
      <c r="BG935" s="14"/>
      <c r="BH935" s="14"/>
      <c r="BI935" s="14"/>
      <c r="BJ935" s="199"/>
      <c r="BK935" s="14"/>
      <c r="BL935" s="14"/>
      <c r="BM935" s="14"/>
      <c r="BN935" s="14"/>
      <c r="BO935" s="14"/>
      <c r="BP935" s="14"/>
      <c r="BQ935" s="14"/>
      <c r="BR935" s="14"/>
      <c r="BS935" s="14"/>
      <c r="BT935" s="14"/>
      <c r="BU935" s="14"/>
      <c r="BV935" s="14"/>
      <c r="BW935" s="14"/>
      <c r="BX935" s="14"/>
      <c r="BY935" s="170"/>
    </row>
    <row r="936" spans="9:77" x14ac:dyDescent="0.25">
      <c r="I936">
        <v>9493</v>
      </c>
      <c r="J936" s="1" t="s">
        <v>1102</v>
      </c>
      <c r="K936">
        <v>444.81666666666598</v>
      </c>
      <c r="L936">
        <v>410.27666666666602</v>
      </c>
      <c r="M936">
        <v>432.77333333333303</v>
      </c>
      <c r="N936">
        <v>416.993333333333</v>
      </c>
      <c r="O936">
        <v>409.61</v>
      </c>
      <c r="P936">
        <v>404.01666666666603</v>
      </c>
      <c r="Q936">
        <v>422.99</v>
      </c>
      <c r="R936">
        <v>367.79333333333301</v>
      </c>
      <c r="S936">
        <v>404.36</v>
      </c>
      <c r="T936">
        <v>380.47333333333302</v>
      </c>
      <c r="U936">
        <v>367.493333333333</v>
      </c>
      <c r="V936">
        <v>357.65333333333302</v>
      </c>
      <c r="W936">
        <v>425.73333333333301</v>
      </c>
      <c r="X936">
        <v>397.01</v>
      </c>
      <c r="Y936">
        <v>407.93</v>
      </c>
      <c r="Z936">
        <v>405.90333333333302</v>
      </c>
      <c r="AA936">
        <v>400.45666666666602</v>
      </c>
      <c r="AB936">
        <v>400.45666666666602</v>
      </c>
      <c r="AC936">
        <v>445.30666666666599</v>
      </c>
      <c r="AD936">
        <v>405.993333333333</v>
      </c>
      <c r="AE936">
        <v>431.546666666666</v>
      </c>
      <c r="AF936">
        <v>420.36666666666599</v>
      </c>
      <c r="AG936">
        <v>412.96666666666601</v>
      </c>
      <c r="AH936">
        <v>409.33</v>
      </c>
      <c r="AI936">
        <v>444.81666666666598</v>
      </c>
      <c r="AJ936">
        <v>410.27666666666602</v>
      </c>
      <c r="AK936">
        <v>432.77333333333303</v>
      </c>
      <c r="AL936">
        <v>416.993333333333</v>
      </c>
      <c r="AM936">
        <v>409.61</v>
      </c>
      <c r="AN936">
        <v>404.01666666666603</v>
      </c>
      <c r="AO936">
        <v>433.26666666666603</v>
      </c>
      <c r="AP936">
        <v>368.17333333333301</v>
      </c>
      <c r="AQ936">
        <v>414.59666666666601</v>
      </c>
      <c r="AR936">
        <v>383.296666666666</v>
      </c>
      <c r="AS936">
        <v>366.25</v>
      </c>
      <c r="AT936">
        <v>352.64333333333298</v>
      </c>
      <c r="AU936">
        <v>449.11</v>
      </c>
      <c r="AV936">
        <v>396.99666666666599</v>
      </c>
      <c r="AW936">
        <v>432.3</v>
      </c>
      <c r="AX936">
        <v>409.01</v>
      </c>
      <c r="AY936">
        <v>396.84</v>
      </c>
      <c r="AZ936">
        <v>387.87</v>
      </c>
      <c r="BA936">
        <v>439.01666666666603</v>
      </c>
      <c r="BB936">
        <v>386.28666666666601</v>
      </c>
      <c r="BC936">
        <v>421.86</v>
      </c>
      <c r="BD936">
        <v>398.27</v>
      </c>
      <c r="BE936">
        <v>385.79333333333301</v>
      </c>
      <c r="BF936">
        <v>376.32333333333298</v>
      </c>
      <c r="BG936" s="14"/>
      <c r="BH936" s="14"/>
      <c r="BI936" s="14"/>
      <c r="BJ936" s="199"/>
      <c r="BK936" s="14"/>
      <c r="BL936" s="14"/>
      <c r="BM936" s="14"/>
      <c r="BN936" s="14"/>
      <c r="BO936" s="14"/>
      <c r="BP936" s="14"/>
      <c r="BQ936" s="14"/>
      <c r="BR936" s="14"/>
      <c r="BS936" s="14"/>
      <c r="BT936" s="14"/>
      <c r="BU936" s="14"/>
      <c r="BV936" s="14"/>
      <c r="BW936" s="14"/>
      <c r="BX936" s="14"/>
      <c r="BY936" s="170"/>
    </row>
    <row r="937" spans="9:77" x14ac:dyDescent="0.25">
      <c r="I937">
        <v>9500</v>
      </c>
      <c r="J937" s="1" t="s">
        <v>1103</v>
      </c>
      <c r="K937">
        <v>398.789999999999</v>
      </c>
      <c r="L937">
        <v>365.18666666666599</v>
      </c>
      <c r="M937">
        <v>386.659999999999</v>
      </c>
      <c r="N937">
        <v>371.28333333333302</v>
      </c>
      <c r="O937">
        <v>364.55</v>
      </c>
      <c r="P937">
        <v>359.27333333333303</v>
      </c>
      <c r="Q937">
        <v>382.16333333333301</v>
      </c>
      <c r="R937">
        <v>327.70666666666602</v>
      </c>
      <c r="S937">
        <v>365.20999999999901</v>
      </c>
      <c r="T937">
        <v>340.18666666666599</v>
      </c>
      <c r="U937">
        <v>327.30666666666599</v>
      </c>
      <c r="V937">
        <v>316.81</v>
      </c>
      <c r="W937">
        <v>384.81333333333299</v>
      </c>
      <c r="X937">
        <v>357.52666666666602</v>
      </c>
      <c r="Y937">
        <v>368.38666666666597</v>
      </c>
      <c r="Z937">
        <v>366.45999999999901</v>
      </c>
      <c r="AA937">
        <v>360.99666666666599</v>
      </c>
      <c r="AB937">
        <v>360.99666666666599</v>
      </c>
      <c r="AC937">
        <v>399.5</v>
      </c>
      <c r="AD937">
        <v>362.21333333333303</v>
      </c>
      <c r="AE937">
        <v>386.229999999999</v>
      </c>
      <c r="AF937">
        <v>375.50999999999902</v>
      </c>
      <c r="AG937">
        <v>368.78333333333302</v>
      </c>
      <c r="AH937">
        <v>365.49666666666599</v>
      </c>
      <c r="AI937">
        <v>398.789999999999</v>
      </c>
      <c r="AJ937">
        <v>365.18666666666599</v>
      </c>
      <c r="AK937">
        <v>386.659999999999</v>
      </c>
      <c r="AL937">
        <v>371.28333333333302</v>
      </c>
      <c r="AM937">
        <v>364.55</v>
      </c>
      <c r="AN937">
        <v>359.27333333333303</v>
      </c>
      <c r="AO937">
        <v>394.84333333333302</v>
      </c>
      <c r="AP937">
        <v>329.92333333333301</v>
      </c>
      <c r="AQ937">
        <v>376.39333333333298</v>
      </c>
      <c r="AR937">
        <v>345.08666666666602</v>
      </c>
      <c r="AS937">
        <v>327.46666666666601</v>
      </c>
      <c r="AT937">
        <v>313.10333333333301</v>
      </c>
      <c r="AU937">
        <v>407.20666666666602</v>
      </c>
      <c r="AV937">
        <v>355.78666666666601</v>
      </c>
      <c r="AW937">
        <v>391.08333333333297</v>
      </c>
      <c r="AX937">
        <v>367.71</v>
      </c>
      <c r="AY937">
        <v>355.43666666666599</v>
      </c>
      <c r="AZ937">
        <v>346.33333333333297</v>
      </c>
      <c r="BA937">
        <v>396.57999999999902</v>
      </c>
      <c r="BB937">
        <v>344.92</v>
      </c>
      <c r="BC937">
        <v>380.62666666666598</v>
      </c>
      <c r="BD937">
        <v>356.71666666666601</v>
      </c>
      <c r="BE937">
        <v>344.236666666666</v>
      </c>
      <c r="BF937">
        <v>334.74</v>
      </c>
      <c r="BG937" s="14"/>
      <c r="BH937" s="14"/>
      <c r="BI937" s="14"/>
      <c r="BJ937" s="199"/>
      <c r="BK937" s="14"/>
      <c r="BL937" s="14"/>
      <c r="BM937" s="14"/>
      <c r="BN937" s="14"/>
      <c r="BO937" s="14"/>
      <c r="BP937" s="14"/>
      <c r="BQ937" s="14"/>
      <c r="BR937" s="14"/>
      <c r="BS937" s="14"/>
      <c r="BT937" s="14"/>
      <c r="BU937" s="14"/>
      <c r="BV937" s="14"/>
      <c r="BW937" s="14"/>
      <c r="BX937" s="14"/>
      <c r="BY937" s="170"/>
    </row>
    <row r="938" spans="9:77" x14ac:dyDescent="0.25">
      <c r="I938">
        <v>9510</v>
      </c>
      <c r="J938" s="1" t="s">
        <v>1104</v>
      </c>
      <c r="K938">
        <v>484.6</v>
      </c>
      <c r="L938">
        <v>450.99666666666599</v>
      </c>
      <c r="M938">
        <v>472.469999999999</v>
      </c>
      <c r="N938">
        <v>457.09333333333302</v>
      </c>
      <c r="O938">
        <v>450.36</v>
      </c>
      <c r="P938">
        <v>445.08333333333297</v>
      </c>
      <c r="Q938">
        <v>467.97333333333302</v>
      </c>
      <c r="R938">
        <v>413.51666666666603</v>
      </c>
      <c r="S938">
        <v>451.01999999999902</v>
      </c>
      <c r="T938">
        <v>425.99666666666599</v>
      </c>
      <c r="U938">
        <v>413.11666666666599</v>
      </c>
      <c r="V938">
        <v>402.62</v>
      </c>
      <c r="W938">
        <v>470.62333333333299</v>
      </c>
      <c r="X938">
        <v>443.33666666666602</v>
      </c>
      <c r="Y938">
        <v>454.19666666666598</v>
      </c>
      <c r="Z938">
        <v>452.27</v>
      </c>
      <c r="AA938">
        <v>446.80666666666599</v>
      </c>
      <c r="AB938">
        <v>446.80666666666599</v>
      </c>
      <c r="AC938">
        <v>485.31</v>
      </c>
      <c r="AD938">
        <v>448.02333333333303</v>
      </c>
      <c r="AE938">
        <v>472.04</v>
      </c>
      <c r="AF938">
        <v>461.31999999999903</v>
      </c>
      <c r="AG938">
        <v>454.59333333333302</v>
      </c>
      <c r="AH938">
        <v>451.30666666666599</v>
      </c>
      <c r="AI938">
        <v>484.6</v>
      </c>
      <c r="AJ938">
        <v>450.99666666666599</v>
      </c>
      <c r="AK938">
        <v>472.469999999999</v>
      </c>
      <c r="AL938">
        <v>457.09333333333302</v>
      </c>
      <c r="AM938">
        <v>450.36</v>
      </c>
      <c r="AN938">
        <v>445.08333333333297</v>
      </c>
      <c r="AO938">
        <v>480.65333333333302</v>
      </c>
      <c r="AP938">
        <v>415.73333333333301</v>
      </c>
      <c r="AQ938">
        <v>462.20333333333298</v>
      </c>
      <c r="AR938">
        <v>430.89666666666602</v>
      </c>
      <c r="AS938">
        <v>413.27666666666602</v>
      </c>
      <c r="AT938">
        <v>398.91333333333301</v>
      </c>
      <c r="AU938">
        <v>493.01666666666603</v>
      </c>
      <c r="AV938">
        <v>441.59666666666601</v>
      </c>
      <c r="AW938">
        <v>476.89333333333298</v>
      </c>
      <c r="AX938">
        <v>453.52</v>
      </c>
      <c r="AY938">
        <v>441.24666666666599</v>
      </c>
      <c r="AZ938">
        <v>432.14333333333298</v>
      </c>
      <c r="BA938">
        <v>482.39</v>
      </c>
      <c r="BB938">
        <v>430.73</v>
      </c>
      <c r="BC938">
        <v>466.43666666666599</v>
      </c>
      <c r="BD938">
        <v>442.52666666666602</v>
      </c>
      <c r="BE938">
        <v>430.046666666666</v>
      </c>
      <c r="BF938">
        <v>420.55</v>
      </c>
      <c r="BG938" s="14"/>
      <c r="BH938" s="14"/>
      <c r="BI938" s="14"/>
      <c r="BJ938" s="199"/>
      <c r="BK938" s="14"/>
      <c r="BL938" s="14"/>
      <c r="BM938" s="14"/>
      <c r="BN938" s="14"/>
      <c r="BO938" s="14"/>
      <c r="BP938" s="14"/>
      <c r="BQ938" s="14"/>
      <c r="BR938" s="14"/>
      <c r="BS938" s="14"/>
      <c r="BT938" s="14"/>
      <c r="BU938" s="14"/>
      <c r="BV938" s="14"/>
      <c r="BW938" s="14"/>
      <c r="BX938" s="14"/>
      <c r="BY938" s="170"/>
    </row>
    <row r="939" spans="9:77" x14ac:dyDescent="0.25">
      <c r="I939">
        <v>9520</v>
      </c>
      <c r="J939" s="1" t="s">
        <v>1105</v>
      </c>
      <c r="K939">
        <v>484.6</v>
      </c>
      <c r="L939">
        <v>450.99666666666599</v>
      </c>
      <c r="M939">
        <v>472.469999999999</v>
      </c>
      <c r="N939">
        <v>457.09333333333302</v>
      </c>
      <c r="O939">
        <v>450.36</v>
      </c>
      <c r="P939">
        <v>445.08333333333297</v>
      </c>
      <c r="Q939">
        <v>467.97333333333302</v>
      </c>
      <c r="R939">
        <v>413.51666666666603</v>
      </c>
      <c r="S939">
        <v>451.01999999999902</v>
      </c>
      <c r="T939">
        <v>425.99666666666599</v>
      </c>
      <c r="U939">
        <v>413.11666666666599</v>
      </c>
      <c r="V939">
        <v>402.62</v>
      </c>
      <c r="W939">
        <v>470.62333333333299</v>
      </c>
      <c r="X939">
        <v>443.33666666666602</v>
      </c>
      <c r="Y939">
        <v>454.19666666666598</v>
      </c>
      <c r="Z939">
        <v>452.27</v>
      </c>
      <c r="AA939">
        <v>446.80666666666599</v>
      </c>
      <c r="AB939">
        <v>446.80666666666599</v>
      </c>
      <c r="AC939">
        <v>485.31</v>
      </c>
      <c r="AD939">
        <v>448.02333333333303</v>
      </c>
      <c r="AE939">
        <v>472.04</v>
      </c>
      <c r="AF939">
        <v>461.31999999999903</v>
      </c>
      <c r="AG939">
        <v>454.59333333333302</v>
      </c>
      <c r="AH939">
        <v>451.30666666666599</v>
      </c>
      <c r="AI939">
        <v>484.6</v>
      </c>
      <c r="AJ939">
        <v>450.99666666666599</v>
      </c>
      <c r="AK939">
        <v>472.469999999999</v>
      </c>
      <c r="AL939">
        <v>457.09333333333302</v>
      </c>
      <c r="AM939">
        <v>450.36</v>
      </c>
      <c r="AN939">
        <v>445.08333333333297</v>
      </c>
      <c r="AO939">
        <v>480.65333333333302</v>
      </c>
      <c r="AP939">
        <v>415.73333333333301</v>
      </c>
      <c r="AQ939">
        <v>462.20333333333298</v>
      </c>
      <c r="AR939">
        <v>430.89666666666602</v>
      </c>
      <c r="AS939">
        <v>413.27666666666602</v>
      </c>
      <c r="AT939">
        <v>398.91333333333301</v>
      </c>
      <c r="AU939">
        <v>493.01666666666603</v>
      </c>
      <c r="AV939">
        <v>441.59666666666601</v>
      </c>
      <c r="AW939">
        <v>476.89333333333298</v>
      </c>
      <c r="AX939">
        <v>453.52</v>
      </c>
      <c r="AY939">
        <v>441.24666666666599</v>
      </c>
      <c r="AZ939">
        <v>432.14333333333298</v>
      </c>
      <c r="BA939">
        <v>482.39</v>
      </c>
      <c r="BB939">
        <v>430.73</v>
      </c>
      <c r="BC939">
        <v>466.43666666666599</v>
      </c>
      <c r="BD939">
        <v>442.52666666666602</v>
      </c>
      <c r="BE939">
        <v>430.046666666666</v>
      </c>
      <c r="BF939">
        <v>420.55</v>
      </c>
      <c r="BG939" s="14"/>
      <c r="BH939" s="14"/>
      <c r="BI939" s="14"/>
      <c r="BJ939" s="199"/>
      <c r="BK939" s="14"/>
      <c r="BL939" s="14"/>
      <c r="BM939" s="14"/>
      <c r="BN939" s="14"/>
      <c r="BO939" s="14"/>
      <c r="BP939" s="14"/>
      <c r="BQ939" s="14"/>
      <c r="BR939" s="14"/>
      <c r="BS939" s="14"/>
      <c r="BT939" s="14"/>
      <c r="BU939" s="14"/>
      <c r="BV939" s="14"/>
      <c r="BW939" s="14"/>
      <c r="BX939" s="14"/>
      <c r="BY939" s="170"/>
    </row>
    <row r="940" spans="9:77" x14ac:dyDescent="0.25">
      <c r="I940">
        <v>9530</v>
      </c>
      <c r="J940" s="1" t="s">
        <v>1106</v>
      </c>
      <c r="K940">
        <v>507.57666666666597</v>
      </c>
      <c r="L940">
        <v>473.03666666666601</v>
      </c>
      <c r="M940">
        <v>495.53333333333302</v>
      </c>
      <c r="N940">
        <v>479.75333333333299</v>
      </c>
      <c r="O940">
        <v>472.37</v>
      </c>
      <c r="P940">
        <v>466.77666666666602</v>
      </c>
      <c r="Q940">
        <v>485.74999999999898</v>
      </c>
      <c r="R940">
        <v>430.553333333333</v>
      </c>
      <c r="S940">
        <v>467.11999999999898</v>
      </c>
      <c r="T940">
        <v>443.23333333333301</v>
      </c>
      <c r="U940">
        <v>430.25333333333299</v>
      </c>
      <c r="V940">
        <v>420.41333333333301</v>
      </c>
      <c r="W940">
        <v>488.493333333333</v>
      </c>
      <c r="X940">
        <v>459.76999999999902</v>
      </c>
      <c r="Y940">
        <v>470.68999999999897</v>
      </c>
      <c r="Z940">
        <v>468.66333333333301</v>
      </c>
      <c r="AA940">
        <v>463.21666666666601</v>
      </c>
      <c r="AB940">
        <v>463.21666666666601</v>
      </c>
      <c r="AC940">
        <v>508.06666666666598</v>
      </c>
      <c r="AD940">
        <v>468.75333333333299</v>
      </c>
      <c r="AE940">
        <v>494.30666666666599</v>
      </c>
      <c r="AF940">
        <v>483.12666666666598</v>
      </c>
      <c r="AG940">
        <v>475.72666666666601</v>
      </c>
      <c r="AH940">
        <v>472.08999999999901</v>
      </c>
      <c r="AI940">
        <v>507.57666666666597</v>
      </c>
      <c r="AJ940">
        <v>473.03666666666601</v>
      </c>
      <c r="AK940">
        <v>495.53333333333302</v>
      </c>
      <c r="AL940">
        <v>479.75333333333299</v>
      </c>
      <c r="AM940">
        <v>472.37</v>
      </c>
      <c r="AN940">
        <v>466.77666666666602</v>
      </c>
      <c r="AO940">
        <v>496.02666666666602</v>
      </c>
      <c r="AP940">
        <v>430.933333333333</v>
      </c>
      <c r="AQ940">
        <v>477.356666666666</v>
      </c>
      <c r="AR940">
        <v>446.05666666666599</v>
      </c>
      <c r="AS940">
        <v>429.00999999999902</v>
      </c>
      <c r="AT940">
        <v>415.40333333333302</v>
      </c>
      <c r="AU940">
        <v>511.86999999999898</v>
      </c>
      <c r="AV940">
        <v>459.75666666666598</v>
      </c>
      <c r="AW940">
        <v>495.06</v>
      </c>
      <c r="AX940">
        <v>471.76999999999902</v>
      </c>
      <c r="AY940">
        <v>459.599999999999</v>
      </c>
      <c r="AZ940">
        <v>450.62999999999897</v>
      </c>
      <c r="BA940">
        <v>501.77666666666602</v>
      </c>
      <c r="BB940">
        <v>449.046666666666</v>
      </c>
      <c r="BC940">
        <v>484.61999999999898</v>
      </c>
      <c r="BD940">
        <v>461.02999999999901</v>
      </c>
      <c r="BE940">
        <v>448.553333333333</v>
      </c>
      <c r="BF940">
        <v>439.08333333333297</v>
      </c>
      <c r="BG940" s="14"/>
      <c r="BH940" s="14"/>
      <c r="BI940" s="14"/>
      <c r="BJ940" s="199"/>
      <c r="BK940" s="14"/>
      <c r="BL940" s="14"/>
      <c r="BM940" s="14"/>
      <c r="BN940" s="14"/>
      <c r="BO940" s="14"/>
      <c r="BP940" s="14"/>
      <c r="BQ940" s="14"/>
      <c r="BR940" s="14"/>
      <c r="BS940" s="14"/>
      <c r="BT940" s="14"/>
      <c r="BU940" s="14"/>
      <c r="BV940" s="14"/>
      <c r="BW940" s="14"/>
      <c r="BX940" s="14"/>
      <c r="BY940" s="170"/>
    </row>
    <row r="941" spans="9:77" x14ac:dyDescent="0.25">
      <c r="I941">
        <v>9541</v>
      </c>
      <c r="J941" s="1" t="s">
        <v>1107</v>
      </c>
      <c r="K941">
        <v>485.48</v>
      </c>
      <c r="L941">
        <v>451.87666666666598</v>
      </c>
      <c r="M941">
        <v>473.349999999999</v>
      </c>
      <c r="N941">
        <v>457.97333333333302</v>
      </c>
      <c r="O941">
        <v>451.24</v>
      </c>
      <c r="P941">
        <v>445.96333333333303</v>
      </c>
      <c r="Q941">
        <v>468.85333333333301</v>
      </c>
      <c r="R941">
        <v>414.39666666666602</v>
      </c>
      <c r="S941">
        <v>451.89999999999901</v>
      </c>
      <c r="T941">
        <v>426.87666666666598</v>
      </c>
      <c r="U941">
        <v>413.99666666666599</v>
      </c>
      <c r="V941">
        <v>403.5</v>
      </c>
      <c r="W941">
        <v>471.50333333333299</v>
      </c>
      <c r="X941">
        <v>444.21666666666601</v>
      </c>
      <c r="Y941">
        <v>455.07666666666597</v>
      </c>
      <c r="Z941">
        <v>453.15</v>
      </c>
      <c r="AA941">
        <v>447.68666666666599</v>
      </c>
      <c r="AB941">
        <v>447.68666666666599</v>
      </c>
      <c r="AC941">
        <v>486.19</v>
      </c>
      <c r="AD941">
        <v>448.90333333333302</v>
      </c>
      <c r="AE941">
        <v>472.92</v>
      </c>
      <c r="AF941">
        <v>462.19999999999902</v>
      </c>
      <c r="AG941">
        <v>455.47333333333302</v>
      </c>
      <c r="AH941">
        <v>452.18666666666599</v>
      </c>
      <c r="AI941">
        <v>485.48</v>
      </c>
      <c r="AJ941">
        <v>451.87666666666598</v>
      </c>
      <c r="AK941">
        <v>473.349999999999</v>
      </c>
      <c r="AL941">
        <v>457.97333333333302</v>
      </c>
      <c r="AM941">
        <v>451.24</v>
      </c>
      <c r="AN941">
        <v>445.96333333333303</v>
      </c>
      <c r="AO941">
        <v>481.53333333333302</v>
      </c>
      <c r="AP941">
        <v>416.613333333333</v>
      </c>
      <c r="AQ941">
        <v>463.08333333333297</v>
      </c>
      <c r="AR941">
        <v>431.77666666666602</v>
      </c>
      <c r="AS941">
        <v>414.15666666666601</v>
      </c>
      <c r="AT941">
        <v>399.79333333333301</v>
      </c>
      <c r="AU941">
        <v>493.89666666666602</v>
      </c>
      <c r="AV941">
        <v>442.47666666666601</v>
      </c>
      <c r="AW941">
        <v>477.77333333333303</v>
      </c>
      <c r="AX941">
        <v>454.4</v>
      </c>
      <c r="AY941">
        <v>442.12666666666598</v>
      </c>
      <c r="AZ941">
        <v>433.02333333333303</v>
      </c>
      <c r="BA941">
        <v>483.27</v>
      </c>
      <c r="BB941">
        <v>431.61</v>
      </c>
      <c r="BC941">
        <v>467.31666666666598</v>
      </c>
      <c r="BD941">
        <v>443.40666666666601</v>
      </c>
      <c r="BE941">
        <v>430.92666666666599</v>
      </c>
      <c r="BF941">
        <v>421.43</v>
      </c>
      <c r="BG941" s="14"/>
      <c r="BH941" s="14"/>
      <c r="BI941" s="14"/>
      <c r="BJ941" s="199"/>
      <c r="BK941" s="14"/>
      <c r="BL941" s="14"/>
      <c r="BM941" s="14"/>
      <c r="BN941" s="14"/>
      <c r="BO941" s="14"/>
      <c r="BP941" s="14"/>
      <c r="BQ941" s="14"/>
      <c r="BR941" s="14"/>
      <c r="BS941" s="14"/>
      <c r="BT941" s="14"/>
      <c r="BU941" s="14"/>
      <c r="BV941" s="14"/>
      <c r="BW941" s="14"/>
      <c r="BX941" s="14"/>
      <c r="BY941" s="170"/>
    </row>
    <row r="942" spans="9:77" x14ac:dyDescent="0.25">
      <c r="I942">
        <v>9550</v>
      </c>
      <c r="J942" s="1" t="s">
        <v>1108</v>
      </c>
      <c r="K942">
        <v>405.13</v>
      </c>
      <c r="L942">
        <v>371.52666666666602</v>
      </c>
      <c r="M942">
        <v>392.99999999999898</v>
      </c>
      <c r="N942">
        <v>377.62333333333299</v>
      </c>
      <c r="O942">
        <v>370.89</v>
      </c>
      <c r="P942">
        <v>365.613333333333</v>
      </c>
      <c r="Q942">
        <v>388.50333333333299</v>
      </c>
      <c r="R942">
        <v>334.046666666666</v>
      </c>
      <c r="S942">
        <v>371.54999999999899</v>
      </c>
      <c r="T942">
        <v>346.52666666666602</v>
      </c>
      <c r="U942">
        <v>333.64666666666602</v>
      </c>
      <c r="V942">
        <v>323.14999999999998</v>
      </c>
      <c r="W942">
        <v>391.15333333333302</v>
      </c>
      <c r="X942">
        <v>363.86666666666599</v>
      </c>
      <c r="Y942">
        <v>374.72666666666601</v>
      </c>
      <c r="Z942">
        <v>372.8</v>
      </c>
      <c r="AA942">
        <v>367.33666666666602</v>
      </c>
      <c r="AB942">
        <v>367.33666666666602</v>
      </c>
      <c r="AC942">
        <v>405.84</v>
      </c>
      <c r="AD942">
        <v>368.553333333333</v>
      </c>
      <c r="AE942">
        <v>392.56999999999903</v>
      </c>
      <c r="AF942">
        <v>381.849999999999</v>
      </c>
      <c r="AG942">
        <v>375.12333333333299</v>
      </c>
      <c r="AH942">
        <v>371.83666666666602</v>
      </c>
      <c r="AI942">
        <v>405.13</v>
      </c>
      <c r="AJ942">
        <v>371.52666666666602</v>
      </c>
      <c r="AK942">
        <v>392.99999999999898</v>
      </c>
      <c r="AL942">
        <v>377.62333333333299</v>
      </c>
      <c r="AM942">
        <v>370.89</v>
      </c>
      <c r="AN942">
        <v>365.613333333333</v>
      </c>
      <c r="AO942">
        <v>401.183333333333</v>
      </c>
      <c r="AP942">
        <v>336.26333333333298</v>
      </c>
      <c r="AQ942">
        <v>382.73333333333301</v>
      </c>
      <c r="AR942">
        <v>351.42666666666599</v>
      </c>
      <c r="AS942">
        <v>333.80666666666599</v>
      </c>
      <c r="AT942">
        <v>319.44333333333299</v>
      </c>
      <c r="AU942">
        <v>413.546666666666</v>
      </c>
      <c r="AV942">
        <v>362.12666666666598</v>
      </c>
      <c r="AW942">
        <v>397.42333333333301</v>
      </c>
      <c r="AX942">
        <v>374.05</v>
      </c>
      <c r="AY942">
        <v>361.77666666666602</v>
      </c>
      <c r="AZ942">
        <v>352.67333333333301</v>
      </c>
      <c r="BA942">
        <v>402.92</v>
      </c>
      <c r="BB942">
        <v>351.26</v>
      </c>
      <c r="BC942">
        <v>386.96666666666601</v>
      </c>
      <c r="BD942">
        <v>363.05666666666599</v>
      </c>
      <c r="BE942">
        <v>350.57666666666597</v>
      </c>
      <c r="BF942">
        <v>341.08</v>
      </c>
      <c r="BG942" s="14"/>
      <c r="BH942" s="14"/>
      <c r="BI942" s="14"/>
      <c r="BJ942" s="199"/>
      <c r="BK942" s="14"/>
      <c r="BL942" s="14"/>
      <c r="BM942" s="14"/>
      <c r="BN942" s="14"/>
      <c r="BO942" s="14"/>
      <c r="BP942" s="14"/>
      <c r="BQ942" s="14"/>
      <c r="BR942" s="14"/>
      <c r="BS942" s="14"/>
      <c r="BT942" s="14"/>
      <c r="BU942" s="14"/>
      <c r="BV942" s="14"/>
      <c r="BW942" s="14"/>
      <c r="BX942" s="14"/>
      <c r="BY942" s="170"/>
    </row>
    <row r="943" spans="9:77" x14ac:dyDescent="0.25">
      <c r="I943">
        <v>9560</v>
      </c>
      <c r="J943" s="1" t="s">
        <v>1109</v>
      </c>
      <c r="K943">
        <v>361.29333333333301</v>
      </c>
      <c r="L943">
        <v>324.60999999999899</v>
      </c>
      <c r="M943">
        <v>348.66333333333301</v>
      </c>
      <c r="N943">
        <v>331.46666666666601</v>
      </c>
      <c r="O943">
        <v>323.73999999999899</v>
      </c>
      <c r="P943">
        <v>318.11</v>
      </c>
      <c r="Q943">
        <v>344.54</v>
      </c>
      <c r="R943">
        <v>289.62666666666598</v>
      </c>
      <c r="S943">
        <v>326.98333333333301</v>
      </c>
      <c r="T943">
        <v>302.47000000000003</v>
      </c>
      <c r="U943">
        <v>289.17</v>
      </c>
      <c r="V943">
        <v>278.44333333333299</v>
      </c>
      <c r="W943">
        <v>347.40666666666601</v>
      </c>
      <c r="X943">
        <v>319.07</v>
      </c>
      <c r="Y943">
        <v>330.25</v>
      </c>
      <c r="Z943">
        <v>328.37</v>
      </c>
      <c r="AA943">
        <v>322.65333333333302</v>
      </c>
      <c r="AB943">
        <v>322.65333333333302</v>
      </c>
      <c r="AC943">
        <v>362.56666666666598</v>
      </c>
      <c r="AD943">
        <v>321.44</v>
      </c>
      <c r="AE943">
        <v>348.59333333333302</v>
      </c>
      <c r="AF943">
        <v>336.59</v>
      </c>
      <c r="AG943">
        <v>328.81666666666598</v>
      </c>
      <c r="AH943">
        <v>325.00333333333299</v>
      </c>
      <c r="AI943">
        <v>361.29333333333301</v>
      </c>
      <c r="AJ943">
        <v>324.60999999999899</v>
      </c>
      <c r="AK943">
        <v>348.66333333333301</v>
      </c>
      <c r="AL943">
        <v>331.46666666666601</v>
      </c>
      <c r="AM943">
        <v>323.73999999999899</v>
      </c>
      <c r="AN943">
        <v>318.11</v>
      </c>
      <c r="AO943">
        <v>358.26666666666603</v>
      </c>
      <c r="AP943">
        <v>292.62333333333299</v>
      </c>
      <c r="AQ943">
        <v>339.743333333333</v>
      </c>
      <c r="AR943">
        <v>307.56333333333299</v>
      </c>
      <c r="AS943">
        <v>290.22333333333302</v>
      </c>
      <c r="AT943">
        <v>275.87</v>
      </c>
      <c r="AU943">
        <v>372.57</v>
      </c>
      <c r="AV943">
        <v>319.993333333333</v>
      </c>
      <c r="AW943">
        <v>356.01</v>
      </c>
      <c r="AX943">
        <v>332.12</v>
      </c>
      <c r="AY943">
        <v>319.88333333333298</v>
      </c>
      <c r="AZ943">
        <v>310.88666666666597</v>
      </c>
      <c r="BA943">
        <v>361.36</v>
      </c>
      <c r="BB943">
        <v>307.03333333333302</v>
      </c>
      <c r="BC943">
        <v>344.19</v>
      </c>
      <c r="BD943">
        <v>319.553333333333</v>
      </c>
      <c r="BE943">
        <v>306.49666666666599</v>
      </c>
      <c r="BF943">
        <v>295.94</v>
      </c>
      <c r="BG943" s="14"/>
      <c r="BH943" s="14"/>
      <c r="BI943" s="14"/>
      <c r="BJ943" s="199"/>
      <c r="BK943" s="14"/>
      <c r="BL943" s="14"/>
      <c r="BM943" s="14"/>
      <c r="BN943" s="14"/>
      <c r="BO943" s="14"/>
      <c r="BP943" s="14"/>
      <c r="BQ943" s="14"/>
      <c r="BR943" s="14"/>
      <c r="BS943" s="14"/>
      <c r="BT943" s="14"/>
      <c r="BU943" s="14"/>
      <c r="BV943" s="14"/>
      <c r="BW943" s="14"/>
      <c r="BX943" s="14"/>
      <c r="BY943" s="170"/>
    </row>
    <row r="944" spans="9:77" x14ac:dyDescent="0.25">
      <c r="I944">
        <v>9574</v>
      </c>
      <c r="J944" s="1" t="s">
        <v>1110</v>
      </c>
      <c r="K944">
        <v>364.37666666666598</v>
      </c>
      <c r="L944">
        <v>329.83666666666602</v>
      </c>
      <c r="M944">
        <v>352.33333333333297</v>
      </c>
      <c r="N944">
        <v>336.553333333333</v>
      </c>
      <c r="O944">
        <v>329.17</v>
      </c>
      <c r="P944">
        <v>323.57666666666597</v>
      </c>
      <c r="Q944">
        <v>342.55</v>
      </c>
      <c r="R944">
        <v>287.35333333333301</v>
      </c>
      <c r="S944">
        <v>323.92</v>
      </c>
      <c r="T944">
        <v>300.03333333333302</v>
      </c>
      <c r="U944">
        <v>287.053333333333</v>
      </c>
      <c r="V944">
        <v>277.21333333333303</v>
      </c>
      <c r="W944">
        <v>345.29333333333301</v>
      </c>
      <c r="X944">
        <v>316.56999999999903</v>
      </c>
      <c r="Y944">
        <v>327.49</v>
      </c>
      <c r="Z944">
        <v>325.46333333333303</v>
      </c>
      <c r="AA944">
        <v>320.01666666666603</v>
      </c>
      <c r="AB944">
        <v>320.01666666666603</v>
      </c>
      <c r="AC944">
        <v>364.86666666666599</v>
      </c>
      <c r="AD944">
        <v>325.553333333333</v>
      </c>
      <c r="AE944">
        <v>351.106666666666</v>
      </c>
      <c r="AF944">
        <v>339.92666666666599</v>
      </c>
      <c r="AG944">
        <v>332.52666666666602</v>
      </c>
      <c r="AH944">
        <v>328.89</v>
      </c>
      <c r="AI944">
        <v>364.37666666666598</v>
      </c>
      <c r="AJ944">
        <v>329.83666666666602</v>
      </c>
      <c r="AK944">
        <v>352.33333333333297</v>
      </c>
      <c r="AL944">
        <v>336.553333333333</v>
      </c>
      <c r="AM944">
        <v>329.17</v>
      </c>
      <c r="AN944">
        <v>323.57666666666597</v>
      </c>
      <c r="AO944">
        <v>352.82666666666597</v>
      </c>
      <c r="AP944">
        <v>287.73333333333301</v>
      </c>
      <c r="AQ944">
        <v>334.15666666666601</v>
      </c>
      <c r="AR944">
        <v>302.856666666666</v>
      </c>
      <c r="AS944">
        <v>285.81</v>
      </c>
      <c r="AT944">
        <v>272.20333333333298</v>
      </c>
      <c r="AU944">
        <v>368.67</v>
      </c>
      <c r="AV944">
        <v>316.55666666666599</v>
      </c>
      <c r="AW944">
        <v>351.86</v>
      </c>
      <c r="AX944">
        <v>328.56999999999903</v>
      </c>
      <c r="AY944">
        <v>316.39999999999998</v>
      </c>
      <c r="AZ944">
        <v>307.43</v>
      </c>
      <c r="BA944">
        <v>358.57666666666597</v>
      </c>
      <c r="BB944">
        <v>305.84666666666601</v>
      </c>
      <c r="BC944">
        <v>341.42</v>
      </c>
      <c r="BD944">
        <v>317.83</v>
      </c>
      <c r="BE944">
        <v>305.35333333333301</v>
      </c>
      <c r="BF944">
        <v>295.88333333333298</v>
      </c>
      <c r="BG944" s="14"/>
      <c r="BH944" s="14"/>
      <c r="BI944" s="14"/>
      <c r="BJ944" s="199"/>
      <c r="BK944" s="14"/>
      <c r="BL944" s="14"/>
      <c r="BM944" s="14"/>
      <c r="BN944" s="14"/>
      <c r="BO944" s="14"/>
      <c r="BP944" s="14"/>
      <c r="BQ944" s="14"/>
      <c r="BR944" s="14"/>
      <c r="BS944" s="14"/>
      <c r="BT944" s="14"/>
      <c r="BU944" s="14"/>
      <c r="BV944" s="14"/>
      <c r="BW944" s="14"/>
      <c r="BX944" s="14"/>
      <c r="BY944" s="170"/>
    </row>
    <row r="945" spans="9:77" x14ac:dyDescent="0.25">
      <c r="I945">
        <v>9575</v>
      </c>
      <c r="J945" s="1" t="s">
        <v>1111</v>
      </c>
      <c r="K945">
        <v>423.38666666666597</v>
      </c>
      <c r="L945">
        <v>388.84666666666601</v>
      </c>
      <c r="M945">
        <v>411.34333333333302</v>
      </c>
      <c r="N945">
        <v>395.56333333333299</v>
      </c>
      <c r="O945">
        <v>388.18</v>
      </c>
      <c r="P945">
        <v>382.58666666666602</v>
      </c>
      <c r="Q945">
        <v>401.55999999999898</v>
      </c>
      <c r="R945">
        <v>346.363333333333</v>
      </c>
      <c r="S945">
        <v>382.92999999999898</v>
      </c>
      <c r="T945">
        <v>359.04333333333301</v>
      </c>
      <c r="U945">
        <v>346.06333333333299</v>
      </c>
      <c r="V945">
        <v>336.22333333333302</v>
      </c>
      <c r="W945">
        <v>404.303333333333</v>
      </c>
      <c r="X945">
        <v>375.57999999999902</v>
      </c>
      <c r="Y945">
        <v>386.49999999999898</v>
      </c>
      <c r="Z945">
        <v>384.47333333333302</v>
      </c>
      <c r="AA945">
        <v>379.02666666666602</v>
      </c>
      <c r="AB945">
        <v>379.02666666666602</v>
      </c>
      <c r="AC945">
        <v>423.87666666666598</v>
      </c>
      <c r="AD945">
        <v>384.56333333333299</v>
      </c>
      <c r="AE945">
        <v>410.11666666666599</v>
      </c>
      <c r="AF945">
        <v>398.93666666666599</v>
      </c>
      <c r="AG945">
        <v>391.53666666666601</v>
      </c>
      <c r="AH945">
        <v>387.89999999999901</v>
      </c>
      <c r="AI945">
        <v>423.38666666666597</v>
      </c>
      <c r="AJ945">
        <v>388.84666666666601</v>
      </c>
      <c r="AK945">
        <v>411.34333333333302</v>
      </c>
      <c r="AL945">
        <v>395.56333333333299</v>
      </c>
      <c r="AM945">
        <v>388.18</v>
      </c>
      <c r="AN945">
        <v>382.58666666666602</v>
      </c>
      <c r="AO945">
        <v>411.83666666666602</v>
      </c>
      <c r="AP945">
        <v>346.743333333333</v>
      </c>
      <c r="AQ945">
        <v>393.166666666666</v>
      </c>
      <c r="AR945">
        <v>361.86666666666599</v>
      </c>
      <c r="AS945">
        <v>344.82</v>
      </c>
      <c r="AT945">
        <v>331.21333333333303</v>
      </c>
      <c r="AU945">
        <v>427.68</v>
      </c>
      <c r="AV945">
        <v>375.56666666666598</v>
      </c>
      <c r="AW945">
        <v>410.87</v>
      </c>
      <c r="AX945">
        <v>387.57999999999902</v>
      </c>
      <c r="AY945">
        <v>375.41</v>
      </c>
      <c r="AZ945">
        <v>366.44</v>
      </c>
      <c r="BA945">
        <v>417.58666666666602</v>
      </c>
      <c r="BB945">
        <v>364.856666666666</v>
      </c>
      <c r="BC945">
        <v>400.42999999999898</v>
      </c>
      <c r="BD945">
        <v>376.83999999999901</v>
      </c>
      <c r="BE945">
        <v>364.363333333333</v>
      </c>
      <c r="BF945">
        <v>354.89333333333298</v>
      </c>
      <c r="BG945" s="14"/>
      <c r="BH945" s="14"/>
      <c r="BI945" s="14"/>
      <c r="BJ945" s="199"/>
      <c r="BK945" s="14"/>
      <c r="BL945" s="14"/>
      <c r="BM945" s="14"/>
      <c r="BN945" s="14"/>
      <c r="BO945" s="14"/>
      <c r="BP945" s="14"/>
      <c r="BQ945" s="14"/>
      <c r="BR945" s="14"/>
      <c r="BS945" s="14"/>
      <c r="BT945" s="14"/>
      <c r="BU945" s="14"/>
      <c r="BV945" s="14"/>
      <c r="BW945" s="14"/>
      <c r="BX945" s="14"/>
      <c r="BY945" s="170"/>
    </row>
    <row r="946" spans="9:77" x14ac:dyDescent="0.25">
      <c r="I946">
        <v>9600</v>
      </c>
      <c r="J946" s="1" t="s">
        <v>1112</v>
      </c>
      <c r="K946">
        <v>475.75999999999902</v>
      </c>
      <c r="L946">
        <v>442.15666666666601</v>
      </c>
      <c r="M946">
        <v>463.62999999999897</v>
      </c>
      <c r="N946">
        <v>448.25333333333299</v>
      </c>
      <c r="O946">
        <v>441.52</v>
      </c>
      <c r="P946">
        <v>436.243333333333</v>
      </c>
      <c r="Q946">
        <v>459.13333333333298</v>
      </c>
      <c r="R946">
        <v>404.67666666666599</v>
      </c>
      <c r="S946">
        <v>442.17999999999898</v>
      </c>
      <c r="T946">
        <v>417.15666666666601</v>
      </c>
      <c r="U946">
        <v>404.27666666666602</v>
      </c>
      <c r="V946">
        <v>393.78</v>
      </c>
      <c r="W946">
        <v>461.78333333333302</v>
      </c>
      <c r="X946">
        <v>434.49666666666599</v>
      </c>
      <c r="Y946">
        <v>445.356666666666</v>
      </c>
      <c r="Z946">
        <v>443.43</v>
      </c>
      <c r="AA946">
        <v>437.96666666666601</v>
      </c>
      <c r="AB946">
        <v>437.96666666666601</v>
      </c>
      <c r="AC946">
        <v>476.47</v>
      </c>
      <c r="AD946">
        <v>439.183333333333</v>
      </c>
      <c r="AE946">
        <v>463.19999999999902</v>
      </c>
      <c r="AF946">
        <v>452.479999999999</v>
      </c>
      <c r="AG946">
        <v>445.75333333333299</v>
      </c>
      <c r="AH946">
        <v>442.46666666666601</v>
      </c>
      <c r="AI946">
        <v>475.75999999999902</v>
      </c>
      <c r="AJ946">
        <v>442.15666666666601</v>
      </c>
      <c r="AK946">
        <v>463.62999999999897</v>
      </c>
      <c r="AL946">
        <v>448.25333333333299</v>
      </c>
      <c r="AM946">
        <v>441.52</v>
      </c>
      <c r="AN946">
        <v>436.243333333333</v>
      </c>
      <c r="AO946">
        <v>471.81333333333299</v>
      </c>
      <c r="AP946">
        <v>406.89333333333298</v>
      </c>
      <c r="AQ946">
        <v>453.363333333333</v>
      </c>
      <c r="AR946">
        <v>422.05666666666599</v>
      </c>
      <c r="AS946">
        <v>404.43666666666599</v>
      </c>
      <c r="AT946">
        <v>390.07333333333298</v>
      </c>
      <c r="AU946">
        <v>484.17666666666599</v>
      </c>
      <c r="AV946">
        <v>432.75666666666598</v>
      </c>
      <c r="AW946">
        <v>468.053333333333</v>
      </c>
      <c r="AX946">
        <v>444.68</v>
      </c>
      <c r="AY946">
        <v>432.40666666666601</v>
      </c>
      <c r="AZ946">
        <v>423.303333333333</v>
      </c>
      <c r="BA946">
        <v>473.55</v>
      </c>
      <c r="BB946">
        <v>421.89</v>
      </c>
      <c r="BC946">
        <v>457.59666666666601</v>
      </c>
      <c r="BD946">
        <v>433.68666666666599</v>
      </c>
      <c r="BE946">
        <v>421.20666666666602</v>
      </c>
      <c r="BF946">
        <v>411.71</v>
      </c>
      <c r="BG946" s="14"/>
      <c r="BH946" s="14"/>
      <c r="BI946" s="14"/>
      <c r="BJ946" s="199"/>
      <c r="BK946" s="14"/>
      <c r="BL946" s="14"/>
      <c r="BM946" s="14"/>
      <c r="BN946" s="14"/>
      <c r="BO946" s="14"/>
      <c r="BP946" s="14"/>
      <c r="BQ946" s="14"/>
      <c r="BR946" s="14"/>
      <c r="BS946" s="14"/>
      <c r="BT946" s="14"/>
      <c r="BU946" s="14"/>
      <c r="BV946" s="14"/>
      <c r="BW946" s="14"/>
      <c r="BX946" s="14"/>
      <c r="BY946" s="170"/>
    </row>
    <row r="947" spans="9:77" x14ac:dyDescent="0.25">
      <c r="I947">
        <v>9610</v>
      </c>
      <c r="J947" s="1" t="s">
        <v>1113</v>
      </c>
      <c r="K947">
        <v>438</v>
      </c>
      <c r="L947">
        <v>404.39666666666602</v>
      </c>
      <c r="M947">
        <v>425.87</v>
      </c>
      <c r="N947">
        <v>410.493333333333</v>
      </c>
      <c r="O947">
        <v>403.76</v>
      </c>
      <c r="P947">
        <v>398.48333333333301</v>
      </c>
      <c r="Q947">
        <v>421.37333333333299</v>
      </c>
      <c r="R947">
        <v>366.916666666666</v>
      </c>
      <c r="S947">
        <v>404.42</v>
      </c>
      <c r="T947">
        <v>379.39666666666602</v>
      </c>
      <c r="U947">
        <v>366.51666666666603</v>
      </c>
      <c r="V947">
        <v>356.02</v>
      </c>
      <c r="W947">
        <v>424.02333333333303</v>
      </c>
      <c r="X947">
        <v>396.736666666666</v>
      </c>
      <c r="Y947">
        <v>407.59666666666601</v>
      </c>
      <c r="Z947">
        <v>405.67</v>
      </c>
      <c r="AA947">
        <v>400.20666666666602</v>
      </c>
      <c r="AB947">
        <v>400.20666666666602</v>
      </c>
      <c r="AC947">
        <v>438.71</v>
      </c>
      <c r="AD947">
        <v>401.42333333333301</v>
      </c>
      <c r="AE947">
        <v>425.44</v>
      </c>
      <c r="AF947">
        <v>414.72</v>
      </c>
      <c r="AG947">
        <v>407.993333333333</v>
      </c>
      <c r="AH947">
        <v>404.70666666666602</v>
      </c>
      <c r="AI947">
        <v>438</v>
      </c>
      <c r="AJ947">
        <v>404.39666666666602</v>
      </c>
      <c r="AK947">
        <v>425.87</v>
      </c>
      <c r="AL947">
        <v>410.493333333333</v>
      </c>
      <c r="AM947">
        <v>403.76</v>
      </c>
      <c r="AN947">
        <v>398.48333333333301</v>
      </c>
      <c r="AO947">
        <v>434.053333333333</v>
      </c>
      <c r="AP947">
        <v>369.13333333333298</v>
      </c>
      <c r="AQ947">
        <v>415.60333333333301</v>
      </c>
      <c r="AR947">
        <v>384.296666666666</v>
      </c>
      <c r="AS947">
        <v>366.67666666666599</v>
      </c>
      <c r="AT947">
        <v>352.31333333333299</v>
      </c>
      <c r="AU947">
        <v>446.416666666666</v>
      </c>
      <c r="AV947">
        <v>394.99666666666599</v>
      </c>
      <c r="AW947">
        <v>430.29333333333301</v>
      </c>
      <c r="AX947">
        <v>406.92</v>
      </c>
      <c r="AY947">
        <v>394.64666666666602</v>
      </c>
      <c r="AZ947">
        <v>385.54333333333301</v>
      </c>
      <c r="BA947">
        <v>435.79</v>
      </c>
      <c r="BB947">
        <v>384.13</v>
      </c>
      <c r="BC947">
        <v>419.83666666666602</v>
      </c>
      <c r="BD947">
        <v>395.92666666666599</v>
      </c>
      <c r="BE947">
        <v>383.44666666666598</v>
      </c>
      <c r="BF947">
        <v>373.95</v>
      </c>
      <c r="BG947" s="14"/>
      <c r="BH947" s="14"/>
      <c r="BI947" s="14"/>
      <c r="BJ947" s="199"/>
      <c r="BK947" s="14"/>
      <c r="BL947" s="14"/>
      <c r="BM947" s="14"/>
      <c r="BN947" s="14"/>
      <c r="BO947" s="14"/>
      <c r="BP947" s="14"/>
      <c r="BQ947" s="14"/>
      <c r="BR947" s="14"/>
      <c r="BS947" s="14"/>
      <c r="BT947" s="14"/>
      <c r="BU947" s="14"/>
      <c r="BV947" s="14"/>
      <c r="BW947" s="14"/>
      <c r="BX947" s="14"/>
      <c r="BY947" s="170"/>
    </row>
    <row r="948" spans="9:77" x14ac:dyDescent="0.25">
      <c r="I948">
        <v>9620</v>
      </c>
      <c r="J948" s="1" t="s">
        <v>1114</v>
      </c>
      <c r="K948">
        <v>486.06999999999903</v>
      </c>
      <c r="L948">
        <v>452.46666666666601</v>
      </c>
      <c r="M948">
        <v>473.93999999999897</v>
      </c>
      <c r="N948">
        <v>458.56333333333299</v>
      </c>
      <c r="O948">
        <v>451.82999999999902</v>
      </c>
      <c r="P948">
        <v>446.553333333333</v>
      </c>
      <c r="Q948">
        <v>469.44333333333299</v>
      </c>
      <c r="R948">
        <v>414.986666666666</v>
      </c>
      <c r="S948">
        <v>452.48999999999899</v>
      </c>
      <c r="T948">
        <v>427.46666666666601</v>
      </c>
      <c r="U948">
        <v>414.58666666666602</v>
      </c>
      <c r="V948">
        <v>404.09</v>
      </c>
      <c r="W948">
        <v>472.09333333333302</v>
      </c>
      <c r="X948">
        <v>444.80666666666599</v>
      </c>
      <c r="Y948">
        <v>455.666666666666</v>
      </c>
      <c r="Z948">
        <v>453.73999999999899</v>
      </c>
      <c r="AA948">
        <v>448.27666666666602</v>
      </c>
      <c r="AB948">
        <v>448.27666666666602</v>
      </c>
      <c r="AC948">
        <v>486.77999999999901</v>
      </c>
      <c r="AD948">
        <v>449.493333333333</v>
      </c>
      <c r="AE948">
        <v>473.50999999999902</v>
      </c>
      <c r="AF948">
        <v>462.789999999999</v>
      </c>
      <c r="AG948">
        <v>456.06333333333299</v>
      </c>
      <c r="AH948">
        <v>452.77666666666602</v>
      </c>
      <c r="AI948">
        <v>486.06999999999903</v>
      </c>
      <c r="AJ948">
        <v>452.46666666666601</v>
      </c>
      <c r="AK948">
        <v>473.93999999999897</v>
      </c>
      <c r="AL948">
        <v>458.56333333333299</v>
      </c>
      <c r="AM948">
        <v>451.82999999999902</v>
      </c>
      <c r="AN948">
        <v>446.553333333333</v>
      </c>
      <c r="AO948">
        <v>482.12333333333299</v>
      </c>
      <c r="AP948">
        <v>417.20333333333298</v>
      </c>
      <c r="AQ948">
        <v>463.67333333333301</v>
      </c>
      <c r="AR948">
        <v>432.36666666666599</v>
      </c>
      <c r="AS948">
        <v>414.74666666666599</v>
      </c>
      <c r="AT948">
        <v>400.38333333333298</v>
      </c>
      <c r="AU948">
        <v>494.486666666666</v>
      </c>
      <c r="AV948">
        <v>443.06666666666598</v>
      </c>
      <c r="AW948">
        <v>478.363333333333</v>
      </c>
      <c r="AX948">
        <v>454.99</v>
      </c>
      <c r="AY948">
        <v>442.71666666666601</v>
      </c>
      <c r="AZ948">
        <v>433.613333333333</v>
      </c>
      <c r="BA948">
        <v>483.85999999999899</v>
      </c>
      <c r="BB948">
        <v>432.2</v>
      </c>
      <c r="BC948">
        <v>467.90666666666601</v>
      </c>
      <c r="BD948">
        <v>443.99666666666599</v>
      </c>
      <c r="BE948">
        <v>431.51666666666603</v>
      </c>
      <c r="BF948">
        <v>422.01999999999902</v>
      </c>
      <c r="BG948" s="14"/>
      <c r="BH948" s="14"/>
      <c r="BI948" s="14"/>
      <c r="BJ948" s="199"/>
      <c r="BK948" s="14"/>
      <c r="BL948" s="14"/>
      <c r="BM948" s="14"/>
      <c r="BN948" s="14"/>
      <c r="BO948" s="14"/>
      <c r="BP948" s="14"/>
      <c r="BQ948" s="14"/>
      <c r="BR948" s="14"/>
      <c r="BS948" s="14"/>
      <c r="BT948" s="14"/>
      <c r="BU948" s="14"/>
      <c r="BV948" s="14"/>
      <c r="BW948" s="14"/>
      <c r="BX948" s="14"/>
      <c r="BY948" s="170"/>
    </row>
    <row r="949" spans="9:77" x14ac:dyDescent="0.25">
      <c r="I949">
        <v>9631</v>
      </c>
      <c r="J949" s="1" t="s">
        <v>1115</v>
      </c>
      <c r="K949">
        <v>502.25</v>
      </c>
      <c r="L949">
        <v>468.64666666666602</v>
      </c>
      <c r="M949">
        <v>490.12</v>
      </c>
      <c r="N949">
        <v>474.743333333333</v>
      </c>
      <c r="O949">
        <v>468.01</v>
      </c>
      <c r="P949">
        <v>462.73333333333301</v>
      </c>
      <c r="Q949">
        <v>485.62333333333299</v>
      </c>
      <c r="R949">
        <v>431.166666666666</v>
      </c>
      <c r="S949">
        <v>468.67</v>
      </c>
      <c r="T949">
        <v>443.64666666666602</v>
      </c>
      <c r="U949">
        <v>430.76666666666603</v>
      </c>
      <c r="V949">
        <v>420.27</v>
      </c>
      <c r="W949">
        <v>488.27333333333303</v>
      </c>
      <c r="X949">
        <v>460.986666666666</v>
      </c>
      <c r="Y949">
        <v>471.84666666666601</v>
      </c>
      <c r="Z949">
        <v>469.92</v>
      </c>
      <c r="AA949">
        <v>464.45666666666602</v>
      </c>
      <c r="AB949">
        <v>464.45666666666602</v>
      </c>
      <c r="AC949">
        <v>502.96</v>
      </c>
      <c r="AD949">
        <v>465.67333333333301</v>
      </c>
      <c r="AE949">
        <v>489.69</v>
      </c>
      <c r="AF949">
        <v>478.97</v>
      </c>
      <c r="AG949">
        <v>472.243333333333</v>
      </c>
      <c r="AH949">
        <v>468.95666666666602</v>
      </c>
      <c r="AI949">
        <v>502.25</v>
      </c>
      <c r="AJ949">
        <v>468.64666666666602</v>
      </c>
      <c r="AK949">
        <v>490.12</v>
      </c>
      <c r="AL949">
        <v>474.743333333333</v>
      </c>
      <c r="AM949">
        <v>468.01</v>
      </c>
      <c r="AN949">
        <v>462.73333333333301</v>
      </c>
      <c r="AO949">
        <v>498.303333333333</v>
      </c>
      <c r="AP949">
        <v>433.38333333333298</v>
      </c>
      <c r="AQ949">
        <v>479.85333333333301</v>
      </c>
      <c r="AR949">
        <v>448.546666666666</v>
      </c>
      <c r="AS949">
        <v>430.92666666666599</v>
      </c>
      <c r="AT949">
        <v>416.56333333333299</v>
      </c>
      <c r="AU949">
        <v>510.666666666666</v>
      </c>
      <c r="AV949">
        <v>459.24666666666599</v>
      </c>
      <c r="AW949">
        <v>494.54333333333301</v>
      </c>
      <c r="AX949">
        <v>471.17</v>
      </c>
      <c r="AY949">
        <v>458.89666666666602</v>
      </c>
      <c r="AZ949">
        <v>449.79333333333301</v>
      </c>
      <c r="BA949">
        <v>500.04</v>
      </c>
      <c r="BB949">
        <v>448.38</v>
      </c>
      <c r="BC949">
        <v>484.08666666666602</v>
      </c>
      <c r="BD949">
        <v>460.17666666666599</v>
      </c>
      <c r="BE949">
        <v>447.69666666666598</v>
      </c>
      <c r="BF949">
        <v>438.2</v>
      </c>
      <c r="BG949" s="14"/>
      <c r="BH949" s="14"/>
      <c r="BI949" s="14"/>
      <c r="BJ949" s="199"/>
      <c r="BK949" s="14"/>
      <c r="BL949" s="14"/>
      <c r="BM949" s="14"/>
      <c r="BN949" s="14"/>
      <c r="BO949" s="14"/>
      <c r="BP949" s="14"/>
      <c r="BQ949" s="14"/>
      <c r="BR949" s="14"/>
      <c r="BS949" s="14"/>
      <c r="BT949" s="14"/>
      <c r="BU949" s="14"/>
      <c r="BV949" s="14"/>
      <c r="BW949" s="14"/>
      <c r="BX949" s="14"/>
      <c r="BY949" s="170"/>
    </row>
    <row r="950" spans="9:77" x14ac:dyDescent="0.25">
      <c r="I950">
        <v>9632</v>
      </c>
      <c r="J950" s="1" t="s">
        <v>1116</v>
      </c>
      <c r="K950">
        <v>451.05999999999898</v>
      </c>
      <c r="L950">
        <v>417.45666666666602</v>
      </c>
      <c r="M950">
        <v>438.92999999999898</v>
      </c>
      <c r="N950">
        <v>423.553333333333</v>
      </c>
      <c r="O950">
        <v>416.81999999999903</v>
      </c>
      <c r="P950">
        <v>411.54333333333301</v>
      </c>
      <c r="Q950">
        <v>434.433333333333</v>
      </c>
      <c r="R950">
        <v>379.97666666666601</v>
      </c>
      <c r="S950">
        <v>417.479999999999</v>
      </c>
      <c r="T950">
        <v>392.45666666666602</v>
      </c>
      <c r="U950">
        <v>379.57666666666597</v>
      </c>
      <c r="V950">
        <v>369.08</v>
      </c>
      <c r="W950">
        <v>437.08333333333297</v>
      </c>
      <c r="X950">
        <v>409.796666666666</v>
      </c>
      <c r="Y950">
        <v>420.65666666666601</v>
      </c>
      <c r="Z950">
        <v>418.729999999999</v>
      </c>
      <c r="AA950">
        <v>413.26666666666603</v>
      </c>
      <c r="AB950">
        <v>413.26666666666603</v>
      </c>
      <c r="AC950">
        <v>451.76999999999902</v>
      </c>
      <c r="AD950">
        <v>414.48333333333301</v>
      </c>
      <c r="AE950">
        <v>438.49999999999898</v>
      </c>
      <c r="AF950">
        <v>427.77999999999901</v>
      </c>
      <c r="AG950">
        <v>421.053333333333</v>
      </c>
      <c r="AH950">
        <v>417.76666666666603</v>
      </c>
      <c r="AI950">
        <v>451.05999999999898</v>
      </c>
      <c r="AJ950">
        <v>417.45666666666602</v>
      </c>
      <c r="AK950">
        <v>438.92999999999898</v>
      </c>
      <c r="AL950">
        <v>423.553333333333</v>
      </c>
      <c r="AM950">
        <v>416.81999999999903</v>
      </c>
      <c r="AN950">
        <v>411.54333333333301</v>
      </c>
      <c r="AO950">
        <v>447.113333333333</v>
      </c>
      <c r="AP950">
        <v>382.19333333333299</v>
      </c>
      <c r="AQ950">
        <v>428.66333333333301</v>
      </c>
      <c r="AR950">
        <v>397.356666666666</v>
      </c>
      <c r="AS950">
        <v>379.736666666666</v>
      </c>
      <c r="AT950">
        <v>365.37333333333299</v>
      </c>
      <c r="AU950">
        <v>459.47666666666601</v>
      </c>
      <c r="AV950">
        <v>408.05666666666599</v>
      </c>
      <c r="AW950">
        <v>443.35333333333301</v>
      </c>
      <c r="AX950">
        <v>419.98</v>
      </c>
      <c r="AY950">
        <v>407.70666666666602</v>
      </c>
      <c r="AZ950">
        <v>398.60333333333301</v>
      </c>
      <c r="BA950">
        <v>448.849999999999</v>
      </c>
      <c r="BB950">
        <v>397.19</v>
      </c>
      <c r="BC950">
        <v>432.89666666666602</v>
      </c>
      <c r="BD950">
        <v>408.986666666666</v>
      </c>
      <c r="BE950">
        <v>396.50666666666598</v>
      </c>
      <c r="BF950">
        <v>387.00999999999902</v>
      </c>
      <c r="BG950" s="14"/>
      <c r="BH950" s="14"/>
      <c r="BI950" s="14"/>
      <c r="BJ950" s="199"/>
      <c r="BK950" s="14"/>
      <c r="BL950" s="14"/>
      <c r="BM950" s="14"/>
      <c r="BN950" s="14"/>
      <c r="BO950" s="14"/>
      <c r="BP950" s="14"/>
      <c r="BQ950" s="14"/>
      <c r="BR950" s="14"/>
      <c r="BS950" s="14"/>
      <c r="BT950" s="14"/>
      <c r="BU950" s="14"/>
      <c r="BV950" s="14"/>
      <c r="BW950" s="14"/>
      <c r="BX950" s="14"/>
      <c r="BY950" s="170"/>
    </row>
    <row r="951" spans="9:77" x14ac:dyDescent="0.25">
      <c r="I951">
        <v>9640</v>
      </c>
      <c r="J951" s="1" t="s">
        <v>1117</v>
      </c>
      <c r="K951">
        <v>491.62999999999897</v>
      </c>
      <c r="L951">
        <v>458.02666666666602</v>
      </c>
      <c r="M951">
        <v>479.49999999999898</v>
      </c>
      <c r="N951">
        <v>464.12333333333299</v>
      </c>
      <c r="O951">
        <v>457.38999999999902</v>
      </c>
      <c r="P951">
        <v>452.113333333333</v>
      </c>
      <c r="Q951">
        <v>475.00333333333299</v>
      </c>
      <c r="R951">
        <v>420.546666666666</v>
      </c>
      <c r="S951">
        <v>458.04999999999899</v>
      </c>
      <c r="T951">
        <v>433.02666666666602</v>
      </c>
      <c r="U951">
        <v>420.14666666666602</v>
      </c>
      <c r="V951">
        <v>409.64999999999901</v>
      </c>
      <c r="W951">
        <v>477.65333333333302</v>
      </c>
      <c r="X951">
        <v>450.36666666666599</v>
      </c>
      <c r="Y951">
        <v>461.22666666666601</v>
      </c>
      <c r="Z951">
        <v>459.29999999999899</v>
      </c>
      <c r="AA951">
        <v>453.83666666666602</v>
      </c>
      <c r="AB951">
        <v>453.83666666666602</v>
      </c>
      <c r="AC951">
        <v>492.33999999999901</v>
      </c>
      <c r="AD951">
        <v>455.053333333333</v>
      </c>
      <c r="AE951">
        <v>479.06999999999903</v>
      </c>
      <c r="AF951">
        <v>468.349999999999</v>
      </c>
      <c r="AG951">
        <v>461.62333333333299</v>
      </c>
      <c r="AH951">
        <v>458.33666666666602</v>
      </c>
      <c r="AI951">
        <v>491.62999999999897</v>
      </c>
      <c r="AJ951">
        <v>458.02666666666602</v>
      </c>
      <c r="AK951">
        <v>479.49999999999898</v>
      </c>
      <c r="AL951">
        <v>464.12333333333299</v>
      </c>
      <c r="AM951">
        <v>457.38999999999902</v>
      </c>
      <c r="AN951">
        <v>452.113333333333</v>
      </c>
      <c r="AO951">
        <v>487.683333333333</v>
      </c>
      <c r="AP951">
        <v>422.76333333333298</v>
      </c>
      <c r="AQ951">
        <v>469.23333333333301</v>
      </c>
      <c r="AR951">
        <v>437.92666666666599</v>
      </c>
      <c r="AS951">
        <v>420.30666666666599</v>
      </c>
      <c r="AT951">
        <v>405.94333333333299</v>
      </c>
      <c r="AU951">
        <v>500.046666666666</v>
      </c>
      <c r="AV951">
        <v>448.62666666666598</v>
      </c>
      <c r="AW951">
        <v>483.92333333333301</v>
      </c>
      <c r="AX951">
        <v>460.54999999999899</v>
      </c>
      <c r="AY951">
        <v>448.27666666666602</v>
      </c>
      <c r="AZ951">
        <v>439.17333333333301</v>
      </c>
      <c r="BA951">
        <v>489.41999999999899</v>
      </c>
      <c r="BB951">
        <v>437.75999999999902</v>
      </c>
      <c r="BC951">
        <v>473.46666666666601</v>
      </c>
      <c r="BD951">
        <v>449.55666666666599</v>
      </c>
      <c r="BE951">
        <v>437.07666666666597</v>
      </c>
      <c r="BF951">
        <v>427.57999999999902</v>
      </c>
      <c r="BG951" s="14"/>
      <c r="BH951" s="14"/>
      <c r="BI951" s="14"/>
      <c r="BJ951" s="199"/>
      <c r="BK951" s="14"/>
      <c r="BL951" s="14"/>
      <c r="BM951" s="14"/>
      <c r="BN951" s="14"/>
      <c r="BO951" s="14"/>
      <c r="BP951" s="14"/>
      <c r="BQ951" s="14"/>
      <c r="BR951" s="14"/>
      <c r="BS951" s="14"/>
      <c r="BT951" s="14"/>
      <c r="BU951" s="14"/>
      <c r="BV951" s="14"/>
      <c r="BW951" s="14"/>
      <c r="BX951" s="14"/>
      <c r="BY951" s="170"/>
    </row>
    <row r="952" spans="9:77" x14ac:dyDescent="0.25">
      <c r="I952">
        <v>9670</v>
      </c>
      <c r="J952" s="1" t="s">
        <v>1118</v>
      </c>
      <c r="K952">
        <v>498.24999999999898</v>
      </c>
      <c r="L952">
        <v>464.64666666666602</v>
      </c>
      <c r="M952">
        <v>486.11999999999898</v>
      </c>
      <c r="N952">
        <v>470.743333333333</v>
      </c>
      <c r="O952">
        <v>464.00999999999902</v>
      </c>
      <c r="P952">
        <v>458.73333333333301</v>
      </c>
      <c r="Q952">
        <v>481.62333333333299</v>
      </c>
      <c r="R952">
        <v>427.166666666666</v>
      </c>
      <c r="S952">
        <v>464.66999999999899</v>
      </c>
      <c r="T952">
        <v>439.64666666666602</v>
      </c>
      <c r="U952">
        <v>426.76666666666603</v>
      </c>
      <c r="V952">
        <v>416.26999999999902</v>
      </c>
      <c r="W952">
        <v>484.27333333333303</v>
      </c>
      <c r="X952">
        <v>456.986666666666</v>
      </c>
      <c r="Y952">
        <v>467.84666666666601</v>
      </c>
      <c r="Z952">
        <v>465.91999999999899</v>
      </c>
      <c r="AA952">
        <v>460.45666666666602</v>
      </c>
      <c r="AB952">
        <v>460.45666666666602</v>
      </c>
      <c r="AC952">
        <v>498.95999999999901</v>
      </c>
      <c r="AD952">
        <v>461.67333333333301</v>
      </c>
      <c r="AE952">
        <v>485.68999999999897</v>
      </c>
      <c r="AF952">
        <v>474.969999999999</v>
      </c>
      <c r="AG952">
        <v>468.243333333333</v>
      </c>
      <c r="AH952">
        <v>464.95666666666602</v>
      </c>
      <c r="AI952">
        <v>498.24999999999898</v>
      </c>
      <c r="AJ952">
        <v>464.64666666666602</v>
      </c>
      <c r="AK952">
        <v>486.11999999999898</v>
      </c>
      <c r="AL952">
        <v>470.743333333333</v>
      </c>
      <c r="AM952">
        <v>464.00999999999902</v>
      </c>
      <c r="AN952">
        <v>458.73333333333301</v>
      </c>
      <c r="AO952">
        <v>494.303333333333</v>
      </c>
      <c r="AP952">
        <v>429.38333333333298</v>
      </c>
      <c r="AQ952">
        <v>475.85333333333301</v>
      </c>
      <c r="AR952">
        <v>444.546666666666</v>
      </c>
      <c r="AS952">
        <v>426.92666666666599</v>
      </c>
      <c r="AT952">
        <v>412.56333333333299</v>
      </c>
      <c r="AU952">
        <v>506.666666666666</v>
      </c>
      <c r="AV952">
        <v>455.24666666666599</v>
      </c>
      <c r="AW952">
        <v>490.54333333333301</v>
      </c>
      <c r="AX952">
        <v>467.16999999999899</v>
      </c>
      <c r="AY952">
        <v>454.89666666666602</v>
      </c>
      <c r="AZ952">
        <v>445.79333333333301</v>
      </c>
      <c r="BA952">
        <v>496.039999999999</v>
      </c>
      <c r="BB952">
        <v>444.37999999999897</v>
      </c>
      <c r="BC952">
        <v>480.08666666666602</v>
      </c>
      <c r="BD952">
        <v>456.17666666666599</v>
      </c>
      <c r="BE952">
        <v>443.69666666666598</v>
      </c>
      <c r="BF952">
        <v>434.19999999999902</v>
      </c>
      <c r="BG952" s="14"/>
      <c r="BH952" s="14"/>
      <c r="BI952" s="14"/>
      <c r="BJ952" s="199"/>
      <c r="BK952" s="14"/>
      <c r="BL952" s="14"/>
      <c r="BM952" s="14"/>
      <c r="BN952" s="14"/>
      <c r="BO952" s="14"/>
      <c r="BP952" s="14"/>
      <c r="BQ952" s="14"/>
      <c r="BR952" s="14"/>
      <c r="BS952" s="14"/>
      <c r="BT952" s="14"/>
      <c r="BU952" s="14"/>
      <c r="BV952" s="14"/>
      <c r="BW952" s="14"/>
      <c r="BX952" s="14"/>
      <c r="BY952" s="170"/>
    </row>
    <row r="953" spans="9:77" x14ac:dyDescent="0.25">
      <c r="I953">
        <v>9681</v>
      </c>
      <c r="J953" s="1" t="s">
        <v>1119</v>
      </c>
      <c r="K953">
        <v>475.45666666666602</v>
      </c>
      <c r="L953">
        <v>439.50333333333299</v>
      </c>
      <c r="M953">
        <v>462.69999999999902</v>
      </c>
      <c r="N953">
        <v>446.65666666666601</v>
      </c>
      <c r="O953">
        <v>439.22333333333302</v>
      </c>
      <c r="P953">
        <v>434.00333333333299</v>
      </c>
      <c r="Q953">
        <v>451.00666666666598</v>
      </c>
      <c r="R953">
        <v>396.08333333333297</v>
      </c>
      <c r="S953">
        <v>431.88333333333298</v>
      </c>
      <c r="T953">
        <v>408.22333333333302</v>
      </c>
      <c r="U953">
        <v>396.16333333333301</v>
      </c>
      <c r="V953">
        <v>387.25666666666598</v>
      </c>
      <c r="W953">
        <v>454.70333333333298</v>
      </c>
      <c r="X953">
        <v>424.62666666666598</v>
      </c>
      <c r="Y953">
        <v>435.979999999999</v>
      </c>
      <c r="Z953">
        <v>433.97666666666601</v>
      </c>
      <c r="AA953">
        <v>428.19333333333299</v>
      </c>
      <c r="AB953">
        <v>428.19333333333299</v>
      </c>
      <c r="AC953">
        <v>475.35333333333301</v>
      </c>
      <c r="AD953">
        <v>435.56333333333299</v>
      </c>
      <c r="AE953">
        <v>461.26999999999902</v>
      </c>
      <c r="AF953">
        <v>449.91999999999899</v>
      </c>
      <c r="AG953">
        <v>442.433333333333</v>
      </c>
      <c r="AH953">
        <v>438.93999999999897</v>
      </c>
      <c r="AI953">
        <v>475.45666666666602</v>
      </c>
      <c r="AJ953">
        <v>439.50333333333299</v>
      </c>
      <c r="AK953">
        <v>462.69999999999902</v>
      </c>
      <c r="AL953">
        <v>446.65666666666601</v>
      </c>
      <c r="AM953">
        <v>439.22333333333302</v>
      </c>
      <c r="AN953">
        <v>434.00333333333299</v>
      </c>
      <c r="AO953">
        <v>461.69999999999902</v>
      </c>
      <c r="AP953">
        <v>395.44999999999902</v>
      </c>
      <c r="AQ953">
        <v>441.82666666666597</v>
      </c>
      <c r="AR953">
        <v>410.57333333333298</v>
      </c>
      <c r="AS953">
        <v>393.59666666666601</v>
      </c>
      <c r="AT953">
        <v>379.81999999999903</v>
      </c>
      <c r="AU953">
        <v>477.94666666666598</v>
      </c>
      <c r="AV953">
        <v>424.789999999999</v>
      </c>
      <c r="AW953">
        <v>460.12999999999897</v>
      </c>
      <c r="AX953">
        <v>436.979999999999</v>
      </c>
      <c r="AY953">
        <v>424.74666666666599</v>
      </c>
      <c r="AZ953">
        <v>415.93666666666599</v>
      </c>
      <c r="BA953">
        <v>469.183333333333</v>
      </c>
      <c r="BB953">
        <v>415.08333333333297</v>
      </c>
      <c r="BC953">
        <v>451.25333333333299</v>
      </c>
      <c r="BD953">
        <v>427.35333333333301</v>
      </c>
      <c r="BE953">
        <v>414.98333333333301</v>
      </c>
      <c r="BF953">
        <v>405.48333333333301</v>
      </c>
      <c r="BG953" s="14"/>
      <c r="BH953" s="14"/>
      <c r="BI953" s="14"/>
      <c r="BJ953" s="199"/>
      <c r="BK953" s="14"/>
      <c r="BL953" s="14"/>
      <c r="BM953" s="14"/>
      <c r="BN953" s="14"/>
      <c r="BO953" s="14"/>
      <c r="BP953" s="14"/>
      <c r="BQ953" s="14"/>
      <c r="BR953" s="14"/>
      <c r="BS953" s="14"/>
      <c r="BT953" s="14"/>
      <c r="BU953" s="14"/>
      <c r="BV953" s="14"/>
      <c r="BW953" s="14"/>
      <c r="BX953" s="14"/>
      <c r="BY953" s="170"/>
    </row>
    <row r="954" spans="9:77" x14ac:dyDescent="0.25">
      <c r="I954">
        <v>9690</v>
      </c>
      <c r="J954" s="1" t="s">
        <v>1120</v>
      </c>
      <c r="K954">
        <v>503.93666666666599</v>
      </c>
      <c r="L954">
        <v>467.98333333333301</v>
      </c>
      <c r="M954">
        <v>491.18</v>
      </c>
      <c r="N954">
        <v>475.13666666666597</v>
      </c>
      <c r="O954">
        <v>467.70333333333298</v>
      </c>
      <c r="P954">
        <v>462.48333333333301</v>
      </c>
      <c r="Q954">
        <v>479.486666666666</v>
      </c>
      <c r="R954">
        <v>424.56333333333299</v>
      </c>
      <c r="S954">
        <v>460.363333333333</v>
      </c>
      <c r="T954">
        <v>436.70333333333298</v>
      </c>
      <c r="U954">
        <v>424.64333333333298</v>
      </c>
      <c r="V954">
        <v>415.736666666666</v>
      </c>
      <c r="W954">
        <v>483.183333333333</v>
      </c>
      <c r="X954">
        <v>453.106666666666</v>
      </c>
      <c r="Y954">
        <v>464.45999999999901</v>
      </c>
      <c r="Z954">
        <v>462.45666666666602</v>
      </c>
      <c r="AA954">
        <v>456.67333333333301</v>
      </c>
      <c r="AB954">
        <v>456.67333333333301</v>
      </c>
      <c r="AC954">
        <v>503.83333333333297</v>
      </c>
      <c r="AD954">
        <v>464.04333333333301</v>
      </c>
      <c r="AE954">
        <v>489.74999999999898</v>
      </c>
      <c r="AF954">
        <v>478.39999999999901</v>
      </c>
      <c r="AG954">
        <v>470.91333333333301</v>
      </c>
      <c r="AH954">
        <v>467.41999999999899</v>
      </c>
      <c r="AI954">
        <v>503.93666666666599</v>
      </c>
      <c r="AJ954">
        <v>467.98333333333301</v>
      </c>
      <c r="AK954">
        <v>491.18</v>
      </c>
      <c r="AL954">
        <v>475.13666666666597</v>
      </c>
      <c r="AM954">
        <v>467.70333333333298</v>
      </c>
      <c r="AN954">
        <v>462.48333333333301</v>
      </c>
      <c r="AO954">
        <v>490.18</v>
      </c>
      <c r="AP954">
        <v>423.93</v>
      </c>
      <c r="AQ954">
        <v>470.30666666666599</v>
      </c>
      <c r="AR954">
        <v>439.053333333333</v>
      </c>
      <c r="AS954">
        <v>422.07666666666597</v>
      </c>
      <c r="AT954">
        <v>408.3</v>
      </c>
      <c r="AU954">
        <v>506.42666666666599</v>
      </c>
      <c r="AV954">
        <v>453.27</v>
      </c>
      <c r="AW954">
        <v>488.60999999999899</v>
      </c>
      <c r="AX954">
        <v>465.45999999999901</v>
      </c>
      <c r="AY954">
        <v>453.22666666666601</v>
      </c>
      <c r="AZ954">
        <v>444.416666666666</v>
      </c>
      <c r="BA954">
        <v>497.66333333333301</v>
      </c>
      <c r="BB954">
        <v>443.56333333333299</v>
      </c>
      <c r="BC954">
        <v>479.73333333333301</v>
      </c>
      <c r="BD954">
        <v>455.83333333333297</v>
      </c>
      <c r="BE954">
        <v>443.46333333333303</v>
      </c>
      <c r="BF954">
        <v>433.96333333333303</v>
      </c>
      <c r="BG954" s="14"/>
      <c r="BH954" s="14"/>
      <c r="BI954" s="14"/>
      <c r="BJ954" s="199"/>
      <c r="BK954" s="14"/>
      <c r="BL954" s="14"/>
      <c r="BM954" s="14"/>
      <c r="BN954" s="14"/>
      <c r="BO954" s="14"/>
      <c r="BP954" s="14"/>
      <c r="BQ954" s="14"/>
      <c r="BR954" s="14"/>
      <c r="BS954" s="14"/>
      <c r="BT954" s="14"/>
      <c r="BU954" s="14"/>
      <c r="BV954" s="14"/>
      <c r="BW954" s="14"/>
      <c r="BX954" s="14"/>
      <c r="BY954" s="170"/>
    </row>
    <row r="955" spans="9:77" x14ac:dyDescent="0.25">
      <c r="I955">
        <v>9700</v>
      </c>
      <c r="J955" s="1" t="s">
        <v>1121</v>
      </c>
      <c r="K955">
        <v>462.28666666666601</v>
      </c>
      <c r="L955">
        <v>427.74666666666599</v>
      </c>
      <c r="M955">
        <v>450.243333333333</v>
      </c>
      <c r="N955">
        <v>434.46333333333303</v>
      </c>
      <c r="O955">
        <v>427.08</v>
      </c>
      <c r="P955">
        <v>421.486666666666</v>
      </c>
      <c r="Q955">
        <v>440.46</v>
      </c>
      <c r="R955">
        <v>385.26333333333298</v>
      </c>
      <c r="S955">
        <v>421.82999999999902</v>
      </c>
      <c r="T955">
        <v>397.94333333333299</v>
      </c>
      <c r="U955">
        <v>384.96333333333303</v>
      </c>
      <c r="V955">
        <v>375.12333333333299</v>
      </c>
      <c r="W955">
        <v>443.20333333333298</v>
      </c>
      <c r="X955">
        <v>414.479999999999</v>
      </c>
      <c r="Y955">
        <v>425.39999999999901</v>
      </c>
      <c r="Z955">
        <v>423.37333333333299</v>
      </c>
      <c r="AA955">
        <v>417.92666666666599</v>
      </c>
      <c r="AB955">
        <v>417.92666666666599</v>
      </c>
      <c r="AC955">
        <v>462.77666666666602</v>
      </c>
      <c r="AD955">
        <v>423.46333333333303</v>
      </c>
      <c r="AE955">
        <v>449.01666666666603</v>
      </c>
      <c r="AF955">
        <v>437.83666666666602</v>
      </c>
      <c r="AG955">
        <v>430.43666666666599</v>
      </c>
      <c r="AH955">
        <v>426.8</v>
      </c>
      <c r="AI955">
        <v>462.28666666666601</v>
      </c>
      <c r="AJ955">
        <v>427.74666666666599</v>
      </c>
      <c r="AK955">
        <v>450.243333333333</v>
      </c>
      <c r="AL955">
        <v>434.46333333333303</v>
      </c>
      <c r="AM955">
        <v>427.08</v>
      </c>
      <c r="AN955">
        <v>421.486666666666</v>
      </c>
      <c r="AO955">
        <v>450.736666666666</v>
      </c>
      <c r="AP955">
        <v>385.64333333333298</v>
      </c>
      <c r="AQ955">
        <v>432.06666666666598</v>
      </c>
      <c r="AR955">
        <v>400.76666666666603</v>
      </c>
      <c r="AS955">
        <v>383.72</v>
      </c>
      <c r="AT955">
        <v>370.113333333333</v>
      </c>
      <c r="AU955">
        <v>466.58</v>
      </c>
      <c r="AV955">
        <v>414.46666666666601</v>
      </c>
      <c r="AW955">
        <v>449.77</v>
      </c>
      <c r="AX955">
        <v>426.479999999999</v>
      </c>
      <c r="AY955">
        <v>414.31</v>
      </c>
      <c r="AZ955">
        <v>405.34</v>
      </c>
      <c r="BA955">
        <v>456.486666666666</v>
      </c>
      <c r="BB955">
        <v>403.75666666666598</v>
      </c>
      <c r="BC955">
        <v>439.32999999999902</v>
      </c>
      <c r="BD955">
        <v>415.74</v>
      </c>
      <c r="BE955">
        <v>403.26333333333298</v>
      </c>
      <c r="BF955">
        <v>393.79333333333301</v>
      </c>
      <c r="BG955" s="14"/>
      <c r="BH955" s="14"/>
      <c r="BI955" s="14"/>
      <c r="BJ955" s="199"/>
      <c r="BK955" s="14"/>
      <c r="BL955" s="14"/>
      <c r="BM955" s="14"/>
      <c r="BN955" s="14"/>
      <c r="BO955" s="14"/>
      <c r="BP955" s="14"/>
      <c r="BQ955" s="14"/>
      <c r="BR955" s="14"/>
      <c r="BS955" s="14"/>
      <c r="BT955" s="14"/>
      <c r="BU955" s="14"/>
      <c r="BV955" s="14"/>
      <c r="BW955" s="14"/>
      <c r="BX955" s="14"/>
      <c r="BY955" s="170"/>
    </row>
    <row r="956" spans="9:77" x14ac:dyDescent="0.25">
      <c r="I956">
        <v>9740</v>
      </c>
      <c r="J956" s="1" t="s">
        <v>1122</v>
      </c>
      <c r="K956">
        <v>503.96666666666601</v>
      </c>
      <c r="L956">
        <v>469.42666666666599</v>
      </c>
      <c r="M956">
        <v>491.92333333333301</v>
      </c>
      <c r="N956">
        <v>476.14333333333298</v>
      </c>
      <c r="O956">
        <v>468.75999999999902</v>
      </c>
      <c r="P956">
        <v>463.166666666666</v>
      </c>
      <c r="Q956">
        <v>482.13999999999902</v>
      </c>
      <c r="R956">
        <v>426.94333333333299</v>
      </c>
      <c r="S956">
        <v>463.50999999999902</v>
      </c>
      <c r="T956">
        <v>439.62333333333299</v>
      </c>
      <c r="U956">
        <v>426.64333333333298</v>
      </c>
      <c r="V956">
        <v>416.803333333333</v>
      </c>
      <c r="W956">
        <v>484.88333333333298</v>
      </c>
      <c r="X956">
        <v>456.159999999999</v>
      </c>
      <c r="Y956">
        <v>467.07999999999902</v>
      </c>
      <c r="Z956">
        <v>465.053333333333</v>
      </c>
      <c r="AA956">
        <v>459.606666666666</v>
      </c>
      <c r="AB956">
        <v>459.606666666666</v>
      </c>
      <c r="AC956">
        <v>504.45666666666602</v>
      </c>
      <c r="AD956">
        <v>465.14333333333298</v>
      </c>
      <c r="AE956">
        <v>490.69666666666598</v>
      </c>
      <c r="AF956">
        <v>479.51666666666603</v>
      </c>
      <c r="AG956">
        <v>472.11666666666599</v>
      </c>
      <c r="AH956">
        <v>468.479999999999</v>
      </c>
      <c r="AI956">
        <v>503.96666666666601</v>
      </c>
      <c r="AJ956">
        <v>469.42666666666599</v>
      </c>
      <c r="AK956">
        <v>491.92333333333301</v>
      </c>
      <c r="AL956">
        <v>476.14333333333298</v>
      </c>
      <c r="AM956">
        <v>468.75999999999902</v>
      </c>
      <c r="AN956">
        <v>463.166666666666</v>
      </c>
      <c r="AO956">
        <v>492.416666666666</v>
      </c>
      <c r="AP956">
        <v>427.32333333333298</v>
      </c>
      <c r="AQ956">
        <v>473.74666666666599</v>
      </c>
      <c r="AR956">
        <v>442.44666666666598</v>
      </c>
      <c r="AS956">
        <v>425.39999999999901</v>
      </c>
      <c r="AT956">
        <v>411.79333333333301</v>
      </c>
      <c r="AU956">
        <v>508.25999999999902</v>
      </c>
      <c r="AV956">
        <v>456.14666666666602</v>
      </c>
      <c r="AW956">
        <v>491.44999999999902</v>
      </c>
      <c r="AX956">
        <v>468.159999999999</v>
      </c>
      <c r="AY956">
        <v>455.98999999999899</v>
      </c>
      <c r="AZ956">
        <v>447.01999999999902</v>
      </c>
      <c r="BA956">
        <v>498.166666666666</v>
      </c>
      <c r="BB956">
        <v>445.43666666666599</v>
      </c>
      <c r="BC956">
        <v>481.00999999999902</v>
      </c>
      <c r="BD956">
        <v>457.41999999999899</v>
      </c>
      <c r="BE956">
        <v>444.94333333333299</v>
      </c>
      <c r="BF956">
        <v>435.47333333333302</v>
      </c>
      <c r="BG956" s="14"/>
      <c r="BH956" s="14"/>
      <c r="BI956" s="14"/>
      <c r="BJ956" s="199"/>
      <c r="BK956" s="14"/>
      <c r="BL956" s="14"/>
      <c r="BM956" s="14"/>
      <c r="BN956" s="14"/>
      <c r="BO956" s="14"/>
      <c r="BP956" s="14"/>
      <c r="BQ956" s="14"/>
      <c r="BR956" s="14"/>
      <c r="BS956" s="14"/>
      <c r="BT956" s="14"/>
      <c r="BU956" s="14"/>
      <c r="BV956" s="14"/>
      <c r="BW956" s="14"/>
      <c r="BX956" s="14"/>
      <c r="BY956" s="170"/>
    </row>
    <row r="957" spans="9:77" x14ac:dyDescent="0.25">
      <c r="I957">
        <v>9750</v>
      </c>
      <c r="J957" s="1" t="s">
        <v>1123</v>
      </c>
      <c r="K957">
        <v>449.99666666666599</v>
      </c>
      <c r="L957">
        <v>415.45666666666602</v>
      </c>
      <c r="M957">
        <v>437.95333333333298</v>
      </c>
      <c r="N957">
        <v>422.17333333333301</v>
      </c>
      <c r="O957">
        <v>414.79</v>
      </c>
      <c r="P957">
        <v>409.19666666666598</v>
      </c>
      <c r="Q957">
        <v>428.17</v>
      </c>
      <c r="R957">
        <v>372.97333333333302</v>
      </c>
      <c r="S957">
        <v>409.54</v>
      </c>
      <c r="T957">
        <v>385.65333333333302</v>
      </c>
      <c r="U957">
        <v>372.67333333333301</v>
      </c>
      <c r="V957">
        <v>362.83333333333297</v>
      </c>
      <c r="W957">
        <v>430.91333333333301</v>
      </c>
      <c r="X957">
        <v>402.19</v>
      </c>
      <c r="Y957">
        <v>413.11</v>
      </c>
      <c r="Z957">
        <v>411.08333333333297</v>
      </c>
      <c r="AA957">
        <v>405.63666666666597</v>
      </c>
      <c r="AB957">
        <v>405.63666666666597</v>
      </c>
      <c r="AC957">
        <v>450.486666666666</v>
      </c>
      <c r="AD957">
        <v>411.17333333333301</v>
      </c>
      <c r="AE957">
        <v>436.72666666666601</v>
      </c>
      <c r="AF957">
        <v>425.546666666666</v>
      </c>
      <c r="AG957">
        <v>418.14666666666602</v>
      </c>
      <c r="AH957">
        <v>414.51</v>
      </c>
      <c r="AI957">
        <v>449.99666666666599</v>
      </c>
      <c r="AJ957">
        <v>415.45666666666602</v>
      </c>
      <c r="AK957">
        <v>437.95333333333298</v>
      </c>
      <c r="AL957">
        <v>422.17333333333301</v>
      </c>
      <c r="AM957">
        <v>414.79</v>
      </c>
      <c r="AN957">
        <v>409.19666666666598</v>
      </c>
      <c r="AO957">
        <v>438.44666666666598</v>
      </c>
      <c r="AP957">
        <v>373.35333333333301</v>
      </c>
      <c r="AQ957">
        <v>419.77666666666602</v>
      </c>
      <c r="AR957">
        <v>388.47666666666601</v>
      </c>
      <c r="AS957">
        <v>371.43</v>
      </c>
      <c r="AT957">
        <v>357.82333333333298</v>
      </c>
      <c r="AU957">
        <v>454.29</v>
      </c>
      <c r="AV957">
        <v>402.17666666666599</v>
      </c>
      <c r="AW957">
        <v>437.48</v>
      </c>
      <c r="AX957">
        <v>414.19</v>
      </c>
      <c r="AY957">
        <v>402.02</v>
      </c>
      <c r="AZ957">
        <v>393.05</v>
      </c>
      <c r="BA957">
        <v>444.19666666666598</v>
      </c>
      <c r="BB957">
        <v>391.46666666666601</v>
      </c>
      <c r="BC957">
        <v>427.04</v>
      </c>
      <c r="BD957">
        <v>403.45</v>
      </c>
      <c r="BE957">
        <v>390.97333333333302</v>
      </c>
      <c r="BF957">
        <v>381.50333333333299</v>
      </c>
      <c r="BG957" s="14"/>
      <c r="BH957" s="14"/>
      <c r="BI957" s="14"/>
      <c r="BJ957" s="199"/>
      <c r="BK957" s="14"/>
      <c r="BL957" s="14"/>
      <c r="BM957" s="14"/>
      <c r="BN957" s="14"/>
      <c r="BO957" s="14"/>
      <c r="BP957" s="14"/>
      <c r="BQ957" s="14"/>
      <c r="BR957" s="14"/>
      <c r="BS957" s="14"/>
      <c r="BT957" s="14"/>
      <c r="BU957" s="14"/>
      <c r="BV957" s="14"/>
      <c r="BW957" s="14"/>
      <c r="BX957" s="14"/>
      <c r="BY957" s="170"/>
    </row>
    <row r="958" spans="9:77" x14ac:dyDescent="0.25">
      <c r="I958">
        <v>9760</v>
      </c>
      <c r="J958" s="1" t="s">
        <v>1124</v>
      </c>
      <c r="K958">
        <v>462.01666666666603</v>
      </c>
      <c r="L958">
        <v>427.47666666666601</v>
      </c>
      <c r="M958">
        <v>449.97333333333302</v>
      </c>
      <c r="N958">
        <v>434.19333333333299</v>
      </c>
      <c r="O958">
        <v>426.81</v>
      </c>
      <c r="P958">
        <v>421.21666666666601</v>
      </c>
      <c r="Q958">
        <v>440.18999999999897</v>
      </c>
      <c r="R958">
        <v>384.993333333333</v>
      </c>
      <c r="S958">
        <v>421.55999999999898</v>
      </c>
      <c r="T958">
        <v>397.67333333333301</v>
      </c>
      <c r="U958">
        <v>384.69333333333299</v>
      </c>
      <c r="V958">
        <v>374.85333333333301</v>
      </c>
      <c r="W958">
        <v>442.933333333333</v>
      </c>
      <c r="X958">
        <v>414.20999999999901</v>
      </c>
      <c r="Y958">
        <v>425.12999999999897</v>
      </c>
      <c r="Z958">
        <v>423.10333333333301</v>
      </c>
      <c r="AA958">
        <v>417.65666666666601</v>
      </c>
      <c r="AB958">
        <v>417.65666666666601</v>
      </c>
      <c r="AC958">
        <v>462.50666666666598</v>
      </c>
      <c r="AD958">
        <v>423.19333333333299</v>
      </c>
      <c r="AE958">
        <v>448.74666666666599</v>
      </c>
      <c r="AF958">
        <v>437.56666666666598</v>
      </c>
      <c r="AG958">
        <v>430.166666666666</v>
      </c>
      <c r="AH958">
        <v>426.52999999999901</v>
      </c>
      <c r="AI958">
        <v>462.01666666666603</v>
      </c>
      <c r="AJ958">
        <v>427.47666666666601</v>
      </c>
      <c r="AK958">
        <v>449.97333333333302</v>
      </c>
      <c r="AL958">
        <v>434.19333333333299</v>
      </c>
      <c r="AM958">
        <v>426.81</v>
      </c>
      <c r="AN958">
        <v>421.21666666666601</v>
      </c>
      <c r="AO958">
        <v>450.46666666666601</v>
      </c>
      <c r="AP958">
        <v>385.37333333333299</v>
      </c>
      <c r="AQ958">
        <v>431.796666666666</v>
      </c>
      <c r="AR958">
        <v>400.49666666666599</v>
      </c>
      <c r="AS958">
        <v>383.45</v>
      </c>
      <c r="AT958">
        <v>369.84333333333302</v>
      </c>
      <c r="AU958">
        <v>466.31</v>
      </c>
      <c r="AV958">
        <v>414.19666666666598</v>
      </c>
      <c r="AW958">
        <v>449.5</v>
      </c>
      <c r="AX958">
        <v>426.20999999999901</v>
      </c>
      <c r="AY958">
        <v>414.04</v>
      </c>
      <c r="AZ958">
        <v>405.06999999999903</v>
      </c>
      <c r="BA958">
        <v>456.21666666666601</v>
      </c>
      <c r="BB958">
        <v>403.486666666666</v>
      </c>
      <c r="BC958">
        <v>439.05999999999898</v>
      </c>
      <c r="BD958">
        <v>415.469999999999</v>
      </c>
      <c r="BE958">
        <v>402.993333333333</v>
      </c>
      <c r="BF958">
        <v>393.52333333333303</v>
      </c>
      <c r="BG958" s="14"/>
      <c r="BH958" s="14"/>
      <c r="BI958" s="14"/>
      <c r="BJ958" s="199"/>
      <c r="BK958" s="14"/>
      <c r="BL958" s="14"/>
      <c r="BM958" s="14"/>
      <c r="BN958" s="14"/>
      <c r="BO958" s="14"/>
      <c r="BP958" s="14"/>
      <c r="BQ958" s="14"/>
      <c r="BR958" s="14"/>
      <c r="BS958" s="14"/>
      <c r="BT958" s="14"/>
      <c r="BU958" s="14"/>
      <c r="BV958" s="14"/>
      <c r="BW958" s="14"/>
      <c r="BX958" s="14"/>
      <c r="BY958" s="170"/>
    </row>
    <row r="959" spans="9:77" x14ac:dyDescent="0.25">
      <c r="I959">
        <v>9800</v>
      </c>
      <c r="J959" s="1" t="s">
        <v>1125</v>
      </c>
      <c r="K959">
        <v>458.38666666666597</v>
      </c>
      <c r="L959">
        <v>423.84666666666601</v>
      </c>
      <c r="M959">
        <v>446.34333333333302</v>
      </c>
      <c r="N959">
        <v>430.56333333333299</v>
      </c>
      <c r="O959">
        <v>423.18</v>
      </c>
      <c r="P959">
        <v>417.58666666666602</v>
      </c>
      <c r="Q959">
        <v>436.56</v>
      </c>
      <c r="R959">
        <v>381.363333333333</v>
      </c>
      <c r="S959">
        <v>417.93</v>
      </c>
      <c r="T959">
        <v>394.04333333333301</v>
      </c>
      <c r="U959">
        <v>381.06333333333299</v>
      </c>
      <c r="V959">
        <v>371.22333333333302</v>
      </c>
      <c r="W959">
        <v>439.303333333333</v>
      </c>
      <c r="X959">
        <v>410.57999999999902</v>
      </c>
      <c r="Y959">
        <v>421.5</v>
      </c>
      <c r="Z959">
        <v>419.47333333333302</v>
      </c>
      <c r="AA959">
        <v>414.02666666666602</v>
      </c>
      <c r="AB959">
        <v>414.02666666666602</v>
      </c>
      <c r="AC959">
        <v>458.87666666666598</v>
      </c>
      <c r="AD959">
        <v>419.56333333333299</v>
      </c>
      <c r="AE959">
        <v>445.11666666666599</v>
      </c>
      <c r="AF959">
        <v>433.93666666666599</v>
      </c>
      <c r="AG959">
        <v>426.53666666666601</v>
      </c>
      <c r="AH959">
        <v>422.9</v>
      </c>
      <c r="AI959">
        <v>458.38666666666597</v>
      </c>
      <c r="AJ959">
        <v>423.84666666666601</v>
      </c>
      <c r="AK959">
        <v>446.34333333333302</v>
      </c>
      <c r="AL959">
        <v>430.56333333333299</v>
      </c>
      <c r="AM959">
        <v>423.18</v>
      </c>
      <c r="AN959">
        <v>417.58666666666602</v>
      </c>
      <c r="AO959">
        <v>446.83666666666602</v>
      </c>
      <c r="AP959">
        <v>381.743333333333</v>
      </c>
      <c r="AQ959">
        <v>428.166666666666</v>
      </c>
      <c r="AR959">
        <v>396.86666666666599</v>
      </c>
      <c r="AS959">
        <v>379.82</v>
      </c>
      <c r="AT959">
        <v>366.21333333333303</v>
      </c>
      <c r="AU959">
        <v>462.68</v>
      </c>
      <c r="AV959">
        <v>410.56666666666598</v>
      </c>
      <c r="AW959">
        <v>445.87</v>
      </c>
      <c r="AX959">
        <v>422.57999999999902</v>
      </c>
      <c r="AY959">
        <v>410.41</v>
      </c>
      <c r="AZ959">
        <v>401.44</v>
      </c>
      <c r="BA959">
        <v>452.58666666666602</v>
      </c>
      <c r="BB959">
        <v>399.856666666666</v>
      </c>
      <c r="BC959">
        <v>435.43</v>
      </c>
      <c r="BD959">
        <v>411.84</v>
      </c>
      <c r="BE959">
        <v>399.363333333333</v>
      </c>
      <c r="BF959">
        <v>389.89333333333298</v>
      </c>
      <c r="BG959" s="14"/>
      <c r="BH959" s="14"/>
      <c r="BI959" s="14"/>
      <c r="BJ959" s="199"/>
      <c r="BK959" s="14"/>
      <c r="BL959" s="14"/>
      <c r="BM959" s="14"/>
      <c r="BN959" s="14"/>
      <c r="BO959" s="14"/>
      <c r="BP959" s="14"/>
      <c r="BQ959" s="14"/>
      <c r="BR959" s="14"/>
      <c r="BS959" s="14"/>
      <c r="BT959" s="14"/>
      <c r="BU959" s="14"/>
      <c r="BV959" s="14"/>
      <c r="BW959" s="14"/>
      <c r="BX959" s="14"/>
      <c r="BY959" s="170"/>
    </row>
    <row r="960" spans="9:77" x14ac:dyDescent="0.25">
      <c r="I960">
        <v>9830</v>
      </c>
      <c r="J960" s="1" t="s">
        <v>1126</v>
      </c>
      <c r="K960">
        <v>500.42666666666599</v>
      </c>
      <c r="L960">
        <v>465.88666666666597</v>
      </c>
      <c r="M960">
        <v>488.38333333333298</v>
      </c>
      <c r="N960">
        <v>472.60333333333301</v>
      </c>
      <c r="O960">
        <v>465.22</v>
      </c>
      <c r="P960">
        <v>459.62666666666598</v>
      </c>
      <c r="Q960">
        <v>478.599999999999</v>
      </c>
      <c r="R960">
        <v>423.40333333333302</v>
      </c>
      <c r="S960">
        <v>459.969999999999</v>
      </c>
      <c r="T960">
        <v>436.08333333333297</v>
      </c>
      <c r="U960">
        <v>423.10333333333301</v>
      </c>
      <c r="V960">
        <v>413.26333333333298</v>
      </c>
      <c r="W960">
        <v>481.34333333333302</v>
      </c>
      <c r="X960">
        <v>452.61999999999898</v>
      </c>
      <c r="Y960">
        <v>463.539999999999</v>
      </c>
      <c r="Z960">
        <v>461.51333333333298</v>
      </c>
      <c r="AA960">
        <v>456.06666666666598</v>
      </c>
      <c r="AB960">
        <v>456.06666666666598</v>
      </c>
      <c r="AC960">
        <v>500.916666666666</v>
      </c>
      <c r="AD960">
        <v>461.60333333333301</v>
      </c>
      <c r="AE960">
        <v>487.15666666666601</v>
      </c>
      <c r="AF960">
        <v>475.97666666666601</v>
      </c>
      <c r="AG960">
        <v>468.57666666666597</v>
      </c>
      <c r="AH960">
        <v>464.93999999999897</v>
      </c>
      <c r="AI960">
        <v>500.42666666666599</v>
      </c>
      <c r="AJ960">
        <v>465.88666666666597</v>
      </c>
      <c r="AK960">
        <v>488.38333333333298</v>
      </c>
      <c r="AL960">
        <v>472.60333333333301</v>
      </c>
      <c r="AM960">
        <v>465.22</v>
      </c>
      <c r="AN960">
        <v>459.62666666666598</v>
      </c>
      <c r="AO960">
        <v>488.87666666666598</v>
      </c>
      <c r="AP960">
        <v>423.78333333333302</v>
      </c>
      <c r="AQ960">
        <v>470.20666666666602</v>
      </c>
      <c r="AR960">
        <v>438.90666666666601</v>
      </c>
      <c r="AS960">
        <v>421.86</v>
      </c>
      <c r="AT960">
        <v>408.25333333333299</v>
      </c>
      <c r="AU960">
        <v>504.719999999999</v>
      </c>
      <c r="AV960">
        <v>452.606666666666</v>
      </c>
      <c r="AW960">
        <v>487.91</v>
      </c>
      <c r="AX960">
        <v>464.61999999999898</v>
      </c>
      <c r="AY960">
        <v>452.44999999999902</v>
      </c>
      <c r="AZ960">
        <v>443.479999999999</v>
      </c>
      <c r="BA960">
        <v>494.62666666666598</v>
      </c>
      <c r="BB960">
        <v>441.89666666666602</v>
      </c>
      <c r="BC960">
        <v>477.469999999999</v>
      </c>
      <c r="BD960">
        <v>453.87999999999897</v>
      </c>
      <c r="BE960">
        <v>441.40333333333302</v>
      </c>
      <c r="BF960">
        <v>431.933333333333</v>
      </c>
      <c r="BG960" s="14"/>
      <c r="BH960" s="14"/>
      <c r="BI960" s="14"/>
      <c r="BJ960" s="199"/>
      <c r="BK960" s="14"/>
      <c r="BL960" s="14"/>
      <c r="BM960" s="14"/>
      <c r="BN960" s="14"/>
      <c r="BO960" s="14"/>
      <c r="BP960" s="14"/>
      <c r="BQ960" s="14"/>
      <c r="BR960" s="14"/>
      <c r="BS960" s="14"/>
      <c r="BT960" s="14"/>
      <c r="BU960" s="14"/>
      <c r="BV960" s="14"/>
      <c r="BW960" s="14"/>
      <c r="BX960" s="14"/>
      <c r="BY960" s="170"/>
    </row>
    <row r="961" spans="8:77" x14ac:dyDescent="0.25">
      <c r="I961">
        <v>9850</v>
      </c>
      <c r="J961" s="1" t="s">
        <v>1127</v>
      </c>
      <c r="K961">
        <v>458.38666666666597</v>
      </c>
      <c r="L961">
        <v>423.84666666666601</v>
      </c>
      <c r="M961">
        <v>446.34333333333302</v>
      </c>
      <c r="N961">
        <v>430.56333333333299</v>
      </c>
      <c r="O961">
        <v>423.18</v>
      </c>
      <c r="P961">
        <v>417.58666666666602</v>
      </c>
      <c r="Q961">
        <v>436.56</v>
      </c>
      <c r="R961">
        <v>381.363333333333</v>
      </c>
      <c r="S961">
        <v>417.93</v>
      </c>
      <c r="T961">
        <v>394.04333333333301</v>
      </c>
      <c r="U961">
        <v>381.06333333333299</v>
      </c>
      <c r="V961">
        <v>371.22333333333302</v>
      </c>
      <c r="W961">
        <v>439.303333333333</v>
      </c>
      <c r="X961">
        <v>410.57999999999902</v>
      </c>
      <c r="Y961">
        <v>421.5</v>
      </c>
      <c r="Z961">
        <v>419.47333333333302</v>
      </c>
      <c r="AA961">
        <v>414.02666666666602</v>
      </c>
      <c r="AB961">
        <v>414.02666666666602</v>
      </c>
      <c r="AC961">
        <v>458.87666666666598</v>
      </c>
      <c r="AD961">
        <v>419.56333333333299</v>
      </c>
      <c r="AE961">
        <v>445.11666666666599</v>
      </c>
      <c r="AF961">
        <v>433.93666666666599</v>
      </c>
      <c r="AG961">
        <v>426.53666666666601</v>
      </c>
      <c r="AH961">
        <v>422.9</v>
      </c>
      <c r="AI961">
        <v>458.38666666666597</v>
      </c>
      <c r="AJ961">
        <v>423.84666666666601</v>
      </c>
      <c r="AK961">
        <v>446.34333333333302</v>
      </c>
      <c r="AL961">
        <v>430.56333333333299</v>
      </c>
      <c r="AM961">
        <v>423.18</v>
      </c>
      <c r="AN961">
        <v>417.58666666666602</v>
      </c>
      <c r="AO961">
        <v>446.83666666666602</v>
      </c>
      <c r="AP961">
        <v>381.743333333333</v>
      </c>
      <c r="AQ961">
        <v>428.166666666666</v>
      </c>
      <c r="AR961">
        <v>396.86666666666599</v>
      </c>
      <c r="AS961">
        <v>379.82</v>
      </c>
      <c r="AT961">
        <v>366.21333333333303</v>
      </c>
      <c r="AU961">
        <v>462.68</v>
      </c>
      <c r="AV961">
        <v>410.56666666666598</v>
      </c>
      <c r="AW961">
        <v>445.87</v>
      </c>
      <c r="AX961">
        <v>422.57999999999902</v>
      </c>
      <c r="AY961">
        <v>410.41</v>
      </c>
      <c r="AZ961">
        <v>401.44</v>
      </c>
      <c r="BA961">
        <v>452.58666666666602</v>
      </c>
      <c r="BB961">
        <v>399.856666666666</v>
      </c>
      <c r="BC961">
        <v>435.43</v>
      </c>
      <c r="BD961">
        <v>411.84</v>
      </c>
      <c r="BE961">
        <v>399.363333333333</v>
      </c>
      <c r="BF961">
        <v>389.89333333333298</v>
      </c>
      <c r="BG961" s="14"/>
      <c r="BH961" s="14"/>
      <c r="BI961" s="14"/>
      <c r="BJ961" s="199"/>
      <c r="BK961" s="14"/>
      <c r="BL961" s="14"/>
      <c r="BM961" s="14"/>
      <c r="BN961" s="14"/>
      <c r="BO961" s="14"/>
      <c r="BP961" s="14"/>
      <c r="BQ961" s="14"/>
      <c r="BR961" s="14"/>
      <c r="BS961" s="14"/>
      <c r="BT961" s="14"/>
      <c r="BU961" s="14"/>
      <c r="BV961" s="14"/>
      <c r="BW961" s="14"/>
      <c r="BX961" s="14"/>
      <c r="BY961" s="170"/>
    </row>
    <row r="962" spans="8:77" x14ac:dyDescent="0.25">
      <c r="I962">
        <v>9870</v>
      </c>
      <c r="J962" s="1" t="s">
        <v>1128</v>
      </c>
      <c r="K962">
        <v>447.78666666666601</v>
      </c>
      <c r="L962">
        <v>413.24666666666599</v>
      </c>
      <c r="M962">
        <v>435.743333333333</v>
      </c>
      <c r="N962">
        <v>419.96333333333303</v>
      </c>
      <c r="O962">
        <v>412.58</v>
      </c>
      <c r="P962">
        <v>406.986666666666</v>
      </c>
      <c r="Q962">
        <v>425.96</v>
      </c>
      <c r="R962">
        <v>370.76333333333298</v>
      </c>
      <c r="S962">
        <v>407.32999999999902</v>
      </c>
      <c r="T962">
        <v>383.44333333333299</v>
      </c>
      <c r="U962">
        <v>370.46333333333303</v>
      </c>
      <c r="V962">
        <v>360.62333333333299</v>
      </c>
      <c r="W962">
        <v>428.70333333333298</v>
      </c>
      <c r="X962">
        <v>399.979999999999</v>
      </c>
      <c r="Y962">
        <v>410.89999999999901</v>
      </c>
      <c r="Z962">
        <v>408.87333333333299</v>
      </c>
      <c r="AA962">
        <v>403.42666666666599</v>
      </c>
      <c r="AB962">
        <v>403.42666666666599</v>
      </c>
      <c r="AC962">
        <v>448.27666666666602</v>
      </c>
      <c r="AD962">
        <v>408.96333333333303</v>
      </c>
      <c r="AE962">
        <v>434.51666666666603</v>
      </c>
      <c r="AF962">
        <v>423.33666666666602</v>
      </c>
      <c r="AG962">
        <v>415.93666666666599</v>
      </c>
      <c r="AH962">
        <v>412.3</v>
      </c>
      <c r="AI962">
        <v>447.78666666666601</v>
      </c>
      <c r="AJ962">
        <v>413.24666666666599</v>
      </c>
      <c r="AK962">
        <v>435.743333333333</v>
      </c>
      <c r="AL962">
        <v>419.96333333333303</v>
      </c>
      <c r="AM962">
        <v>412.58</v>
      </c>
      <c r="AN962">
        <v>406.986666666666</v>
      </c>
      <c r="AO962">
        <v>436.236666666666</v>
      </c>
      <c r="AP962">
        <v>371.14333333333298</v>
      </c>
      <c r="AQ962">
        <v>417.56666666666598</v>
      </c>
      <c r="AR962">
        <v>386.26666666666603</v>
      </c>
      <c r="AS962">
        <v>369.22</v>
      </c>
      <c r="AT962">
        <v>355.613333333333</v>
      </c>
      <c r="AU962">
        <v>452.08</v>
      </c>
      <c r="AV962">
        <v>399.96666666666601</v>
      </c>
      <c r="AW962">
        <v>435.27</v>
      </c>
      <c r="AX962">
        <v>411.979999999999</v>
      </c>
      <c r="AY962">
        <v>399.81</v>
      </c>
      <c r="AZ962">
        <v>390.84</v>
      </c>
      <c r="BA962">
        <v>441.986666666666</v>
      </c>
      <c r="BB962">
        <v>389.25666666666598</v>
      </c>
      <c r="BC962">
        <v>424.82999999999902</v>
      </c>
      <c r="BD962">
        <v>401.24</v>
      </c>
      <c r="BE962">
        <v>388.76333333333298</v>
      </c>
      <c r="BF962">
        <v>379.29333333333301</v>
      </c>
      <c r="BG962" s="14"/>
      <c r="BH962" s="14"/>
      <c r="BI962" s="14"/>
      <c r="BJ962" s="199"/>
      <c r="BK962" s="14"/>
      <c r="BL962" s="14"/>
      <c r="BM962" s="14"/>
      <c r="BN962" s="14"/>
      <c r="BO962" s="14"/>
      <c r="BP962" s="14"/>
      <c r="BQ962" s="14"/>
      <c r="BR962" s="14"/>
      <c r="BS962" s="14"/>
      <c r="BT962" s="14"/>
      <c r="BU962" s="14"/>
      <c r="BV962" s="14"/>
      <c r="BW962" s="14"/>
      <c r="BX962" s="14"/>
      <c r="BY962" s="170"/>
    </row>
    <row r="963" spans="8:77" x14ac:dyDescent="0.25">
      <c r="I963">
        <v>9881</v>
      </c>
      <c r="J963" s="1" t="s">
        <v>1129</v>
      </c>
      <c r="K963">
        <v>458.38666666666597</v>
      </c>
      <c r="L963">
        <v>423.84666666666601</v>
      </c>
      <c r="M963">
        <v>446.34333333333302</v>
      </c>
      <c r="N963">
        <v>430.56333333333299</v>
      </c>
      <c r="O963">
        <v>423.18</v>
      </c>
      <c r="P963">
        <v>417.58666666666602</v>
      </c>
      <c r="Q963">
        <v>436.56</v>
      </c>
      <c r="R963">
        <v>381.363333333333</v>
      </c>
      <c r="S963">
        <v>417.93</v>
      </c>
      <c r="T963">
        <v>394.04333333333301</v>
      </c>
      <c r="U963">
        <v>381.06333333333299</v>
      </c>
      <c r="V963">
        <v>371.22333333333302</v>
      </c>
      <c r="W963">
        <v>439.303333333333</v>
      </c>
      <c r="X963">
        <v>410.57999999999902</v>
      </c>
      <c r="Y963">
        <v>421.5</v>
      </c>
      <c r="Z963">
        <v>419.47333333333302</v>
      </c>
      <c r="AA963">
        <v>414.02666666666602</v>
      </c>
      <c r="AB963">
        <v>414.02666666666602</v>
      </c>
      <c r="AC963">
        <v>458.87666666666598</v>
      </c>
      <c r="AD963">
        <v>419.56333333333299</v>
      </c>
      <c r="AE963">
        <v>445.11666666666599</v>
      </c>
      <c r="AF963">
        <v>433.93666666666599</v>
      </c>
      <c r="AG963">
        <v>426.53666666666601</v>
      </c>
      <c r="AH963">
        <v>422.9</v>
      </c>
      <c r="AI963">
        <v>458.38666666666597</v>
      </c>
      <c r="AJ963">
        <v>423.84666666666601</v>
      </c>
      <c r="AK963">
        <v>446.34333333333302</v>
      </c>
      <c r="AL963">
        <v>430.56333333333299</v>
      </c>
      <c r="AM963">
        <v>423.18</v>
      </c>
      <c r="AN963">
        <v>417.58666666666602</v>
      </c>
      <c r="AO963">
        <v>446.83666666666602</v>
      </c>
      <c r="AP963">
        <v>381.743333333333</v>
      </c>
      <c r="AQ963">
        <v>428.166666666666</v>
      </c>
      <c r="AR963">
        <v>396.86666666666599</v>
      </c>
      <c r="AS963">
        <v>379.82</v>
      </c>
      <c r="AT963">
        <v>366.21333333333303</v>
      </c>
      <c r="AU963">
        <v>462.68</v>
      </c>
      <c r="AV963">
        <v>410.56666666666598</v>
      </c>
      <c r="AW963">
        <v>445.87</v>
      </c>
      <c r="AX963">
        <v>422.57999999999902</v>
      </c>
      <c r="AY963">
        <v>410.41</v>
      </c>
      <c r="AZ963">
        <v>401.44</v>
      </c>
      <c r="BA963">
        <v>452.58666666666602</v>
      </c>
      <c r="BB963">
        <v>399.856666666666</v>
      </c>
      <c r="BC963">
        <v>435.43</v>
      </c>
      <c r="BD963">
        <v>411.84</v>
      </c>
      <c r="BE963">
        <v>399.363333333333</v>
      </c>
      <c r="BF963">
        <v>389.89333333333298</v>
      </c>
      <c r="BG963" s="14"/>
      <c r="BH963" s="14"/>
      <c r="BI963" s="14"/>
      <c r="BJ963" s="199"/>
      <c r="BK963" s="14"/>
      <c r="BL963" s="14"/>
      <c r="BM963" s="14"/>
      <c r="BN963" s="14"/>
      <c r="BO963" s="14"/>
      <c r="BP963" s="14"/>
      <c r="BQ963" s="14"/>
      <c r="BR963" s="14"/>
      <c r="BS963" s="14"/>
      <c r="BT963" s="14"/>
      <c r="BU963" s="14"/>
      <c r="BV963" s="14"/>
      <c r="BW963" s="14"/>
      <c r="BX963" s="14"/>
      <c r="BY963" s="170"/>
    </row>
    <row r="964" spans="8:77" x14ac:dyDescent="0.25">
      <c r="I964">
        <v>9900</v>
      </c>
      <c r="J964" s="1" t="s">
        <v>1130</v>
      </c>
      <c r="K964">
        <v>364.28666666666601</v>
      </c>
      <c r="L964">
        <v>329.74666666666599</v>
      </c>
      <c r="M964">
        <v>352.243333333333</v>
      </c>
      <c r="N964">
        <v>336.46333333333303</v>
      </c>
      <c r="O964">
        <v>329.08</v>
      </c>
      <c r="P964">
        <v>323.486666666666</v>
      </c>
      <c r="Q964">
        <v>342.46</v>
      </c>
      <c r="R964">
        <v>287.26333333333298</v>
      </c>
      <c r="S964">
        <v>323.82999999999902</v>
      </c>
      <c r="T964">
        <v>299.94333333333299</v>
      </c>
      <c r="U964">
        <v>286.96333333333303</v>
      </c>
      <c r="V964">
        <v>277.12333333333299</v>
      </c>
      <c r="W964">
        <v>345.20333333333298</v>
      </c>
      <c r="X964">
        <v>316.479999999999</v>
      </c>
      <c r="Y964">
        <v>327.39999999999901</v>
      </c>
      <c r="Z964">
        <v>325.37333333333299</v>
      </c>
      <c r="AA964">
        <v>319.92666666666599</v>
      </c>
      <c r="AB964">
        <v>319.92666666666599</v>
      </c>
      <c r="AC964">
        <v>364.77666666666602</v>
      </c>
      <c r="AD964">
        <v>325.46333333333303</v>
      </c>
      <c r="AE964">
        <v>351.01666666666603</v>
      </c>
      <c r="AF964">
        <v>339.83666666666602</v>
      </c>
      <c r="AG964">
        <v>332.43666666666599</v>
      </c>
      <c r="AH964">
        <v>328.8</v>
      </c>
      <c r="AI964">
        <v>364.28666666666601</v>
      </c>
      <c r="AJ964">
        <v>329.74666666666599</v>
      </c>
      <c r="AK964">
        <v>352.243333333333</v>
      </c>
      <c r="AL964">
        <v>336.46333333333303</v>
      </c>
      <c r="AM964">
        <v>329.08</v>
      </c>
      <c r="AN964">
        <v>323.486666666666</v>
      </c>
      <c r="AO964">
        <v>352.736666666666</v>
      </c>
      <c r="AP964">
        <v>287.64333333333298</v>
      </c>
      <c r="AQ964">
        <v>334.06666666666598</v>
      </c>
      <c r="AR964">
        <v>302.76666666666603</v>
      </c>
      <c r="AS964">
        <v>285.72000000000003</v>
      </c>
      <c r="AT964">
        <v>272.113333333333</v>
      </c>
      <c r="AU964">
        <v>368.58</v>
      </c>
      <c r="AV964">
        <v>316.46666666666601</v>
      </c>
      <c r="AW964">
        <v>351.77</v>
      </c>
      <c r="AX964">
        <v>328.479999999999</v>
      </c>
      <c r="AY964">
        <v>316.31</v>
      </c>
      <c r="AZ964">
        <v>307.33999999999997</v>
      </c>
      <c r="BA964">
        <v>358.486666666666</v>
      </c>
      <c r="BB964">
        <v>305.75666666666598</v>
      </c>
      <c r="BC964">
        <v>341.32999999999902</v>
      </c>
      <c r="BD964">
        <v>317.74</v>
      </c>
      <c r="BE964">
        <v>305.26333333333298</v>
      </c>
      <c r="BF964">
        <v>295.79333333333301</v>
      </c>
      <c r="BG964" s="14"/>
      <c r="BH964" s="14"/>
      <c r="BI964" s="14"/>
      <c r="BJ964" s="199"/>
      <c r="BK964" s="14"/>
      <c r="BL964" s="14"/>
      <c r="BM964" s="14"/>
      <c r="BN964" s="14"/>
      <c r="BO964" s="14"/>
      <c r="BP964" s="14"/>
      <c r="BQ964" s="14"/>
      <c r="BR964" s="14"/>
      <c r="BS964" s="14"/>
      <c r="BT964" s="14"/>
      <c r="BU964" s="14"/>
      <c r="BV964" s="14"/>
      <c r="BW964" s="14"/>
      <c r="BX964" s="14"/>
      <c r="BY964" s="170"/>
    </row>
    <row r="965" spans="8:77" x14ac:dyDescent="0.25">
      <c r="I965">
        <v>9940</v>
      </c>
      <c r="J965" s="1" t="s">
        <v>1131</v>
      </c>
      <c r="K965">
        <v>339.296666666666</v>
      </c>
      <c r="L965">
        <v>304.75666666666598</v>
      </c>
      <c r="M965">
        <v>327.25333333333299</v>
      </c>
      <c r="N965">
        <v>311.47333333333302</v>
      </c>
      <c r="O965">
        <v>304.08999999999997</v>
      </c>
      <c r="P965">
        <v>298.49666666666599</v>
      </c>
      <c r="Q965">
        <v>317.47000000000003</v>
      </c>
      <c r="R965">
        <v>262.27333333333303</v>
      </c>
      <c r="S965">
        <v>298.83999999999901</v>
      </c>
      <c r="T965">
        <v>274.95333333333298</v>
      </c>
      <c r="U965">
        <v>261.97333333333302</v>
      </c>
      <c r="V965">
        <v>252.13333333333301</v>
      </c>
      <c r="W965">
        <v>320.21333333333303</v>
      </c>
      <c r="X965">
        <v>291.48999999999899</v>
      </c>
      <c r="Y965">
        <v>302.409999999999</v>
      </c>
      <c r="Z965">
        <v>300.38333333333298</v>
      </c>
      <c r="AA965">
        <v>294.93666666666599</v>
      </c>
      <c r="AB965">
        <v>294.93666666666599</v>
      </c>
      <c r="AC965">
        <v>339.78666666666601</v>
      </c>
      <c r="AD965">
        <v>300.47333333333302</v>
      </c>
      <c r="AE965">
        <v>326.02666666666602</v>
      </c>
      <c r="AF965">
        <v>314.84666666666601</v>
      </c>
      <c r="AG965">
        <v>307.44666666666598</v>
      </c>
      <c r="AH965">
        <v>303.81</v>
      </c>
      <c r="AI965">
        <v>339.296666666666</v>
      </c>
      <c r="AJ965">
        <v>304.75666666666598</v>
      </c>
      <c r="AK965">
        <v>327.25333333333299</v>
      </c>
      <c r="AL965">
        <v>311.47333333333302</v>
      </c>
      <c r="AM965">
        <v>304.08999999999997</v>
      </c>
      <c r="AN965">
        <v>298.49666666666599</v>
      </c>
      <c r="AO965">
        <v>327.74666666666599</v>
      </c>
      <c r="AP965">
        <v>262.65333333333302</v>
      </c>
      <c r="AQ965">
        <v>309.07666666666597</v>
      </c>
      <c r="AR965">
        <v>277.77666666666602</v>
      </c>
      <c r="AS965">
        <v>260.73</v>
      </c>
      <c r="AT965">
        <v>247.12333333333299</v>
      </c>
      <c r="AU965">
        <v>343.59</v>
      </c>
      <c r="AV965">
        <v>291.47666666666601</v>
      </c>
      <c r="AW965">
        <v>326.77999999999997</v>
      </c>
      <c r="AX965">
        <v>303.48999999999899</v>
      </c>
      <c r="AY965">
        <v>291.32</v>
      </c>
      <c r="AZ965">
        <v>282.35000000000002</v>
      </c>
      <c r="BA965">
        <v>333.49666666666599</v>
      </c>
      <c r="BB965">
        <v>280.76666666666603</v>
      </c>
      <c r="BC965">
        <v>316.33999999999901</v>
      </c>
      <c r="BD965">
        <v>292.75</v>
      </c>
      <c r="BE965">
        <v>280.27333333333303</v>
      </c>
      <c r="BF965">
        <v>270.803333333333</v>
      </c>
      <c r="BG965" s="14"/>
      <c r="BH965" s="14"/>
      <c r="BI965" s="14"/>
      <c r="BJ965" s="199"/>
      <c r="BK965" s="14"/>
      <c r="BL965" s="14"/>
      <c r="BM965" s="14"/>
      <c r="BN965" s="14"/>
      <c r="BO965" s="14"/>
      <c r="BP965" s="14"/>
      <c r="BQ965" s="14"/>
      <c r="BR965" s="14"/>
      <c r="BS965" s="14"/>
      <c r="BT965" s="14"/>
      <c r="BU965" s="14"/>
      <c r="BV965" s="14"/>
      <c r="BW965" s="14"/>
      <c r="BX965" s="14"/>
      <c r="BY965" s="170"/>
    </row>
    <row r="966" spans="8:77" x14ac:dyDescent="0.25">
      <c r="I966">
        <v>9950</v>
      </c>
      <c r="J966" s="1" t="s">
        <v>1132</v>
      </c>
      <c r="K966">
        <v>339.296666666666</v>
      </c>
      <c r="L966">
        <v>304.75666666666598</v>
      </c>
      <c r="M966">
        <v>327.25333333333299</v>
      </c>
      <c r="N966">
        <v>311.47333333333302</v>
      </c>
      <c r="O966">
        <v>304.08999999999997</v>
      </c>
      <c r="P966">
        <v>298.49666666666599</v>
      </c>
      <c r="Q966">
        <v>317.47000000000003</v>
      </c>
      <c r="R966">
        <v>262.27333333333303</v>
      </c>
      <c r="S966">
        <v>298.83999999999901</v>
      </c>
      <c r="T966">
        <v>274.95333333333298</v>
      </c>
      <c r="U966">
        <v>261.97333333333302</v>
      </c>
      <c r="V966">
        <v>252.13333333333301</v>
      </c>
      <c r="W966">
        <v>320.21333333333303</v>
      </c>
      <c r="X966">
        <v>291.48999999999899</v>
      </c>
      <c r="Y966">
        <v>302.409999999999</v>
      </c>
      <c r="Z966">
        <v>300.38333333333298</v>
      </c>
      <c r="AA966">
        <v>294.93666666666599</v>
      </c>
      <c r="AB966">
        <v>294.93666666666599</v>
      </c>
      <c r="AC966">
        <v>339.78666666666601</v>
      </c>
      <c r="AD966">
        <v>300.47333333333302</v>
      </c>
      <c r="AE966">
        <v>326.02666666666602</v>
      </c>
      <c r="AF966">
        <v>314.84666666666601</v>
      </c>
      <c r="AG966">
        <v>307.44666666666598</v>
      </c>
      <c r="AH966">
        <v>303.81</v>
      </c>
      <c r="AI966">
        <v>339.296666666666</v>
      </c>
      <c r="AJ966">
        <v>304.75666666666598</v>
      </c>
      <c r="AK966">
        <v>327.25333333333299</v>
      </c>
      <c r="AL966">
        <v>311.47333333333302</v>
      </c>
      <c r="AM966">
        <v>304.08999999999997</v>
      </c>
      <c r="AN966">
        <v>298.49666666666599</v>
      </c>
      <c r="AO966">
        <v>327.74666666666599</v>
      </c>
      <c r="AP966">
        <v>262.65333333333302</v>
      </c>
      <c r="AQ966">
        <v>309.07666666666597</v>
      </c>
      <c r="AR966">
        <v>277.77666666666602</v>
      </c>
      <c r="AS966">
        <v>260.73</v>
      </c>
      <c r="AT966">
        <v>247.12333333333299</v>
      </c>
      <c r="AU966">
        <v>343.59</v>
      </c>
      <c r="AV966">
        <v>291.47666666666601</v>
      </c>
      <c r="AW966">
        <v>326.77999999999997</v>
      </c>
      <c r="AX966">
        <v>303.48999999999899</v>
      </c>
      <c r="AY966">
        <v>291.32</v>
      </c>
      <c r="AZ966">
        <v>282.35000000000002</v>
      </c>
      <c r="BA966">
        <v>333.49666666666599</v>
      </c>
      <c r="BB966">
        <v>280.76666666666603</v>
      </c>
      <c r="BC966">
        <v>316.33999999999901</v>
      </c>
      <c r="BD966">
        <v>292.75</v>
      </c>
      <c r="BE966">
        <v>280.27333333333303</v>
      </c>
      <c r="BF966">
        <v>270.803333333333</v>
      </c>
      <c r="BG966" s="14"/>
      <c r="BH966" s="14"/>
      <c r="BI966" s="14"/>
      <c r="BJ966" s="199"/>
      <c r="BK966" s="14"/>
      <c r="BL966" s="14"/>
      <c r="BM966" s="14"/>
      <c r="BN966" s="14"/>
      <c r="BO966" s="14"/>
      <c r="BP966" s="14"/>
      <c r="BQ966" s="14"/>
      <c r="BR966" s="14"/>
      <c r="BS966" s="14"/>
      <c r="BT966" s="14"/>
      <c r="BU966" s="14"/>
      <c r="BV966" s="14"/>
      <c r="BW966" s="14"/>
      <c r="BX966" s="14"/>
      <c r="BY966" s="170"/>
    </row>
    <row r="967" spans="8:77" x14ac:dyDescent="0.25">
      <c r="I967">
        <v>9960</v>
      </c>
      <c r="J967" s="1" t="s">
        <v>1133</v>
      </c>
      <c r="K967">
        <v>338.20666666666602</v>
      </c>
      <c r="L967">
        <v>303.666666666666</v>
      </c>
      <c r="M967">
        <v>326.16333333333301</v>
      </c>
      <c r="N967">
        <v>310.38333333333298</v>
      </c>
      <c r="O967">
        <v>303</v>
      </c>
      <c r="P967">
        <v>297.40666666666601</v>
      </c>
      <c r="Q967">
        <v>316.37999999999897</v>
      </c>
      <c r="R967">
        <v>261.183333333333</v>
      </c>
      <c r="S967">
        <v>297.74999999999898</v>
      </c>
      <c r="T967">
        <v>273.863333333333</v>
      </c>
      <c r="U967">
        <v>260.88333333333298</v>
      </c>
      <c r="V967">
        <v>251.04333333333301</v>
      </c>
      <c r="W967">
        <v>319.12333333333299</v>
      </c>
      <c r="X967">
        <v>290.39999999999901</v>
      </c>
      <c r="Y967">
        <v>301.31999999999903</v>
      </c>
      <c r="Z967">
        <v>299.29333333333301</v>
      </c>
      <c r="AA967">
        <v>293.84666666666601</v>
      </c>
      <c r="AB967">
        <v>293.84666666666601</v>
      </c>
      <c r="AC967">
        <v>338.69666666666598</v>
      </c>
      <c r="AD967">
        <v>299.38333333333298</v>
      </c>
      <c r="AE967">
        <v>324.93666666666599</v>
      </c>
      <c r="AF967">
        <v>313.75666666666598</v>
      </c>
      <c r="AG967">
        <v>306.356666666666</v>
      </c>
      <c r="AH967">
        <v>302.719999999999</v>
      </c>
      <c r="AI967">
        <v>338.20666666666602</v>
      </c>
      <c r="AJ967">
        <v>303.666666666666</v>
      </c>
      <c r="AK967">
        <v>326.16333333333301</v>
      </c>
      <c r="AL967">
        <v>310.38333333333298</v>
      </c>
      <c r="AM967">
        <v>303</v>
      </c>
      <c r="AN967">
        <v>297.40666666666601</v>
      </c>
      <c r="AO967">
        <v>326.65666666666601</v>
      </c>
      <c r="AP967">
        <v>261.56333333333299</v>
      </c>
      <c r="AQ967">
        <v>307.986666666666</v>
      </c>
      <c r="AR967">
        <v>276.68666666666599</v>
      </c>
      <c r="AS967">
        <v>259.63999999999902</v>
      </c>
      <c r="AT967">
        <v>246.03333333333299</v>
      </c>
      <c r="AU967">
        <v>342.49999999999898</v>
      </c>
      <c r="AV967">
        <v>290.38666666666597</v>
      </c>
      <c r="AW967">
        <v>325.69</v>
      </c>
      <c r="AX967">
        <v>302.39999999999901</v>
      </c>
      <c r="AY967">
        <v>290.229999999999</v>
      </c>
      <c r="AZ967">
        <v>281.25999999999902</v>
      </c>
      <c r="BA967">
        <v>332.40666666666601</v>
      </c>
      <c r="BB967">
        <v>279.67666666666599</v>
      </c>
      <c r="BC967">
        <v>315.24999999999898</v>
      </c>
      <c r="BD967">
        <v>291.659999999999</v>
      </c>
      <c r="BE967">
        <v>279.183333333333</v>
      </c>
      <c r="BF967">
        <v>269.71333333333303</v>
      </c>
      <c r="BG967" s="14"/>
      <c r="BH967" s="14"/>
      <c r="BI967" s="14"/>
      <c r="BJ967" s="199"/>
      <c r="BK967" s="14"/>
      <c r="BL967" s="14"/>
      <c r="BM967" s="14"/>
      <c r="BN967" s="14"/>
      <c r="BO967" s="14"/>
      <c r="BP967" s="14"/>
      <c r="BQ967" s="14"/>
      <c r="BR967" s="14"/>
      <c r="BS967" s="14"/>
      <c r="BT967" s="14"/>
      <c r="BU967" s="14"/>
      <c r="BV967" s="14"/>
      <c r="BW967" s="14"/>
      <c r="BX967" s="14"/>
      <c r="BY967" s="170"/>
    </row>
    <row r="968" spans="8:77" x14ac:dyDescent="0.25">
      <c r="I968">
        <v>9970</v>
      </c>
      <c r="J968" s="1" t="s">
        <v>1134</v>
      </c>
      <c r="K968">
        <v>419.00666666666598</v>
      </c>
      <c r="L968">
        <v>384.46666666666601</v>
      </c>
      <c r="M968">
        <v>406.96333333333303</v>
      </c>
      <c r="N968">
        <v>391.183333333333</v>
      </c>
      <c r="O968">
        <v>383.8</v>
      </c>
      <c r="P968">
        <v>378.20666666666602</v>
      </c>
      <c r="Q968">
        <v>397.18</v>
      </c>
      <c r="R968">
        <v>341.98333333333301</v>
      </c>
      <c r="S968">
        <v>378.55</v>
      </c>
      <c r="T968">
        <v>354.66333333333301</v>
      </c>
      <c r="U968">
        <v>341.683333333333</v>
      </c>
      <c r="V968">
        <v>331.84333333333302</v>
      </c>
      <c r="W968">
        <v>399.92333333333301</v>
      </c>
      <c r="X968">
        <v>371.19999999999902</v>
      </c>
      <c r="Y968">
        <v>382.12</v>
      </c>
      <c r="Z968">
        <v>380.09333333333302</v>
      </c>
      <c r="AA968">
        <v>374.64666666666602</v>
      </c>
      <c r="AB968">
        <v>374.64666666666602</v>
      </c>
      <c r="AC968">
        <v>419.49666666666599</v>
      </c>
      <c r="AD968">
        <v>380.183333333333</v>
      </c>
      <c r="AE968">
        <v>405.736666666666</v>
      </c>
      <c r="AF968">
        <v>394.55666666666599</v>
      </c>
      <c r="AG968">
        <v>387.15666666666601</v>
      </c>
      <c r="AH968">
        <v>383.52</v>
      </c>
      <c r="AI968">
        <v>419.00666666666598</v>
      </c>
      <c r="AJ968">
        <v>384.46666666666601</v>
      </c>
      <c r="AK968">
        <v>406.96333333333303</v>
      </c>
      <c r="AL968">
        <v>391.183333333333</v>
      </c>
      <c r="AM968">
        <v>383.8</v>
      </c>
      <c r="AN968">
        <v>378.20666666666602</v>
      </c>
      <c r="AO968">
        <v>407.45666666666602</v>
      </c>
      <c r="AP968">
        <v>342.363333333333</v>
      </c>
      <c r="AQ968">
        <v>388.78666666666601</v>
      </c>
      <c r="AR968">
        <v>357.486666666666</v>
      </c>
      <c r="AS968">
        <v>340.44</v>
      </c>
      <c r="AT968">
        <v>326.83333333333297</v>
      </c>
      <c r="AU968">
        <v>423.3</v>
      </c>
      <c r="AV968">
        <v>371.18666666666599</v>
      </c>
      <c r="AW968">
        <v>406.49</v>
      </c>
      <c r="AX968">
        <v>383.19999999999902</v>
      </c>
      <c r="AY968">
        <v>371.03</v>
      </c>
      <c r="AZ968">
        <v>362.06</v>
      </c>
      <c r="BA968">
        <v>413.20666666666602</v>
      </c>
      <c r="BB968">
        <v>360.47666666666601</v>
      </c>
      <c r="BC968">
        <v>396.05</v>
      </c>
      <c r="BD968">
        <v>372.46</v>
      </c>
      <c r="BE968">
        <v>359.98333333333301</v>
      </c>
      <c r="BF968">
        <v>350.51333333333298</v>
      </c>
      <c r="BG968" s="14"/>
      <c r="BH968" s="14"/>
      <c r="BI968" s="14"/>
      <c r="BJ968" s="199"/>
      <c r="BK968" s="14"/>
      <c r="BL968" s="14"/>
      <c r="BM968" s="14"/>
      <c r="BN968" s="14"/>
      <c r="BO968" s="14"/>
      <c r="BP968" s="14"/>
      <c r="BQ968" s="14"/>
      <c r="BR968" s="14"/>
      <c r="BS968" s="14"/>
      <c r="BT968" s="14"/>
      <c r="BU968" s="14"/>
      <c r="BV968" s="14"/>
      <c r="BW968" s="14"/>
      <c r="BX968" s="14"/>
      <c r="BY968" s="170"/>
    </row>
    <row r="969" spans="8:77" x14ac:dyDescent="0.25">
      <c r="I969">
        <v>9981</v>
      </c>
      <c r="J969" s="1" t="s">
        <v>1135</v>
      </c>
      <c r="K969">
        <v>419.00666666666598</v>
      </c>
      <c r="L969">
        <v>384.46666666666601</v>
      </c>
      <c r="M969">
        <v>406.96333333333303</v>
      </c>
      <c r="N969">
        <v>391.183333333333</v>
      </c>
      <c r="O969">
        <v>383.8</v>
      </c>
      <c r="P969">
        <v>378.20666666666602</v>
      </c>
      <c r="Q969">
        <v>397.18</v>
      </c>
      <c r="R969">
        <v>341.98333333333301</v>
      </c>
      <c r="S969">
        <v>378.55</v>
      </c>
      <c r="T969">
        <v>354.66333333333301</v>
      </c>
      <c r="U969">
        <v>341.683333333333</v>
      </c>
      <c r="V969">
        <v>331.84333333333302</v>
      </c>
      <c r="W969">
        <v>399.92333333333301</v>
      </c>
      <c r="X969">
        <v>371.19999999999902</v>
      </c>
      <c r="Y969">
        <v>382.12</v>
      </c>
      <c r="Z969">
        <v>380.09333333333302</v>
      </c>
      <c r="AA969">
        <v>374.64666666666602</v>
      </c>
      <c r="AB969">
        <v>374.64666666666602</v>
      </c>
      <c r="AC969">
        <v>419.49666666666599</v>
      </c>
      <c r="AD969">
        <v>380.183333333333</v>
      </c>
      <c r="AE969">
        <v>405.736666666666</v>
      </c>
      <c r="AF969">
        <v>394.55666666666599</v>
      </c>
      <c r="AG969">
        <v>387.15666666666601</v>
      </c>
      <c r="AH969">
        <v>383.52</v>
      </c>
      <c r="AI969">
        <v>419.00666666666598</v>
      </c>
      <c r="AJ969">
        <v>384.46666666666601</v>
      </c>
      <c r="AK969">
        <v>406.96333333333303</v>
      </c>
      <c r="AL969">
        <v>391.183333333333</v>
      </c>
      <c r="AM969">
        <v>383.8</v>
      </c>
      <c r="AN969">
        <v>378.20666666666602</v>
      </c>
      <c r="AO969">
        <v>407.45666666666602</v>
      </c>
      <c r="AP969">
        <v>342.363333333333</v>
      </c>
      <c r="AQ969">
        <v>388.78666666666601</v>
      </c>
      <c r="AR969">
        <v>357.486666666666</v>
      </c>
      <c r="AS969">
        <v>340.44</v>
      </c>
      <c r="AT969">
        <v>326.83333333333297</v>
      </c>
      <c r="AU969">
        <v>423.3</v>
      </c>
      <c r="AV969">
        <v>371.18666666666599</v>
      </c>
      <c r="AW969">
        <v>406.49</v>
      </c>
      <c r="AX969">
        <v>383.19999999999902</v>
      </c>
      <c r="AY969">
        <v>371.03</v>
      </c>
      <c r="AZ969">
        <v>362.06</v>
      </c>
      <c r="BA969">
        <v>413.20666666666602</v>
      </c>
      <c r="BB969">
        <v>360.47666666666601</v>
      </c>
      <c r="BC969">
        <v>396.05</v>
      </c>
      <c r="BD969">
        <v>372.46</v>
      </c>
      <c r="BE969">
        <v>359.98333333333301</v>
      </c>
      <c r="BF969">
        <v>350.51333333333298</v>
      </c>
      <c r="BG969" s="14"/>
      <c r="BH969" s="14"/>
      <c r="BI969" s="14"/>
      <c r="BJ969" s="199"/>
      <c r="BK969" s="14"/>
      <c r="BL969" s="14"/>
      <c r="BM969" s="14"/>
      <c r="BN969" s="14"/>
      <c r="BO969" s="14"/>
      <c r="BP969" s="14"/>
      <c r="BQ969" s="14"/>
      <c r="BR969" s="14"/>
      <c r="BS969" s="14"/>
      <c r="BT969" s="14"/>
      <c r="BU969" s="14"/>
      <c r="BV969" s="14"/>
      <c r="BW969" s="14"/>
      <c r="BX969" s="14"/>
      <c r="BY969" s="170"/>
    </row>
    <row r="970" spans="8:77" x14ac:dyDescent="0.25">
      <c r="I970">
        <v>9982</v>
      </c>
      <c r="J970" s="1" t="s">
        <v>1136</v>
      </c>
      <c r="K970">
        <v>426.11666666666599</v>
      </c>
      <c r="L970">
        <v>391.57666666666597</v>
      </c>
      <c r="M970">
        <v>414.07333333333298</v>
      </c>
      <c r="N970">
        <v>398.29333333333301</v>
      </c>
      <c r="O970">
        <v>390.91</v>
      </c>
      <c r="P970">
        <v>385.31666666666598</v>
      </c>
      <c r="Q970">
        <v>404.289999999999</v>
      </c>
      <c r="R970">
        <v>349.09333333333302</v>
      </c>
      <c r="S970">
        <v>385.659999999999</v>
      </c>
      <c r="T970">
        <v>361.77333333333303</v>
      </c>
      <c r="U970">
        <v>348.79333333333301</v>
      </c>
      <c r="V970">
        <v>338.95333333333298</v>
      </c>
      <c r="W970">
        <v>407.03333333333302</v>
      </c>
      <c r="X970">
        <v>378.30999999999898</v>
      </c>
      <c r="Y970">
        <v>389.229999999999</v>
      </c>
      <c r="Z970">
        <v>387.20333333333298</v>
      </c>
      <c r="AA970">
        <v>381.75666666666598</v>
      </c>
      <c r="AB970">
        <v>381.75666666666598</v>
      </c>
      <c r="AC970">
        <v>426.606666666666</v>
      </c>
      <c r="AD970">
        <v>387.29333333333301</v>
      </c>
      <c r="AE970">
        <v>412.84666666666601</v>
      </c>
      <c r="AF970">
        <v>401.666666666666</v>
      </c>
      <c r="AG970">
        <v>394.26666666666603</v>
      </c>
      <c r="AH970">
        <v>390.63</v>
      </c>
      <c r="AI970">
        <v>426.11666666666599</v>
      </c>
      <c r="AJ970">
        <v>391.57666666666597</v>
      </c>
      <c r="AK970">
        <v>414.07333333333298</v>
      </c>
      <c r="AL970">
        <v>398.29333333333301</v>
      </c>
      <c r="AM970">
        <v>390.91</v>
      </c>
      <c r="AN970">
        <v>385.31666666666598</v>
      </c>
      <c r="AO970">
        <v>414.56666666666598</v>
      </c>
      <c r="AP970">
        <v>349.47333333333302</v>
      </c>
      <c r="AQ970">
        <v>395.89666666666602</v>
      </c>
      <c r="AR970">
        <v>364.59666666666601</v>
      </c>
      <c r="AS970">
        <v>347.55</v>
      </c>
      <c r="AT970">
        <v>333.94333333333299</v>
      </c>
      <c r="AU970">
        <v>430.41</v>
      </c>
      <c r="AV970">
        <v>378.296666666666</v>
      </c>
      <c r="AW970">
        <v>413.6</v>
      </c>
      <c r="AX970">
        <v>390.30999999999898</v>
      </c>
      <c r="AY970">
        <v>378.14</v>
      </c>
      <c r="AZ970">
        <v>369.17</v>
      </c>
      <c r="BA970">
        <v>420.31666666666598</v>
      </c>
      <c r="BB970">
        <v>367.58666666666602</v>
      </c>
      <c r="BC970">
        <v>403.159999999999</v>
      </c>
      <c r="BD970">
        <v>379.56999999999903</v>
      </c>
      <c r="BE970">
        <v>367.09333333333302</v>
      </c>
      <c r="BF970">
        <v>357.62333333333299</v>
      </c>
      <c r="BG970" s="14"/>
      <c r="BH970" s="14"/>
      <c r="BI970" s="14"/>
      <c r="BJ970" s="199"/>
      <c r="BK970" s="14"/>
      <c r="BL970" s="14"/>
      <c r="BM970" s="14"/>
      <c r="BN970" s="14"/>
      <c r="BO970" s="14"/>
      <c r="BP970" s="14"/>
      <c r="BQ970" s="14"/>
      <c r="BR970" s="14"/>
      <c r="BS970" s="14"/>
      <c r="BT970" s="14"/>
      <c r="BU970" s="14"/>
      <c r="BV970" s="14"/>
      <c r="BW970" s="14"/>
      <c r="BX970" s="14"/>
      <c r="BY970" s="170"/>
    </row>
    <row r="971" spans="8:77" x14ac:dyDescent="0.25">
      <c r="I971">
        <v>9990</v>
      </c>
      <c r="J971" s="1" t="s">
        <v>1137</v>
      </c>
      <c r="K971">
        <v>374.046666666666</v>
      </c>
      <c r="L971">
        <v>339.50666666666598</v>
      </c>
      <c r="M971">
        <v>362.00333333333299</v>
      </c>
      <c r="N971">
        <v>346.22333333333302</v>
      </c>
      <c r="O971">
        <v>338.84</v>
      </c>
      <c r="P971">
        <v>333.24666666666599</v>
      </c>
      <c r="Q971">
        <v>352.22</v>
      </c>
      <c r="R971">
        <v>297.02333333333303</v>
      </c>
      <c r="S971">
        <v>333.58999999999901</v>
      </c>
      <c r="T971">
        <v>309.70333333333298</v>
      </c>
      <c r="U971">
        <v>296.72333333333302</v>
      </c>
      <c r="V971">
        <v>286.88333333333298</v>
      </c>
      <c r="W971">
        <v>354.96333333333303</v>
      </c>
      <c r="X971">
        <v>326.23999999999899</v>
      </c>
      <c r="Y971">
        <v>337.159999999999</v>
      </c>
      <c r="Z971">
        <v>335.13333333333298</v>
      </c>
      <c r="AA971">
        <v>329.68666666666599</v>
      </c>
      <c r="AB971">
        <v>329.68666666666599</v>
      </c>
      <c r="AC971">
        <v>374.53666666666601</v>
      </c>
      <c r="AD971">
        <v>335.22333333333302</v>
      </c>
      <c r="AE971">
        <v>360.77666666666602</v>
      </c>
      <c r="AF971">
        <v>349.59666666666601</v>
      </c>
      <c r="AG971">
        <v>342.19666666666598</v>
      </c>
      <c r="AH971">
        <v>338.56</v>
      </c>
      <c r="AI971">
        <v>374.046666666666</v>
      </c>
      <c r="AJ971">
        <v>339.50666666666598</v>
      </c>
      <c r="AK971">
        <v>362.00333333333299</v>
      </c>
      <c r="AL971">
        <v>346.22333333333302</v>
      </c>
      <c r="AM971">
        <v>338.84</v>
      </c>
      <c r="AN971">
        <v>333.24666666666599</v>
      </c>
      <c r="AO971">
        <v>362.49666666666599</v>
      </c>
      <c r="AP971">
        <v>297.40333333333302</v>
      </c>
      <c r="AQ971">
        <v>343.82666666666597</v>
      </c>
      <c r="AR971">
        <v>312.52666666666602</v>
      </c>
      <c r="AS971">
        <v>295.48</v>
      </c>
      <c r="AT971">
        <v>281.87333333333299</v>
      </c>
      <c r="AU971">
        <v>378.34</v>
      </c>
      <c r="AV971">
        <v>326.22666666666601</v>
      </c>
      <c r="AW971">
        <v>361.53</v>
      </c>
      <c r="AX971">
        <v>338.23999999999899</v>
      </c>
      <c r="AY971">
        <v>326.07</v>
      </c>
      <c r="AZ971">
        <v>317.10000000000002</v>
      </c>
      <c r="BA971">
        <v>368.24666666666599</v>
      </c>
      <c r="BB971">
        <v>315.51666666666603</v>
      </c>
      <c r="BC971">
        <v>351.08999999999901</v>
      </c>
      <c r="BD971">
        <v>327.5</v>
      </c>
      <c r="BE971">
        <v>315.02333333333303</v>
      </c>
      <c r="BF971">
        <v>305.553333333333</v>
      </c>
      <c r="BG971" s="14"/>
      <c r="BH971" s="14"/>
      <c r="BI971" s="14"/>
      <c r="BJ971" s="199"/>
      <c r="BK971" s="14"/>
      <c r="BL971" s="14"/>
      <c r="BM971" s="14"/>
      <c r="BN971" s="14"/>
      <c r="BO971" s="14"/>
      <c r="BP971" s="14"/>
      <c r="BQ971" s="14"/>
      <c r="BR971" s="14"/>
      <c r="BS971" s="14"/>
      <c r="BT971" s="14"/>
      <c r="BU971" s="14"/>
      <c r="BV971" s="14"/>
      <c r="BW971" s="14"/>
      <c r="BX971" s="14"/>
      <c r="BY971" s="170"/>
    </row>
    <row r="975" spans="8:77" x14ac:dyDescent="0.25">
      <c r="L975" s="4" t="s">
        <v>2191</v>
      </c>
      <c r="M975" s="4"/>
      <c r="N975" s="4"/>
      <c r="O975" s="4"/>
      <c r="P975" s="4"/>
      <c r="Q975" s="4"/>
      <c r="R975" s="4"/>
      <c r="S975" s="4"/>
    </row>
    <row r="976" spans="8:77" x14ac:dyDescent="0.25">
      <c r="H976" s="3" t="s">
        <v>2148</v>
      </c>
      <c r="I976" t="s">
        <v>2147</v>
      </c>
      <c r="J976" t="s">
        <v>2150</v>
      </c>
      <c r="K976" t="s">
        <v>2149</v>
      </c>
      <c r="L976" t="s">
        <v>2134</v>
      </c>
      <c r="M976" t="s">
        <v>2135</v>
      </c>
      <c r="N976" t="s">
        <v>2136</v>
      </c>
      <c r="O976" t="s">
        <v>2137</v>
      </c>
      <c r="P976" t="s">
        <v>2138</v>
      </c>
      <c r="Q976" t="s">
        <v>2139</v>
      </c>
      <c r="R976" t="s">
        <v>2140</v>
      </c>
      <c r="S976" t="s">
        <v>2141</v>
      </c>
      <c r="T976" t="s">
        <v>2142</v>
      </c>
      <c r="U976" t="s">
        <v>2143</v>
      </c>
      <c r="V976" t="s">
        <v>2145</v>
      </c>
      <c r="W976" t="s">
        <v>2144</v>
      </c>
    </row>
    <row r="977" spans="8:23" x14ac:dyDescent="0.25">
      <c r="I977">
        <v>2</v>
      </c>
      <c r="J977">
        <v>3</v>
      </c>
      <c r="K977">
        <v>4</v>
      </c>
      <c r="L977">
        <v>5</v>
      </c>
      <c r="M977">
        <v>6</v>
      </c>
      <c r="N977">
        <v>7</v>
      </c>
      <c r="O977">
        <v>8</v>
      </c>
      <c r="P977">
        <v>9</v>
      </c>
      <c r="Q977">
        <v>10</v>
      </c>
      <c r="R977">
        <v>11</v>
      </c>
      <c r="S977">
        <v>12</v>
      </c>
      <c r="T977">
        <v>13</v>
      </c>
      <c r="U977">
        <v>14</v>
      </c>
      <c r="V977">
        <v>15</v>
      </c>
      <c r="W977">
        <v>16</v>
      </c>
    </row>
    <row r="978" spans="8:23" x14ac:dyDescent="0.25">
      <c r="H978">
        <v>1</v>
      </c>
      <c r="I978">
        <v>39</v>
      </c>
      <c r="J978" t="s">
        <v>251</v>
      </c>
      <c r="L978">
        <f>$R$1080</f>
        <v>7</v>
      </c>
      <c r="M978">
        <f>L978+1</f>
        <v>8</v>
      </c>
      <c r="N978">
        <f t="shared" ref="N978:W978" si="28">M978+1</f>
        <v>9</v>
      </c>
      <c r="O978">
        <f t="shared" si="28"/>
        <v>10</v>
      </c>
      <c r="P978">
        <f t="shared" si="28"/>
        <v>11</v>
      </c>
      <c r="Q978">
        <f t="shared" si="28"/>
        <v>12</v>
      </c>
      <c r="R978">
        <f t="shared" si="28"/>
        <v>13</v>
      </c>
      <c r="S978">
        <f t="shared" si="28"/>
        <v>14</v>
      </c>
      <c r="T978">
        <f t="shared" si="28"/>
        <v>15</v>
      </c>
      <c r="U978">
        <f t="shared" si="28"/>
        <v>16</v>
      </c>
      <c r="V978">
        <f t="shared" si="28"/>
        <v>17</v>
      </c>
      <c r="W978">
        <f t="shared" si="28"/>
        <v>18</v>
      </c>
    </row>
    <row r="979" spans="8:23" x14ac:dyDescent="0.25">
      <c r="H979">
        <v>2</v>
      </c>
      <c r="I979">
        <v>41</v>
      </c>
      <c r="J979" t="s">
        <v>73</v>
      </c>
      <c r="L979">
        <f>$R$1080</f>
        <v>7</v>
      </c>
      <c r="M979">
        <f>L979+1</f>
        <v>8</v>
      </c>
      <c r="N979">
        <f t="shared" ref="N979:W979" si="29">M979+1</f>
        <v>9</v>
      </c>
      <c r="O979">
        <f t="shared" si="29"/>
        <v>10</v>
      </c>
      <c r="P979">
        <f t="shared" si="29"/>
        <v>11</v>
      </c>
      <c r="Q979">
        <f t="shared" si="29"/>
        <v>12</v>
      </c>
      <c r="R979">
        <f t="shared" si="29"/>
        <v>13</v>
      </c>
      <c r="S979">
        <f t="shared" si="29"/>
        <v>14</v>
      </c>
      <c r="T979">
        <f t="shared" si="29"/>
        <v>15</v>
      </c>
      <c r="U979">
        <f t="shared" si="29"/>
        <v>16</v>
      </c>
      <c r="V979">
        <f t="shared" si="29"/>
        <v>17</v>
      </c>
      <c r="W979">
        <f t="shared" si="29"/>
        <v>18</v>
      </c>
    </row>
    <row r="980" spans="8:23" x14ac:dyDescent="0.25">
      <c r="H980">
        <v>3</v>
      </c>
      <c r="I980">
        <v>12</v>
      </c>
      <c r="J980" t="s">
        <v>50</v>
      </c>
      <c r="L980">
        <f>$R$1080</f>
        <v>7</v>
      </c>
      <c r="M980">
        <f>L980+1</f>
        <v>8</v>
      </c>
      <c r="N980">
        <f t="shared" ref="N980:W980" si="30">M980+1</f>
        <v>9</v>
      </c>
      <c r="O980">
        <f t="shared" si="30"/>
        <v>10</v>
      </c>
      <c r="P980">
        <f t="shared" si="30"/>
        <v>11</v>
      </c>
      <c r="Q980">
        <f t="shared" si="30"/>
        <v>12</v>
      </c>
      <c r="R980">
        <f t="shared" si="30"/>
        <v>13</v>
      </c>
      <c r="S980">
        <f t="shared" si="30"/>
        <v>14</v>
      </c>
      <c r="T980">
        <f t="shared" si="30"/>
        <v>15</v>
      </c>
      <c r="U980">
        <f t="shared" si="30"/>
        <v>16</v>
      </c>
      <c r="V980">
        <f t="shared" si="30"/>
        <v>17</v>
      </c>
      <c r="W980">
        <f t="shared" si="30"/>
        <v>18</v>
      </c>
    </row>
    <row r="981" spans="8:23" x14ac:dyDescent="0.25">
      <c r="H981">
        <v>4</v>
      </c>
      <c r="I981">
        <v>39</v>
      </c>
      <c r="J981" t="s">
        <v>2146</v>
      </c>
      <c r="K981" t="s">
        <v>251</v>
      </c>
      <c r="L981">
        <f>$R$1080</f>
        <v>7</v>
      </c>
      <c r="M981">
        <f>L981+1</f>
        <v>8</v>
      </c>
      <c r="N981">
        <f t="shared" ref="N981:W981" si="31">M981+1</f>
        <v>9</v>
      </c>
      <c r="O981">
        <f t="shared" si="31"/>
        <v>10</v>
      </c>
      <c r="P981">
        <f t="shared" si="31"/>
        <v>11</v>
      </c>
      <c r="Q981">
        <f t="shared" si="31"/>
        <v>12</v>
      </c>
      <c r="R981">
        <f t="shared" si="31"/>
        <v>13</v>
      </c>
      <c r="S981">
        <f t="shared" si="31"/>
        <v>14</v>
      </c>
      <c r="T981">
        <f t="shared" si="31"/>
        <v>15</v>
      </c>
      <c r="U981">
        <f t="shared" si="31"/>
        <v>16</v>
      </c>
      <c r="V981">
        <f t="shared" si="31"/>
        <v>17</v>
      </c>
      <c r="W981">
        <f t="shared" si="31"/>
        <v>18</v>
      </c>
    </row>
    <row r="982" spans="8:23" x14ac:dyDescent="0.25">
      <c r="H982">
        <v>5</v>
      </c>
      <c r="I982">
        <v>23</v>
      </c>
      <c r="J982" t="s">
        <v>59</v>
      </c>
      <c r="L982">
        <f>$R$1106</f>
        <v>33</v>
      </c>
    </row>
    <row r="983" spans="8:23" x14ac:dyDescent="0.25">
      <c r="H983">
        <v>7</v>
      </c>
      <c r="I983">
        <v>39</v>
      </c>
      <c r="J983" t="s">
        <v>2040</v>
      </c>
      <c r="K983" t="s">
        <v>251</v>
      </c>
      <c r="L983">
        <f>$R$1080</f>
        <v>7</v>
      </c>
      <c r="M983">
        <f>L983+1</f>
        <v>8</v>
      </c>
      <c r="N983">
        <f t="shared" ref="N983:W983" si="32">M983+1</f>
        <v>9</v>
      </c>
      <c r="O983">
        <f t="shared" si="32"/>
        <v>10</v>
      </c>
      <c r="P983">
        <f t="shared" si="32"/>
        <v>11</v>
      </c>
      <c r="Q983">
        <f t="shared" si="32"/>
        <v>12</v>
      </c>
      <c r="R983">
        <f t="shared" si="32"/>
        <v>13</v>
      </c>
      <c r="S983">
        <f t="shared" si="32"/>
        <v>14</v>
      </c>
      <c r="T983">
        <f t="shared" si="32"/>
        <v>15</v>
      </c>
      <c r="U983">
        <f t="shared" si="32"/>
        <v>16</v>
      </c>
      <c r="V983">
        <f t="shared" si="32"/>
        <v>17</v>
      </c>
      <c r="W983">
        <f t="shared" si="32"/>
        <v>18</v>
      </c>
    </row>
    <row r="984" spans="8:23" x14ac:dyDescent="0.25">
      <c r="H984">
        <v>10</v>
      </c>
      <c r="I984">
        <v>33</v>
      </c>
      <c r="J984" t="s">
        <v>66</v>
      </c>
      <c r="L984">
        <f>$R$1100</f>
        <v>27</v>
      </c>
      <c r="M984">
        <f>L984+1</f>
        <v>28</v>
      </c>
    </row>
    <row r="985" spans="8:23" x14ac:dyDescent="0.25">
      <c r="H985">
        <v>11</v>
      </c>
      <c r="I985">
        <v>34</v>
      </c>
      <c r="J985" t="s">
        <v>552</v>
      </c>
      <c r="L985">
        <f>$R$1092</f>
        <v>19</v>
      </c>
      <c r="M985">
        <f t="shared" ref="M985:S986" si="33">L985+1</f>
        <v>20</v>
      </c>
      <c r="N985">
        <f t="shared" si="33"/>
        <v>21</v>
      </c>
      <c r="O985">
        <f t="shared" si="33"/>
        <v>22</v>
      </c>
      <c r="P985">
        <f t="shared" si="33"/>
        <v>23</v>
      </c>
      <c r="Q985">
        <f t="shared" si="33"/>
        <v>24</v>
      </c>
      <c r="R985">
        <f t="shared" si="33"/>
        <v>25</v>
      </c>
      <c r="S985">
        <f t="shared" si="33"/>
        <v>26</v>
      </c>
    </row>
    <row r="986" spans="8:23" x14ac:dyDescent="0.25">
      <c r="H986">
        <v>13</v>
      </c>
      <c r="I986">
        <v>35</v>
      </c>
      <c r="J986" t="s">
        <v>1751</v>
      </c>
      <c r="L986">
        <f>$R$1092</f>
        <v>19</v>
      </c>
      <c r="M986">
        <f t="shared" si="33"/>
        <v>20</v>
      </c>
      <c r="N986">
        <f t="shared" si="33"/>
        <v>21</v>
      </c>
      <c r="O986">
        <f t="shared" si="33"/>
        <v>22</v>
      </c>
      <c r="P986">
        <f t="shared" si="33"/>
        <v>23</v>
      </c>
      <c r="Q986">
        <f t="shared" si="33"/>
        <v>24</v>
      </c>
      <c r="R986">
        <f t="shared" si="33"/>
        <v>25</v>
      </c>
      <c r="S986">
        <f t="shared" si="33"/>
        <v>26</v>
      </c>
    </row>
    <row r="987" spans="8:23" x14ac:dyDescent="0.25">
      <c r="H987">
        <v>14</v>
      </c>
      <c r="I987">
        <v>37</v>
      </c>
      <c r="J987" t="s">
        <v>70</v>
      </c>
      <c r="L987">
        <f>$R$1105</f>
        <v>32</v>
      </c>
    </row>
    <row r="988" spans="8:23" x14ac:dyDescent="0.25">
      <c r="H988">
        <v>15</v>
      </c>
      <c r="I988">
        <v>16</v>
      </c>
      <c r="J988" t="s">
        <v>52</v>
      </c>
      <c r="L988">
        <f>$R$1105</f>
        <v>32</v>
      </c>
    </row>
    <row r="989" spans="8:23" x14ac:dyDescent="0.25">
      <c r="H989">
        <v>16</v>
      </c>
      <c r="I989">
        <v>32</v>
      </c>
      <c r="J989" t="s">
        <v>64</v>
      </c>
      <c r="L989">
        <f>$R$1092</f>
        <v>19</v>
      </c>
      <c r="M989">
        <f t="shared" ref="M989:S989" si="34">L989+1</f>
        <v>20</v>
      </c>
      <c r="N989">
        <f t="shared" si="34"/>
        <v>21</v>
      </c>
      <c r="O989">
        <f t="shared" si="34"/>
        <v>22</v>
      </c>
      <c r="P989">
        <f t="shared" si="34"/>
        <v>23</v>
      </c>
      <c r="Q989">
        <f t="shared" si="34"/>
        <v>24</v>
      </c>
      <c r="R989">
        <f t="shared" si="34"/>
        <v>25</v>
      </c>
      <c r="S989">
        <f t="shared" si="34"/>
        <v>26</v>
      </c>
    </row>
    <row r="990" spans="8:23" x14ac:dyDescent="0.25">
      <c r="H990">
        <v>17</v>
      </c>
      <c r="I990">
        <v>37</v>
      </c>
      <c r="J990" t="s">
        <v>2040</v>
      </c>
      <c r="K990" t="s">
        <v>70</v>
      </c>
      <c r="L990">
        <f>$R$1105</f>
        <v>32</v>
      </c>
    </row>
    <row r="991" spans="8:23" x14ac:dyDescent="0.25">
      <c r="H991">
        <v>21</v>
      </c>
      <c r="I991">
        <v>42</v>
      </c>
      <c r="J991" t="s">
        <v>74</v>
      </c>
      <c r="L991">
        <f>$R$1103</f>
        <v>30</v>
      </c>
    </row>
    <row r="992" spans="8:23" x14ac:dyDescent="0.25">
      <c r="H992">
        <v>22</v>
      </c>
      <c r="I992">
        <v>36</v>
      </c>
      <c r="J992" t="s">
        <v>69</v>
      </c>
      <c r="L992">
        <f>$R$1102</f>
        <v>29</v>
      </c>
    </row>
    <row r="993" spans="8:13" x14ac:dyDescent="0.25">
      <c r="H993">
        <v>30</v>
      </c>
      <c r="I993">
        <v>24</v>
      </c>
      <c r="J993" t="s">
        <v>61</v>
      </c>
      <c r="L993">
        <f>$R$1104</f>
        <v>31</v>
      </c>
    </row>
    <row r="994" spans="8:13" x14ac:dyDescent="0.25">
      <c r="H994">
        <v>31</v>
      </c>
      <c r="I994">
        <v>24</v>
      </c>
      <c r="J994" t="s">
        <v>2039</v>
      </c>
      <c r="K994" t="s">
        <v>61</v>
      </c>
      <c r="L994">
        <f>$R$1104</f>
        <v>31</v>
      </c>
    </row>
    <row r="995" spans="8:13" x14ac:dyDescent="0.25">
      <c r="H995">
        <v>32</v>
      </c>
      <c r="I995">
        <v>24</v>
      </c>
      <c r="K995" t="s">
        <v>61</v>
      </c>
      <c r="L995">
        <f>$R$1104</f>
        <v>31</v>
      </c>
    </row>
    <row r="996" spans="8:13" x14ac:dyDescent="0.25">
      <c r="H996">
        <v>36</v>
      </c>
      <c r="I996">
        <v>24</v>
      </c>
      <c r="J996" t="s">
        <v>2151</v>
      </c>
      <c r="K996" t="s">
        <v>61</v>
      </c>
      <c r="L996">
        <f>$R$1104</f>
        <v>31</v>
      </c>
    </row>
    <row r="997" spans="8:13" x14ac:dyDescent="0.25">
      <c r="H997">
        <v>101</v>
      </c>
      <c r="I997">
        <v>2</v>
      </c>
      <c r="J997" t="s">
        <v>45</v>
      </c>
      <c r="L997">
        <f>$R$1113</f>
        <v>40</v>
      </c>
    </row>
    <row r="998" spans="8:13" x14ac:dyDescent="0.25">
      <c r="H998">
        <v>102</v>
      </c>
      <c r="I998">
        <v>2</v>
      </c>
      <c r="J998" t="s">
        <v>2041</v>
      </c>
      <c r="K998" t="s">
        <v>2152</v>
      </c>
      <c r="L998">
        <f>$R$1113</f>
        <v>40</v>
      </c>
    </row>
    <row r="999" spans="8:13" x14ac:dyDescent="0.25">
      <c r="H999">
        <v>103</v>
      </c>
      <c r="I999">
        <v>2</v>
      </c>
      <c r="J999" t="s">
        <v>2042</v>
      </c>
      <c r="K999" t="s">
        <v>2152</v>
      </c>
      <c r="L999">
        <f>$R$1113</f>
        <v>40</v>
      </c>
    </row>
    <row r="1000" spans="8:13" x14ac:dyDescent="0.25">
      <c r="H1000">
        <v>104</v>
      </c>
      <c r="I1000">
        <v>2</v>
      </c>
      <c r="J1000" t="s">
        <v>2042</v>
      </c>
      <c r="K1000" t="s">
        <v>2152</v>
      </c>
      <c r="L1000">
        <f>$R$1113</f>
        <v>40</v>
      </c>
    </row>
    <row r="1001" spans="8:13" x14ac:dyDescent="0.25">
      <c r="H1001">
        <v>105</v>
      </c>
      <c r="I1001">
        <v>29</v>
      </c>
      <c r="J1001" t="s">
        <v>2043</v>
      </c>
      <c r="K1001" t="s">
        <v>62</v>
      </c>
      <c r="L1001">
        <f t="shared" ref="L1001:L1007" si="35">$R$1114</f>
        <v>41</v>
      </c>
      <c r="M1001">
        <f>L1001+1</f>
        <v>42</v>
      </c>
    </row>
    <row r="1002" spans="8:13" x14ac:dyDescent="0.25">
      <c r="H1002">
        <v>106</v>
      </c>
      <c r="I1002">
        <v>29</v>
      </c>
      <c r="J1002" t="s">
        <v>2153</v>
      </c>
      <c r="K1002" t="s">
        <v>62</v>
      </c>
      <c r="L1002">
        <f t="shared" si="35"/>
        <v>41</v>
      </c>
      <c r="M1002">
        <f t="shared" ref="M1002:M1011" si="36">L1002+1</f>
        <v>42</v>
      </c>
    </row>
    <row r="1003" spans="8:13" x14ac:dyDescent="0.25">
      <c r="H1003">
        <v>107</v>
      </c>
      <c r="I1003">
        <v>29</v>
      </c>
      <c r="J1003" t="s">
        <v>2044</v>
      </c>
      <c r="K1003" t="s">
        <v>62</v>
      </c>
      <c r="L1003">
        <f t="shared" si="35"/>
        <v>41</v>
      </c>
      <c r="M1003">
        <f t="shared" si="36"/>
        <v>42</v>
      </c>
    </row>
    <row r="1004" spans="8:13" x14ac:dyDescent="0.25">
      <c r="H1004">
        <v>108</v>
      </c>
      <c r="I1004">
        <v>29</v>
      </c>
      <c r="J1004" t="s">
        <v>62</v>
      </c>
      <c r="K1004" t="s">
        <v>62</v>
      </c>
      <c r="L1004">
        <f t="shared" si="35"/>
        <v>41</v>
      </c>
      <c r="M1004">
        <f t="shared" si="36"/>
        <v>42</v>
      </c>
    </row>
    <row r="1005" spans="8:13" x14ac:dyDescent="0.25">
      <c r="H1005">
        <v>109</v>
      </c>
      <c r="I1005">
        <v>29</v>
      </c>
      <c r="J1005" t="s">
        <v>2045</v>
      </c>
      <c r="K1005" t="s">
        <v>62</v>
      </c>
      <c r="L1005">
        <f t="shared" si="35"/>
        <v>41</v>
      </c>
      <c r="M1005">
        <f t="shared" si="36"/>
        <v>42</v>
      </c>
    </row>
    <row r="1006" spans="8:13" x14ac:dyDescent="0.25">
      <c r="H1006">
        <v>110</v>
      </c>
      <c r="I1006">
        <v>29</v>
      </c>
      <c r="J1006" t="s">
        <v>2154</v>
      </c>
      <c r="K1006" t="s">
        <v>62</v>
      </c>
      <c r="L1006">
        <f t="shared" si="35"/>
        <v>41</v>
      </c>
      <c r="M1006">
        <f t="shared" si="36"/>
        <v>42</v>
      </c>
    </row>
    <row r="1007" spans="8:13" x14ac:dyDescent="0.25">
      <c r="H1007">
        <v>111</v>
      </c>
      <c r="I1007">
        <v>29</v>
      </c>
      <c r="J1007" t="s">
        <v>2046</v>
      </c>
      <c r="K1007" t="s">
        <v>62</v>
      </c>
      <c r="L1007">
        <f t="shared" si="35"/>
        <v>41</v>
      </c>
      <c r="M1007">
        <f t="shared" si="36"/>
        <v>42</v>
      </c>
    </row>
    <row r="1008" spans="8:13" x14ac:dyDescent="0.25">
      <c r="H1008">
        <v>112</v>
      </c>
      <c r="I1008">
        <v>7</v>
      </c>
      <c r="J1008" t="s">
        <v>48</v>
      </c>
      <c r="L1008">
        <f>$R$1116</f>
        <v>43</v>
      </c>
      <c r="M1008">
        <f t="shared" si="36"/>
        <v>44</v>
      </c>
    </row>
    <row r="1009" spans="8:14" x14ac:dyDescent="0.25">
      <c r="H1009">
        <v>113</v>
      </c>
      <c r="I1009">
        <v>8</v>
      </c>
      <c r="J1009" t="s">
        <v>49</v>
      </c>
      <c r="L1009">
        <f>$R$1116</f>
        <v>43</v>
      </c>
      <c r="M1009">
        <f t="shared" si="36"/>
        <v>44</v>
      </c>
    </row>
    <row r="1010" spans="8:14" x14ac:dyDescent="0.25">
      <c r="H1010">
        <v>114</v>
      </c>
      <c r="I1010">
        <v>7</v>
      </c>
      <c r="J1010" t="s">
        <v>2162</v>
      </c>
      <c r="K1010" t="s">
        <v>2161</v>
      </c>
      <c r="L1010">
        <f>$R$1116</f>
        <v>43</v>
      </c>
      <c r="M1010">
        <f t="shared" si="36"/>
        <v>44</v>
      </c>
    </row>
    <row r="1011" spans="8:14" x14ac:dyDescent="0.25">
      <c r="H1011">
        <v>115</v>
      </c>
      <c r="I1011">
        <v>29</v>
      </c>
      <c r="J1011" t="s">
        <v>2047</v>
      </c>
      <c r="K1011" t="s">
        <v>62</v>
      </c>
      <c r="L1011">
        <f>$R$1114</f>
        <v>41</v>
      </c>
      <c r="M1011">
        <f t="shared" si="36"/>
        <v>42</v>
      </c>
    </row>
    <row r="1012" spans="8:14" x14ac:dyDescent="0.25">
      <c r="H1012">
        <v>120</v>
      </c>
      <c r="I1012">
        <v>24</v>
      </c>
      <c r="J1012" t="s">
        <v>2163</v>
      </c>
      <c r="K1012" t="s">
        <v>61</v>
      </c>
      <c r="L1012">
        <f>$R$1104</f>
        <v>31</v>
      </c>
    </row>
    <row r="1013" spans="8:14" x14ac:dyDescent="0.25">
      <c r="H1013">
        <v>124</v>
      </c>
      <c r="I1013">
        <v>42</v>
      </c>
      <c r="J1013" t="s">
        <v>2048</v>
      </c>
      <c r="K1013" t="s">
        <v>75</v>
      </c>
      <c r="L1013">
        <f>$R$1103</f>
        <v>30</v>
      </c>
    </row>
    <row r="1014" spans="8:14" x14ac:dyDescent="0.25">
      <c r="H1014">
        <v>150</v>
      </c>
      <c r="I1014">
        <v>20</v>
      </c>
      <c r="J1014" t="s">
        <v>55</v>
      </c>
      <c r="L1014">
        <f>$R$1118</f>
        <v>45</v>
      </c>
    </row>
    <row r="1015" spans="8:14" x14ac:dyDescent="0.25">
      <c r="H1015">
        <v>151</v>
      </c>
      <c r="I1015">
        <v>31</v>
      </c>
      <c r="J1015" t="s">
        <v>1318</v>
      </c>
      <c r="L1015">
        <f>$R$1118</f>
        <v>45</v>
      </c>
    </row>
    <row r="1016" spans="8:14" x14ac:dyDescent="0.25">
      <c r="H1016">
        <v>152</v>
      </c>
      <c r="I1016">
        <v>30</v>
      </c>
      <c r="J1016" t="s">
        <v>63</v>
      </c>
      <c r="L1016">
        <f>$R$1118</f>
        <v>45</v>
      </c>
    </row>
    <row r="1017" spans="8:14" x14ac:dyDescent="0.25">
      <c r="H1017">
        <v>153</v>
      </c>
      <c r="I1017">
        <v>4</v>
      </c>
      <c r="J1017" t="s">
        <v>1320</v>
      </c>
      <c r="L1017">
        <f>$R$1118</f>
        <v>45</v>
      </c>
    </row>
    <row r="1018" spans="8:14" x14ac:dyDescent="0.25">
      <c r="H1018">
        <v>160</v>
      </c>
      <c r="I1018">
        <v>9</v>
      </c>
      <c r="J1018" t="s">
        <v>246</v>
      </c>
      <c r="L1018">
        <f>$R$1119</f>
        <v>46</v>
      </c>
    </row>
    <row r="1019" spans="8:14" x14ac:dyDescent="0.25">
      <c r="H1019">
        <v>170</v>
      </c>
      <c r="I1019">
        <v>11</v>
      </c>
      <c r="J1019" t="s">
        <v>2181</v>
      </c>
      <c r="K1019" t="s">
        <v>2185</v>
      </c>
      <c r="L1019">
        <f>$R$1110</f>
        <v>37</v>
      </c>
      <c r="M1019">
        <f t="shared" ref="M1019:M1023" si="37">L1019+1</f>
        <v>38</v>
      </c>
    </row>
    <row r="1020" spans="8:14" x14ac:dyDescent="0.25">
      <c r="H1020">
        <v>171</v>
      </c>
      <c r="I1020">
        <v>18</v>
      </c>
      <c r="J1020" t="s">
        <v>2182</v>
      </c>
      <c r="K1020" t="s">
        <v>378</v>
      </c>
      <c r="L1020">
        <f>$R$1108</f>
        <v>35</v>
      </c>
      <c r="M1020">
        <f t="shared" si="37"/>
        <v>36</v>
      </c>
    </row>
    <row r="1021" spans="8:14" x14ac:dyDescent="0.25">
      <c r="H1021">
        <v>172</v>
      </c>
      <c r="I1021">
        <v>18</v>
      </c>
      <c r="J1021" t="s">
        <v>2183</v>
      </c>
      <c r="K1021" t="s">
        <v>378</v>
      </c>
      <c r="L1021">
        <f>$R$1108</f>
        <v>35</v>
      </c>
      <c r="M1021">
        <f t="shared" si="37"/>
        <v>36</v>
      </c>
    </row>
    <row r="1022" spans="8:14" x14ac:dyDescent="0.25">
      <c r="H1022">
        <v>173</v>
      </c>
      <c r="I1022">
        <v>18</v>
      </c>
      <c r="J1022" t="s">
        <v>2184</v>
      </c>
      <c r="K1022" t="s">
        <v>378</v>
      </c>
      <c r="L1022">
        <f>$R$1108</f>
        <v>35</v>
      </c>
      <c r="M1022">
        <f t="shared" si="37"/>
        <v>36</v>
      </c>
    </row>
    <row r="1023" spans="8:14" x14ac:dyDescent="0.25">
      <c r="H1023">
        <v>174</v>
      </c>
      <c r="I1023">
        <v>18</v>
      </c>
      <c r="J1023" t="s">
        <v>2091</v>
      </c>
      <c r="K1023" t="s">
        <v>378</v>
      </c>
      <c r="L1023">
        <f>$R$1108</f>
        <v>35</v>
      </c>
      <c r="M1023">
        <f t="shared" si="37"/>
        <v>36</v>
      </c>
    </row>
    <row r="1024" spans="8:14" x14ac:dyDescent="0.25">
      <c r="H1024">
        <v>210</v>
      </c>
      <c r="I1024">
        <v>14</v>
      </c>
      <c r="J1024" t="s">
        <v>249</v>
      </c>
      <c r="L1024">
        <f t="shared" ref="L1024:L1029" si="38">$R$1077</f>
        <v>4</v>
      </c>
      <c r="M1024">
        <f>L1024+1</f>
        <v>5</v>
      </c>
      <c r="N1024">
        <f>M1024+1</f>
        <v>6</v>
      </c>
    </row>
    <row r="1025" spans="5:14" x14ac:dyDescent="0.25">
      <c r="H1025">
        <v>211</v>
      </c>
      <c r="I1025">
        <v>14</v>
      </c>
      <c r="J1025" t="s">
        <v>2165</v>
      </c>
      <c r="K1025" t="s">
        <v>249</v>
      </c>
      <c r="L1025">
        <f t="shared" si="38"/>
        <v>4</v>
      </c>
      <c r="M1025">
        <f t="shared" ref="M1025:N1025" si="39">L1025+1</f>
        <v>5</v>
      </c>
      <c r="N1025">
        <f t="shared" si="39"/>
        <v>6</v>
      </c>
    </row>
    <row r="1026" spans="5:14" x14ac:dyDescent="0.25">
      <c r="H1026">
        <v>212</v>
      </c>
      <c r="I1026">
        <v>14</v>
      </c>
      <c r="J1026" t="s">
        <v>2166</v>
      </c>
      <c r="K1026" t="s">
        <v>249</v>
      </c>
      <c r="L1026">
        <f t="shared" si="38"/>
        <v>4</v>
      </c>
      <c r="M1026">
        <f t="shared" ref="M1026:N1026" si="40">L1026+1</f>
        <v>5</v>
      </c>
      <c r="N1026">
        <f t="shared" si="40"/>
        <v>6</v>
      </c>
    </row>
    <row r="1027" spans="5:14" x14ac:dyDescent="0.25">
      <c r="H1027">
        <v>213</v>
      </c>
      <c r="I1027">
        <v>14</v>
      </c>
      <c r="J1027" t="s">
        <v>2167</v>
      </c>
      <c r="K1027" t="s">
        <v>249</v>
      </c>
      <c r="L1027">
        <f t="shared" si="38"/>
        <v>4</v>
      </c>
      <c r="M1027">
        <f t="shared" ref="M1027:N1029" si="41">L1027+1</f>
        <v>5</v>
      </c>
      <c r="N1027">
        <f t="shared" si="41"/>
        <v>6</v>
      </c>
    </row>
    <row r="1028" spans="5:14" x14ac:dyDescent="0.25">
      <c r="H1028">
        <v>214</v>
      </c>
      <c r="I1028">
        <v>13</v>
      </c>
      <c r="J1028" t="s">
        <v>247</v>
      </c>
      <c r="L1028">
        <f t="shared" si="38"/>
        <v>4</v>
      </c>
      <c r="M1028">
        <f t="shared" si="41"/>
        <v>5</v>
      </c>
      <c r="N1028">
        <f t="shared" si="41"/>
        <v>6</v>
      </c>
    </row>
    <row r="1029" spans="5:14" x14ac:dyDescent="0.25">
      <c r="H1029">
        <v>215</v>
      </c>
      <c r="I1029">
        <v>15</v>
      </c>
      <c r="J1029" t="s">
        <v>250</v>
      </c>
      <c r="L1029">
        <f t="shared" si="38"/>
        <v>4</v>
      </c>
      <c r="M1029">
        <f t="shared" si="41"/>
        <v>5</v>
      </c>
      <c r="N1029">
        <f t="shared" si="41"/>
        <v>6</v>
      </c>
    </row>
    <row r="1030" spans="5:14" x14ac:dyDescent="0.25">
      <c r="H1030">
        <v>216</v>
      </c>
      <c r="I1030">
        <v>22</v>
      </c>
      <c r="J1030" t="s">
        <v>58</v>
      </c>
      <c r="L1030">
        <f>$R$1106</f>
        <v>33</v>
      </c>
    </row>
    <row r="1031" spans="5:14" x14ac:dyDescent="0.25">
      <c r="E1031" t="s">
        <v>2049</v>
      </c>
      <c r="H1031">
        <v>220</v>
      </c>
      <c r="I1031">
        <v>14</v>
      </c>
      <c r="J1031" t="s">
        <v>2168</v>
      </c>
      <c r="K1031" t="s">
        <v>249</v>
      </c>
      <c r="L1031">
        <f>$R$1107</f>
        <v>34</v>
      </c>
    </row>
    <row r="1032" spans="5:14" x14ac:dyDescent="0.25">
      <c r="E1032" t="s">
        <v>2173</v>
      </c>
      <c r="H1032">
        <v>221</v>
      </c>
      <c r="I1032">
        <v>14</v>
      </c>
      <c r="J1032" t="s">
        <v>2169</v>
      </c>
      <c r="K1032" t="s">
        <v>249</v>
      </c>
      <c r="L1032">
        <f>$R$1107</f>
        <v>34</v>
      </c>
    </row>
    <row r="1033" spans="5:14" x14ac:dyDescent="0.25">
      <c r="E1033" t="s">
        <v>2174</v>
      </c>
      <c r="H1033">
        <v>222</v>
      </c>
      <c r="I1033">
        <v>14</v>
      </c>
      <c r="J1033" t="s">
        <v>2170</v>
      </c>
      <c r="K1033" t="s">
        <v>249</v>
      </c>
      <c r="L1033">
        <f>$R$1107</f>
        <v>34</v>
      </c>
    </row>
    <row r="1034" spans="5:14" x14ac:dyDescent="0.25">
      <c r="H1034">
        <v>223</v>
      </c>
      <c r="I1034">
        <v>14</v>
      </c>
      <c r="J1034" t="s">
        <v>2171</v>
      </c>
      <c r="K1034" t="s">
        <v>249</v>
      </c>
      <c r="L1034">
        <f>$R$1107</f>
        <v>34</v>
      </c>
    </row>
    <row r="1035" spans="5:14" x14ac:dyDescent="0.25">
      <c r="H1035">
        <v>224</v>
      </c>
      <c r="I1035">
        <v>14</v>
      </c>
      <c r="J1035" t="s">
        <v>2172</v>
      </c>
      <c r="K1035" t="s">
        <v>249</v>
      </c>
      <c r="L1035">
        <f>$R$1107</f>
        <v>34</v>
      </c>
    </row>
    <row r="1036" spans="5:14" x14ac:dyDescent="0.25">
      <c r="H1036">
        <v>230</v>
      </c>
      <c r="I1036">
        <v>14</v>
      </c>
      <c r="J1036" t="s">
        <v>2175</v>
      </c>
      <c r="K1036" t="s">
        <v>249</v>
      </c>
      <c r="L1036">
        <f>$R$1074</f>
        <v>1</v>
      </c>
      <c r="M1036">
        <f>L1036+1</f>
        <v>2</v>
      </c>
      <c r="N1036">
        <f>M1036+1</f>
        <v>3</v>
      </c>
    </row>
    <row r="1037" spans="5:14" x14ac:dyDescent="0.25">
      <c r="H1037">
        <v>234</v>
      </c>
      <c r="I1037">
        <v>14</v>
      </c>
      <c r="J1037" t="s">
        <v>2176</v>
      </c>
      <c r="K1037" t="s">
        <v>249</v>
      </c>
      <c r="L1037">
        <f>$R$1074</f>
        <v>1</v>
      </c>
      <c r="M1037">
        <f t="shared" ref="M1037:N1037" si="42">L1037+1</f>
        <v>2</v>
      </c>
      <c r="N1037">
        <f t="shared" si="42"/>
        <v>3</v>
      </c>
    </row>
    <row r="1038" spans="5:14" x14ac:dyDescent="0.25">
      <c r="H1038">
        <v>235</v>
      </c>
      <c r="I1038">
        <v>14</v>
      </c>
      <c r="J1038" t="s">
        <v>2177</v>
      </c>
      <c r="K1038" t="s">
        <v>249</v>
      </c>
      <c r="L1038">
        <f>$R$1074</f>
        <v>1</v>
      </c>
      <c r="M1038">
        <f t="shared" ref="M1038:N1038" si="43">L1038+1</f>
        <v>2</v>
      </c>
      <c r="N1038">
        <f t="shared" si="43"/>
        <v>3</v>
      </c>
    </row>
    <row r="1039" spans="5:14" x14ac:dyDescent="0.25">
      <c r="H1039">
        <v>250</v>
      </c>
      <c r="I1039">
        <v>27</v>
      </c>
      <c r="J1039" t="s">
        <v>1168</v>
      </c>
      <c r="L1039">
        <f t="shared" ref="L1039:L1045" si="44">$R$1112</f>
        <v>39</v>
      </c>
    </row>
    <row r="1040" spans="5:14" x14ac:dyDescent="0.25">
      <c r="H1040">
        <v>251</v>
      </c>
      <c r="I1040">
        <v>26</v>
      </c>
      <c r="J1040" t="s">
        <v>1542</v>
      </c>
      <c r="L1040">
        <f t="shared" si="44"/>
        <v>39</v>
      </c>
    </row>
    <row r="1041" spans="8:14" x14ac:dyDescent="0.25">
      <c r="H1041">
        <v>252</v>
      </c>
      <c r="I1041">
        <v>25</v>
      </c>
      <c r="J1041" t="s">
        <v>1167</v>
      </c>
      <c r="L1041">
        <f t="shared" si="44"/>
        <v>39</v>
      </c>
    </row>
    <row r="1042" spans="8:14" x14ac:dyDescent="0.25">
      <c r="H1042">
        <v>255</v>
      </c>
      <c r="I1042">
        <v>25</v>
      </c>
      <c r="J1042" t="s">
        <v>1167</v>
      </c>
      <c r="L1042">
        <f t="shared" si="44"/>
        <v>39</v>
      </c>
    </row>
    <row r="1043" spans="8:14" x14ac:dyDescent="0.25">
      <c r="H1043">
        <v>256</v>
      </c>
      <c r="I1043">
        <v>25</v>
      </c>
      <c r="J1043" t="s">
        <v>1167</v>
      </c>
      <c r="L1043">
        <f t="shared" si="44"/>
        <v>39</v>
      </c>
    </row>
    <row r="1044" spans="8:14" x14ac:dyDescent="0.25">
      <c r="H1044">
        <v>257</v>
      </c>
      <c r="I1044">
        <v>25</v>
      </c>
      <c r="J1044" t="s">
        <v>1167</v>
      </c>
      <c r="L1044">
        <f t="shared" si="44"/>
        <v>39</v>
      </c>
    </row>
    <row r="1045" spans="8:14" x14ac:dyDescent="0.25">
      <c r="H1045">
        <v>259</v>
      </c>
      <c r="I1045">
        <v>25</v>
      </c>
      <c r="J1045" t="s">
        <v>1167</v>
      </c>
      <c r="L1045">
        <f t="shared" si="44"/>
        <v>39</v>
      </c>
    </row>
    <row r="1046" spans="8:14" x14ac:dyDescent="0.25">
      <c r="H1046">
        <v>260</v>
      </c>
      <c r="I1046">
        <v>18</v>
      </c>
      <c r="J1046" t="s">
        <v>2178</v>
      </c>
      <c r="K1046" t="s">
        <v>378</v>
      </c>
      <c r="L1046">
        <f>$R$1108</f>
        <v>35</v>
      </c>
      <c r="M1046">
        <f>L1046+1</f>
        <v>36</v>
      </c>
    </row>
    <row r="1047" spans="8:14" x14ac:dyDescent="0.25">
      <c r="H1047">
        <v>261</v>
      </c>
      <c r="I1047">
        <v>18</v>
      </c>
      <c r="J1047" t="s">
        <v>2179</v>
      </c>
      <c r="K1047" t="s">
        <v>378</v>
      </c>
      <c r="L1047">
        <f>$R$1108</f>
        <v>35</v>
      </c>
      <c r="M1047">
        <f t="shared" ref="M1047:M1049" si="45">L1047+1</f>
        <v>36</v>
      </c>
    </row>
    <row r="1048" spans="8:14" x14ac:dyDescent="0.25">
      <c r="H1048">
        <v>262</v>
      </c>
      <c r="I1048">
        <v>18</v>
      </c>
      <c r="J1048" t="s">
        <v>2180</v>
      </c>
      <c r="K1048" t="s">
        <v>378</v>
      </c>
      <c r="L1048">
        <f>$R$1108</f>
        <v>35</v>
      </c>
      <c r="M1048">
        <f t="shared" si="45"/>
        <v>36</v>
      </c>
    </row>
    <row r="1049" spans="8:14" x14ac:dyDescent="0.25">
      <c r="H1049">
        <v>263</v>
      </c>
      <c r="I1049">
        <v>11</v>
      </c>
      <c r="J1049" t="s">
        <v>382</v>
      </c>
      <c r="L1049">
        <f>$R$1110</f>
        <v>37</v>
      </c>
      <c r="M1049">
        <f t="shared" si="45"/>
        <v>38</v>
      </c>
    </row>
    <row r="1050" spans="8:14" x14ac:dyDescent="0.25">
      <c r="H1050" s="4">
        <v>264</v>
      </c>
      <c r="I1050" s="4">
        <v>27</v>
      </c>
      <c r="J1050" s="4" t="s">
        <v>2213</v>
      </c>
      <c r="K1050" s="4" t="s">
        <v>2206</v>
      </c>
      <c r="L1050" s="4">
        <f t="shared" ref="L1050:L1052" si="46">$R$1112</f>
        <v>39</v>
      </c>
    </row>
    <row r="1051" spans="8:14" x14ac:dyDescent="0.25">
      <c r="H1051">
        <v>265</v>
      </c>
      <c r="I1051">
        <v>14</v>
      </c>
      <c r="J1051" t="s">
        <v>2211</v>
      </c>
      <c r="K1051" t="s">
        <v>249</v>
      </c>
      <c r="L1051">
        <f>$R$1074</f>
        <v>1</v>
      </c>
      <c r="M1051">
        <f>L1051+1</f>
        <v>2</v>
      </c>
      <c r="N1051">
        <f>M1051+1</f>
        <v>3</v>
      </c>
    </row>
    <row r="1052" spans="8:14" x14ac:dyDescent="0.25">
      <c r="H1052" s="4">
        <v>276</v>
      </c>
      <c r="I1052" s="4">
        <v>27</v>
      </c>
      <c r="J1052" s="4" t="s">
        <v>2209</v>
      </c>
      <c r="K1052" s="4" t="s">
        <v>2206</v>
      </c>
      <c r="L1052" s="4">
        <f t="shared" si="46"/>
        <v>39</v>
      </c>
    </row>
    <row r="1053" spans="8:14" x14ac:dyDescent="0.25">
      <c r="H1053">
        <v>280</v>
      </c>
      <c r="I1053">
        <v>10</v>
      </c>
      <c r="J1053" t="s">
        <v>374</v>
      </c>
      <c r="L1053">
        <f>$R$1119</f>
        <v>46</v>
      </c>
    </row>
    <row r="1054" spans="8:14" x14ac:dyDescent="0.25">
      <c r="H1054">
        <v>281</v>
      </c>
      <c r="I1054">
        <v>10</v>
      </c>
      <c r="J1054" t="s">
        <v>2186</v>
      </c>
      <c r="K1054" t="s">
        <v>374</v>
      </c>
      <c r="L1054">
        <f>$R$1119</f>
        <v>46</v>
      </c>
    </row>
    <row r="1055" spans="8:14" x14ac:dyDescent="0.25">
      <c r="H1055">
        <v>282</v>
      </c>
      <c r="I1055">
        <v>10</v>
      </c>
      <c r="J1055" t="s">
        <v>2187</v>
      </c>
      <c r="K1055" t="s">
        <v>374</v>
      </c>
      <c r="L1055">
        <f>$R$1119</f>
        <v>46</v>
      </c>
    </row>
    <row r="1056" spans="8:14" x14ac:dyDescent="0.25">
      <c r="H1056">
        <v>283</v>
      </c>
      <c r="I1056">
        <v>10</v>
      </c>
      <c r="J1056" t="s">
        <v>2188</v>
      </c>
      <c r="K1056" t="s">
        <v>374</v>
      </c>
      <c r="L1056">
        <f>$R$1119</f>
        <v>46</v>
      </c>
    </row>
    <row r="1057" spans="8:23" x14ac:dyDescent="0.25">
      <c r="H1057" s="4">
        <v>300</v>
      </c>
      <c r="I1057" s="4">
        <v>27</v>
      </c>
      <c r="J1057" s="4" t="s">
        <v>2208</v>
      </c>
      <c r="K1057" s="4" t="s">
        <v>2206</v>
      </c>
      <c r="L1057" s="4">
        <f t="shared" ref="L1057:L1060" si="47">$R$1112</f>
        <v>39</v>
      </c>
    </row>
    <row r="1058" spans="8:23" x14ac:dyDescent="0.25">
      <c r="H1058" s="4">
        <v>301</v>
      </c>
      <c r="I1058" s="4">
        <v>27</v>
      </c>
      <c r="J1058" s="4" t="s">
        <v>2210</v>
      </c>
      <c r="K1058" s="4" t="s">
        <v>2206</v>
      </c>
      <c r="L1058" s="4">
        <f t="shared" si="47"/>
        <v>39</v>
      </c>
    </row>
    <row r="1059" spans="8:23" x14ac:dyDescent="0.25">
      <c r="H1059" s="4">
        <v>310</v>
      </c>
      <c r="I1059" s="4">
        <v>27</v>
      </c>
      <c r="J1059" s="4" t="s">
        <v>2205</v>
      </c>
      <c r="K1059" s="4" t="s">
        <v>2206</v>
      </c>
      <c r="L1059" s="4">
        <f t="shared" si="47"/>
        <v>39</v>
      </c>
    </row>
    <row r="1060" spans="8:23" x14ac:dyDescent="0.25">
      <c r="H1060" s="4">
        <v>583</v>
      </c>
      <c r="I1060" s="4">
        <v>26</v>
      </c>
      <c r="J1060" s="4" t="s">
        <v>2031</v>
      </c>
      <c r="K1060" s="4" t="s">
        <v>2212</v>
      </c>
      <c r="L1060" s="4">
        <f t="shared" si="47"/>
        <v>39</v>
      </c>
    </row>
    <row r="1061" spans="8:23" x14ac:dyDescent="0.25">
      <c r="H1061">
        <v>592</v>
      </c>
      <c r="I1061">
        <v>6</v>
      </c>
      <c r="J1061" t="s">
        <v>1304</v>
      </c>
      <c r="L1061">
        <f>$R$1120</f>
        <v>47</v>
      </c>
    </row>
    <row r="1062" spans="8:23" x14ac:dyDescent="0.25">
      <c r="H1062" s="4">
        <v>902</v>
      </c>
      <c r="I1062" s="4">
        <v>27</v>
      </c>
      <c r="J1062" s="4" t="s">
        <v>2214</v>
      </c>
      <c r="K1062" s="4" t="s">
        <v>2206</v>
      </c>
      <c r="L1062" s="4">
        <f t="shared" ref="L1062" si="48">$R$1112</f>
        <v>39</v>
      </c>
    </row>
    <row r="1063" spans="8:23" x14ac:dyDescent="0.25">
      <c r="I1063">
        <v>1</v>
      </c>
    </row>
    <row r="1064" spans="8:23" x14ac:dyDescent="0.25">
      <c r="I1064">
        <v>28</v>
      </c>
      <c r="J1064" t="s">
        <v>1169</v>
      </c>
    </row>
    <row r="1065" spans="8:23" x14ac:dyDescent="0.25">
      <c r="I1065">
        <v>38</v>
      </c>
      <c r="J1065" t="s">
        <v>1170</v>
      </c>
    </row>
    <row r="1068" spans="8:23" x14ac:dyDescent="0.25">
      <c r="H1068" s="4" t="s">
        <v>2207</v>
      </c>
      <c r="I1068" s="4"/>
      <c r="J1068" s="4"/>
    </row>
    <row r="1070" spans="8:23" x14ac:dyDescent="0.25">
      <c r="L1070" s="173"/>
    </row>
    <row r="1071" spans="8:23" x14ac:dyDescent="0.25">
      <c r="L1071" s="3" t="s">
        <v>2073</v>
      </c>
      <c r="R1071" s="3" t="s">
        <v>2107</v>
      </c>
      <c r="T1071" s="3" t="s">
        <v>2074</v>
      </c>
    </row>
    <row r="1072" spans="8:23" x14ac:dyDescent="0.25">
      <c r="R1072">
        <v>1</v>
      </c>
      <c r="S1072">
        <v>2</v>
      </c>
      <c r="T1072">
        <v>3</v>
      </c>
      <c r="U1072">
        <v>4</v>
      </c>
      <c r="V1072">
        <v>5</v>
      </c>
      <c r="W1072">
        <v>6</v>
      </c>
    </row>
    <row r="1073" spans="10:25" ht="60" x14ac:dyDescent="0.25">
      <c r="J1073" s="49" t="s">
        <v>28</v>
      </c>
      <c r="K1073" s="176" t="s">
        <v>2089</v>
      </c>
      <c r="L1073" s="177" t="s">
        <v>76</v>
      </c>
      <c r="M1073" s="178" t="s">
        <v>2062</v>
      </c>
      <c r="N1073" s="177" t="s">
        <v>28</v>
      </c>
      <c r="O1073" s="178" t="s">
        <v>2063</v>
      </c>
      <c r="P1073" s="178" t="s">
        <v>2060</v>
      </c>
      <c r="Q1073" s="178" t="s">
        <v>2061</v>
      </c>
      <c r="R1073" s="174"/>
      <c r="S1073" s="177" t="s">
        <v>76</v>
      </c>
      <c r="T1073" s="178" t="s">
        <v>2062</v>
      </c>
      <c r="U1073" s="178" t="s">
        <v>2063</v>
      </c>
      <c r="V1073" s="178" t="s">
        <v>2060</v>
      </c>
      <c r="W1073" s="178" t="s">
        <v>2061</v>
      </c>
      <c r="X1073" s="49"/>
      <c r="Y1073" s="178" t="s">
        <v>2065</v>
      </c>
    </row>
    <row r="1074" spans="10:25" x14ac:dyDescent="0.25">
      <c r="J1074" s="175" t="s">
        <v>2125</v>
      </c>
      <c r="K1074" s="22"/>
      <c r="L1074" s="175" t="s">
        <v>539</v>
      </c>
      <c r="M1074" s="22" t="s">
        <v>496</v>
      </c>
      <c r="N1074" s="175" t="s">
        <v>2122</v>
      </c>
      <c r="O1074" s="22"/>
      <c r="P1074" s="175" t="s">
        <v>2099</v>
      </c>
      <c r="Q1074" s="175" t="s">
        <v>2102</v>
      </c>
      <c r="R1074" s="22">
        <v>1</v>
      </c>
      <c r="S1074" s="22">
        <f>Data!$I$23</f>
        <v>18</v>
      </c>
      <c r="T1074" s="175">
        <v>1</v>
      </c>
      <c r="U1074" s="175">
        <v>1</v>
      </c>
      <c r="V1074" s="175">
        <v>1</v>
      </c>
      <c r="W1074" s="22">
        <f>Data!$I$23</f>
        <v>18</v>
      </c>
      <c r="X1074" s="22"/>
      <c r="Y1074" s="22"/>
    </row>
    <row r="1075" spans="10:25" x14ac:dyDescent="0.25">
      <c r="J1075" s="175" t="s">
        <v>2126</v>
      </c>
      <c r="K1075" s="22"/>
      <c r="L1075" s="175" t="s">
        <v>551</v>
      </c>
      <c r="M1075" s="175" t="s">
        <v>496</v>
      </c>
      <c r="N1075" s="175" t="s">
        <v>2122</v>
      </c>
      <c r="O1075" s="22"/>
      <c r="P1075" s="175" t="s">
        <v>2100</v>
      </c>
      <c r="Q1075" s="175" t="s">
        <v>551</v>
      </c>
      <c r="R1075" s="22">
        <v>2</v>
      </c>
      <c r="S1075" s="22">
        <f>Data!$I$16</f>
        <v>11</v>
      </c>
      <c r="T1075" s="175">
        <v>1</v>
      </c>
      <c r="U1075" s="175">
        <v>1</v>
      </c>
      <c r="V1075" s="175">
        <v>1</v>
      </c>
      <c r="W1075" s="22">
        <f>Data!$I$16</f>
        <v>11</v>
      </c>
      <c r="X1075" s="22"/>
      <c r="Y1075" s="22"/>
    </row>
    <row r="1076" spans="10:25" x14ac:dyDescent="0.25">
      <c r="J1076" s="180" t="s">
        <v>2127</v>
      </c>
      <c r="K1076" s="49"/>
      <c r="L1076" s="180" t="s">
        <v>2128</v>
      </c>
      <c r="M1076" s="180" t="s">
        <v>496</v>
      </c>
      <c r="N1076" s="180" t="s">
        <v>2122</v>
      </c>
      <c r="O1076" s="49"/>
      <c r="P1076" s="180" t="s">
        <v>2099</v>
      </c>
      <c r="Q1076" s="180" t="s">
        <v>2102</v>
      </c>
      <c r="R1076" s="22">
        <v>3</v>
      </c>
      <c r="S1076" s="49">
        <f>Data!$I$45</f>
        <v>40</v>
      </c>
      <c r="T1076" s="180">
        <v>1</v>
      </c>
      <c r="U1076" s="180">
        <v>1</v>
      </c>
      <c r="V1076" s="180">
        <v>1</v>
      </c>
      <c r="W1076" s="49">
        <f>Data!$I$23</f>
        <v>18</v>
      </c>
      <c r="X1076" s="49"/>
      <c r="Y1076" s="49"/>
    </row>
    <row r="1077" spans="10:25" x14ac:dyDescent="0.25">
      <c r="J1077" s="175" t="s">
        <v>2121</v>
      </c>
      <c r="K1077" s="175"/>
      <c r="L1077" s="175" t="s">
        <v>539</v>
      </c>
      <c r="M1077" s="22" t="s">
        <v>496</v>
      </c>
      <c r="N1077" s="175" t="s">
        <v>248</v>
      </c>
      <c r="O1077" s="22"/>
      <c r="P1077" s="175" t="s">
        <v>2099</v>
      </c>
      <c r="Q1077" s="175" t="s">
        <v>2102</v>
      </c>
      <c r="R1077" s="22">
        <v>4</v>
      </c>
      <c r="S1077" s="22">
        <f>Data!$I$23</f>
        <v>18</v>
      </c>
      <c r="T1077" s="175">
        <v>1</v>
      </c>
      <c r="U1077" s="175">
        <v>1</v>
      </c>
      <c r="V1077" s="175">
        <v>1</v>
      </c>
      <c r="W1077" s="22">
        <f>Data!$I$23</f>
        <v>18</v>
      </c>
      <c r="X1077" s="22"/>
      <c r="Y1077" s="22"/>
    </row>
    <row r="1078" spans="10:25" x14ac:dyDescent="0.25">
      <c r="J1078" s="175" t="s">
        <v>2123</v>
      </c>
      <c r="K1078" s="22"/>
      <c r="L1078" s="175" t="s">
        <v>551</v>
      </c>
      <c r="M1078" s="175" t="s">
        <v>496</v>
      </c>
      <c r="N1078" s="175" t="s">
        <v>248</v>
      </c>
      <c r="O1078" s="22"/>
      <c r="P1078" s="175" t="s">
        <v>2100</v>
      </c>
      <c r="Q1078" s="175" t="s">
        <v>551</v>
      </c>
      <c r="R1078" s="22">
        <v>5</v>
      </c>
      <c r="S1078" s="22">
        <f>Data!$I$16</f>
        <v>11</v>
      </c>
      <c r="T1078" s="175">
        <v>1</v>
      </c>
      <c r="U1078" s="175">
        <v>1</v>
      </c>
      <c r="V1078" s="175">
        <v>1</v>
      </c>
      <c r="W1078" s="22">
        <f>Data!$I$16</f>
        <v>11</v>
      </c>
      <c r="X1078" s="22"/>
      <c r="Y1078" s="22"/>
    </row>
    <row r="1079" spans="10:25" x14ac:dyDescent="0.25">
      <c r="J1079" s="180" t="s">
        <v>2124</v>
      </c>
      <c r="K1079" s="49"/>
      <c r="L1079" s="180" t="s">
        <v>2128</v>
      </c>
      <c r="M1079" s="180" t="s">
        <v>496</v>
      </c>
      <c r="N1079" s="180" t="s">
        <v>248</v>
      </c>
      <c r="O1079" s="49"/>
      <c r="P1079" s="180" t="s">
        <v>2099</v>
      </c>
      <c r="Q1079" s="180" t="s">
        <v>2102</v>
      </c>
      <c r="R1079" s="22">
        <v>6</v>
      </c>
      <c r="S1079" s="49">
        <f>Data!$I$45</f>
        <v>40</v>
      </c>
      <c r="T1079" s="180">
        <v>1</v>
      </c>
      <c r="U1079" s="180">
        <v>1</v>
      </c>
      <c r="V1079" s="180">
        <v>1</v>
      </c>
      <c r="W1079" s="49">
        <f>Data!$I$23</f>
        <v>18</v>
      </c>
      <c r="X1079" s="49"/>
      <c r="Y1079" s="49"/>
    </row>
    <row r="1080" spans="10:25" x14ac:dyDescent="0.25">
      <c r="J1080" s="175" t="s">
        <v>2108</v>
      </c>
      <c r="K1080" s="175" t="s">
        <v>2090</v>
      </c>
      <c r="L1080" s="175" t="s">
        <v>251</v>
      </c>
      <c r="M1080" s="22"/>
      <c r="N1080" s="22" t="s">
        <v>2095</v>
      </c>
      <c r="O1080" s="175" t="s">
        <v>195</v>
      </c>
      <c r="P1080" s="175" t="s">
        <v>2098</v>
      </c>
      <c r="Q1080" s="175" t="s">
        <v>2101</v>
      </c>
      <c r="R1080" s="22">
        <v>7</v>
      </c>
      <c r="S1080" s="22">
        <f>Data!$I$45</f>
        <v>40</v>
      </c>
      <c r="T1080" s="175">
        <v>1</v>
      </c>
      <c r="U1080" s="175">
        <v>1</v>
      </c>
      <c r="V1080" s="22">
        <f>Data!$I$70</f>
        <v>15</v>
      </c>
      <c r="W1080" s="22">
        <f>Data!$I$7</f>
        <v>2</v>
      </c>
      <c r="X1080" s="22"/>
      <c r="Y1080" s="22"/>
    </row>
    <row r="1081" spans="10:25" x14ac:dyDescent="0.25">
      <c r="J1081" t="s">
        <v>2118</v>
      </c>
      <c r="K1081" t="s">
        <v>2090</v>
      </c>
      <c r="L1081" t="s">
        <v>246</v>
      </c>
      <c r="M1081">
        <v>0</v>
      </c>
      <c r="N1081" t="s">
        <v>251</v>
      </c>
      <c r="O1081" t="s">
        <v>195</v>
      </c>
      <c r="P1081">
        <v>0</v>
      </c>
      <c r="Q1081" t="s">
        <v>552</v>
      </c>
      <c r="R1081" s="22">
        <v>8</v>
      </c>
      <c r="S1081">
        <f>Data!I14</f>
        <v>9</v>
      </c>
      <c r="T1081">
        <v>1</v>
      </c>
      <c r="U1081">
        <v>1</v>
      </c>
      <c r="V1081">
        <v>1</v>
      </c>
      <c r="W1081">
        <v>34</v>
      </c>
      <c r="Y1081" t="s">
        <v>2077</v>
      </c>
    </row>
    <row r="1082" spans="10:25" x14ac:dyDescent="0.25">
      <c r="J1082" s="175" t="s">
        <v>2109</v>
      </c>
      <c r="K1082" s="175" t="s">
        <v>2090</v>
      </c>
      <c r="L1082" s="175" t="s">
        <v>251</v>
      </c>
      <c r="M1082" s="22"/>
      <c r="N1082" s="175" t="s">
        <v>2096</v>
      </c>
      <c r="O1082" s="175" t="s">
        <v>195</v>
      </c>
      <c r="P1082" s="175" t="s">
        <v>2099</v>
      </c>
      <c r="Q1082" s="175" t="s">
        <v>2102</v>
      </c>
      <c r="R1082" s="22">
        <v>9</v>
      </c>
      <c r="S1082" s="22">
        <f>Data!$I$45</f>
        <v>40</v>
      </c>
      <c r="T1082" s="175">
        <v>1</v>
      </c>
      <c r="U1082" s="175">
        <v>1</v>
      </c>
      <c r="V1082" s="22">
        <f>Data!$I$69</f>
        <v>14</v>
      </c>
      <c r="W1082" s="22">
        <f>Data!$I$23</f>
        <v>18</v>
      </c>
      <c r="X1082" s="22"/>
      <c r="Y1082" s="22"/>
    </row>
    <row r="1083" spans="10:25" x14ac:dyDescent="0.25">
      <c r="J1083" s="180" t="s">
        <v>2110</v>
      </c>
      <c r="K1083" s="180" t="s">
        <v>2090</v>
      </c>
      <c r="L1083" s="180" t="s">
        <v>251</v>
      </c>
      <c r="M1083" s="49"/>
      <c r="N1083" s="180" t="s">
        <v>2097</v>
      </c>
      <c r="O1083" s="180" t="s">
        <v>195</v>
      </c>
      <c r="P1083" s="180" t="s">
        <v>2100</v>
      </c>
      <c r="Q1083" s="180" t="s">
        <v>551</v>
      </c>
      <c r="R1083" s="22">
        <v>10</v>
      </c>
      <c r="S1083" s="49">
        <f>Data!$I$45</f>
        <v>40</v>
      </c>
      <c r="T1083" s="180">
        <v>1</v>
      </c>
      <c r="U1083" s="180">
        <v>1</v>
      </c>
      <c r="V1083" s="49">
        <f>Data!$I$66</f>
        <v>11</v>
      </c>
      <c r="W1083" s="49">
        <f>Data!$I$16</f>
        <v>11</v>
      </c>
      <c r="X1083" s="49"/>
      <c r="Y1083" s="49"/>
    </row>
    <row r="1084" spans="10:25" x14ac:dyDescent="0.25">
      <c r="J1084" t="s">
        <v>2114</v>
      </c>
      <c r="K1084" t="s">
        <v>2090</v>
      </c>
      <c r="L1084" t="s">
        <v>245</v>
      </c>
      <c r="M1084">
        <v>0</v>
      </c>
      <c r="N1084" t="s">
        <v>2094</v>
      </c>
      <c r="O1084" t="s">
        <v>195</v>
      </c>
      <c r="P1084" t="s">
        <v>1513</v>
      </c>
      <c r="Q1084" t="s">
        <v>251</v>
      </c>
      <c r="R1084" s="22">
        <v>11</v>
      </c>
      <c r="S1084">
        <f>Data!$I$37</f>
        <v>32</v>
      </c>
      <c r="T1084">
        <v>1</v>
      </c>
      <c r="U1084">
        <v>1</v>
      </c>
      <c r="V1084">
        <f>Data!$I$59</f>
        <v>4</v>
      </c>
      <c r="W1084">
        <f>Data!$I$45</f>
        <v>40</v>
      </c>
      <c r="Y1084" t="s">
        <v>2078</v>
      </c>
    </row>
    <row r="1085" spans="10:25" x14ac:dyDescent="0.25">
      <c r="J1085" t="s">
        <v>2112</v>
      </c>
      <c r="K1085" t="s">
        <v>2090</v>
      </c>
      <c r="L1085" t="s">
        <v>539</v>
      </c>
      <c r="M1085">
        <v>0</v>
      </c>
      <c r="N1085" t="s">
        <v>2094</v>
      </c>
      <c r="O1085" t="s">
        <v>195</v>
      </c>
      <c r="P1085" t="s">
        <v>1513</v>
      </c>
      <c r="Q1085" t="s">
        <v>251</v>
      </c>
      <c r="R1085" s="22">
        <v>12</v>
      </c>
      <c r="S1085">
        <f>Data!$I$23</f>
        <v>18</v>
      </c>
      <c r="T1085">
        <v>1</v>
      </c>
      <c r="U1085">
        <v>1</v>
      </c>
      <c r="V1085">
        <f>Data!$I$59</f>
        <v>4</v>
      </c>
      <c r="W1085">
        <f>Data!$I$45</f>
        <v>40</v>
      </c>
      <c r="Y1085" t="s">
        <v>2076</v>
      </c>
    </row>
    <row r="1086" spans="10:25" x14ac:dyDescent="0.25">
      <c r="J1086" t="s">
        <v>2113</v>
      </c>
      <c r="K1086" t="s">
        <v>2090</v>
      </c>
      <c r="L1086" t="s">
        <v>551</v>
      </c>
      <c r="M1086">
        <v>0</v>
      </c>
      <c r="N1086" t="s">
        <v>2094</v>
      </c>
      <c r="O1086" t="s">
        <v>195</v>
      </c>
      <c r="P1086" t="s">
        <v>1513</v>
      </c>
      <c r="Q1086" t="s">
        <v>251</v>
      </c>
      <c r="R1086" s="22">
        <v>13</v>
      </c>
      <c r="S1086">
        <f>Data!$I$16</f>
        <v>11</v>
      </c>
      <c r="T1086">
        <v>1</v>
      </c>
      <c r="U1086">
        <v>1</v>
      </c>
      <c r="V1086">
        <f>Data!$I$59</f>
        <v>4</v>
      </c>
      <c r="W1086">
        <f>Data!$I$45</f>
        <v>40</v>
      </c>
    </row>
    <row r="1087" spans="10:25" x14ac:dyDescent="0.25">
      <c r="J1087" s="49" t="s">
        <v>2115</v>
      </c>
      <c r="K1087" s="49" t="s">
        <v>2090</v>
      </c>
      <c r="L1087" s="49" t="s">
        <v>251</v>
      </c>
      <c r="M1087" s="49" t="s">
        <v>1513</v>
      </c>
      <c r="N1087" s="49" t="s">
        <v>2094</v>
      </c>
      <c r="O1087" s="49" t="s">
        <v>195</v>
      </c>
      <c r="P1087" s="49" t="s">
        <v>1513</v>
      </c>
      <c r="Q1087" s="49" t="s">
        <v>251</v>
      </c>
      <c r="R1087" s="22">
        <v>14</v>
      </c>
      <c r="S1087" s="49">
        <f>Data!$I$45</f>
        <v>40</v>
      </c>
      <c r="T1087" s="49">
        <f>Data!$I$59</f>
        <v>4</v>
      </c>
      <c r="U1087" s="49">
        <v>1</v>
      </c>
      <c r="V1087" s="49">
        <f>Data!$I$59</f>
        <v>4</v>
      </c>
      <c r="W1087" s="49">
        <f>Data!$I$45</f>
        <v>40</v>
      </c>
      <c r="X1087" s="49"/>
      <c r="Y1087" s="49" t="s">
        <v>2079</v>
      </c>
    </row>
    <row r="1088" spans="10:25" x14ac:dyDescent="0.25">
      <c r="J1088" t="s">
        <v>2119</v>
      </c>
      <c r="K1088" t="s">
        <v>2090</v>
      </c>
      <c r="L1088" t="s">
        <v>245</v>
      </c>
      <c r="M1088">
        <v>0</v>
      </c>
      <c r="N1088" t="s">
        <v>251</v>
      </c>
      <c r="O1088" t="s">
        <v>195</v>
      </c>
      <c r="P1088">
        <v>0</v>
      </c>
      <c r="Q1088" t="s">
        <v>552</v>
      </c>
      <c r="R1088" s="22">
        <v>15</v>
      </c>
      <c r="S1088">
        <f>Data!$I$37</f>
        <v>32</v>
      </c>
      <c r="T1088">
        <v>1</v>
      </c>
      <c r="U1088">
        <v>1</v>
      </c>
      <c r="V1088">
        <v>1</v>
      </c>
      <c r="W1088">
        <f>Data!$I$40</f>
        <v>35</v>
      </c>
      <c r="Y1088" t="s">
        <v>2078</v>
      </c>
    </row>
    <row r="1089" spans="10:25" x14ac:dyDescent="0.25">
      <c r="J1089" t="s">
        <v>2116</v>
      </c>
      <c r="K1089" t="s">
        <v>2090</v>
      </c>
      <c r="L1089" t="s">
        <v>539</v>
      </c>
      <c r="M1089">
        <v>0</v>
      </c>
      <c r="N1089" t="s">
        <v>251</v>
      </c>
      <c r="O1089" t="s">
        <v>195</v>
      </c>
      <c r="P1089">
        <v>0</v>
      </c>
      <c r="Q1089" t="s">
        <v>552</v>
      </c>
      <c r="R1089" s="22">
        <v>16</v>
      </c>
      <c r="S1089">
        <f>Data!$I$23</f>
        <v>18</v>
      </c>
      <c r="T1089">
        <v>1</v>
      </c>
      <c r="U1089">
        <v>1</v>
      </c>
      <c r="V1089">
        <v>1</v>
      </c>
      <c r="W1089">
        <f>Data!$I$40</f>
        <v>35</v>
      </c>
      <c r="Y1089" t="s">
        <v>2076</v>
      </c>
    </row>
    <row r="1090" spans="10:25" x14ac:dyDescent="0.25">
      <c r="J1090" t="s">
        <v>2117</v>
      </c>
      <c r="K1090" t="s">
        <v>2090</v>
      </c>
      <c r="L1090" t="s">
        <v>551</v>
      </c>
      <c r="M1090">
        <v>0</v>
      </c>
      <c r="N1090" t="s">
        <v>251</v>
      </c>
      <c r="O1090" t="s">
        <v>195</v>
      </c>
      <c r="P1090">
        <v>0</v>
      </c>
      <c r="Q1090" t="s">
        <v>552</v>
      </c>
      <c r="R1090" s="22">
        <v>17</v>
      </c>
      <c r="S1090">
        <f>Data!$I$16</f>
        <v>11</v>
      </c>
      <c r="T1090">
        <v>1</v>
      </c>
      <c r="U1090">
        <v>1</v>
      </c>
      <c r="V1090">
        <v>1</v>
      </c>
      <c r="W1090">
        <f>Data!$I$40</f>
        <v>35</v>
      </c>
    </row>
    <row r="1091" spans="10:25" x14ac:dyDescent="0.25">
      <c r="J1091" s="49" t="s">
        <v>2120</v>
      </c>
      <c r="K1091" s="49" t="s">
        <v>2090</v>
      </c>
      <c r="L1091" s="49" t="s">
        <v>251</v>
      </c>
      <c r="M1091" s="49">
        <v>0</v>
      </c>
      <c r="N1091" s="49" t="s">
        <v>251</v>
      </c>
      <c r="O1091" s="49" t="s">
        <v>195</v>
      </c>
      <c r="P1091" s="49">
        <v>0</v>
      </c>
      <c r="Q1091" s="49" t="s">
        <v>251</v>
      </c>
      <c r="R1091" s="22">
        <v>18</v>
      </c>
      <c r="S1091" s="49">
        <f>Data!$I$45</f>
        <v>40</v>
      </c>
      <c r="T1091" s="49">
        <v>1</v>
      </c>
      <c r="U1091" s="49">
        <v>1</v>
      </c>
      <c r="V1091" s="49">
        <v>1</v>
      </c>
      <c r="W1091" s="49">
        <f>Data!$I$45</f>
        <v>40</v>
      </c>
      <c r="X1091" s="49"/>
      <c r="Y1091" s="49" t="s">
        <v>2079</v>
      </c>
    </row>
    <row r="1092" spans="10:25" x14ac:dyDescent="0.25">
      <c r="J1092" t="s">
        <v>2064</v>
      </c>
      <c r="K1092" t="s">
        <v>65</v>
      </c>
      <c r="L1092" t="s">
        <v>69</v>
      </c>
      <c r="M1092" t="s">
        <v>496</v>
      </c>
      <c r="N1092" t="s">
        <v>552</v>
      </c>
      <c r="O1092" t="s">
        <v>195</v>
      </c>
      <c r="P1092" t="s">
        <v>2093</v>
      </c>
      <c r="Q1092" t="s">
        <v>251</v>
      </c>
      <c r="R1092" s="22">
        <v>19</v>
      </c>
      <c r="S1092">
        <f>Data!$I$42</f>
        <v>37</v>
      </c>
      <c r="T1092">
        <v>1</v>
      </c>
      <c r="U1092">
        <v>1</v>
      </c>
      <c r="V1092">
        <f>Data!$I$57</f>
        <v>2</v>
      </c>
      <c r="W1092">
        <f>Data!$I$45</f>
        <v>40</v>
      </c>
      <c r="Y1092" t="s">
        <v>2066</v>
      </c>
    </row>
    <row r="1093" spans="10:25" x14ac:dyDescent="0.25">
      <c r="J1093" t="s">
        <v>2068</v>
      </c>
      <c r="K1093" t="s">
        <v>65</v>
      </c>
      <c r="L1093" t="s">
        <v>61</v>
      </c>
      <c r="M1093" t="s">
        <v>496</v>
      </c>
      <c r="N1093" t="s">
        <v>552</v>
      </c>
      <c r="O1093" t="s">
        <v>195</v>
      </c>
      <c r="P1093" t="s">
        <v>2093</v>
      </c>
      <c r="Q1093" t="s">
        <v>251</v>
      </c>
      <c r="R1093" s="22">
        <v>20</v>
      </c>
      <c r="S1093">
        <f>Data!$I$30</f>
        <v>25</v>
      </c>
      <c r="T1093">
        <v>1</v>
      </c>
      <c r="U1093">
        <v>1</v>
      </c>
      <c r="V1093">
        <f>Data!$I$57</f>
        <v>2</v>
      </c>
      <c r="W1093">
        <f>Data!$I$45</f>
        <v>40</v>
      </c>
      <c r="Y1093" t="s">
        <v>2070</v>
      </c>
    </row>
    <row r="1094" spans="10:25" x14ac:dyDescent="0.25">
      <c r="J1094" t="s">
        <v>2067</v>
      </c>
      <c r="K1094" t="s">
        <v>65</v>
      </c>
      <c r="L1094" t="s">
        <v>2032</v>
      </c>
      <c r="M1094" t="s">
        <v>496</v>
      </c>
      <c r="N1094" t="s">
        <v>552</v>
      </c>
      <c r="O1094" t="s">
        <v>195</v>
      </c>
      <c r="P1094" t="s">
        <v>2093</v>
      </c>
      <c r="Q1094" t="s">
        <v>251</v>
      </c>
      <c r="R1094" s="22">
        <v>21</v>
      </c>
      <c r="S1094">
        <f>Data!$I$7</f>
        <v>2</v>
      </c>
      <c r="T1094">
        <v>1</v>
      </c>
      <c r="U1094">
        <v>1</v>
      </c>
      <c r="V1094">
        <f>Data!$I$57</f>
        <v>2</v>
      </c>
      <c r="W1094">
        <f>Data!$I$45</f>
        <v>40</v>
      </c>
      <c r="Y1094" t="s">
        <v>2069</v>
      </c>
    </row>
    <row r="1095" spans="10:25" x14ac:dyDescent="0.25">
      <c r="J1095" s="49" t="s">
        <v>2071</v>
      </c>
      <c r="K1095" s="49" t="s">
        <v>65</v>
      </c>
      <c r="L1095" s="49" t="s">
        <v>552</v>
      </c>
      <c r="M1095" s="49" t="s">
        <v>496</v>
      </c>
      <c r="N1095" s="49" t="s">
        <v>552</v>
      </c>
      <c r="O1095" s="49" t="s">
        <v>195</v>
      </c>
      <c r="P1095" s="49" t="s">
        <v>2093</v>
      </c>
      <c r="Q1095" s="49" t="s">
        <v>251</v>
      </c>
      <c r="R1095" s="22">
        <v>22</v>
      </c>
      <c r="S1095" s="49">
        <f>Data!$I$40</f>
        <v>35</v>
      </c>
      <c r="T1095" s="49">
        <v>1</v>
      </c>
      <c r="U1095" s="49">
        <v>1</v>
      </c>
      <c r="V1095" s="49">
        <f>Data!$I$57</f>
        <v>2</v>
      </c>
      <c r="W1095" s="49">
        <f>Data!$I$45</f>
        <v>40</v>
      </c>
      <c r="X1095" s="49"/>
      <c r="Y1095" s="49"/>
    </row>
    <row r="1096" spans="10:25" x14ac:dyDescent="0.25">
      <c r="J1096" t="s">
        <v>2064</v>
      </c>
      <c r="K1096" t="s">
        <v>65</v>
      </c>
      <c r="L1096" t="s">
        <v>69</v>
      </c>
      <c r="M1096" t="s">
        <v>496</v>
      </c>
      <c r="N1096" t="s">
        <v>552</v>
      </c>
      <c r="O1096" t="s">
        <v>195</v>
      </c>
      <c r="P1096">
        <v>0</v>
      </c>
      <c r="Q1096" t="s">
        <v>552</v>
      </c>
      <c r="R1096" s="22">
        <v>23</v>
      </c>
      <c r="S1096">
        <f>Data!$I$42</f>
        <v>37</v>
      </c>
      <c r="T1096">
        <v>1</v>
      </c>
      <c r="U1096">
        <v>1</v>
      </c>
      <c r="V1096">
        <v>1</v>
      </c>
      <c r="W1096">
        <f>Data!$I$40</f>
        <v>35</v>
      </c>
    </row>
    <row r="1097" spans="10:25" x14ac:dyDescent="0.25">
      <c r="J1097" t="s">
        <v>2068</v>
      </c>
      <c r="K1097" t="s">
        <v>65</v>
      </c>
      <c r="L1097" t="s">
        <v>61</v>
      </c>
      <c r="M1097" t="s">
        <v>496</v>
      </c>
      <c r="N1097" t="s">
        <v>552</v>
      </c>
      <c r="O1097" t="s">
        <v>195</v>
      </c>
      <c r="P1097">
        <v>0</v>
      </c>
      <c r="Q1097" t="s">
        <v>552</v>
      </c>
      <c r="R1097" s="22">
        <v>24</v>
      </c>
      <c r="S1097">
        <f>Data!$I$30</f>
        <v>25</v>
      </c>
      <c r="T1097">
        <v>1</v>
      </c>
      <c r="U1097">
        <v>1</v>
      </c>
      <c r="V1097">
        <v>1</v>
      </c>
      <c r="W1097">
        <f>Data!$I$40</f>
        <v>35</v>
      </c>
    </row>
    <row r="1098" spans="10:25" x14ac:dyDescent="0.25">
      <c r="J1098" t="s">
        <v>2067</v>
      </c>
      <c r="K1098" t="s">
        <v>65</v>
      </c>
      <c r="L1098" t="s">
        <v>2032</v>
      </c>
      <c r="M1098" t="s">
        <v>496</v>
      </c>
      <c r="N1098" t="s">
        <v>552</v>
      </c>
      <c r="O1098" t="s">
        <v>195</v>
      </c>
      <c r="P1098">
        <v>0</v>
      </c>
      <c r="Q1098" t="s">
        <v>552</v>
      </c>
      <c r="R1098" s="22">
        <v>25</v>
      </c>
      <c r="S1098">
        <f>Data!$I$7</f>
        <v>2</v>
      </c>
      <c r="T1098">
        <v>1</v>
      </c>
      <c r="U1098">
        <v>1</v>
      </c>
      <c r="V1098">
        <v>1</v>
      </c>
      <c r="W1098">
        <f>Data!$I$40</f>
        <v>35</v>
      </c>
    </row>
    <row r="1099" spans="10:25" x14ac:dyDescent="0.25">
      <c r="J1099" s="49" t="s">
        <v>2071</v>
      </c>
      <c r="K1099" t="s">
        <v>65</v>
      </c>
      <c r="L1099" s="49" t="s">
        <v>552</v>
      </c>
      <c r="M1099" s="49" t="s">
        <v>496</v>
      </c>
      <c r="N1099" s="49" t="s">
        <v>552</v>
      </c>
      <c r="O1099" s="49" t="s">
        <v>195</v>
      </c>
      <c r="P1099" s="49">
        <v>0</v>
      </c>
      <c r="Q1099" s="179" t="s">
        <v>552</v>
      </c>
      <c r="R1099" s="22">
        <v>26</v>
      </c>
      <c r="S1099" s="49">
        <f>Data!$I$40</f>
        <v>35</v>
      </c>
      <c r="T1099" s="49">
        <v>1</v>
      </c>
      <c r="U1099" s="49">
        <v>1</v>
      </c>
      <c r="V1099" s="49">
        <v>1</v>
      </c>
      <c r="W1099" s="49">
        <v>34</v>
      </c>
      <c r="X1099" s="49"/>
      <c r="Y1099" s="49" t="s">
        <v>2072</v>
      </c>
    </row>
    <row r="1100" spans="10:25" x14ac:dyDescent="0.25">
      <c r="J1100" t="s">
        <v>2080</v>
      </c>
      <c r="L1100" t="s">
        <v>251</v>
      </c>
      <c r="M1100">
        <v>0</v>
      </c>
      <c r="N1100" t="s">
        <v>66</v>
      </c>
      <c r="O1100" t="s">
        <v>195</v>
      </c>
      <c r="P1100">
        <v>0</v>
      </c>
      <c r="Q1100" t="s">
        <v>69</v>
      </c>
      <c r="R1100" s="22">
        <v>27</v>
      </c>
      <c r="S1100">
        <f>Data!$I$45</f>
        <v>40</v>
      </c>
      <c r="T1100">
        <v>1</v>
      </c>
      <c r="U1100">
        <v>1</v>
      </c>
      <c r="V1100">
        <v>1</v>
      </c>
      <c r="W1100">
        <f>Data!$I$42</f>
        <v>37</v>
      </c>
      <c r="Y1100" t="s">
        <v>2081</v>
      </c>
    </row>
    <row r="1101" spans="10:25" x14ac:dyDescent="0.25">
      <c r="J1101" t="s">
        <v>2083</v>
      </c>
      <c r="L1101" t="s">
        <v>251</v>
      </c>
      <c r="M1101">
        <v>0</v>
      </c>
      <c r="N1101" t="s">
        <v>66</v>
      </c>
      <c r="O1101" t="s">
        <v>195</v>
      </c>
      <c r="P1101">
        <v>0</v>
      </c>
      <c r="Q1101" t="s">
        <v>66</v>
      </c>
      <c r="R1101" s="22">
        <v>28</v>
      </c>
      <c r="S1101">
        <f>Data!$I$45</f>
        <v>40</v>
      </c>
      <c r="T1101">
        <v>1</v>
      </c>
      <c r="U1101">
        <v>1</v>
      </c>
      <c r="V1101">
        <v>1</v>
      </c>
      <c r="W1101">
        <f>Data!$I$39</f>
        <v>34</v>
      </c>
      <c r="Y1101" t="s">
        <v>2082</v>
      </c>
    </row>
    <row r="1102" spans="10:25" x14ac:dyDescent="0.25">
      <c r="J1102" t="s">
        <v>69</v>
      </c>
      <c r="L1102" t="s">
        <v>66</v>
      </c>
      <c r="M1102">
        <v>0</v>
      </c>
      <c r="N1102" t="s">
        <v>69</v>
      </c>
      <c r="O1102" t="s">
        <v>196</v>
      </c>
      <c r="P1102">
        <v>0</v>
      </c>
      <c r="Q1102" t="s">
        <v>552</v>
      </c>
      <c r="R1102" s="22">
        <v>29</v>
      </c>
      <c r="S1102">
        <f>Data!$I$39</f>
        <v>34</v>
      </c>
      <c r="T1102">
        <v>1</v>
      </c>
      <c r="U1102">
        <v>2</v>
      </c>
      <c r="V1102">
        <v>1</v>
      </c>
      <c r="W1102">
        <f>Data!$I$40</f>
        <v>35</v>
      </c>
      <c r="Y1102" t="s">
        <v>2075</v>
      </c>
    </row>
    <row r="1103" spans="10:25" x14ac:dyDescent="0.25">
      <c r="J1103" t="s">
        <v>75</v>
      </c>
      <c r="L1103" t="s">
        <v>552</v>
      </c>
      <c r="N1103" t="s">
        <v>75</v>
      </c>
      <c r="O1103" t="s">
        <v>196</v>
      </c>
      <c r="Q1103" t="s">
        <v>552</v>
      </c>
      <c r="R1103" s="22">
        <v>30</v>
      </c>
      <c r="S1103" s="49">
        <f>Data!$I$40</f>
        <v>35</v>
      </c>
      <c r="T1103">
        <v>1</v>
      </c>
      <c r="U1103">
        <v>2</v>
      </c>
      <c r="V1103">
        <v>1</v>
      </c>
      <c r="W1103">
        <f>Data!$I$40</f>
        <v>35</v>
      </c>
    </row>
    <row r="1104" spans="10:25" x14ac:dyDescent="0.25">
      <c r="J1104" t="s">
        <v>61</v>
      </c>
      <c r="K1104" t="s">
        <v>2039</v>
      </c>
      <c r="L1104" t="s">
        <v>251</v>
      </c>
      <c r="N1104" t="s">
        <v>61</v>
      </c>
      <c r="O1104" t="s">
        <v>196</v>
      </c>
      <c r="Q1104" t="s">
        <v>552</v>
      </c>
      <c r="R1104" s="22">
        <v>31</v>
      </c>
      <c r="S1104" s="49">
        <f>Data!$I$45</f>
        <v>40</v>
      </c>
      <c r="T1104">
        <v>1</v>
      </c>
      <c r="U1104">
        <v>2</v>
      </c>
      <c r="V1104">
        <v>1</v>
      </c>
      <c r="W1104">
        <f>Data!$I$40</f>
        <v>35</v>
      </c>
    </row>
    <row r="1105" spans="10:25" x14ac:dyDescent="0.25">
      <c r="J1105" t="s">
        <v>70</v>
      </c>
      <c r="L1105" t="s">
        <v>70</v>
      </c>
      <c r="M1105">
        <v>0</v>
      </c>
      <c r="N1105" t="s">
        <v>70</v>
      </c>
      <c r="O1105" t="s">
        <v>195</v>
      </c>
      <c r="P1105">
        <v>0</v>
      </c>
      <c r="Q1105" t="s">
        <v>70</v>
      </c>
      <c r="R1105" s="22">
        <v>32</v>
      </c>
      <c r="S1105">
        <f>Data!$I$43</f>
        <v>38</v>
      </c>
      <c r="T1105">
        <v>9</v>
      </c>
      <c r="U1105">
        <v>1</v>
      </c>
      <c r="V1105">
        <v>1</v>
      </c>
      <c r="W1105">
        <f>Data!$I$43</f>
        <v>38</v>
      </c>
    </row>
    <row r="1106" spans="10:25" x14ac:dyDescent="0.25">
      <c r="J1106" t="s">
        <v>2084</v>
      </c>
      <c r="L1106" t="s">
        <v>2084</v>
      </c>
      <c r="M1106">
        <v>0</v>
      </c>
      <c r="N1106" t="s">
        <v>2084</v>
      </c>
      <c r="O1106">
        <v>0</v>
      </c>
      <c r="P1106">
        <v>0</v>
      </c>
      <c r="Q1106" t="s">
        <v>2084</v>
      </c>
      <c r="R1106" s="22">
        <v>33</v>
      </c>
      <c r="S1106">
        <f>Data!$I$28</f>
        <v>23</v>
      </c>
      <c r="T1106">
        <v>1</v>
      </c>
      <c r="U1106">
        <v>1</v>
      </c>
      <c r="V1106">
        <v>1</v>
      </c>
      <c r="W1106">
        <f>Data!$I$28</f>
        <v>23</v>
      </c>
    </row>
    <row r="1107" spans="10:25" x14ac:dyDescent="0.25">
      <c r="J1107" t="s">
        <v>2111</v>
      </c>
      <c r="L1107" t="s">
        <v>251</v>
      </c>
      <c r="N1107" t="s">
        <v>2132</v>
      </c>
      <c r="Q1107" t="s">
        <v>552</v>
      </c>
      <c r="R1107" s="22">
        <v>34</v>
      </c>
      <c r="S1107">
        <f>Data!$I$45</f>
        <v>40</v>
      </c>
      <c r="T1107">
        <v>1</v>
      </c>
      <c r="U1107">
        <v>2</v>
      </c>
      <c r="V1107">
        <v>1</v>
      </c>
      <c r="W1107">
        <f>Data!$I$40</f>
        <v>35</v>
      </c>
    </row>
    <row r="1108" spans="10:25" x14ac:dyDescent="0.25">
      <c r="J1108" t="s">
        <v>2085</v>
      </c>
      <c r="L1108" t="s">
        <v>251</v>
      </c>
      <c r="M1108" t="s">
        <v>2087</v>
      </c>
      <c r="N1108" t="s">
        <v>539</v>
      </c>
      <c r="O1108">
        <v>0</v>
      </c>
      <c r="P1108">
        <v>0</v>
      </c>
      <c r="Q1108" t="s">
        <v>539</v>
      </c>
      <c r="R1108" s="22">
        <v>35</v>
      </c>
      <c r="S1108">
        <f>Data!$I$45</f>
        <v>40</v>
      </c>
      <c r="T1108">
        <v>1</v>
      </c>
      <c r="U1108">
        <v>2</v>
      </c>
      <c r="V1108">
        <v>1</v>
      </c>
      <c r="W1108">
        <f>Data!$I$23</f>
        <v>18</v>
      </c>
      <c r="Y1108" t="s">
        <v>2088</v>
      </c>
    </row>
    <row r="1109" spans="10:25" x14ac:dyDescent="0.25">
      <c r="J1109" t="s">
        <v>2086</v>
      </c>
      <c r="L1109" t="s">
        <v>539</v>
      </c>
      <c r="M1109">
        <v>0</v>
      </c>
      <c r="N1109" t="s">
        <v>539</v>
      </c>
      <c r="O1109">
        <v>0</v>
      </c>
      <c r="P1109">
        <v>0</v>
      </c>
      <c r="Q1109" t="s">
        <v>251</v>
      </c>
      <c r="R1109" s="22">
        <v>36</v>
      </c>
      <c r="S1109">
        <f>Data!$I$23</f>
        <v>18</v>
      </c>
      <c r="T1109">
        <v>1</v>
      </c>
      <c r="U1109">
        <v>2</v>
      </c>
      <c r="V1109">
        <v>1</v>
      </c>
      <c r="W1109">
        <f>Data!$I$45</f>
        <v>40</v>
      </c>
      <c r="Y1109" t="s">
        <v>2088</v>
      </c>
    </row>
    <row r="1110" spans="10:25" x14ac:dyDescent="0.25">
      <c r="J1110" t="s">
        <v>2129</v>
      </c>
      <c r="L1110" t="s">
        <v>251</v>
      </c>
      <c r="M1110" t="s">
        <v>2087</v>
      </c>
      <c r="N1110" t="s">
        <v>551</v>
      </c>
      <c r="Q1110" t="s">
        <v>551</v>
      </c>
      <c r="R1110" s="22">
        <v>37</v>
      </c>
      <c r="S1110">
        <f>Data!$I$45</f>
        <v>40</v>
      </c>
      <c r="T1110">
        <v>1</v>
      </c>
      <c r="U1110">
        <v>2</v>
      </c>
      <c r="V1110">
        <v>1</v>
      </c>
      <c r="W1110">
        <f>Data!$I$16</f>
        <v>11</v>
      </c>
      <c r="Y1110" t="s">
        <v>2131</v>
      </c>
    </row>
    <row r="1111" spans="10:25" x14ac:dyDescent="0.25">
      <c r="J1111" t="s">
        <v>2130</v>
      </c>
      <c r="L1111" t="s">
        <v>551</v>
      </c>
      <c r="N1111" t="s">
        <v>551</v>
      </c>
      <c r="Q1111" t="s">
        <v>251</v>
      </c>
      <c r="R1111" s="22">
        <v>38</v>
      </c>
      <c r="S1111">
        <f>Data!$I$16</f>
        <v>11</v>
      </c>
      <c r="T1111">
        <v>1</v>
      </c>
      <c r="U1111">
        <v>2</v>
      </c>
      <c r="V1111">
        <v>1</v>
      </c>
      <c r="W1111">
        <f>Data!$I$45</f>
        <v>40</v>
      </c>
      <c r="Y1111" t="s">
        <v>2131</v>
      </c>
    </row>
    <row r="1112" spans="10:25" x14ac:dyDescent="0.25">
      <c r="J1112" t="s">
        <v>1167</v>
      </c>
      <c r="L1112" t="s">
        <v>1167</v>
      </c>
      <c r="N1112" t="s">
        <v>1167</v>
      </c>
      <c r="Q1112" t="s">
        <v>1167</v>
      </c>
      <c r="R1112" s="22">
        <v>39</v>
      </c>
      <c r="S1112">
        <f>Data!$I$31</f>
        <v>26</v>
      </c>
      <c r="T1112">
        <v>1</v>
      </c>
      <c r="U1112">
        <v>2</v>
      </c>
      <c r="V1112">
        <v>1</v>
      </c>
      <c r="W1112">
        <f>Data!$I$31</f>
        <v>26</v>
      </c>
      <c r="Y1112" t="s">
        <v>2133</v>
      </c>
    </row>
    <row r="1113" spans="10:25" x14ac:dyDescent="0.25">
      <c r="J1113" t="s">
        <v>2152</v>
      </c>
      <c r="K1113" t="s">
        <v>2155</v>
      </c>
      <c r="L1113" t="s">
        <v>251</v>
      </c>
      <c r="N1113" t="s">
        <v>2152</v>
      </c>
      <c r="Q1113" t="s">
        <v>552</v>
      </c>
      <c r="R1113" s="175">
        <v>40</v>
      </c>
      <c r="S1113">
        <f>Data!$I$45</f>
        <v>40</v>
      </c>
      <c r="T1113">
        <v>1</v>
      </c>
      <c r="U1113">
        <v>1</v>
      </c>
      <c r="V1113">
        <v>1</v>
      </c>
      <c r="W1113">
        <f>Data!$I$40</f>
        <v>35</v>
      </c>
    </row>
    <row r="1114" spans="10:25" x14ac:dyDescent="0.25">
      <c r="J1114" t="s">
        <v>2157</v>
      </c>
      <c r="K1114" t="s">
        <v>2156</v>
      </c>
      <c r="L1114" t="s">
        <v>251</v>
      </c>
      <c r="N1114" t="s">
        <v>62</v>
      </c>
      <c r="Q1114" t="s">
        <v>62</v>
      </c>
      <c r="R1114" s="175">
        <v>41</v>
      </c>
      <c r="S1114">
        <f>Data!$I$45</f>
        <v>40</v>
      </c>
      <c r="T1114">
        <v>1</v>
      </c>
      <c r="U1114">
        <v>1</v>
      </c>
      <c r="V1114">
        <v>1</v>
      </c>
      <c r="W1114">
        <f>$I$35</f>
        <v>30</v>
      </c>
    </row>
    <row r="1115" spans="10:25" x14ac:dyDescent="0.25">
      <c r="J1115" t="s">
        <v>2158</v>
      </c>
      <c r="K1115" t="s">
        <v>2156</v>
      </c>
      <c r="L1115" t="s">
        <v>62</v>
      </c>
      <c r="N1115" t="s">
        <v>62</v>
      </c>
      <c r="Q1115" t="s">
        <v>552</v>
      </c>
      <c r="R1115" s="175">
        <v>42</v>
      </c>
      <c r="S1115">
        <f>$I$35</f>
        <v>30</v>
      </c>
      <c r="T1115">
        <v>1</v>
      </c>
      <c r="U1115">
        <v>1</v>
      </c>
      <c r="V1115">
        <v>1</v>
      </c>
      <c r="W1115">
        <f>Data!$I$40</f>
        <v>35</v>
      </c>
    </row>
    <row r="1116" spans="10:25" x14ac:dyDescent="0.25">
      <c r="J1116" t="s">
        <v>2159</v>
      </c>
      <c r="L1116" t="s">
        <v>251</v>
      </c>
      <c r="N1116" t="s">
        <v>2161</v>
      </c>
      <c r="Q1116" t="s">
        <v>2161</v>
      </c>
      <c r="R1116" s="175">
        <v>43</v>
      </c>
      <c r="S1116">
        <f>Data!$I$45</f>
        <v>40</v>
      </c>
      <c r="T1116">
        <v>1</v>
      </c>
      <c r="U1116">
        <v>1</v>
      </c>
      <c r="V1116">
        <v>1</v>
      </c>
      <c r="W1116">
        <f>$I$12</f>
        <v>7</v>
      </c>
    </row>
    <row r="1117" spans="10:25" x14ac:dyDescent="0.25">
      <c r="J1117" t="s">
        <v>2160</v>
      </c>
      <c r="L1117" t="s">
        <v>2161</v>
      </c>
      <c r="N1117" t="s">
        <v>2161</v>
      </c>
      <c r="Q1117" t="s">
        <v>552</v>
      </c>
      <c r="R1117" s="175">
        <v>44</v>
      </c>
      <c r="S1117">
        <f>$I$12</f>
        <v>7</v>
      </c>
      <c r="T1117">
        <v>1</v>
      </c>
      <c r="U1117">
        <v>1</v>
      </c>
      <c r="V1117">
        <v>1</v>
      </c>
      <c r="W1117">
        <f>Data!$I$40</f>
        <v>35</v>
      </c>
    </row>
    <row r="1118" spans="10:25" x14ac:dyDescent="0.25">
      <c r="J1118" t="s">
        <v>245</v>
      </c>
      <c r="K1118" t="s">
        <v>2164</v>
      </c>
      <c r="L1118" t="s">
        <v>251</v>
      </c>
      <c r="N1118" t="s">
        <v>245</v>
      </c>
      <c r="Q1118" t="s">
        <v>251</v>
      </c>
      <c r="R1118" s="175">
        <v>45</v>
      </c>
      <c r="S1118">
        <f>Data!$I$45</f>
        <v>40</v>
      </c>
      <c r="T1118">
        <v>1</v>
      </c>
      <c r="U1118">
        <v>2</v>
      </c>
      <c r="V1118">
        <v>1</v>
      </c>
      <c r="W1118">
        <f>Data!$I$45</f>
        <v>40</v>
      </c>
    </row>
    <row r="1119" spans="10:25" x14ac:dyDescent="0.25">
      <c r="J1119" t="s">
        <v>246</v>
      </c>
      <c r="L1119" t="s">
        <v>251</v>
      </c>
      <c r="N1119" t="s">
        <v>246</v>
      </c>
      <c r="Q1119" t="s">
        <v>251</v>
      </c>
      <c r="R1119" s="175">
        <v>46</v>
      </c>
      <c r="S1119">
        <f>Data!$I$45</f>
        <v>40</v>
      </c>
      <c r="T1119">
        <v>1</v>
      </c>
      <c r="U1119">
        <v>2</v>
      </c>
      <c r="V1119">
        <v>1</v>
      </c>
      <c r="W1119">
        <f>Data!$I$45</f>
        <v>40</v>
      </c>
    </row>
    <row r="1120" spans="10:25" x14ac:dyDescent="0.25">
      <c r="J1120" t="s">
        <v>2189</v>
      </c>
      <c r="L1120" t="s">
        <v>2189</v>
      </c>
      <c r="N1120" t="s">
        <v>2189</v>
      </c>
      <c r="Q1120" t="s">
        <v>2189</v>
      </c>
      <c r="R1120" s="175">
        <v>47</v>
      </c>
      <c r="S1120">
        <f>$I$11</f>
        <v>6</v>
      </c>
      <c r="T1120">
        <v>1</v>
      </c>
      <c r="U1120">
        <v>1</v>
      </c>
      <c r="V1120">
        <v>1</v>
      </c>
      <c r="W1120">
        <f>$I$11</f>
        <v>6</v>
      </c>
    </row>
    <row r="1123" spans="10:12" x14ac:dyDescent="0.25">
      <c r="J1123" t="s">
        <v>2190</v>
      </c>
    </row>
    <row r="1126" spans="10:12" x14ac:dyDescent="0.25">
      <c r="J1126" s="3" t="s">
        <v>2056</v>
      </c>
      <c r="L1126" t="s">
        <v>2051</v>
      </c>
    </row>
    <row r="1127" spans="10:12" x14ac:dyDescent="0.25">
      <c r="J1127" t="s">
        <v>2050</v>
      </c>
      <c r="K1127" s="171" t="s">
        <v>2033</v>
      </c>
      <c r="L1127" t="e">
        <f>MATCH(K1127,#REF!,0)</f>
        <v>#REF!</v>
      </c>
    </row>
    <row r="1128" spans="10:12" x14ac:dyDescent="0.25">
      <c r="J1128" t="s">
        <v>2052</v>
      </c>
      <c r="K1128" s="171" t="s">
        <v>2034</v>
      </c>
      <c r="L1128" t="e">
        <f>MATCH(K1128,#REF!,0)</f>
        <v>#REF!</v>
      </c>
    </row>
    <row r="1129" spans="10:12" x14ac:dyDescent="0.25">
      <c r="J1129" t="s">
        <v>2054</v>
      </c>
      <c r="K1129" s="171" t="s">
        <v>2035</v>
      </c>
      <c r="L1129" t="e">
        <f>MATCH(K1129,#REF!,0)</f>
        <v>#REF!</v>
      </c>
    </row>
    <row r="1130" spans="10:12" x14ac:dyDescent="0.25">
      <c r="J1130" t="s">
        <v>2053</v>
      </c>
      <c r="K1130" s="171" t="s">
        <v>2036</v>
      </c>
      <c r="L1130" t="e">
        <f>MATCH(K1130,#REF!,0)</f>
        <v>#REF!</v>
      </c>
    </row>
    <row r="1131" spans="10:12" x14ac:dyDescent="0.25">
      <c r="J1131" t="s">
        <v>2055</v>
      </c>
      <c r="K1131" s="171" t="s">
        <v>2037</v>
      </c>
      <c r="L1131" t="e">
        <f>MATCH(K1131,#REF!,0)</f>
        <v>#REF!</v>
      </c>
    </row>
    <row r="1132" spans="10:12" x14ac:dyDescent="0.25">
      <c r="J1132" t="s">
        <v>2092</v>
      </c>
      <c r="K1132" s="171" t="s">
        <v>2038</v>
      </c>
      <c r="L1132" t="e">
        <f>MATCH(K1132,#REF!,0)</f>
        <v>#REF!</v>
      </c>
    </row>
    <row r="1136" spans="10:12" x14ac:dyDescent="0.25">
      <c r="J1136" s="3" t="s">
        <v>2057</v>
      </c>
      <c r="L1136" t="s">
        <v>2059</v>
      </c>
    </row>
    <row r="1137" spans="10:27" x14ac:dyDescent="0.25">
      <c r="J1137" t="s">
        <v>2058</v>
      </c>
      <c r="K1137" s="171" t="s">
        <v>2027</v>
      </c>
      <c r="L1137" t="e">
        <f>MATCH(K1137,#REF!,0)</f>
        <v>#REF!</v>
      </c>
    </row>
    <row r="1138" spans="10:27" ht="30" x14ac:dyDescent="0.25">
      <c r="J1138" t="s">
        <v>2192</v>
      </c>
      <c r="K1138" s="171" t="s">
        <v>2029</v>
      </c>
      <c r="L1138" t="e">
        <f>MATCH(K1138,#REF!,0)</f>
        <v>#REF!</v>
      </c>
    </row>
    <row r="1139" spans="10:27" ht="30" x14ac:dyDescent="0.25">
      <c r="J1139" t="s">
        <v>2193</v>
      </c>
      <c r="K1139" s="171" t="s">
        <v>2028</v>
      </c>
      <c r="L1139" t="e">
        <f>MATCH(K1139,#REF!,0)</f>
        <v>#REF!</v>
      </c>
    </row>
    <row r="1140" spans="10:27" x14ac:dyDescent="0.25">
      <c r="J1140" t="s">
        <v>2215</v>
      </c>
      <c r="K1140" s="172" t="s">
        <v>2030</v>
      </c>
      <c r="L1140" t="e">
        <f>MATCH(K1140,#REF!,0)</f>
        <v>#REF!</v>
      </c>
    </row>
    <row r="1142" spans="10:27" x14ac:dyDescent="0.25">
      <c r="J1142" s="3" t="s">
        <v>2194</v>
      </c>
      <c r="Q1142" t="s">
        <v>2195</v>
      </c>
    </row>
    <row r="1143" spans="10:27" x14ac:dyDescent="0.25">
      <c r="J1143" s="27" t="s">
        <v>1535</v>
      </c>
      <c r="K1143" s="32">
        <f>IF(NnormIalt12=0,100,IF(NtilpasMetode12=1,(NnormIalt12+Kvotereduk12+KvoteTillaeg12)*100/NnormIalt12,100))</f>
        <v>100</v>
      </c>
      <c r="L1143" s="15" t="s">
        <v>205</v>
      </c>
      <c r="M1143" s="17"/>
      <c r="N1143" s="15" t="s">
        <v>1216</v>
      </c>
      <c r="O1143" s="15"/>
      <c r="Q1143" s="12">
        <f>IF(M1143&lt;&gt;"",M1143,K1143)</f>
        <v>100</v>
      </c>
      <c r="R1143" s="12"/>
      <c r="S1143" s="12"/>
      <c r="T1143" s="12"/>
      <c r="U1143" s="12"/>
      <c r="V1143" s="12"/>
      <c r="W1143" s="12"/>
      <c r="X1143" s="12"/>
      <c r="Y1143" s="12"/>
      <c r="Z1143" s="12"/>
      <c r="AA1143" s="12"/>
    </row>
    <row r="1145" spans="10:27" x14ac:dyDescent="0.25">
      <c r="J1145" s="3" t="s">
        <v>2197</v>
      </c>
      <c r="Q1145" t="s">
        <v>2199</v>
      </c>
    </row>
    <row r="1146" spans="10:27" x14ac:dyDescent="0.25">
      <c r="J1146" t="s">
        <v>2198</v>
      </c>
      <c r="K1146">
        <v>60</v>
      </c>
      <c r="L1146" t="s">
        <v>205</v>
      </c>
      <c r="M1146" s="181"/>
      <c r="N1146" t="s">
        <v>205</v>
      </c>
      <c r="Q1146">
        <f>IF(M1146&lt;&gt;"",M1146,K1146)</f>
        <v>60</v>
      </c>
    </row>
    <row r="1148" spans="10:27" x14ac:dyDescent="0.25">
      <c r="J1148" s="3" t="s">
        <v>2200</v>
      </c>
      <c r="Q1148" t="s">
        <v>2203</v>
      </c>
    </row>
    <row r="1149" spans="10:27" x14ac:dyDescent="0.25">
      <c r="J1149" t="s">
        <v>2201</v>
      </c>
      <c r="K1149">
        <v>0</v>
      </c>
      <c r="L1149" t="s">
        <v>531</v>
      </c>
      <c r="M1149" s="181"/>
      <c r="N1149" t="s">
        <v>531</v>
      </c>
      <c r="Q1149">
        <f>IF(M1149&lt;&gt;"",M1149,K1149)</f>
        <v>0</v>
      </c>
    </row>
    <row r="1150" spans="10:27" x14ac:dyDescent="0.25">
      <c r="Q1150" t="s">
        <v>2204</v>
      </c>
    </row>
    <row r="1151" spans="10:27" x14ac:dyDescent="0.25">
      <c r="J1151" t="s">
        <v>2202</v>
      </c>
      <c r="K1151">
        <v>0</v>
      </c>
      <c r="L1151" t="s">
        <v>531</v>
      </c>
      <c r="M1151" s="181"/>
      <c r="N1151" t="s">
        <v>531</v>
      </c>
      <c r="Q1151">
        <f>IF(M1151&lt;&gt;"",M1151,K1151)</f>
        <v>0</v>
      </c>
    </row>
    <row r="1154" spans="10:11" x14ac:dyDescent="0.25">
      <c r="J1154" t="s">
        <v>2277</v>
      </c>
    </row>
    <row r="1155" spans="10:11" x14ac:dyDescent="0.25">
      <c r="J1155" t="s">
        <v>2278</v>
      </c>
      <c r="K1155">
        <v>65</v>
      </c>
    </row>
  </sheetData>
  <sortState ref="H975:J1016">
    <sortCondition ref="H975"/>
  </sortState>
  <conditionalFormatting sqref="K1143">
    <cfRule type="expression" dxfId="341" priority="1138" stopIfTrue="1">
      <formula>M1143&lt;&gt;""</formula>
    </cfRule>
  </conditionalFormatting>
  <conditionalFormatting sqref="L1143">
    <cfRule type="expression" dxfId="340" priority="1139" stopIfTrue="1">
      <formula>M1143&lt;&gt;""</formula>
    </cfRule>
  </conditionalFormatting>
  <pageMargins left="0.7" right="0.7" top="0.75" bottom="0.75" header="0.3" footer="0.3"/>
  <pageSetup paperSize="8" fitToWidth="0"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dimension ref="A1:T45"/>
  <sheetViews>
    <sheetView workbookViewId="0">
      <selection activeCell="X7" sqref="X7"/>
    </sheetView>
  </sheetViews>
  <sheetFormatPr defaultRowHeight="15" x14ac:dyDescent="0.25"/>
  <cols>
    <col min="2" max="2" width="27.42578125" customWidth="1"/>
  </cols>
  <sheetData>
    <row r="1" spans="1:20" x14ac:dyDescent="0.25">
      <c r="D1">
        <v>36</v>
      </c>
      <c r="E1">
        <v>37</v>
      </c>
      <c r="F1">
        <v>38</v>
      </c>
      <c r="G1">
        <v>39</v>
      </c>
      <c r="H1">
        <v>40</v>
      </c>
      <c r="K1">
        <v>41</v>
      </c>
      <c r="L1">
        <v>42</v>
      </c>
      <c r="M1">
        <v>43</v>
      </c>
      <c r="N1">
        <v>44</v>
      </c>
      <c r="O1">
        <v>45</v>
      </c>
      <c r="P1">
        <v>46</v>
      </c>
      <c r="Q1">
        <v>47</v>
      </c>
      <c r="R1">
        <v>48</v>
      </c>
      <c r="S1">
        <v>49</v>
      </c>
      <c r="T1">
        <v>50</v>
      </c>
    </row>
    <row r="2" spans="1:20" x14ac:dyDescent="0.25">
      <c r="E2" t="s">
        <v>210</v>
      </c>
      <c r="F2" t="s">
        <v>203</v>
      </c>
      <c r="G2" t="s">
        <v>209</v>
      </c>
      <c r="H2" t="s">
        <v>211</v>
      </c>
      <c r="K2" t="s">
        <v>1139</v>
      </c>
      <c r="L2" t="s">
        <v>252</v>
      </c>
      <c r="M2" t="s">
        <v>204</v>
      </c>
      <c r="N2" t="s">
        <v>6</v>
      </c>
      <c r="O2" t="s">
        <v>7</v>
      </c>
      <c r="P2" t="s">
        <v>8</v>
      </c>
      <c r="Q2" t="s">
        <v>9</v>
      </c>
      <c r="R2" t="s">
        <v>10</v>
      </c>
      <c r="S2" t="s">
        <v>11</v>
      </c>
      <c r="T2" t="s">
        <v>12</v>
      </c>
    </row>
    <row r="3" spans="1:20" x14ac:dyDescent="0.25">
      <c r="B3" t="s">
        <v>28</v>
      </c>
      <c r="C3" t="s">
        <v>29</v>
      </c>
      <c r="E3" t="s">
        <v>205</v>
      </c>
      <c r="F3" t="s">
        <v>205</v>
      </c>
      <c r="G3" t="s">
        <v>209</v>
      </c>
      <c r="H3" t="s">
        <v>201</v>
      </c>
      <c r="K3" t="s">
        <v>1140</v>
      </c>
      <c r="L3" t="s">
        <v>40</v>
      </c>
      <c r="M3" t="s">
        <v>201</v>
      </c>
      <c r="N3" t="s">
        <v>1749</v>
      </c>
      <c r="O3" t="s">
        <v>1749</v>
      </c>
      <c r="P3" t="s">
        <v>528</v>
      </c>
      <c r="Q3" t="s">
        <v>528</v>
      </c>
      <c r="R3" t="s">
        <v>1750</v>
      </c>
      <c r="S3" t="s">
        <v>1745</v>
      </c>
      <c r="T3" t="s">
        <v>528</v>
      </c>
    </row>
    <row r="4" spans="1:20" x14ac:dyDescent="0.25">
      <c r="A4">
        <v>1</v>
      </c>
    </row>
    <row r="5" spans="1:20" x14ac:dyDescent="0.25">
      <c r="A5">
        <v>2</v>
      </c>
      <c r="B5" t="s">
        <v>45</v>
      </c>
      <c r="C5" t="s">
        <v>46</v>
      </c>
      <c r="D5" t="s">
        <v>45</v>
      </c>
      <c r="E5">
        <v>88</v>
      </c>
      <c r="F5">
        <v>85</v>
      </c>
      <c r="H5">
        <v>24.375</v>
      </c>
      <c r="K5">
        <v>0</v>
      </c>
      <c r="L5">
        <v>6.25</v>
      </c>
      <c r="M5">
        <v>5.0625</v>
      </c>
      <c r="O5">
        <v>5</v>
      </c>
      <c r="P5">
        <v>4.5</v>
      </c>
      <c r="Q5">
        <v>3.5</v>
      </c>
      <c r="R5">
        <v>20</v>
      </c>
      <c r="S5">
        <v>7.5</v>
      </c>
      <c r="T5">
        <v>25</v>
      </c>
    </row>
    <row r="6" spans="1:20" x14ac:dyDescent="0.25">
      <c r="A6">
        <v>3</v>
      </c>
      <c r="B6" t="s">
        <v>47</v>
      </c>
      <c r="C6" t="s">
        <v>46</v>
      </c>
      <c r="D6" t="s">
        <v>47</v>
      </c>
      <c r="E6">
        <v>88</v>
      </c>
      <c r="F6">
        <v>85</v>
      </c>
      <c r="H6">
        <v>24.375</v>
      </c>
      <c r="K6">
        <v>0</v>
      </c>
      <c r="L6">
        <v>6.25</v>
      </c>
      <c r="M6">
        <v>5.0625</v>
      </c>
      <c r="O6">
        <v>5</v>
      </c>
      <c r="P6">
        <v>4.5</v>
      </c>
      <c r="Q6">
        <v>3.5</v>
      </c>
      <c r="R6">
        <v>20</v>
      </c>
      <c r="S6">
        <v>7.5</v>
      </c>
      <c r="T6">
        <v>25</v>
      </c>
    </row>
    <row r="7" spans="1:20" x14ac:dyDescent="0.25">
      <c r="A7">
        <v>4</v>
      </c>
      <c r="B7" t="s">
        <v>1320</v>
      </c>
      <c r="C7" t="s">
        <v>46</v>
      </c>
      <c r="D7" t="s">
        <v>1320</v>
      </c>
      <c r="E7">
        <v>20</v>
      </c>
      <c r="H7">
        <v>9.1875</v>
      </c>
      <c r="K7">
        <v>0.02</v>
      </c>
      <c r="L7">
        <v>6.25</v>
      </c>
      <c r="N7">
        <v>7.5</v>
      </c>
      <c r="P7">
        <v>2.2999999999999998</v>
      </c>
      <c r="Q7">
        <v>0</v>
      </c>
      <c r="R7">
        <v>20</v>
      </c>
      <c r="S7">
        <v>20.100000000000001</v>
      </c>
      <c r="T7">
        <v>0</v>
      </c>
    </row>
    <row r="8" spans="1:20" x14ac:dyDescent="0.25">
      <c r="A8">
        <v>5</v>
      </c>
      <c r="B8" t="s">
        <v>1303</v>
      </c>
      <c r="C8" t="s">
        <v>57</v>
      </c>
      <c r="D8" t="s">
        <v>1303</v>
      </c>
      <c r="E8">
        <v>100</v>
      </c>
      <c r="H8">
        <v>3.75</v>
      </c>
      <c r="K8">
        <v>0</v>
      </c>
      <c r="L8">
        <v>6.25</v>
      </c>
      <c r="P8">
        <v>0.7</v>
      </c>
      <c r="S8">
        <v>2.5</v>
      </c>
    </row>
    <row r="9" spans="1:20" x14ac:dyDescent="0.25">
      <c r="A9">
        <v>6</v>
      </c>
      <c r="B9" t="s">
        <v>1304</v>
      </c>
      <c r="C9" t="s">
        <v>57</v>
      </c>
      <c r="D9" t="s">
        <v>1304</v>
      </c>
      <c r="E9">
        <v>100</v>
      </c>
      <c r="H9">
        <v>3.75</v>
      </c>
      <c r="K9">
        <v>0</v>
      </c>
      <c r="L9">
        <v>6.25</v>
      </c>
      <c r="P9">
        <v>0.7</v>
      </c>
      <c r="S9">
        <v>2.5</v>
      </c>
    </row>
    <row r="10" spans="1:20" x14ac:dyDescent="0.25">
      <c r="A10">
        <v>7</v>
      </c>
      <c r="B10" t="s">
        <v>48</v>
      </c>
      <c r="C10" t="s">
        <v>46</v>
      </c>
      <c r="D10" t="s">
        <v>48</v>
      </c>
      <c r="E10">
        <v>88</v>
      </c>
      <c r="F10">
        <v>85</v>
      </c>
      <c r="H10">
        <v>24.375</v>
      </c>
      <c r="K10">
        <v>0</v>
      </c>
      <c r="L10">
        <v>6.25</v>
      </c>
      <c r="M10">
        <v>5.0625</v>
      </c>
      <c r="O10">
        <v>5</v>
      </c>
      <c r="P10">
        <v>4.5</v>
      </c>
      <c r="Q10">
        <v>3.5</v>
      </c>
      <c r="R10">
        <v>20</v>
      </c>
      <c r="S10">
        <v>7.5</v>
      </c>
      <c r="T10">
        <v>25</v>
      </c>
    </row>
    <row r="11" spans="1:20" x14ac:dyDescent="0.25">
      <c r="A11">
        <v>8</v>
      </c>
      <c r="B11" t="s">
        <v>49</v>
      </c>
      <c r="C11" t="s">
        <v>46</v>
      </c>
      <c r="D11" t="s">
        <v>49</v>
      </c>
      <c r="E11">
        <v>88</v>
      </c>
      <c r="F11">
        <v>85</v>
      </c>
      <c r="H11">
        <v>24.375</v>
      </c>
      <c r="K11">
        <v>0</v>
      </c>
      <c r="L11">
        <v>6.25</v>
      </c>
      <c r="M11">
        <v>5.0625</v>
      </c>
      <c r="O11">
        <v>5</v>
      </c>
      <c r="P11">
        <v>4.5</v>
      </c>
      <c r="Q11">
        <v>3.5</v>
      </c>
      <c r="R11">
        <v>20</v>
      </c>
      <c r="S11">
        <v>7.5</v>
      </c>
      <c r="T11">
        <v>25</v>
      </c>
    </row>
    <row r="12" spans="1:20" x14ac:dyDescent="0.25">
      <c r="A12">
        <v>9</v>
      </c>
      <c r="B12" t="s">
        <v>246</v>
      </c>
      <c r="C12" t="s">
        <v>46</v>
      </c>
      <c r="D12" t="s">
        <v>246</v>
      </c>
      <c r="E12">
        <v>24</v>
      </c>
      <c r="H12">
        <v>5.875</v>
      </c>
      <c r="K12">
        <v>0</v>
      </c>
      <c r="L12">
        <v>6.25</v>
      </c>
      <c r="M12">
        <v>27.6875</v>
      </c>
      <c r="N12">
        <v>7.5</v>
      </c>
      <c r="P12">
        <v>1.7</v>
      </c>
      <c r="Q12">
        <v>4.2</v>
      </c>
      <c r="R12">
        <v>20</v>
      </c>
      <c r="S12">
        <v>10</v>
      </c>
      <c r="T12">
        <v>46.2</v>
      </c>
    </row>
    <row r="13" spans="1:20" x14ac:dyDescent="0.25">
      <c r="A13">
        <v>10</v>
      </c>
      <c r="B13" t="s">
        <v>374</v>
      </c>
      <c r="C13" t="s">
        <v>37</v>
      </c>
      <c r="D13" t="s">
        <v>374</v>
      </c>
      <c r="G13">
        <v>1.03</v>
      </c>
      <c r="H13">
        <v>7.375</v>
      </c>
      <c r="K13">
        <v>0</v>
      </c>
      <c r="L13">
        <v>6.25</v>
      </c>
      <c r="M13">
        <v>27.6875</v>
      </c>
      <c r="P13">
        <v>1.7</v>
      </c>
      <c r="Q13">
        <v>4.2</v>
      </c>
      <c r="R13">
        <v>20</v>
      </c>
      <c r="S13">
        <v>21</v>
      </c>
      <c r="T13">
        <v>46.2</v>
      </c>
    </row>
    <row r="14" spans="1:20" x14ac:dyDescent="0.25">
      <c r="A14">
        <v>11</v>
      </c>
      <c r="B14" t="s">
        <v>382</v>
      </c>
      <c r="C14" t="s">
        <v>37</v>
      </c>
      <c r="D14" t="s">
        <v>382</v>
      </c>
      <c r="G14">
        <v>1.28</v>
      </c>
      <c r="H14">
        <v>15.1875</v>
      </c>
      <c r="K14">
        <v>0.02</v>
      </c>
      <c r="L14">
        <v>6.25</v>
      </c>
      <c r="P14">
        <v>3.6</v>
      </c>
      <c r="Q14">
        <v>0</v>
      </c>
      <c r="R14">
        <v>20</v>
      </c>
      <c r="S14">
        <v>30</v>
      </c>
      <c r="T14">
        <v>0</v>
      </c>
    </row>
    <row r="15" spans="1:20" x14ac:dyDescent="0.25">
      <c r="A15">
        <v>12</v>
      </c>
      <c r="B15" t="s">
        <v>50</v>
      </c>
      <c r="C15" t="s">
        <v>46</v>
      </c>
      <c r="D15" t="s">
        <v>50</v>
      </c>
      <c r="E15">
        <v>85</v>
      </c>
      <c r="F15">
        <v>85</v>
      </c>
      <c r="H15">
        <v>12.125</v>
      </c>
      <c r="K15">
        <v>0.02</v>
      </c>
      <c r="L15">
        <v>6.25</v>
      </c>
      <c r="M15">
        <v>3.7</v>
      </c>
      <c r="O15">
        <v>2.5</v>
      </c>
      <c r="P15">
        <v>4.0999999999999996</v>
      </c>
      <c r="Q15">
        <v>1.4</v>
      </c>
      <c r="R15">
        <v>20</v>
      </c>
      <c r="S15">
        <v>5</v>
      </c>
      <c r="T15">
        <v>15</v>
      </c>
    </row>
    <row r="16" spans="1:20" x14ac:dyDescent="0.25">
      <c r="A16">
        <v>13</v>
      </c>
      <c r="B16" t="s">
        <v>247</v>
      </c>
      <c r="C16" t="s">
        <v>37</v>
      </c>
      <c r="D16" t="s">
        <v>247</v>
      </c>
      <c r="G16">
        <v>1.29</v>
      </c>
      <c r="H16">
        <v>15.1875</v>
      </c>
      <c r="K16">
        <v>0</v>
      </c>
      <c r="L16">
        <v>6.25</v>
      </c>
      <c r="O16">
        <v>2.5</v>
      </c>
      <c r="P16">
        <v>3.1</v>
      </c>
      <c r="R16">
        <v>20</v>
      </c>
      <c r="S16">
        <v>19</v>
      </c>
    </row>
    <row r="17" spans="1:20" x14ac:dyDescent="0.25">
      <c r="A17">
        <v>14</v>
      </c>
      <c r="B17" t="s">
        <v>249</v>
      </c>
      <c r="C17" t="s">
        <v>37</v>
      </c>
      <c r="D17" t="s">
        <v>249</v>
      </c>
      <c r="G17">
        <v>1.35</v>
      </c>
      <c r="H17">
        <v>10.375</v>
      </c>
      <c r="K17">
        <v>0.02</v>
      </c>
      <c r="L17">
        <v>6.25</v>
      </c>
      <c r="O17">
        <v>2.5</v>
      </c>
      <c r="P17">
        <v>2.7</v>
      </c>
      <c r="R17">
        <v>20</v>
      </c>
      <c r="S17">
        <v>17</v>
      </c>
    </row>
    <row r="18" spans="1:20" x14ac:dyDescent="0.25">
      <c r="A18">
        <v>15</v>
      </c>
      <c r="B18" t="s">
        <v>250</v>
      </c>
      <c r="C18" t="s">
        <v>37</v>
      </c>
      <c r="D18" t="s">
        <v>250</v>
      </c>
      <c r="G18">
        <v>1.2</v>
      </c>
      <c r="H18">
        <v>16.6875</v>
      </c>
      <c r="K18">
        <v>0</v>
      </c>
      <c r="L18">
        <v>6.25</v>
      </c>
      <c r="O18">
        <v>2.5</v>
      </c>
      <c r="P18">
        <v>3.2</v>
      </c>
      <c r="R18">
        <v>20</v>
      </c>
      <c r="S18">
        <v>21</v>
      </c>
    </row>
    <row r="19" spans="1:20" x14ac:dyDescent="0.25">
      <c r="A19">
        <v>16</v>
      </c>
      <c r="B19" t="s">
        <v>52</v>
      </c>
      <c r="C19" t="s">
        <v>46</v>
      </c>
      <c r="D19" t="s">
        <v>52</v>
      </c>
      <c r="E19">
        <v>85</v>
      </c>
      <c r="F19">
        <v>85</v>
      </c>
      <c r="H19">
        <v>9.75</v>
      </c>
      <c r="K19">
        <v>0.02</v>
      </c>
      <c r="L19">
        <v>6.25</v>
      </c>
      <c r="M19">
        <v>3.8125</v>
      </c>
      <c r="P19">
        <v>3.4</v>
      </c>
      <c r="Q19">
        <v>0.9</v>
      </c>
      <c r="R19">
        <v>20</v>
      </c>
      <c r="S19">
        <v>5.5</v>
      </c>
      <c r="T19">
        <v>12</v>
      </c>
    </row>
    <row r="20" spans="1:20" x14ac:dyDescent="0.25">
      <c r="A20">
        <v>17</v>
      </c>
      <c r="B20" t="s">
        <v>1249</v>
      </c>
      <c r="C20" t="s">
        <v>37</v>
      </c>
      <c r="D20" t="s">
        <v>1249</v>
      </c>
      <c r="G20">
        <v>1.2</v>
      </c>
      <c r="H20">
        <v>16.3125</v>
      </c>
      <c r="K20">
        <v>0</v>
      </c>
      <c r="L20">
        <v>6.25</v>
      </c>
      <c r="P20">
        <v>3.7</v>
      </c>
      <c r="R20">
        <v>20</v>
      </c>
      <c r="S20">
        <v>29</v>
      </c>
    </row>
    <row r="21" spans="1:20" x14ac:dyDescent="0.25">
      <c r="A21">
        <v>18</v>
      </c>
      <c r="B21" t="s">
        <v>378</v>
      </c>
      <c r="C21" t="s">
        <v>37</v>
      </c>
      <c r="D21" t="s">
        <v>378</v>
      </c>
      <c r="G21">
        <v>1.24</v>
      </c>
      <c r="H21">
        <v>16.3125</v>
      </c>
      <c r="K21">
        <v>0</v>
      </c>
      <c r="L21">
        <v>6.25</v>
      </c>
      <c r="P21">
        <v>3.7</v>
      </c>
      <c r="R21">
        <v>20</v>
      </c>
      <c r="S21">
        <v>29</v>
      </c>
    </row>
    <row r="22" spans="1:20" x14ac:dyDescent="0.25">
      <c r="A22">
        <v>19</v>
      </c>
      <c r="B22" t="s">
        <v>54</v>
      </c>
      <c r="C22" t="s">
        <v>46</v>
      </c>
      <c r="D22" t="s">
        <v>54</v>
      </c>
      <c r="E22">
        <v>93</v>
      </c>
      <c r="H22">
        <v>19</v>
      </c>
      <c r="K22">
        <v>0</v>
      </c>
      <c r="L22">
        <v>6.25</v>
      </c>
      <c r="P22">
        <v>2.8</v>
      </c>
      <c r="R22">
        <v>20</v>
      </c>
      <c r="S22">
        <v>28</v>
      </c>
    </row>
    <row r="23" spans="1:20" x14ac:dyDescent="0.25">
      <c r="A23">
        <v>20</v>
      </c>
      <c r="B23" t="s">
        <v>55</v>
      </c>
      <c r="C23" t="s">
        <v>46</v>
      </c>
      <c r="D23" t="s">
        <v>55</v>
      </c>
      <c r="E23">
        <v>20</v>
      </c>
      <c r="H23">
        <v>10.9375</v>
      </c>
      <c r="K23">
        <v>0.02</v>
      </c>
      <c r="L23">
        <v>6.25</v>
      </c>
      <c r="N23">
        <v>7.5</v>
      </c>
      <c r="P23">
        <v>2.2999999999999998</v>
      </c>
      <c r="R23">
        <v>20</v>
      </c>
      <c r="S23">
        <v>20.100000000000001</v>
      </c>
    </row>
    <row r="24" spans="1:20" x14ac:dyDescent="0.25">
      <c r="A24">
        <v>21</v>
      </c>
      <c r="B24" t="s">
        <v>56</v>
      </c>
      <c r="C24" t="s">
        <v>57</v>
      </c>
      <c r="D24" t="s">
        <v>56</v>
      </c>
      <c r="E24">
        <v>100</v>
      </c>
      <c r="H24">
        <v>8.6875</v>
      </c>
      <c r="K24">
        <v>0.02</v>
      </c>
      <c r="L24">
        <v>6.25</v>
      </c>
      <c r="N24">
        <v>7.5</v>
      </c>
      <c r="P24">
        <v>2.6</v>
      </c>
      <c r="R24">
        <v>20</v>
      </c>
      <c r="S24">
        <v>12</v>
      </c>
    </row>
    <row r="25" spans="1:20" x14ac:dyDescent="0.25">
      <c r="A25">
        <v>22</v>
      </c>
      <c r="B25" t="s">
        <v>58</v>
      </c>
      <c r="C25" t="s">
        <v>37</v>
      </c>
      <c r="D25" t="s">
        <v>58</v>
      </c>
      <c r="G25">
        <v>1.1399999999999999</v>
      </c>
      <c r="H25">
        <v>8.6875</v>
      </c>
      <c r="K25">
        <v>0.02</v>
      </c>
      <c r="L25">
        <v>6.25</v>
      </c>
      <c r="N25">
        <v>7.5</v>
      </c>
      <c r="P25">
        <v>2.6</v>
      </c>
      <c r="R25">
        <v>20</v>
      </c>
      <c r="S25">
        <v>12</v>
      </c>
    </row>
    <row r="26" spans="1:20" x14ac:dyDescent="0.25">
      <c r="A26">
        <v>23</v>
      </c>
      <c r="B26" t="s">
        <v>59</v>
      </c>
      <c r="C26" t="s">
        <v>46</v>
      </c>
      <c r="D26" t="s">
        <v>59</v>
      </c>
      <c r="E26">
        <v>85</v>
      </c>
      <c r="F26">
        <v>85</v>
      </c>
      <c r="H26">
        <v>9.625</v>
      </c>
      <c r="K26">
        <v>0.02</v>
      </c>
      <c r="L26">
        <v>6.25</v>
      </c>
      <c r="M26">
        <v>3.3125</v>
      </c>
      <c r="N26">
        <v>7.5</v>
      </c>
      <c r="P26">
        <v>3.2</v>
      </c>
      <c r="Q26">
        <v>0.9</v>
      </c>
      <c r="R26">
        <v>20</v>
      </c>
      <c r="S26">
        <v>4</v>
      </c>
      <c r="T26">
        <v>15</v>
      </c>
    </row>
    <row r="27" spans="1:20" x14ac:dyDescent="0.25">
      <c r="A27">
        <v>24</v>
      </c>
      <c r="B27" t="s">
        <v>61</v>
      </c>
      <c r="C27" t="s">
        <v>46</v>
      </c>
      <c r="D27" t="s">
        <v>61</v>
      </c>
      <c r="E27">
        <v>86</v>
      </c>
      <c r="F27">
        <v>85</v>
      </c>
      <c r="H27">
        <v>24.8125</v>
      </c>
      <c r="K27">
        <v>0</v>
      </c>
      <c r="L27">
        <v>6.25</v>
      </c>
      <c r="M27">
        <v>7.1875</v>
      </c>
      <c r="O27">
        <v>2.5</v>
      </c>
      <c r="P27">
        <v>4.9000000000000004</v>
      </c>
      <c r="Q27">
        <v>2</v>
      </c>
      <c r="R27">
        <v>20</v>
      </c>
      <c r="S27">
        <v>11.4</v>
      </c>
      <c r="T27">
        <v>7.5</v>
      </c>
    </row>
    <row r="28" spans="1:20" x14ac:dyDescent="0.25">
      <c r="A28">
        <v>25</v>
      </c>
      <c r="B28" t="s">
        <v>1167</v>
      </c>
      <c r="C28" t="s">
        <v>37</v>
      </c>
      <c r="D28" t="s">
        <v>1167</v>
      </c>
      <c r="G28">
        <v>1.1599999999999999</v>
      </c>
      <c r="H28">
        <v>14</v>
      </c>
      <c r="K28">
        <v>0</v>
      </c>
      <c r="L28">
        <v>6.25</v>
      </c>
      <c r="P28">
        <v>2.8</v>
      </c>
      <c r="R28">
        <v>20</v>
      </c>
      <c r="S28">
        <v>18</v>
      </c>
    </row>
    <row r="29" spans="1:20" x14ac:dyDescent="0.25">
      <c r="A29">
        <v>26</v>
      </c>
      <c r="B29" t="s">
        <v>1542</v>
      </c>
      <c r="C29" t="s">
        <v>37</v>
      </c>
      <c r="D29" t="s">
        <v>1542</v>
      </c>
      <c r="G29">
        <v>1.1599999999999999</v>
      </c>
      <c r="H29">
        <v>14</v>
      </c>
      <c r="K29">
        <v>0</v>
      </c>
      <c r="L29">
        <v>6.25</v>
      </c>
      <c r="P29">
        <v>2.8</v>
      </c>
      <c r="R29">
        <v>20</v>
      </c>
      <c r="S29">
        <v>18</v>
      </c>
    </row>
    <row r="30" spans="1:20" x14ac:dyDescent="0.25">
      <c r="A30">
        <v>27</v>
      </c>
      <c r="B30" t="s">
        <v>1168</v>
      </c>
      <c r="C30" t="s">
        <v>37</v>
      </c>
      <c r="D30" t="s">
        <v>1168</v>
      </c>
      <c r="G30">
        <v>1.1599999999999999</v>
      </c>
      <c r="H30">
        <v>14</v>
      </c>
      <c r="K30">
        <v>0</v>
      </c>
      <c r="L30">
        <v>6.25</v>
      </c>
      <c r="P30">
        <v>2.8</v>
      </c>
      <c r="R30">
        <v>20</v>
      </c>
      <c r="S30">
        <v>18</v>
      </c>
    </row>
    <row r="31" spans="1:20" x14ac:dyDescent="0.25">
      <c r="A31">
        <v>28</v>
      </c>
      <c r="B31" t="s">
        <v>1169</v>
      </c>
      <c r="D31" t="s">
        <v>1169</v>
      </c>
      <c r="H31">
        <v>0</v>
      </c>
      <c r="K31">
        <v>0</v>
      </c>
      <c r="L31">
        <v>6.25</v>
      </c>
      <c r="P31">
        <v>0</v>
      </c>
      <c r="R31">
        <v>0</v>
      </c>
      <c r="S31">
        <v>0</v>
      </c>
    </row>
    <row r="32" spans="1:20" x14ac:dyDescent="0.25">
      <c r="A32">
        <v>29</v>
      </c>
      <c r="B32" t="s">
        <v>62</v>
      </c>
      <c r="C32" t="s">
        <v>46</v>
      </c>
      <c r="D32" t="s">
        <v>62</v>
      </c>
      <c r="E32">
        <v>88</v>
      </c>
      <c r="F32">
        <v>85</v>
      </c>
      <c r="H32">
        <v>24.375</v>
      </c>
      <c r="K32">
        <v>0</v>
      </c>
      <c r="L32">
        <v>6.25</v>
      </c>
      <c r="M32">
        <v>5.0625</v>
      </c>
      <c r="O32">
        <v>5</v>
      </c>
      <c r="P32">
        <v>4.5</v>
      </c>
      <c r="Q32">
        <v>3.5</v>
      </c>
      <c r="R32">
        <v>20</v>
      </c>
      <c r="S32">
        <v>7.5</v>
      </c>
      <c r="T32">
        <v>25</v>
      </c>
    </row>
    <row r="33" spans="1:20" x14ac:dyDescent="0.25">
      <c r="A33">
        <v>30</v>
      </c>
      <c r="B33" t="s">
        <v>63</v>
      </c>
      <c r="C33" t="s">
        <v>46</v>
      </c>
      <c r="D33" t="s">
        <v>63</v>
      </c>
      <c r="E33">
        <v>20</v>
      </c>
      <c r="H33">
        <v>9.1875</v>
      </c>
      <c r="K33">
        <v>0.02</v>
      </c>
      <c r="L33">
        <v>6.25</v>
      </c>
      <c r="N33">
        <v>7.5</v>
      </c>
      <c r="P33">
        <v>2.2999999999999998</v>
      </c>
      <c r="R33">
        <v>20</v>
      </c>
      <c r="S33">
        <v>20.100000000000001</v>
      </c>
    </row>
    <row r="34" spans="1:20" x14ac:dyDescent="0.25">
      <c r="A34">
        <v>31</v>
      </c>
      <c r="B34" t="s">
        <v>1318</v>
      </c>
      <c r="C34" t="s">
        <v>46</v>
      </c>
      <c r="D34" t="s">
        <v>1318</v>
      </c>
      <c r="E34">
        <v>24</v>
      </c>
      <c r="H34">
        <v>9.1875</v>
      </c>
      <c r="K34">
        <v>0.02</v>
      </c>
      <c r="L34">
        <v>6.25</v>
      </c>
      <c r="N34">
        <v>7.5</v>
      </c>
      <c r="P34">
        <v>2.2999999999999998</v>
      </c>
      <c r="R34">
        <v>20</v>
      </c>
      <c r="S34">
        <v>20.100000000000001</v>
      </c>
    </row>
    <row r="35" spans="1:20" x14ac:dyDescent="0.25">
      <c r="A35">
        <v>32</v>
      </c>
      <c r="B35" t="s">
        <v>64</v>
      </c>
      <c r="C35" t="s">
        <v>46</v>
      </c>
      <c r="D35" t="s">
        <v>64</v>
      </c>
      <c r="E35">
        <v>85</v>
      </c>
      <c r="F35">
        <v>85</v>
      </c>
      <c r="H35">
        <v>11.875</v>
      </c>
      <c r="I35">
        <v>11.5</v>
      </c>
      <c r="K35">
        <v>0.02</v>
      </c>
      <c r="L35">
        <v>6.25</v>
      </c>
      <c r="M35">
        <v>3.8125</v>
      </c>
      <c r="P35">
        <v>4.2</v>
      </c>
      <c r="Q35">
        <v>1</v>
      </c>
      <c r="R35">
        <v>20</v>
      </c>
      <c r="S35">
        <v>6.4</v>
      </c>
      <c r="T35">
        <v>12</v>
      </c>
    </row>
    <row r="36" spans="1:20" x14ac:dyDescent="0.25">
      <c r="A36">
        <v>33</v>
      </c>
      <c r="B36" t="s">
        <v>66</v>
      </c>
      <c r="C36" t="s">
        <v>46</v>
      </c>
      <c r="D36" t="s">
        <v>66</v>
      </c>
      <c r="E36">
        <v>85</v>
      </c>
      <c r="F36">
        <v>85</v>
      </c>
      <c r="H36">
        <v>12.375</v>
      </c>
      <c r="I36">
        <v>11.2</v>
      </c>
      <c r="K36">
        <v>0.02</v>
      </c>
      <c r="L36">
        <v>6.25</v>
      </c>
      <c r="M36">
        <v>4</v>
      </c>
      <c r="P36">
        <v>3.8</v>
      </c>
      <c r="Q36">
        <v>0.8</v>
      </c>
      <c r="R36">
        <v>20</v>
      </c>
      <c r="S36">
        <v>4.7</v>
      </c>
      <c r="T36">
        <v>12</v>
      </c>
    </row>
    <row r="37" spans="1:20" x14ac:dyDescent="0.25">
      <c r="A37">
        <v>34</v>
      </c>
      <c r="B37" t="s">
        <v>552</v>
      </c>
      <c r="C37" t="s">
        <v>46</v>
      </c>
      <c r="D37" t="s">
        <v>552</v>
      </c>
      <c r="E37">
        <v>85</v>
      </c>
      <c r="F37">
        <v>85</v>
      </c>
      <c r="H37">
        <v>10.83</v>
      </c>
      <c r="I37">
        <v>10.7</v>
      </c>
      <c r="K37">
        <v>0.02</v>
      </c>
      <c r="L37">
        <v>5.7</v>
      </c>
      <c r="M37">
        <v>3.3125</v>
      </c>
      <c r="P37">
        <v>3.4</v>
      </c>
      <c r="Q37">
        <v>0.9</v>
      </c>
      <c r="R37">
        <v>20</v>
      </c>
      <c r="S37">
        <v>4.8</v>
      </c>
      <c r="T37">
        <v>15</v>
      </c>
    </row>
    <row r="38" spans="1:20" x14ac:dyDescent="0.25">
      <c r="A38">
        <v>35</v>
      </c>
      <c r="B38" t="s">
        <v>1751</v>
      </c>
      <c r="C38" t="s">
        <v>46</v>
      </c>
      <c r="D38" t="s">
        <v>1751</v>
      </c>
      <c r="E38">
        <v>85</v>
      </c>
      <c r="F38">
        <v>85</v>
      </c>
      <c r="H38">
        <v>12.198</v>
      </c>
      <c r="K38">
        <v>0.02</v>
      </c>
      <c r="L38">
        <v>5.7</v>
      </c>
      <c r="M38">
        <v>3.3125</v>
      </c>
      <c r="P38">
        <v>3.4</v>
      </c>
      <c r="Q38">
        <v>0.9</v>
      </c>
      <c r="R38">
        <v>20</v>
      </c>
      <c r="S38">
        <v>4.8</v>
      </c>
      <c r="T38">
        <v>15</v>
      </c>
    </row>
    <row r="39" spans="1:20" x14ac:dyDescent="0.25">
      <c r="A39">
        <v>36</v>
      </c>
      <c r="B39" t="s">
        <v>69</v>
      </c>
      <c r="C39" t="s">
        <v>46</v>
      </c>
      <c r="D39" t="s">
        <v>69</v>
      </c>
      <c r="E39">
        <v>91</v>
      </c>
      <c r="F39">
        <v>85</v>
      </c>
      <c r="H39">
        <v>23</v>
      </c>
      <c r="K39">
        <v>0.02</v>
      </c>
      <c r="L39">
        <v>6.25</v>
      </c>
      <c r="M39">
        <v>5.3125</v>
      </c>
      <c r="P39">
        <v>9</v>
      </c>
      <c r="Q39">
        <v>0.8</v>
      </c>
      <c r="R39">
        <v>20</v>
      </c>
      <c r="S39">
        <v>15</v>
      </c>
      <c r="T39">
        <v>16.399999999999999</v>
      </c>
    </row>
    <row r="40" spans="1:20" x14ac:dyDescent="0.25">
      <c r="A40">
        <v>37</v>
      </c>
      <c r="B40" t="s">
        <v>70</v>
      </c>
      <c r="C40" t="s">
        <v>46</v>
      </c>
      <c r="D40" t="s">
        <v>70</v>
      </c>
      <c r="E40">
        <v>85</v>
      </c>
      <c r="F40">
        <v>85</v>
      </c>
      <c r="H40">
        <v>9.75</v>
      </c>
      <c r="K40">
        <v>0.02</v>
      </c>
      <c r="L40">
        <v>6.25</v>
      </c>
      <c r="M40">
        <v>3.8125</v>
      </c>
      <c r="P40">
        <v>3.4</v>
      </c>
      <c r="Q40">
        <v>0.9</v>
      </c>
      <c r="R40">
        <v>20</v>
      </c>
      <c r="S40">
        <v>5.5</v>
      </c>
      <c r="T40">
        <v>12</v>
      </c>
    </row>
    <row r="41" spans="1:20" x14ac:dyDescent="0.25">
      <c r="A41">
        <v>38</v>
      </c>
      <c r="B41" t="s">
        <v>1170</v>
      </c>
      <c r="D41" t="s">
        <v>1170</v>
      </c>
      <c r="H41">
        <v>0</v>
      </c>
      <c r="K41">
        <v>0</v>
      </c>
      <c r="L41">
        <v>6.25</v>
      </c>
      <c r="P41">
        <v>0</v>
      </c>
      <c r="R41">
        <v>0</v>
      </c>
      <c r="S41">
        <v>0</v>
      </c>
    </row>
    <row r="42" spans="1:20" x14ac:dyDescent="0.25">
      <c r="A42">
        <v>39</v>
      </c>
      <c r="B42" t="s">
        <v>71</v>
      </c>
      <c r="C42" t="s">
        <v>46</v>
      </c>
      <c r="D42" t="s">
        <v>71</v>
      </c>
      <c r="E42">
        <v>85</v>
      </c>
      <c r="F42">
        <v>85</v>
      </c>
      <c r="H42">
        <v>11.1875</v>
      </c>
      <c r="K42">
        <v>0.02</v>
      </c>
      <c r="L42">
        <v>6.25</v>
      </c>
      <c r="M42">
        <v>4</v>
      </c>
      <c r="O42">
        <v>2.5</v>
      </c>
      <c r="P42">
        <v>3.8</v>
      </c>
      <c r="Q42">
        <v>0.9</v>
      </c>
      <c r="R42">
        <v>20</v>
      </c>
      <c r="S42">
        <v>4.7</v>
      </c>
      <c r="T42">
        <v>12</v>
      </c>
    </row>
    <row r="43" spans="1:20" x14ac:dyDescent="0.25">
      <c r="A43">
        <v>40</v>
      </c>
      <c r="B43" t="s">
        <v>72</v>
      </c>
      <c r="C43" t="s">
        <v>46</v>
      </c>
      <c r="D43" t="s">
        <v>72</v>
      </c>
      <c r="E43">
        <v>85</v>
      </c>
      <c r="F43">
        <v>85</v>
      </c>
      <c r="H43">
        <v>11.1875</v>
      </c>
      <c r="K43">
        <v>0.02</v>
      </c>
      <c r="L43">
        <v>6.25</v>
      </c>
      <c r="M43">
        <v>4</v>
      </c>
      <c r="O43">
        <v>2.5</v>
      </c>
      <c r="P43">
        <v>3.8</v>
      </c>
      <c r="Q43">
        <v>0.9</v>
      </c>
      <c r="R43">
        <v>20</v>
      </c>
      <c r="S43">
        <v>4.7</v>
      </c>
      <c r="T43">
        <v>12</v>
      </c>
    </row>
    <row r="44" spans="1:20" x14ac:dyDescent="0.25">
      <c r="A44">
        <v>41</v>
      </c>
      <c r="B44" t="s">
        <v>73</v>
      </c>
      <c r="C44" t="s">
        <v>46</v>
      </c>
      <c r="D44" t="s">
        <v>73</v>
      </c>
      <c r="E44">
        <v>85</v>
      </c>
      <c r="F44">
        <v>85</v>
      </c>
      <c r="H44">
        <v>10.83</v>
      </c>
      <c r="K44">
        <v>0.02</v>
      </c>
      <c r="L44">
        <v>5.7</v>
      </c>
      <c r="M44">
        <v>3.3125</v>
      </c>
      <c r="O44">
        <v>2.5</v>
      </c>
      <c r="P44">
        <v>3.4</v>
      </c>
      <c r="Q44">
        <v>0.9</v>
      </c>
      <c r="R44">
        <v>20</v>
      </c>
      <c r="S44">
        <v>4.8</v>
      </c>
      <c r="T44">
        <v>12</v>
      </c>
    </row>
    <row r="45" spans="1:20" x14ac:dyDescent="0.25">
      <c r="A45">
        <v>42</v>
      </c>
      <c r="B45" t="s">
        <v>74</v>
      </c>
      <c r="C45" t="s">
        <v>46</v>
      </c>
      <c r="D45" t="s">
        <v>74</v>
      </c>
      <c r="E45">
        <v>91</v>
      </c>
      <c r="F45">
        <v>85</v>
      </c>
      <c r="H45">
        <v>23</v>
      </c>
      <c r="K45">
        <v>0.02</v>
      </c>
      <c r="L45">
        <v>6.25</v>
      </c>
      <c r="M45">
        <v>5.3125</v>
      </c>
      <c r="O45">
        <v>2.5</v>
      </c>
      <c r="P45">
        <v>9</v>
      </c>
      <c r="Q45">
        <v>0.8</v>
      </c>
      <c r="R45">
        <v>20</v>
      </c>
      <c r="S45">
        <v>15</v>
      </c>
      <c r="T45">
        <v>16.399999999999999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dimension ref="A1:I17"/>
  <sheetViews>
    <sheetView workbookViewId="0">
      <selection activeCell="E26" sqref="E26"/>
    </sheetView>
  </sheetViews>
  <sheetFormatPr defaultRowHeight="15" x14ac:dyDescent="0.25"/>
  <cols>
    <col min="1" max="1" width="12.140625" customWidth="1"/>
  </cols>
  <sheetData>
    <row r="1" spans="1:9" x14ac:dyDescent="0.25">
      <c r="A1" t="s">
        <v>1895</v>
      </c>
    </row>
    <row r="3" spans="1:9" x14ac:dyDescent="0.25">
      <c r="A3" s="3" t="s">
        <v>1924</v>
      </c>
    </row>
    <row r="4" spans="1:9" x14ac:dyDescent="0.25">
      <c r="E4" s="3" t="s">
        <v>1406</v>
      </c>
      <c r="F4" s="3"/>
      <c r="G4" s="3"/>
      <c r="H4" s="3" t="s">
        <v>1354</v>
      </c>
    </row>
    <row r="6" spans="1:9" x14ac:dyDescent="0.25">
      <c r="A6" t="s">
        <v>1925</v>
      </c>
      <c r="E6" s="2">
        <f>Udskrift!K151</f>
        <v>194</v>
      </c>
      <c r="F6" s="2" t="s">
        <v>82</v>
      </c>
      <c r="G6" s="2"/>
      <c r="H6" s="2">
        <f>Udskrift!P151</f>
        <v>0</v>
      </c>
      <c r="I6" s="2" t="s">
        <v>82</v>
      </c>
    </row>
    <row r="7" spans="1:9" x14ac:dyDescent="0.25">
      <c r="A7" t="s">
        <v>1926</v>
      </c>
      <c r="E7" s="2">
        <f>Udskrift!K159</f>
        <v>194</v>
      </c>
      <c r="F7" s="2" t="s">
        <v>82</v>
      </c>
      <c r="G7" s="2"/>
      <c r="H7" s="2">
        <f>Udskrift!P159</f>
        <v>0</v>
      </c>
      <c r="I7" s="2" t="s">
        <v>82</v>
      </c>
    </row>
    <row r="8" spans="1:9" x14ac:dyDescent="0.25">
      <c r="A8" t="s">
        <v>1927</v>
      </c>
      <c r="E8" s="2">
        <f>Udskrift!K163</f>
        <v>0</v>
      </c>
      <c r="F8" s="2" t="s">
        <v>82</v>
      </c>
      <c r="G8" s="2"/>
      <c r="H8" s="2">
        <f>Udskrift!P163</f>
        <v>0</v>
      </c>
      <c r="I8" s="2" t="s">
        <v>82</v>
      </c>
    </row>
    <row r="9" spans="1:9" x14ac:dyDescent="0.25">
      <c r="A9" t="s">
        <v>1928</v>
      </c>
      <c r="E9" s="2">
        <f>Udskrift!K161</f>
        <v>194</v>
      </c>
      <c r="F9" s="2" t="s">
        <v>82</v>
      </c>
      <c r="G9" s="2"/>
      <c r="H9" s="2">
        <f>Udskrift!P161</f>
        <v>0</v>
      </c>
      <c r="I9" s="2" t="s">
        <v>82</v>
      </c>
    </row>
    <row r="10" spans="1:9" x14ac:dyDescent="0.25">
      <c r="E10" s="2"/>
      <c r="F10" s="2"/>
      <c r="G10" s="2"/>
      <c r="H10" s="2"/>
      <c r="I10" s="2"/>
    </row>
    <row r="11" spans="1:9" x14ac:dyDescent="0.25">
      <c r="A11" t="s">
        <v>1929</v>
      </c>
      <c r="E11" s="2">
        <f>NBortfort12</f>
        <v>155.62700000000001</v>
      </c>
      <c r="F11" s="2" t="s">
        <v>82</v>
      </c>
      <c r="G11" s="2"/>
      <c r="H11" s="2">
        <f>NBortfort34</f>
        <v>0</v>
      </c>
      <c r="I11" s="2" t="s">
        <v>82</v>
      </c>
    </row>
    <row r="14" spans="1:9" x14ac:dyDescent="0.25">
      <c r="A14" t="s">
        <v>1932</v>
      </c>
      <c r="E14">
        <f>Pantafgift</f>
        <v>6</v>
      </c>
      <c r="F14" t="s">
        <v>188</v>
      </c>
      <c r="H14">
        <f>Pantafgift</f>
        <v>6</v>
      </c>
      <c r="I14" t="s">
        <v>188</v>
      </c>
    </row>
    <row r="15" spans="1:9" x14ac:dyDescent="0.25">
      <c r="A15" t="s">
        <v>1933</v>
      </c>
      <c r="E15" s="2">
        <f>E9*Pantafgift</f>
        <v>1164</v>
      </c>
      <c r="F15" s="2" t="s">
        <v>188</v>
      </c>
      <c r="G15" s="2"/>
      <c r="H15" s="2">
        <f>H9*Pantafgift</f>
        <v>0</v>
      </c>
      <c r="I15" t="s">
        <v>188</v>
      </c>
    </row>
    <row r="16" spans="1:9" x14ac:dyDescent="0.25">
      <c r="A16" t="s">
        <v>1934</v>
      </c>
      <c r="E16" s="2">
        <f>E11*Pantafgift*Pantfaktor</f>
        <v>933.76200000000006</v>
      </c>
      <c r="F16" s="2" t="s">
        <v>188</v>
      </c>
      <c r="G16" s="2"/>
      <c r="H16" s="2">
        <f>H11*Pantafgift*Pantfaktor</f>
        <v>0</v>
      </c>
      <c r="I16" t="s">
        <v>188</v>
      </c>
    </row>
    <row r="17" spans="1:9" x14ac:dyDescent="0.25">
      <c r="A17" s="3" t="s">
        <v>1935</v>
      </c>
      <c r="B17" s="3"/>
      <c r="C17" s="3"/>
      <c r="D17" s="3"/>
      <c r="E17" s="148">
        <f>E15-E16</f>
        <v>230.23799999999994</v>
      </c>
      <c r="F17" s="148" t="s">
        <v>188</v>
      </c>
      <c r="G17" s="148"/>
      <c r="H17" s="148">
        <f>H15-H16</f>
        <v>0</v>
      </c>
      <c r="I17" s="3" t="s">
        <v>188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9"/>
  <dimension ref="A1:MB100"/>
  <sheetViews>
    <sheetView tabSelected="1" workbookViewId="0">
      <pane xSplit="3" ySplit="16" topLeftCell="DT17" activePane="bottomRight" state="frozen"/>
      <selection pane="topRight" activeCell="D1" sqref="D1"/>
      <selection pane="bottomLeft" activeCell="A17" sqref="A17"/>
      <selection pane="bottomRight" activeCell="DW3" sqref="DW3"/>
    </sheetView>
  </sheetViews>
  <sheetFormatPr defaultRowHeight="15" x14ac:dyDescent="0.25"/>
  <cols>
    <col min="1" max="1" width="1" style="15" customWidth="1"/>
    <col min="2" max="2" width="5.42578125" style="15" customWidth="1"/>
    <col min="3" max="3" width="2.42578125" style="15" customWidth="1"/>
    <col min="4" max="8" width="5.7109375" style="15" customWidth="1"/>
    <col min="9" max="9" width="2.42578125" style="15" customWidth="1"/>
    <col min="10" max="10" width="4.7109375" style="15" customWidth="1"/>
    <col min="11" max="17" width="5.7109375" style="15" customWidth="1"/>
    <col min="18" max="18" width="6.7109375" style="15" customWidth="1"/>
    <col min="19" max="19" width="2.140625" style="15" customWidth="1"/>
    <col min="20" max="31" width="5.7109375" style="15" customWidth="1"/>
    <col min="32" max="32" width="1.7109375" style="15" customWidth="1"/>
    <col min="33" max="33" width="7" style="15" customWidth="1"/>
    <col min="34" max="35" width="2.7109375" style="15" customWidth="1"/>
    <col min="36" max="36" width="12" style="15" customWidth="1"/>
    <col min="37" max="37" width="2.7109375" style="15" customWidth="1"/>
    <col min="38" max="38" width="18" style="15" customWidth="1"/>
    <col min="39" max="39" width="2.7109375" style="15" customWidth="1"/>
    <col min="40" max="41" width="5.7109375" style="15" customWidth="1"/>
    <col min="42" max="42" width="2.7109375" style="15" customWidth="1"/>
    <col min="43" max="43" width="6.85546875" style="15" customWidth="1"/>
    <col min="44" max="44" width="8.28515625" style="15" customWidth="1"/>
    <col min="45" max="45" width="2.7109375" style="15" customWidth="1"/>
    <col min="46" max="46" width="5.7109375" style="15" customWidth="1"/>
    <col min="47" max="47" width="9.7109375" style="15" customWidth="1"/>
    <col min="48" max="49" width="2.7109375" style="15" customWidth="1"/>
    <col min="50" max="50" width="5.7109375" style="15" customWidth="1"/>
    <col min="51" max="51" width="9.5703125" style="15" customWidth="1"/>
    <col min="52" max="54" width="5.7109375" style="15" customWidth="1"/>
    <col min="55" max="55" width="2.7109375" style="15" customWidth="1"/>
    <col min="56" max="57" width="5.7109375" style="15" customWidth="1"/>
    <col min="58" max="58" width="10.5703125" style="15" customWidth="1"/>
    <col min="59" max="59" width="2.7109375" style="15" customWidth="1"/>
    <col min="60" max="60" width="5.7109375" style="15" customWidth="1"/>
    <col min="61" max="61" width="8.85546875" style="15" customWidth="1"/>
    <col min="62" max="62" width="4.7109375" style="15" customWidth="1"/>
    <col min="63" max="63" width="5.28515625" style="15" customWidth="1"/>
    <col min="64" max="64" width="2.7109375" style="15" customWidth="1"/>
    <col min="65" max="65" width="5.7109375" style="15" customWidth="1"/>
    <col min="66" max="66" width="10.5703125" style="15" customWidth="1"/>
    <col min="67" max="67" width="2.7109375" style="15" customWidth="1"/>
    <col min="68" max="68" width="4.7109375" style="15" customWidth="1"/>
    <col min="69" max="69" width="4.42578125" style="15" customWidth="1"/>
    <col min="70" max="71" width="2.7109375" style="15" customWidth="1"/>
    <col min="72" max="72" width="5.7109375" style="15" customWidth="1"/>
    <col min="73" max="73" width="7.28515625" style="15" customWidth="1"/>
    <col min="74" max="74" width="2.7109375" style="15" customWidth="1"/>
    <col min="75" max="75" width="5.7109375" style="15" customWidth="1"/>
    <col min="76" max="76" width="10.28515625" style="15" customWidth="1"/>
    <col min="77" max="77" width="4.7109375" style="15" customWidth="1"/>
    <col min="78" max="79" width="4.140625" style="15" customWidth="1"/>
    <col min="80" max="81" width="5.7109375" style="15" customWidth="1"/>
    <col min="82" max="82" width="2.7109375" style="15" customWidth="1"/>
    <col min="83" max="84" width="5.7109375" style="15" customWidth="1"/>
    <col min="85" max="85" width="2.7109375" style="15" customWidth="1"/>
    <col min="86" max="86" width="8.140625" style="15" customWidth="1"/>
    <col min="87" max="87" width="4.7109375" style="15" customWidth="1"/>
    <col min="88" max="88" width="2.7109375" style="15" customWidth="1"/>
    <col min="89" max="89" width="6.7109375" style="15" customWidth="1"/>
    <col min="90" max="90" width="4.7109375" style="15" customWidth="1"/>
    <col min="91" max="91" width="2.7109375" style="15" customWidth="1"/>
    <col min="92" max="93" width="5.7109375" style="15" customWidth="1"/>
    <col min="94" max="94" width="2.7109375" style="15" customWidth="1"/>
    <col min="95" max="96" width="5.7109375" style="15" customWidth="1"/>
    <col min="97" max="97" width="2.7109375" style="15" customWidth="1"/>
    <col min="98" max="98" width="8.28515625" style="15" customWidth="1"/>
    <col min="99" max="99" width="5.7109375" style="15" customWidth="1"/>
    <col min="100" max="100" width="2.7109375" style="15" customWidth="1"/>
    <col min="101" max="101" width="8.42578125" style="15" customWidth="1"/>
    <col min="102" max="102" width="4.7109375" style="15" customWidth="1"/>
    <col min="103" max="103" width="2.7109375" style="15" customWidth="1"/>
    <col min="104" max="105" width="5.7109375" style="15" customWidth="1"/>
    <col min="106" max="106" width="2.7109375" style="15" customWidth="1"/>
    <col min="107" max="108" width="5.7109375" style="15" customWidth="1"/>
    <col min="109" max="109" width="2.7109375" style="15" customWidth="1"/>
    <col min="110" max="111" width="5.7109375" style="15" customWidth="1"/>
    <col min="112" max="112" width="2.7109375" style="15" customWidth="1"/>
    <col min="113" max="114" width="5.7109375" style="15" customWidth="1"/>
    <col min="115" max="115" width="2.7109375" style="15" customWidth="1"/>
    <col min="116" max="117" width="5.7109375" style="15" customWidth="1"/>
    <col min="118" max="118" width="2.7109375" style="15" customWidth="1"/>
    <col min="119" max="120" width="5.7109375" style="15" customWidth="1"/>
    <col min="121" max="121" width="2.7109375" style="15" customWidth="1"/>
    <col min="122" max="122" width="5.7109375" style="15" customWidth="1"/>
    <col min="123" max="123" width="4.7109375" style="15" customWidth="1"/>
    <col min="124" max="124" width="8.5703125" style="15" customWidth="1"/>
    <col min="125" max="125" width="17.140625" style="15" customWidth="1"/>
    <col min="126" max="126" width="2.7109375" style="15" customWidth="1"/>
    <col min="127" max="128" width="5.7109375" style="15" customWidth="1"/>
    <col min="129" max="129" width="2.7109375" style="15" customWidth="1"/>
    <col min="130" max="131" width="5.7109375" style="15" customWidth="1"/>
    <col min="132" max="132" width="2.7109375" style="15" customWidth="1"/>
    <col min="133" max="134" width="5.7109375" style="15" customWidth="1"/>
    <col min="135" max="135" width="2.7109375" style="15" customWidth="1"/>
    <col min="136" max="137" width="5.7109375" style="15" customWidth="1"/>
    <col min="138" max="138" width="2.7109375" style="15" customWidth="1"/>
    <col min="139" max="140" width="5.7109375" style="15" customWidth="1"/>
    <col min="141" max="141" width="2.7109375" style="15" customWidth="1"/>
    <col min="142" max="142" width="4.5703125" style="15" customWidth="1"/>
    <col min="143" max="143" width="3.28515625" style="15" customWidth="1"/>
    <col min="144" max="144" width="2.7109375" style="15" customWidth="1"/>
    <col min="145" max="146" width="5.7109375" style="15" customWidth="1"/>
    <col min="147" max="147" width="2.7109375" style="15" customWidth="1"/>
    <col min="148" max="153" width="5.7109375" style="15" customWidth="1"/>
    <col min="154" max="154" width="2.7109375" style="15" customWidth="1"/>
    <col min="155" max="158" width="5.7109375" style="15" customWidth="1"/>
    <col min="159" max="159" width="4.7109375" style="15" customWidth="1"/>
    <col min="160" max="160" width="2.7109375" style="15" customWidth="1"/>
    <col min="161" max="161" width="5.7109375" style="15" customWidth="1"/>
    <col min="162" max="162" width="4.7109375" style="15" customWidth="1"/>
    <col min="163" max="163" width="2.7109375" style="15" customWidth="1"/>
    <col min="164" max="190" width="5.7109375" style="15" customWidth="1"/>
    <col min="191" max="191" width="17" style="15" customWidth="1"/>
    <col min="192" max="192" width="2.7109375" style="15" customWidth="1"/>
    <col min="193" max="194" width="5.7109375" style="15" customWidth="1"/>
    <col min="195" max="195" width="2.7109375" style="15" customWidth="1"/>
    <col min="196" max="197" width="5.7109375" style="15" customWidth="1"/>
    <col min="198" max="198" width="2.7109375" style="15" customWidth="1"/>
    <col min="199" max="200" width="5.7109375" style="15" customWidth="1"/>
    <col min="201" max="201" width="2.7109375" style="15" customWidth="1"/>
    <col min="202" max="203" width="5.7109375" style="15" customWidth="1"/>
    <col min="204" max="204" width="2.7109375" style="15" customWidth="1"/>
    <col min="205" max="206" width="5.7109375" style="15" customWidth="1"/>
    <col min="207" max="207" width="2.7109375" style="15" customWidth="1"/>
    <col min="208" max="209" width="5.7109375" style="15" customWidth="1"/>
    <col min="210" max="210" width="2.7109375" style="15" customWidth="1"/>
    <col min="211" max="212" width="5.7109375" style="15" customWidth="1"/>
    <col min="213" max="213" width="2.7109375" style="15" customWidth="1"/>
    <col min="214" max="218" width="5.7109375" style="15" customWidth="1"/>
    <col min="219" max="219" width="2.7109375" style="15" customWidth="1"/>
    <col min="220" max="221" width="5.7109375" style="15" customWidth="1"/>
    <col min="222" max="222" width="2.7109375" style="15" customWidth="1"/>
    <col min="223" max="224" width="5.7109375" style="15" customWidth="1"/>
    <col min="225" max="225" width="2.7109375" style="15" customWidth="1"/>
    <col min="226" max="227" width="5.7109375" style="15" customWidth="1"/>
    <col min="228" max="228" width="2.7109375" style="15" customWidth="1"/>
    <col min="229" max="230" width="5.7109375" style="15" customWidth="1"/>
    <col min="231" max="231" width="2.7109375" style="15" customWidth="1"/>
    <col min="232" max="233" width="5.7109375" style="15" customWidth="1"/>
    <col min="234" max="234" width="2.7109375" style="15" customWidth="1"/>
    <col min="235" max="236" width="5.7109375" style="15" customWidth="1"/>
    <col min="237" max="237" width="2.7109375" style="15" customWidth="1"/>
    <col min="238" max="239" width="5.7109375" style="15" customWidth="1"/>
    <col min="240" max="240" width="2.7109375" style="15" customWidth="1"/>
    <col min="241" max="242" width="5.7109375" style="15" customWidth="1"/>
    <col min="243" max="243" width="2.7109375" style="15" customWidth="1"/>
    <col min="244" max="245" width="5.7109375" style="15" customWidth="1"/>
    <col min="246" max="246" width="2.7109375" style="15" customWidth="1"/>
    <col min="247" max="248" width="5.7109375" style="15" customWidth="1"/>
    <col min="249" max="249" width="2.7109375" style="15" customWidth="1"/>
    <col min="250" max="251" width="5.7109375" style="15" customWidth="1"/>
    <col min="252" max="252" width="2.7109375" style="15" customWidth="1"/>
    <col min="253" max="254" width="5.7109375" style="15" customWidth="1"/>
    <col min="255" max="255" width="2.7109375" style="15" customWidth="1"/>
    <col min="256" max="257" width="5.7109375" style="15" customWidth="1"/>
    <col min="258" max="258" width="2.7109375" style="15" customWidth="1"/>
    <col min="259" max="260" width="5.7109375" style="15" customWidth="1"/>
    <col min="261" max="261" width="2.7109375" style="15" customWidth="1"/>
    <col min="262" max="263" width="5.7109375" style="15" customWidth="1"/>
    <col min="264" max="264" width="2.7109375" style="15" customWidth="1"/>
    <col min="265" max="269" width="5.7109375" style="15" customWidth="1"/>
    <col min="270" max="270" width="2.7109375" style="15" customWidth="1"/>
    <col min="271" max="271" width="5.7109375" style="15" customWidth="1"/>
    <col min="272" max="273" width="4.7109375" style="15" customWidth="1"/>
    <col min="274" max="274" width="17.7109375" style="15" customWidth="1"/>
    <col min="275" max="275" width="2.7109375" style="15" customWidth="1"/>
    <col min="276" max="277" width="5.7109375" style="15" customWidth="1"/>
    <col min="278" max="278" width="2.7109375" style="15" customWidth="1"/>
    <col min="279" max="280" width="5.7109375" style="15" customWidth="1"/>
    <col min="281" max="281" width="2.7109375" style="15" customWidth="1"/>
    <col min="282" max="283" width="5.7109375" style="15" customWidth="1"/>
    <col min="284" max="284" width="2.7109375" style="15" customWidth="1"/>
    <col min="285" max="286" width="5.7109375" style="15" customWidth="1"/>
    <col min="287" max="287" width="2.7109375" style="15" customWidth="1"/>
    <col min="288" max="289" width="5.7109375" style="15" customWidth="1"/>
    <col min="290" max="290" width="2.7109375" style="15" customWidth="1"/>
    <col min="291" max="292" width="5.7109375" style="15" customWidth="1"/>
    <col min="293" max="293" width="2.7109375" style="15" customWidth="1"/>
    <col min="294" max="295" width="5.7109375" style="15" customWidth="1"/>
    <col min="296" max="296" width="2.7109375" style="15" customWidth="1"/>
    <col min="297" max="301" width="5.7109375" style="15" customWidth="1"/>
    <col min="302" max="302" width="2.7109375" style="15" customWidth="1"/>
    <col min="303" max="304" width="5.7109375" style="15" customWidth="1"/>
    <col min="305" max="305" width="2.7109375" style="15" customWidth="1"/>
    <col min="306" max="307" width="5.7109375" style="15" customWidth="1"/>
    <col min="308" max="308" width="2.7109375" style="15" customWidth="1"/>
    <col min="309" max="310" width="5.7109375" style="15" customWidth="1"/>
    <col min="311" max="311" width="2.7109375" style="15" customWidth="1"/>
    <col min="312" max="313" width="5.7109375" style="15" customWidth="1"/>
    <col min="314" max="314" width="2.7109375" style="15" customWidth="1"/>
    <col min="315" max="316" width="5.7109375" style="15" customWidth="1"/>
    <col min="317" max="317" width="2.7109375" style="15" customWidth="1"/>
    <col min="318" max="319" width="5.7109375" style="15" customWidth="1"/>
    <col min="320" max="320" width="2.7109375" style="15" customWidth="1"/>
    <col min="321" max="322" width="5.7109375" style="15" customWidth="1"/>
    <col min="323" max="323" width="2.7109375" style="15" customWidth="1"/>
    <col min="324" max="325" width="5.7109375" style="15" customWidth="1"/>
    <col min="326" max="326" width="2.7109375" style="15" customWidth="1"/>
    <col min="327" max="328" width="5.7109375" style="15" customWidth="1"/>
    <col min="329" max="329" width="2.7109375" style="15" customWidth="1"/>
    <col min="330" max="331" width="5.7109375" style="15" customWidth="1"/>
    <col min="332" max="332" width="2.7109375" style="15" customWidth="1"/>
    <col min="333" max="334" width="5.7109375" style="15" customWidth="1"/>
    <col min="335" max="335" width="2.7109375" style="15" customWidth="1"/>
    <col min="336" max="337" width="5.7109375" style="15" customWidth="1"/>
    <col min="338" max="338" width="2.7109375" style="15" customWidth="1"/>
    <col min="339" max="362" width="5.7109375" style="15" customWidth="1"/>
    <col min="363" max="16384" width="9.140625" style="15"/>
  </cols>
  <sheetData>
    <row r="1" spans="1:340" ht="31.5" x14ac:dyDescent="0.5">
      <c r="B1" s="225" t="s">
        <v>2303</v>
      </c>
    </row>
    <row r="3" spans="1:340" ht="18.75" x14ac:dyDescent="0.3">
      <c r="B3" s="52" t="s">
        <v>1822</v>
      </c>
    </row>
    <row r="4" spans="1:340" ht="5.0999999999999996" customHeight="1" x14ac:dyDescent="0.25"/>
    <row r="5" spans="1:340" x14ac:dyDescent="0.25">
      <c r="B5" s="27" t="s">
        <v>1355</v>
      </c>
      <c r="D5" s="269" t="s">
        <v>2345</v>
      </c>
      <c r="E5" s="312"/>
      <c r="F5" s="312"/>
      <c r="G5" s="312"/>
      <c r="H5" s="313"/>
      <c r="J5" s="15" t="s">
        <v>1823</v>
      </c>
      <c r="L5" s="269" t="s">
        <v>2346</v>
      </c>
      <c r="M5" s="312"/>
      <c r="N5" s="312"/>
      <c r="O5" s="313"/>
      <c r="Q5" s="120" t="s">
        <v>1138</v>
      </c>
      <c r="R5" s="39">
        <v>8300</v>
      </c>
      <c r="S5" s="27" t="str">
        <f>IF(PostnrNbal="","Husk postnummer",IF(ISERROR(VLOOKUP(PostnrNbal,PostnrNavn,2,FALSE)),"Forkert postnummer",VLOOKUP(PostnrNbal,PostnrNavn,2)))</f>
        <v>Odder</v>
      </c>
    </row>
    <row r="6" spans="1:340" ht="9.9499999999999993" customHeight="1" x14ac:dyDescent="0.25">
      <c r="B6" s="27"/>
    </row>
    <row r="7" spans="1:340" x14ac:dyDescent="0.25">
      <c r="B7" s="27" t="s">
        <v>498</v>
      </c>
      <c r="C7" s="218"/>
      <c r="D7" s="218"/>
      <c r="E7" s="218"/>
      <c r="F7" s="218"/>
      <c r="G7" s="218"/>
      <c r="Q7" s="120" t="s">
        <v>2246</v>
      </c>
      <c r="R7" s="17">
        <v>2013</v>
      </c>
    </row>
    <row r="8" spans="1:340" ht="9.9499999999999993" customHeight="1" x14ac:dyDescent="0.25">
      <c r="B8" s="27"/>
    </row>
    <row r="9" spans="1:340" ht="8.1" customHeight="1" x14ac:dyDescent="0.25">
      <c r="B9" s="57"/>
      <c r="C9" s="57"/>
      <c r="D9" s="57"/>
      <c r="E9" s="57"/>
      <c r="F9" s="57"/>
      <c r="G9" s="57"/>
      <c r="H9" s="57"/>
      <c r="I9" s="57"/>
      <c r="J9" s="216"/>
    </row>
    <row r="10" spans="1:340" ht="8.1" customHeight="1" x14ac:dyDescent="0.25">
      <c r="O10" s="25"/>
    </row>
    <row r="11" spans="1:340" ht="8.1" customHeight="1" x14ac:dyDescent="0.25">
      <c r="J11" s="27"/>
    </row>
    <row r="12" spans="1:340" ht="8.1" customHeight="1" x14ac:dyDescent="0.25"/>
    <row r="13" spans="1:340" ht="27" thickBot="1" x14ac:dyDescent="0.45">
      <c r="B13" s="106"/>
      <c r="C13" s="106"/>
      <c r="D13" s="217" t="s">
        <v>2299</v>
      </c>
      <c r="E13" s="106"/>
      <c r="F13" s="106"/>
      <c r="G13" s="106"/>
      <c r="H13" s="106"/>
      <c r="I13" s="106"/>
      <c r="J13" s="185"/>
      <c r="K13" s="106"/>
      <c r="L13" s="106"/>
      <c r="M13" s="223"/>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Q13" s="217" t="s">
        <v>2242</v>
      </c>
      <c r="AR13" s="106"/>
      <c r="AS13" s="106"/>
      <c r="AT13" s="106"/>
      <c r="AU13" s="106"/>
      <c r="AV13" s="106"/>
      <c r="AW13" s="106"/>
      <c r="AX13" s="106"/>
      <c r="AY13" s="106"/>
      <c r="AZ13" s="106"/>
      <c r="BA13" s="106"/>
      <c r="BB13" s="106"/>
      <c r="BC13" s="106"/>
      <c r="BD13" s="106"/>
      <c r="BE13" s="106"/>
      <c r="BF13" s="18"/>
      <c r="BH13" s="217" t="s">
        <v>138</v>
      </c>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H13" s="217" t="s">
        <v>2253</v>
      </c>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U13" s="217" t="s">
        <v>78</v>
      </c>
      <c r="DV13" s="106"/>
      <c r="DW13" s="106"/>
      <c r="DX13" s="106"/>
      <c r="DZ13" s="105" t="s">
        <v>2342</v>
      </c>
      <c r="EA13" s="106"/>
      <c r="EB13" s="106"/>
      <c r="EC13" s="106"/>
      <c r="ED13" s="106"/>
      <c r="EE13" s="106"/>
      <c r="EF13" s="106"/>
      <c r="EG13" s="106"/>
      <c r="EI13" s="105" t="s">
        <v>2343</v>
      </c>
      <c r="EJ13" s="106"/>
      <c r="EK13" s="106"/>
      <c r="EL13" s="106"/>
      <c r="EM13" s="106"/>
      <c r="EN13" s="106"/>
      <c r="EO13" s="106"/>
      <c r="EP13" s="106"/>
      <c r="EQ13" s="106"/>
      <c r="ER13" s="106"/>
      <c r="ES13" s="106"/>
      <c r="ET13" s="106"/>
      <c r="EU13" s="106"/>
      <c r="EV13" s="106"/>
      <c r="EW13" s="106"/>
      <c r="EX13" s="106"/>
      <c r="EY13" s="106"/>
      <c r="EZ13" s="106"/>
      <c r="FA13" s="18"/>
      <c r="FB13" s="105" t="s">
        <v>2344</v>
      </c>
      <c r="FC13" s="106"/>
      <c r="FD13" s="106"/>
      <c r="FE13" s="106"/>
      <c r="FF13" s="106"/>
      <c r="FG13" s="106"/>
      <c r="FH13" s="106"/>
      <c r="FI13" s="106"/>
      <c r="FJ13" s="106"/>
      <c r="FL13" s="217" t="s">
        <v>2300</v>
      </c>
      <c r="FM13" s="106"/>
      <c r="FN13" s="106"/>
      <c r="FO13" s="106"/>
      <c r="FP13" s="106"/>
      <c r="FQ13" s="106"/>
      <c r="FR13" s="106"/>
      <c r="FS13" s="106"/>
      <c r="FT13" s="106"/>
      <c r="FU13" s="106"/>
      <c r="FV13" s="106"/>
      <c r="FW13" s="106"/>
      <c r="FX13" s="106"/>
      <c r="FY13" s="106"/>
      <c r="FZ13" s="106"/>
      <c r="GA13" s="106"/>
      <c r="GB13" s="106"/>
      <c r="GC13" s="106"/>
      <c r="GD13" s="106"/>
      <c r="GE13" s="106"/>
      <c r="GF13" s="106"/>
      <c r="GG13" s="106"/>
      <c r="GH13" s="18"/>
      <c r="GI13" s="217" t="s">
        <v>2301</v>
      </c>
      <c r="GJ13" s="106"/>
      <c r="GK13" s="106"/>
      <c r="GL13" s="106"/>
      <c r="GM13" s="106"/>
      <c r="GN13" s="106"/>
      <c r="GO13" s="106"/>
      <c r="GP13" s="106"/>
      <c r="GQ13" s="106"/>
      <c r="GR13" s="106"/>
      <c r="GS13" s="106"/>
      <c r="GT13" s="106"/>
      <c r="GU13" s="106"/>
      <c r="GV13" s="106"/>
      <c r="GW13" s="106"/>
      <c r="GX13" s="106"/>
      <c r="GY13" s="106"/>
      <c r="GZ13" s="106"/>
      <c r="HA13" s="106"/>
      <c r="HB13" s="106"/>
      <c r="HC13" s="106"/>
      <c r="HD13" s="106"/>
      <c r="HE13" s="106"/>
      <c r="HF13" s="106"/>
      <c r="HG13" s="106"/>
      <c r="HH13" s="106"/>
      <c r="HI13" s="106"/>
      <c r="HJ13" s="106"/>
      <c r="HK13" s="106"/>
      <c r="HL13" s="106"/>
      <c r="HM13" s="106"/>
      <c r="HN13" s="106"/>
      <c r="HO13" s="106"/>
      <c r="HP13" s="106"/>
      <c r="HQ13" s="106"/>
      <c r="HR13" s="106"/>
      <c r="HS13" s="106"/>
      <c r="HT13" s="106"/>
      <c r="HU13" s="106"/>
      <c r="HV13" s="106"/>
      <c r="HW13" s="106"/>
      <c r="HX13" s="106"/>
      <c r="HY13" s="106"/>
      <c r="HZ13" s="106"/>
      <c r="IA13" s="106"/>
      <c r="IB13" s="106"/>
      <c r="IC13" s="106"/>
      <c r="ID13" s="106"/>
      <c r="IE13" s="106"/>
      <c r="IF13" s="106"/>
      <c r="IG13" s="106"/>
      <c r="IH13" s="106"/>
      <c r="II13" s="106"/>
      <c r="IJ13" s="106"/>
      <c r="IK13" s="106"/>
      <c r="IL13" s="106"/>
      <c r="IM13" s="106"/>
      <c r="IN13" s="106"/>
      <c r="IO13" s="106"/>
      <c r="IP13" s="106"/>
      <c r="IQ13" s="106"/>
      <c r="IR13" s="106"/>
      <c r="IS13" s="106"/>
      <c r="IT13" s="106"/>
      <c r="IU13" s="106"/>
      <c r="IV13" s="106"/>
      <c r="IW13" s="106"/>
      <c r="IX13" s="106"/>
      <c r="IY13" s="106"/>
      <c r="IZ13" s="106"/>
      <c r="JA13" s="106"/>
      <c r="JB13" s="106"/>
      <c r="JC13" s="106"/>
      <c r="JD13" s="106"/>
      <c r="JE13" s="106"/>
      <c r="JF13" s="106"/>
      <c r="JG13" s="106"/>
      <c r="JH13" s="106"/>
      <c r="JI13" s="106"/>
      <c r="JJ13" s="106"/>
      <c r="JK13" s="106"/>
      <c r="JL13" s="106"/>
      <c r="JN13" s="217" t="s">
        <v>2302</v>
      </c>
      <c r="JO13" s="106"/>
      <c r="JP13" s="106"/>
      <c r="JQ13" s="106"/>
      <c r="JR13" s="106"/>
      <c r="JS13" s="106"/>
      <c r="JT13" s="106"/>
      <c r="JU13" s="106"/>
      <c r="JV13" s="106"/>
      <c r="JW13" s="106"/>
      <c r="JX13" s="106"/>
      <c r="JY13" s="106"/>
      <c r="JZ13" s="106"/>
      <c r="KA13" s="106"/>
      <c r="KB13" s="106"/>
      <c r="KC13" s="106"/>
      <c r="KD13" s="106"/>
      <c r="KE13" s="106"/>
      <c r="KF13" s="106"/>
      <c r="KG13" s="106"/>
      <c r="KH13" s="106"/>
      <c r="KI13" s="106"/>
      <c r="KJ13" s="106"/>
      <c r="KK13" s="106"/>
      <c r="KL13" s="106"/>
      <c r="KM13" s="106"/>
      <c r="KN13" s="106"/>
      <c r="KO13" s="106"/>
      <c r="KP13" s="106"/>
      <c r="KQ13" s="106"/>
      <c r="KR13" s="106"/>
      <c r="KS13" s="106"/>
      <c r="KT13" s="106"/>
      <c r="KU13" s="106"/>
      <c r="KV13" s="106"/>
      <c r="KW13" s="106"/>
      <c r="KX13" s="106"/>
      <c r="KY13" s="106"/>
      <c r="KZ13" s="106"/>
      <c r="LA13" s="106"/>
      <c r="LB13" s="106"/>
      <c r="LC13" s="106"/>
      <c r="LD13" s="106"/>
      <c r="LE13" s="106"/>
      <c r="LF13" s="106"/>
      <c r="LG13" s="106"/>
      <c r="LH13" s="106"/>
      <c r="LI13" s="106"/>
      <c r="LJ13" s="106"/>
      <c r="LK13" s="106"/>
      <c r="LL13" s="106"/>
      <c r="LM13" s="106"/>
      <c r="LN13" s="106"/>
      <c r="LO13" s="106"/>
      <c r="LP13" s="106"/>
      <c r="LQ13" s="106"/>
      <c r="LR13" s="106"/>
      <c r="LS13" s="106"/>
      <c r="LT13" s="106"/>
      <c r="LU13" s="106"/>
      <c r="LV13" s="106"/>
      <c r="LW13" s="106"/>
      <c r="LX13" s="106"/>
      <c r="LY13" s="106"/>
      <c r="LZ13" s="106"/>
      <c r="MA13" s="106"/>
      <c r="MB13" s="106"/>
    </row>
    <row r="14" spans="1:340" ht="8.1" customHeight="1" x14ac:dyDescent="0.25">
      <c r="J14" s="18"/>
      <c r="K14" s="18"/>
      <c r="L14" s="18"/>
      <c r="M14" s="18"/>
      <c r="N14" s="18"/>
      <c r="O14" s="18"/>
      <c r="P14" s="18"/>
      <c r="Q14" s="18"/>
      <c r="R14" s="18"/>
      <c r="S14" s="18"/>
      <c r="T14" s="18"/>
      <c r="U14" s="18"/>
      <c r="V14" s="18"/>
      <c r="W14" s="18"/>
      <c r="X14" s="18"/>
      <c r="Y14" s="18"/>
      <c r="Z14" s="18"/>
      <c r="AA14" s="18"/>
    </row>
    <row r="15" spans="1:340" ht="15" customHeight="1" x14ac:dyDescent="0.25">
      <c r="AQ15" s="26"/>
      <c r="AT15" s="26"/>
      <c r="AX15" s="26"/>
      <c r="AY15" s="26"/>
      <c r="AZ15" s="26"/>
      <c r="BF15" s="26"/>
      <c r="BG15" s="26"/>
      <c r="BH15" s="261" t="str">
        <f>"Husdyrgødning
efterår "&amp;Hostaar-1&amp;" "
&amp;"(total-N)"</f>
        <v>Husdyrgødning
efterår 2012 (total-N)</v>
      </c>
      <c r="BI15" s="305"/>
      <c r="BJ15" s="213"/>
      <c r="BK15" s="213"/>
      <c r="BM15" s="261" t="str">
        <f>"Husdyrgødning
udbragt "&amp;Hostaar&amp;" "
&amp;"(total-N)"</f>
        <v>Husdyrgødning
udbragt 2013 (total-N)</v>
      </c>
      <c r="BN15" s="305"/>
      <c r="BS15" s="261" t="str">
        <f>"Husdyrgødning "
&amp;
"afsat på græs "&amp;Hostaar&amp;" (total-N)"</f>
        <v>Husdyrgødning afsat på græs 2013 (total-N)</v>
      </c>
      <c r="BT15" s="306"/>
      <c r="BU15" s="306"/>
      <c r="BW15" s="261" t="str">
        <f>"Husdyrgødning efterår "&amp;Hostaar
&amp;
" (total-N)"</f>
        <v>Husdyrgødning efterår 2013 (total-N)</v>
      </c>
      <c r="BX15" s="305"/>
      <c r="BY15" s="213"/>
      <c r="BZ15" s="213"/>
      <c r="CA15" s="213"/>
      <c r="DU15" s="26" t="s">
        <v>1844</v>
      </c>
      <c r="DZ15" s="26" t="s">
        <v>2242</v>
      </c>
      <c r="ER15" s="261" t="str">
        <f>"Husdyrgødning "
&amp;
"afsat på græs "&amp;Hostaar&amp;" (total-N)"</f>
        <v>Husdyrgødning afsat på græs 2013 (total-N)</v>
      </c>
      <c r="ES15" s="305"/>
      <c r="ET15" s="305"/>
      <c r="EU15" s="213"/>
      <c r="FA15" s="213"/>
      <c r="FL15" s="213"/>
      <c r="FM15" s="213"/>
      <c r="FN15" s="213"/>
      <c r="FO15" s="213"/>
      <c r="FP15" s="213"/>
      <c r="FQ15" s="213"/>
      <c r="FR15" s="213"/>
      <c r="FS15" s="213"/>
      <c r="FT15" s="213"/>
      <c r="FU15" s="213"/>
      <c r="FV15" s="213"/>
      <c r="FW15" s="213"/>
      <c r="FX15" s="213"/>
      <c r="FY15" s="213"/>
      <c r="FZ15" s="213"/>
      <c r="GA15" s="213"/>
      <c r="GB15" s="213"/>
      <c r="GC15" s="213"/>
      <c r="GD15" s="213"/>
      <c r="GE15" s="213"/>
      <c r="GF15" s="213"/>
      <c r="GG15" s="213"/>
      <c r="GH15" s="213"/>
      <c r="GI15" s="26" t="s">
        <v>328</v>
      </c>
      <c r="HI15" s="26" t="s">
        <v>348</v>
      </c>
      <c r="JN15" s="26" t="s">
        <v>329</v>
      </c>
      <c r="KN15" s="26" t="s">
        <v>417</v>
      </c>
    </row>
    <row r="16" spans="1:340" s="26" customFormat="1" ht="32.1" customHeight="1" x14ac:dyDescent="0.35">
      <c r="A16" s="205"/>
      <c r="B16" s="210" t="s">
        <v>2241</v>
      </c>
      <c r="C16" s="206"/>
      <c r="D16" s="207" t="s">
        <v>87</v>
      </c>
      <c r="E16" s="207"/>
      <c r="F16" s="207" t="s">
        <v>104</v>
      </c>
      <c r="G16" s="207"/>
      <c r="H16" s="206"/>
      <c r="I16" s="206"/>
      <c r="J16" s="314" t="s">
        <v>76</v>
      </c>
      <c r="K16" s="309"/>
      <c r="L16" s="309"/>
      <c r="M16" s="309"/>
      <c r="N16" s="307" t="s">
        <v>79</v>
      </c>
      <c r="O16" s="308"/>
      <c r="P16" s="308"/>
      <c r="Q16" s="309"/>
      <c r="R16" s="224" t="s">
        <v>1350</v>
      </c>
      <c r="S16" s="215"/>
      <c r="T16" s="315" t="s">
        <v>28</v>
      </c>
      <c r="U16" s="315"/>
      <c r="V16" s="315"/>
      <c r="W16" s="315"/>
      <c r="X16" s="307" t="s">
        <v>1543</v>
      </c>
      <c r="Y16" s="308"/>
      <c r="Z16" s="308"/>
      <c r="AA16" s="309"/>
      <c r="AB16" s="260" t="s">
        <v>83</v>
      </c>
      <c r="AC16" s="260"/>
      <c r="AD16" s="260"/>
      <c r="AE16" s="262"/>
      <c r="AG16" s="26" t="s">
        <v>84</v>
      </c>
      <c r="AJ16" s="209" t="s">
        <v>2255</v>
      </c>
      <c r="AL16" s="26" t="s">
        <v>28</v>
      </c>
      <c r="AN16" s="261" t="s">
        <v>86</v>
      </c>
      <c r="AO16" s="260"/>
      <c r="AP16" s="203"/>
      <c r="AQ16" s="261" t="str">
        <f>"Handelsgødning
efterår "&amp;Hostaar-1</f>
        <v>Handelsgødning
efterår 2012</v>
      </c>
      <c r="AR16" s="260"/>
      <c r="AS16" s="203"/>
      <c r="AT16" s="261" t="str">
        <f>"Handelsgødning
forår "&amp;Hostaar</f>
        <v>Handelsgødning
forår 2013</v>
      </c>
      <c r="AU16" s="260"/>
      <c r="AW16" s="213"/>
      <c r="AX16" s="261" t="str">
        <f>"Handelsgødning
efterår "&amp;Hostaar</f>
        <v>Handelsgødning
efterår 2013</v>
      </c>
      <c r="AY16" s="261"/>
      <c r="AZ16" s="209"/>
      <c r="BA16" s="261" t="s">
        <v>2244</v>
      </c>
      <c r="BB16" s="305"/>
      <c r="BD16" s="261" t="s">
        <v>2245</v>
      </c>
      <c r="BE16" s="305"/>
      <c r="BF16" s="209"/>
      <c r="BH16" s="305"/>
      <c r="BI16" s="305"/>
      <c r="BJ16" s="261" t="s">
        <v>1545</v>
      </c>
      <c r="BK16" s="267"/>
      <c r="BL16" s="201"/>
      <c r="BM16" s="305"/>
      <c r="BN16" s="305"/>
      <c r="BP16" s="261" t="s">
        <v>1545</v>
      </c>
      <c r="BQ16" s="267"/>
      <c r="BS16" s="306"/>
      <c r="BT16" s="306"/>
      <c r="BU16" s="306"/>
      <c r="BV16" s="203"/>
      <c r="BW16" s="305"/>
      <c r="BX16" s="305"/>
      <c r="BY16" s="261" t="s">
        <v>1545</v>
      </c>
      <c r="BZ16" s="267"/>
      <c r="CA16" s="206"/>
      <c r="CB16" s="261" t="s">
        <v>2244</v>
      </c>
      <c r="CC16" s="305"/>
      <c r="CE16" s="261" t="s">
        <v>2245</v>
      </c>
      <c r="CF16" s="305"/>
      <c r="CH16" s="26" t="s">
        <v>178</v>
      </c>
      <c r="CN16" s="26" t="s">
        <v>200</v>
      </c>
      <c r="CT16" s="26" t="s">
        <v>184</v>
      </c>
      <c r="CZ16" s="26" t="s">
        <v>1337</v>
      </c>
      <c r="DF16" s="26" t="s">
        <v>189</v>
      </c>
      <c r="DL16" s="261" t="s">
        <v>1547</v>
      </c>
      <c r="DM16" s="267"/>
      <c r="DO16" s="26" t="s">
        <v>198</v>
      </c>
      <c r="DU16" s="202" t="s">
        <v>1543</v>
      </c>
      <c r="DW16" s="26" t="s">
        <v>86</v>
      </c>
      <c r="DZ16" s="261" t="s">
        <v>2243</v>
      </c>
      <c r="EA16" s="305"/>
      <c r="EC16" s="261" t="s">
        <v>2244</v>
      </c>
      <c r="ED16" s="305"/>
      <c r="EF16" s="261" t="s">
        <v>2245</v>
      </c>
      <c r="EG16" s="305"/>
      <c r="EI16" s="261" t="s">
        <v>476</v>
      </c>
      <c r="EJ16" s="267"/>
      <c r="EK16" s="267"/>
      <c r="EL16" s="261" t="s">
        <v>1545</v>
      </c>
      <c r="EM16" s="267"/>
      <c r="EO16" s="261" t="s">
        <v>1546</v>
      </c>
      <c r="EP16" s="267"/>
      <c r="EQ16" s="203"/>
      <c r="ER16" s="305"/>
      <c r="ES16" s="305"/>
      <c r="ET16" s="305"/>
      <c r="EU16" s="213"/>
      <c r="EV16" s="261" t="s">
        <v>2244</v>
      </c>
      <c r="EW16" s="305"/>
      <c r="EX16" s="203"/>
      <c r="EY16" s="261" t="s">
        <v>2245</v>
      </c>
      <c r="EZ16" s="305"/>
      <c r="FA16" s="213"/>
      <c r="FB16" s="26" t="s">
        <v>219</v>
      </c>
      <c r="FH16" s="261" t="s">
        <v>1548</v>
      </c>
      <c r="FI16" s="260"/>
      <c r="FJ16" s="260"/>
      <c r="FK16" s="219"/>
      <c r="FL16" s="261" t="s">
        <v>2271</v>
      </c>
      <c r="FM16" s="305"/>
      <c r="FN16" s="305"/>
      <c r="FO16" s="305"/>
      <c r="FR16" s="310" t="s">
        <v>2272</v>
      </c>
      <c r="FS16" s="311"/>
      <c r="FT16" s="311"/>
      <c r="FU16" s="311"/>
      <c r="FV16" s="305"/>
      <c r="FX16" s="310" t="s">
        <v>2273</v>
      </c>
      <c r="FY16" s="311"/>
      <c r="FZ16" s="311"/>
      <c r="GA16" s="311"/>
      <c r="GB16" s="305"/>
      <c r="GD16" s="26" t="s">
        <v>2274</v>
      </c>
      <c r="GH16" s="213"/>
      <c r="GI16" s="26" t="s">
        <v>28</v>
      </c>
      <c r="GK16" s="26" t="s">
        <v>2</v>
      </c>
      <c r="GQ16" s="26" t="s">
        <v>523</v>
      </c>
      <c r="GW16" s="26" t="s">
        <v>3</v>
      </c>
      <c r="HC16" s="261" t="s">
        <v>1549</v>
      </c>
      <c r="HD16" s="260"/>
      <c r="HE16" s="260"/>
      <c r="HF16" s="260"/>
      <c r="HG16" s="267"/>
      <c r="HI16" s="26" t="s">
        <v>360</v>
      </c>
      <c r="HO16" s="26" t="s">
        <v>363</v>
      </c>
      <c r="HU16" s="26" t="s">
        <v>364</v>
      </c>
      <c r="IA16" s="26" t="s">
        <v>365</v>
      </c>
      <c r="IG16" s="26" t="s">
        <v>104</v>
      </c>
      <c r="IS16" s="261" t="s">
        <v>1550</v>
      </c>
      <c r="IT16" s="260"/>
      <c r="IU16" s="260"/>
      <c r="IV16" s="260"/>
      <c r="IW16" s="260"/>
      <c r="IY16" s="261" t="s">
        <v>1551</v>
      </c>
      <c r="IZ16" s="260"/>
      <c r="JA16" s="260"/>
      <c r="JB16" s="260"/>
      <c r="JC16" s="260"/>
      <c r="JE16" s="26" t="s">
        <v>435</v>
      </c>
      <c r="JN16" s="202" t="s">
        <v>1543</v>
      </c>
      <c r="JP16" s="26" t="s">
        <v>2</v>
      </c>
      <c r="JV16" s="26" t="s">
        <v>523</v>
      </c>
      <c r="KB16" s="26" t="s">
        <v>3</v>
      </c>
      <c r="KH16" s="26" t="s">
        <v>415</v>
      </c>
      <c r="KN16" s="26" t="s">
        <v>20</v>
      </c>
      <c r="KT16" s="26" t="s">
        <v>364</v>
      </c>
      <c r="KZ16" s="26" t="s">
        <v>365</v>
      </c>
      <c r="LF16" s="26" t="s">
        <v>104</v>
      </c>
      <c r="LR16" s="261" t="s">
        <v>1552</v>
      </c>
      <c r="LS16" s="260"/>
      <c r="LT16" s="260"/>
      <c r="LU16" s="260"/>
      <c r="LV16" s="260"/>
      <c r="LX16" s="261" t="s">
        <v>1553</v>
      </c>
      <c r="LY16" s="260"/>
      <c r="LZ16" s="260"/>
      <c r="MA16" s="260"/>
      <c r="MB16" s="260"/>
    </row>
    <row r="17" spans="2:340" ht="8.1" customHeight="1" x14ac:dyDescent="0.25">
      <c r="AB17" s="134"/>
    </row>
    <row r="18" spans="2:340" x14ac:dyDescent="0.25">
      <c r="B18" s="240" t="s">
        <v>2347</v>
      </c>
      <c r="AG18" s="36">
        <v>8.16</v>
      </c>
      <c r="AH18" s="15" t="s">
        <v>85</v>
      </c>
      <c r="AL18" s="15" t="str">
        <f>IF(Regn2!$R18&lt;=1,"",VLOOKUP(Regn2!$R18,Afgr,2))</f>
        <v>Vårbyg, foder</v>
      </c>
      <c r="AN18" s="32">
        <f>IF(Regn2!$R18&gt;1,Regn2!AE18,"")</f>
        <v>93</v>
      </c>
      <c r="AO18" s="15" t="s">
        <v>82</v>
      </c>
      <c r="AQ18" s="17"/>
      <c r="AR18" s="15" t="s">
        <v>82</v>
      </c>
      <c r="AT18" s="37">
        <v>41</v>
      </c>
      <c r="AU18" s="15" t="s">
        <v>82</v>
      </c>
      <c r="AX18" s="17"/>
      <c r="AY18" s="15" t="s">
        <v>82</v>
      </c>
      <c r="BA18" s="17"/>
      <c r="BB18" s="15" t="s">
        <v>1504</v>
      </c>
      <c r="BD18" s="17"/>
      <c r="BE18" s="15" t="s">
        <v>1793</v>
      </c>
      <c r="BH18" s="17"/>
      <c r="BI18" s="15" t="s">
        <v>82</v>
      </c>
      <c r="BJ18" s="37">
        <v>75</v>
      </c>
      <c r="BK18" s="15" t="s">
        <v>205</v>
      </c>
      <c r="BM18" s="37">
        <v>85</v>
      </c>
      <c r="BN18" s="15" t="s">
        <v>82</v>
      </c>
      <c r="BP18" s="37">
        <v>74.23</v>
      </c>
      <c r="BQ18" s="15" t="s">
        <v>205</v>
      </c>
      <c r="BT18" s="17"/>
      <c r="BU18" s="15" t="s">
        <v>82</v>
      </c>
      <c r="BW18" s="17"/>
      <c r="BX18" s="15" t="s">
        <v>82</v>
      </c>
      <c r="BY18" s="37">
        <v>75</v>
      </c>
      <c r="BZ18" s="15" t="s">
        <v>205</v>
      </c>
      <c r="CB18" s="17">
        <v>18</v>
      </c>
      <c r="CC18" s="15" t="s">
        <v>1504</v>
      </c>
      <c r="CE18" s="17">
        <v>44</v>
      </c>
      <c r="CF18" s="15" t="s">
        <v>1793</v>
      </c>
      <c r="CH18" s="55">
        <f>IF(Regn2!$R18&gt;1,Regn2!AL18,"")</f>
        <v>56</v>
      </c>
      <c r="CI18" s="15" t="str">
        <f>IF(Regn2!AO18&lt;&gt;0,Regn2!AO18,"")</f>
        <v>hkg</v>
      </c>
      <c r="CK18" s="16">
        <v>66</v>
      </c>
      <c r="CL18" s="15" t="str">
        <f>IF(Regn2!AO18&lt;&gt;0,Regn2!AO18,"")</f>
        <v>hkg</v>
      </c>
      <c r="CN18" s="33">
        <f>IF(Regn2!$R18&gt;1,Regn2!DK18,"")</f>
        <v>10.147500000000001</v>
      </c>
      <c r="CO18" s="15" t="s">
        <v>201</v>
      </c>
      <c r="CQ18" s="38"/>
      <c r="CR18" s="15" t="s">
        <v>201</v>
      </c>
      <c r="CT18" s="55">
        <f>IF(Regn2!$R18&gt;1,Regn2!AR18,"")</f>
        <v>145</v>
      </c>
      <c r="CU18" s="15" t="s">
        <v>188</v>
      </c>
      <c r="CW18" s="124"/>
      <c r="CX18" s="15" t="s">
        <v>188</v>
      </c>
      <c r="CZ18" s="25">
        <f>IF(Regn2!$R18&gt;1,Regn2!AW18,"")</f>
        <v>0</v>
      </c>
      <c r="DA18" s="15" t="s">
        <v>188</v>
      </c>
      <c r="DC18" s="17"/>
      <c r="DD18" s="15" t="s">
        <v>188</v>
      </c>
      <c r="DF18" s="25">
        <f>IF(Regn2!$R18&gt;1,Regn2!BB18,"")</f>
        <v>3535.7142857142858</v>
      </c>
      <c r="DG18" s="15" t="s">
        <v>192</v>
      </c>
      <c r="DI18" s="16"/>
      <c r="DJ18" s="15" t="s">
        <v>192</v>
      </c>
      <c r="DO18" s="33">
        <f>IF(Regn2!$R18&gt;1,Regn2!BI18,"")</f>
        <v>0.5</v>
      </c>
      <c r="DP18" s="15" t="s">
        <v>188</v>
      </c>
      <c r="DR18" s="38"/>
      <c r="DS18" s="15" t="s">
        <v>188</v>
      </c>
      <c r="DU18" s="15" t="str">
        <f>IF(Regn2!$T18&lt;=1,"",VLOOKUP(Regn2!$T18,Efgr,2))</f>
        <v>Græs E</v>
      </c>
      <c r="DW18" s="25">
        <f>IF(Regn2!$T18&gt;1,Regn2!BN18,"")</f>
        <v>0</v>
      </c>
      <c r="DX18" s="15" t="s">
        <v>82</v>
      </c>
      <c r="DZ18" s="16"/>
      <c r="EA18" s="15" t="s">
        <v>82</v>
      </c>
      <c r="EC18" s="17"/>
      <c r="ED18" s="15" t="s">
        <v>1504</v>
      </c>
      <c r="EF18" s="17"/>
      <c r="EG18" s="15" t="s">
        <v>1793</v>
      </c>
      <c r="EI18" s="16"/>
      <c r="EJ18" s="15" t="s">
        <v>82</v>
      </c>
      <c r="EL18" s="16">
        <v>75</v>
      </c>
      <c r="EM18" s="15" t="s">
        <v>205</v>
      </c>
      <c r="EO18" s="25">
        <f>EI18*EL18*0.01</f>
        <v>0</v>
      </c>
      <c r="EP18" s="15" t="s">
        <v>82</v>
      </c>
      <c r="ER18" s="17"/>
      <c r="ES18" s="15" t="s">
        <v>82</v>
      </c>
      <c r="EV18" s="17"/>
      <c r="EW18" s="15" t="s">
        <v>1504</v>
      </c>
      <c r="EY18" s="17"/>
      <c r="EZ18" s="15" t="s">
        <v>1793</v>
      </c>
      <c r="FB18" s="25">
        <f>IF(Regn2!$T18&gt;1,Regn2!BQ18,"")</f>
        <v>0</v>
      </c>
      <c r="FC18" s="15" t="str">
        <f>IF(Regn2!$T18&gt;1,Regn2!BT18,"")</f>
        <v>FE</v>
      </c>
      <c r="FE18" s="16"/>
      <c r="FF18" s="15" t="str">
        <f>IF(Regn2!$T18&gt;1,Regn2!BT18,"")</f>
        <v>FE</v>
      </c>
      <c r="FL18" s="32">
        <f>IF(Regn2!$R18&gt;1,NniveauDelsaedsk1,"")</f>
        <v>194</v>
      </c>
      <c r="FM18" s="15" t="s">
        <v>82</v>
      </c>
      <c r="FO18" s="17"/>
      <c r="FP18" s="15" t="s">
        <v>82</v>
      </c>
      <c r="FR18" s="32">
        <f>IF(Regn2!$R18&gt;1,Regn2!HU18,"")</f>
        <v>284.76666666666603</v>
      </c>
      <c r="FS18" s="15" t="s">
        <v>531</v>
      </c>
      <c r="FU18" s="17"/>
      <c r="FV18" s="15" t="s">
        <v>531</v>
      </c>
      <c r="FX18" s="32">
        <f>IF(Regn2!$R18&gt;1,Regn2!HR18,"")</f>
        <v>284.76666666666603</v>
      </c>
      <c r="FY18" s="15" t="s">
        <v>531</v>
      </c>
      <c r="GA18" s="17"/>
      <c r="GB18" s="15" t="s">
        <v>531</v>
      </c>
      <c r="GD18" s="15">
        <f>IF(Regn2!$R18&gt;1,RetentionNbal,"")</f>
        <v>65</v>
      </c>
      <c r="GE18" s="15" t="s">
        <v>205</v>
      </c>
      <c r="GF18" s="17"/>
      <c r="GG18" s="15" t="s">
        <v>205</v>
      </c>
      <c r="GI18" s="15" t="str">
        <f>IF(Regn2!$R18&lt;=1,"",VLOOKUP(Regn2!$R18,Afgr,2))</f>
        <v>Vårbyg, foder</v>
      </c>
      <c r="GK18" s="25">
        <f>IF(Regn2!$R18&gt;1,Regn2!IO18,"")</f>
        <v>488</v>
      </c>
      <c r="GL18" s="15" t="s">
        <v>188</v>
      </c>
      <c r="GN18" s="16"/>
      <c r="GO18" s="15" t="s">
        <v>188</v>
      </c>
      <c r="GQ18" s="25">
        <f>IF(Regn2!$R18&gt;1,Regn2!JK18,"")</f>
        <v>346.45</v>
      </c>
      <c r="GR18" s="15" t="s">
        <v>188</v>
      </c>
      <c r="GT18" s="16"/>
      <c r="GU18" s="15" t="s">
        <v>188</v>
      </c>
      <c r="GW18" s="25">
        <f>IF(Regn2!$R18&gt;1,Regn2!JO18,"")</f>
        <v>283</v>
      </c>
      <c r="GX18" s="15" t="s">
        <v>188</v>
      </c>
      <c r="GZ18" s="16"/>
      <c r="HA18" s="15" t="s">
        <v>188</v>
      </c>
      <c r="HC18" s="25">
        <f>IF(Regn2!$R18&gt;1,Regn2!JS18,"")</f>
        <v>0</v>
      </c>
      <c r="HD18" s="15" t="s">
        <v>188</v>
      </c>
      <c r="HF18" s="16"/>
      <c r="HG18" s="15" t="s">
        <v>188</v>
      </c>
      <c r="HI18" s="25">
        <f>IF(Regn2!$R18&gt;1,Regn2!JY18,"")</f>
        <v>600</v>
      </c>
      <c r="HJ18" s="15" t="s">
        <v>362</v>
      </c>
      <c r="HL18" s="16"/>
      <c r="HM18" s="15" t="s">
        <v>188</v>
      </c>
      <c r="HO18" s="25">
        <f>IF(Regn2!$R18&gt;1,Regn2!KL18,"")</f>
        <v>350</v>
      </c>
      <c r="HP18" s="15" t="s">
        <v>188</v>
      </c>
      <c r="HR18" s="16"/>
      <c r="HS18" s="15" t="s">
        <v>188</v>
      </c>
      <c r="HU18" s="25">
        <f>IF(Regn2!$R18&gt;1,Regn2!KP18,"")</f>
        <v>140</v>
      </c>
      <c r="HV18" s="15" t="s">
        <v>188</v>
      </c>
      <c r="HX18" s="16"/>
      <c r="HY18" s="15" t="s">
        <v>188</v>
      </c>
      <c r="IA18" s="25">
        <f>IF(Regn2!$R18&gt;1,Regn2!KT18,"")</f>
        <v>300</v>
      </c>
      <c r="IB18" s="15" t="s">
        <v>188</v>
      </c>
      <c r="ID18" s="16"/>
      <c r="IE18" s="15" t="s">
        <v>188</v>
      </c>
      <c r="IG18" s="25">
        <f>IF(Regn2!$R18&gt;1,Regn2!KX18,"")</f>
        <v>0</v>
      </c>
      <c r="IH18" s="15" t="s">
        <v>531</v>
      </c>
      <c r="IJ18" s="16"/>
      <c r="IK18" s="15" t="s">
        <v>531</v>
      </c>
      <c r="IM18" s="25">
        <f>IF(Regn2!$R18&gt;1,Regn2!KZ18,"")</f>
        <v>0</v>
      </c>
      <c r="IN18" s="15" t="s">
        <v>188</v>
      </c>
      <c r="IP18" s="16"/>
      <c r="IQ18" s="15" t="s">
        <v>188</v>
      </c>
      <c r="IS18" s="25">
        <f>IF(Regn2!$R18&gt;1,Regn2!LG18,"")</f>
        <v>1051.7647058823529</v>
      </c>
      <c r="IT18" s="15" t="s">
        <v>188</v>
      </c>
      <c r="IV18" s="16"/>
      <c r="IW18" s="15" t="s">
        <v>405</v>
      </c>
      <c r="IY18" s="25">
        <f>IF(Regn2!$R18&gt;1,Regn2!LM18,"")</f>
        <v>807.58928571428578</v>
      </c>
      <c r="IZ18" s="15" t="s">
        <v>188</v>
      </c>
      <c r="JB18" s="16"/>
      <c r="JC18" s="15" t="s">
        <v>188</v>
      </c>
      <c r="JH18" s="25">
        <f>IF(Regn2!$R18&gt;1,Regn2!LQ18,"")</f>
        <v>609.84</v>
      </c>
      <c r="JI18" s="15" t="s">
        <v>188</v>
      </c>
      <c r="JK18" s="16"/>
      <c r="JL18" s="15" t="s">
        <v>188</v>
      </c>
      <c r="JN18" s="15" t="str">
        <f>IF(Regn2!$T18&lt;=1,"",VLOOKUP(Regn2!$T18,Efgr,2))</f>
        <v>Græs E</v>
      </c>
      <c r="JP18" s="25">
        <f>IF(Regn2!$T18&gt;1,Regn2!LU18,"")</f>
        <v>300</v>
      </c>
      <c r="JQ18" s="15" t="s">
        <v>188</v>
      </c>
      <c r="JS18" s="16"/>
      <c r="JT18" s="15" t="s">
        <v>188</v>
      </c>
      <c r="JV18" s="25">
        <f>IF(Regn2!$T18&gt;1,Regn2!MN18,"")</f>
        <v>0</v>
      </c>
      <c r="JW18" s="15" t="s">
        <v>188</v>
      </c>
      <c r="JY18" s="16"/>
      <c r="JZ18" s="15" t="s">
        <v>188</v>
      </c>
      <c r="KB18" s="25">
        <f>IF(Regn2!$T18&gt;1,Regn2!MR18,"")</f>
        <v>0</v>
      </c>
      <c r="KC18" s="15" t="s">
        <v>188</v>
      </c>
      <c r="KE18" s="16"/>
      <c r="KF18" s="15" t="s">
        <v>188</v>
      </c>
      <c r="KH18" s="25">
        <f>IF(Regn2!$T18&gt;1,Regn2!MV18,"")</f>
        <v>0</v>
      </c>
      <c r="KI18" s="15" t="s">
        <v>188</v>
      </c>
      <c r="KK18" s="16"/>
      <c r="KL18" s="15" t="s">
        <v>188</v>
      </c>
      <c r="KN18" s="25">
        <f>IF(Regn2!$T18&gt;1,Regn2!NB18,"")</f>
        <v>55</v>
      </c>
      <c r="KO18" s="15" t="s">
        <v>188</v>
      </c>
      <c r="KQ18" s="16"/>
      <c r="KR18" s="15" t="s">
        <v>188</v>
      </c>
      <c r="KT18" s="25">
        <f>IF(Regn2!$T18&gt;1,Regn2!NF18,"")</f>
        <v>0</v>
      </c>
      <c r="KU18" s="15" t="s">
        <v>188</v>
      </c>
      <c r="KW18" s="16"/>
      <c r="KX18" s="15" t="s">
        <v>188</v>
      </c>
      <c r="KZ18" s="25">
        <f>IF(Regn2!$T18&gt;1,Regn2!NJ18,"")</f>
        <v>0</v>
      </c>
      <c r="LA18" s="15" t="s">
        <v>188</v>
      </c>
      <c r="LC18" s="16"/>
      <c r="LD18" s="15" t="s">
        <v>188</v>
      </c>
      <c r="LF18" s="25">
        <f>IF(Regn2!$T18&gt;1,Regn2!NN18,"")</f>
        <v>0</v>
      </c>
      <c r="LG18" s="15" t="s">
        <v>531</v>
      </c>
      <c r="LI18" s="16"/>
      <c r="LJ18" s="15" t="s">
        <v>531</v>
      </c>
      <c r="LL18" s="25">
        <f>IF(Regn2!$T18&gt;1,Regn2!NP18,"")</f>
        <v>0</v>
      </c>
      <c r="LM18" s="15" t="s">
        <v>188</v>
      </c>
      <c r="LO18" s="16"/>
      <c r="LP18" s="15" t="s">
        <v>188</v>
      </c>
      <c r="LR18" s="25">
        <f>IF(Regn2!$T18&gt;1,Regn2!NV18,"")</f>
        <v>0</v>
      </c>
      <c r="LS18" s="15" t="s">
        <v>188</v>
      </c>
      <c r="LU18" s="16"/>
      <c r="LV18" s="15" t="s">
        <v>188</v>
      </c>
      <c r="LX18" s="25">
        <f>IF(Regn2!$T18&gt;1,Regn2!NZ18,"")</f>
        <v>180</v>
      </c>
      <c r="LY18" s="15" t="s">
        <v>188</v>
      </c>
      <c r="MA18" s="16"/>
      <c r="MB18" s="15" t="s">
        <v>188</v>
      </c>
    </row>
    <row r="19" spans="2:340" ht="8.1" customHeight="1" x14ac:dyDescent="0.25">
      <c r="B19" s="204"/>
      <c r="C19" s="204"/>
      <c r="D19" s="208"/>
      <c r="E19" s="208"/>
      <c r="F19" s="208"/>
      <c r="G19" s="208"/>
      <c r="H19" s="208"/>
      <c r="I19" s="208"/>
      <c r="J19" s="133"/>
      <c r="N19" s="134"/>
      <c r="AB19" s="134"/>
    </row>
    <row r="20" spans="2:340" x14ac:dyDescent="0.25">
      <c r="B20" s="240" t="s">
        <v>2348</v>
      </c>
      <c r="AG20" s="36">
        <v>1.4</v>
      </c>
      <c r="AH20" s="15" t="s">
        <v>85</v>
      </c>
      <c r="AL20" s="15" t="str">
        <f>IF(Regn2!$R20&lt;=1,"",VLOOKUP(Regn2!$R20,Afgr,2))</f>
        <v>Permanent græs</v>
      </c>
      <c r="AN20" s="32">
        <f>IF(Regn2!$R20&gt;1,Regn2!AE20,"")</f>
        <v>134</v>
      </c>
      <c r="AO20" s="15" t="s">
        <v>82</v>
      </c>
      <c r="AQ20" s="17"/>
      <c r="AR20" s="15" t="s">
        <v>82</v>
      </c>
      <c r="AT20" s="37"/>
      <c r="AU20" s="15" t="s">
        <v>82</v>
      </c>
      <c r="AX20" s="17"/>
      <c r="AY20" s="15" t="s">
        <v>82</v>
      </c>
      <c r="BA20" s="17"/>
      <c r="BB20" s="15" t="s">
        <v>1504</v>
      </c>
      <c r="BD20" s="17"/>
      <c r="BE20" s="15" t="s">
        <v>1793</v>
      </c>
      <c r="BH20" s="17"/>
      <c r="BI20" s="15" t="s">
        <v>82</v>
      </c>
      <c r="BJ20" s="37">
        <v>75</v>
      </c>
      <c r="BK20" s="15" t="s">
        <v>205</v>
      </c>
      <c r="BM20" s="37"/>
      <c r="BN20" s="15" t="s">
        <v>82</v>
      </c>
      <c r="BP20" s="37">
        <v>74.23</v>
      </c>
      <c r="BQ20" s="15" t="s">
        <v>205</v>
      </c>
      <c r="BT20" s="17"/>
      <c r="BU20" s="15" t="s">
        <v>82</v>
      </c>
      <c r="BW20" s="17"/>
      <c r="BX20" s="15" t="s">
        <v>82</v>
      </c>
      <c r="BY20" s="37">
        <v>75</v>
      </c>
      <c r="BZ20" s="15" t="s">
        <v>205</v>
      </c>
      <c r="CB20" s="17"/>
      <c r="CC20" s="15" t="s">
        <v>1504</v>
      </c>
      <c r="CE20" s="17"/>
      <c r="CF20" s="15" t="s">
        <v>1793</v>
      </c>
      <c r="CH20" s="55">
        <f>IF(Regn2!$R20&gt;1,Regn2!AL20,"")</f>
        <v>3000</v>
      </c>
      <c r="CI20" s="15" t="str">
        <f>IF(Regn2!AO20&lt;&gt;0,Regn2!AO20,"")</f>
        <v>FE</v>
      </c>
      <c r="CK20" s="16"/>
      <c r="CL20" s="15" t="str">
        <f>IF(Regn2!AO20&lt;&gt;0,Regn2!AO20,"")</f>
        <v>FE</v>
      </c>
      <c r="CN20" s="33">
        <f>IF(Regn2!$R20&gt;1,Regn2!DK20,"")</f>
        <v>14</v>
      </c>
      <c r="CO20" s="15" t="s">
        <v>201</v>
      </c>
      <c r="CQ20" s="38"/>
      <c r="CR20" s="15" t="s">
        <v>201</v>
      </c>
      <c r="CT20" s="55">
        <f>IF(Regn2!$R20&gt;1,Regn2!AR20,"")</f>
        <v>1.2</v>
      </c>
      <c r="CU20" s="15" t="s">
        <v>188</v>
      </c>
      <c r="CW20" s="124"/>
      <c r="CX20" s="15" t="s">
        <v>188</v>
      </c>
      <c r="CZ20" s="25">
        <f>IF(Regn2!$R20&gt;1,Regn2!AW20,"")</f>
        <v>0</v>
      </c>
      <c r="DA20" s="15" t="s">
        <v>188</v>
      </c>
      <c r="DC20" s="17"/>
      <c r="DD20" s="15" t="s">
        <v>188</v>
      </c>
      <c r="DF20" s="25">
        <f>IF(Regn2!$R20&gt;1,Regn2!BB20,"")</f>
        <v>0</v>
      </c>
      <c r="DG20" s="15" t="s">
        <v>192</v>
      </c>
      <c r="DI20" s="16"/>
      <c r="DJ20" s="15" t="s">
        <v>192</v>
      </c>
      <c r="DO20" s="33">
        <f>IF(Regn2!$R20&gt;1,Regn2!BI20,"")</f>
        <v>0</v>
      </c>
      <c r="DP20" s="15" t="s">
        <v>188</v>
      </c>
      <c r="DR20" s="38"/>
      <c r="DS20" s="15" t="s">
        <v>188</v>
      </c>
      <c r="DU20" s="15" t="str">
        <f>IF(Regn2!$T20&lt;=1,"",VLOOKUP(Regn2!$T20,Efgr,2))</f>
        <v/>
      </c>
      <c r="DW20" s="25" t="str">
        <f>IF(Regn2!$T20&gt;1,Regn2!BN20,"")</f>
        <v/>
      </c>
      <c r="DX20" s="15" t="s">
        <v>82</v>
      </c>
      <c r="DZ20" s="16"/>
      <c r="EA20" s="15" t="s">
        <v>82</v>
      </c>
      <c r="EC20" s="17"/>
      <c r="ED20" s="15" t="s">
        <v>1504</v>
      </c>
      <c r="EF20" s="17"/>
      <c r="EG20" s="15" t="s">
        <v>1793</v>
      </c>
      <c r="EI20" s="16"/>
      <c r="EJ20" s="15" t="s">
        <v>82</v>
      </c>
      <c r="EL20" s="16">
        <v>75</v>
      </c>
      <c r="EM20" s="15" t="s">
        <v>205</v>
      </c>
      <c r="EO20" s="25">
        <f>EI20*EL20*0.01</f>
        <v>0</v>
      </c>
      <c r="EP20" s="15" t="s">
        <v>82</v>
      </c>
      <c r="ER20" s="17"/>
      <c r="ES20" s="15" t="s">
        <v>82</v>
      </c>
      <c r="EV20" s="17"/>
      <c r="EW20" s="15" t="s">
        <v>1504</v>
      </c>
      <c r="EY20" s="17"/>
      <c r="EZ20" s="15" t="s">
        <v>1793</v>
      </c>
      <c r="FB20" s="25" t="str">
        <f>IF(Regn2!$T20&gt;1,Regn2!BQ20,"")</f>
        <v/>
      </c>
      <c r="FC20" s="15" t="str">
        <f>IF(Regn2!$T20&gt;1,Regn2!BT20,"")</f>
        <v/>
      </c>
      <c r="FE20" s="16"/>
      <c r="FF20" s="15" t="str">
        <f>IF(Regn2!$T20&gt;1,Regn2!BT20,"")</f>
        <v/>
      </c>
      <c r="FL20" s="32">
        <f>IF(Regn2!$R20&gt;1,NniveauDelsaedsk1,"")</f>
        <v>194</v>
      </c>
      <c r="FM20" s="15" t="s">
        <v>82</v>
      </c>
      <c r="FO20" s="17"/>
      <c r="FP20" s="15" t="s">
        <v>82</v>
      </c>
      <c r="FR20" s="32">
        <f>IF(Regn2!$R20&gt;1,Regn2!HU20,"")</f>
        <v>272.32333333333298</v>
      </c>
      <c r="FS20" s="15" t="s">
        <v>531</v>
      </c>
      <c r="FU20" s="17"/>
      <c r="FV20" s="15" t="s">
        <v>531</v>
      </c>
      <c r="FX20" s="32">
        <f>IF(Regn2!$R20&gt;1,Regn2!HR20,"")</f>
        <v>272.32333333333298</v>
      </c>
      <c r="FY20" s="15" t="s">
        <v>531</v>
      </c>
      <c r="GA20" s="17"/>
      <c r="GB20" s="15" t="s">
        <v>531</v>
      </c>
      <c r="GD20" s="15">
        <f>IF(Regn2!$R20&gt;1,RetentionNbal,"")</f>
        <v>65</v>
      </c>
      <c r="GE20" s="15" t="s">
        <v>205</v>
      </c>
      <c r="GF20" s="17"/>
      <c r="GG20" s="15" t="s">
        <v>205</v>
      </c>
      <c r="GI20" s="15" t="str">
        <f>IF(Regn2!$R20&lt;=1,"",VLOOKUP(Regn2!$R20,Afgr,2))</f>
        <v>Permanent græs</v>
      </c>
      <c r="GK20" s="25">
        <f>IF(Regn2!$R20&gt;1,Regn2!IO20,"")</f>
        <v>0</v>
      </c>
      <c r="GL20" s="15" t="s">
        <v>188</v>
      </c>
      <c r="GN20" s="16"/>
      <c r="GO20" s="15" t="s">
        <v>188</v>
      </c>
      <c r="GQ20" s="25">
        <f>IF(Regn2!$R20&gt;1,Regn2!JK20,"")</f>
        <v>0</v>
      </c>
      <c r="GR20" s="15" t="s">
        <v>188</v>
      </c>
      <c r="GT20" s="16"/>
      <c r="GU20" s="15" t="s">
        <v>188</v>
      </c>
      <c r="GW20" s="25">
        <f>IF(Regn2!$R20&gt;1,Regn2!JO20,"")</f>
        <v>0</v>
      </c>
      <c r="GX20" s="15" t="s">
        <v>188</v>
      </c>
      <c r="GZ20" s="16"/>
      <c r="HA20" s="15" t="s">
        <v>188</v>
      </c>
      <c r="HC20" s="25">
        <f>IF(Regn2!$R20&gt;1,Regn2!JS20,"")</f>
        <v>0</v>
      </c>
      <c r="HD20" s="15" t="s">
        <v>188</v>
      </c>
      <c r="HF20" s="16"/>
      <c r="HG20" s="15" t="s">
        <v>188</v>
      </c>
      <c r="HI20" s="25">
        <f>IF(Regn2!$R20&gt;1,Regn2!JY20,"")</f>
        <v>0</v>
      </c>
      <c r="HJ20" s="15" t="s">
        <v>362</v>
      </c>
      <c r="HL20" s="16"/>
      <c r="HM20" s="15" t="s">
        <v>188</v>
      </c>
      <c r="HO20" s="25">
        <f>IF(Regn2!$R20&gt;1,Regn2!KL20,"")</f>
        <v>0</v>
      </c>
      <c r="HP20" s="15" t="s">
        <v>188</v>
      </c>
      <c r="HR20" s="16"/>
      <c r="HS20" s="15" t="s">
        <v>188</v>
      </c>
      <c r="HU20" s="25">
        <f>IF(Regn2!$R20&gt;1,Regn2!KP20,"")</f>
        <v>280</v>
      </c>
      <c r="HV20" s="15" t="s">
        <v>188</v>
      </c>
      <c r="HX20" s="16"/>
      <c r="HY20" s="15" t="s">
        <v>188</v>
      </c>
      <c r="IA20" s="25">
        <f>IF(Regn2!$R20&gt;1,Regn2!KT20,"")</f>
        <v>0</v>
      </c>
      <c r="IB20" s="15" t="s">
        <v>188</v>
      </c>
      <c r="ID20" s="16"/>
      <c r="IE20" s="15" t="s">
        <v>188</v>
      </c>
      <c r="IG20" s="25">
        <f>IF(Regn2!$R20&gt;1,Regn2!KX20,"")</f>
        <v>0</v>
      </c>
      <c r="IH20" s="15" t="s">
        <v>531</v>
      </c>
      <c r="IJ20" s="16"/>
      <c r="IK20" s="15" t="s">
        <v>531</v>
      </c>
      <c r="IM20" s="25">
        <f>IF(Regn2!$R20&gt;1,Regn2!KZ20,"")</f>
        <v>0</v>
      </c>
      <c r="IN20" s="15" t="s">
        <v>188</v>
      </c>
      <c r="IP20" s="16"/>
      <c r="IQ20" s="15" t="s">
        <v>188</v>
      </c>
      <c r="IS20" s="25">
        <f>IF(Regn2!$R20&gt;1,Regn2!LG20,"")</f>
        <v>0</v>
      </c>
      <c r="IT20" s="15" t="s">
        <v>188</v>
      </c>
      <c r="IV20" s="16"/>
      <c r="IW20" s="15" t="s">
        <v>405</v>
      </c>
      <c r="IY20" s="25">
        <f>IF(Regn2!$R20&gt;1,Regn2!LM20,"")</f>
        <v>0</v>
      </c>
      <c r="IZ20" s="15" t="s">
        <v>188</v>
      </c>
      <c r="JB20" s="16"/>
      <c r="JC20" s="15" t="s">
        <v>188</v>
      </c>
      <c r="JH20" s="25">
        <f>IF(Regn2!$R20&gt;1,Regn2!LQ20,"")</f>
        <v>0</v>
      </c>
      <c r="JI20" s="15" t="s">
        <v>188</v>
      </c>
      <c r="JK20" s="16"/>
      <c r="JL20" s="15" t="s">
        <v>188</v>
      </c>
      <c r="JN20" s="15" t="str">
        <f>IF(Regn2!$T20&lt;=1,"",VLOOKUP(Regn2!$T20,Efgr,2))</f>
        <v/>
      </c>
      <c r="JP20" s="25" t="str">
        <f>IF(Regn2!$T20&gt;1,Regn2!LU20,"")</f>
        <v/>
      </c>
      <c r="JQ20" s="15" t="s">
        <v>188</v>
      </c>
      <c r="JS20" s="16"/>
      <c r="JT20" s="15" t="s">
        <v>188</v>
      </c>
      <c r="JV20" s="25" t="str">
        <f>IF(Regn2!$T20&gt;1,Regn2!MN20,"")</f>
        <v/>
      </c>
      <c r="JW20" s="15" t="s">
        <v>188</v>
      </c>
      <c r="JY20" s="16"/>
      <c r="JZ20" s="15" t="s">
        <v>188</v>
      </c>
      <c r="KB20" s="25" t="str">
        <f>IF(Regn2!$T20&gt;1,Regn2!MR20,"")</f>
        <v/>
      </c>
      <c r="KC20" s="15" t="s">
        <v>188</v>
      </c>
      <c r="KE20" s="16"/>
      <c r="KF20" s="15" t="s">
        <v>188</v>
      </c>
      <c r="KH20" s="25" t="str">
        <f>IF(Regn2!$T20&gt;1,Regn2!MV20,"")</f>
        <v/>
      </c>
      <c r="KI20" s="15" t="s">
        <v>188</v>
      </c>
      <c r="KK20" s="16"/>
      <c r="KL20" s="15" t="s">
        <v>188</v>
      </c>
      <c r="KN20" s="25" t="str">
        <f>IF(Regn2!$T20&gt;1,Regn2!NB20,"")</f>
        <v/>
      </c>
      <c r="KO20" s="15" t="s">
        <v>188</v>
      </c>
      <c r="KQ20" s="16"/>
      <c r="KR20" s="15" t="s">
        <v>188</v>
      </c>
      <c r="KT20" s="25" t="str">
        <f>IF(Regn2!$T20&gt;1,Regn2!NF20,"")</f>
        <v/>
      </c>
      <c r="KU20" s="15" t="s">
        <v>188</v>
      </c>
      <c r="KW20" s="16"/>
      <c r="KX20" s="15" t="s">
        <v>188</v>
      </c>
      <c r="KZ20" s="25" t="str">
        <f>IF(Regn2!$T20&gt;1,Regn2!NJ20,"")</f>
        <v/>
      </c>
      <c r="LA20" s="15" t="s">
        <v>188</v>
      </c>
      <c r="LC20" s="16"/>
      <c r="LD20" s="15" t="s">
        <v>188</v>
      </c>
      <c r="LF20" s="25" t="str">
        <f>IF(Regn2!$T20&gt;1,Regn2!NN20,"")</f>
        <v/>
      </c>
      <c r="LG20" s="15" t="s">
        <v>531</v>
      </c>
      <c r="LI20" s="16"/>
      <c r="LJ20" s="15" t="s">
        <v>531</v>
      </c>
      <c r="LL20" s="25" t="str">
        <f>IF(Regn2!$T20&gt;1,Regn2!NP20,"")</f>
        <v/>
      </c>
      <c r="LM20" s="15" t="s">
        <v>188</v>
      </c>
      <c r="LO20" s="16"/>
      <c r="LP20" s="15" t="s">
        <v>188</v>
      </c>
      <c r="LR20" s="25" t="str">
        <f>IF(Regn2!$T20&gt;1,Regn2!NV20,"")</f>
        <v/>
      </c>
      <c r="LS20" s="15" t="s">
        <v>188</v>
      </c>
      <c r="LU20" s="16"/>
      <c r="LV20" s="15" t="s">
        <v>188</v>
      </c>
      <c r="LX20" s="25" t="str">
        <f>IF(Regn2!$T20&gt;1,Regn2!NZ20,"")</f>
        <v/>
      </c>
      <c r="LY20" s="15" t="s">
        <v>188</v>
      </c>
      <c r="MA20" s="16"/>
      <c r="MB20" s="15" t="s">
        <v>188</v>
      </c>
    </row>
    <row r="21" spans="2:340" ht="8.1" customHeight="1" x14ac:dyDescent="0.25"/>
    <row r="22" spans="2:340" x14ac:dyDescent="0.25">
      <c r="B22" s="240" t="s">
        <v>2349</v>
      </c>
      <c r="AG22" s="36">
        <v>17.87</v>
      </c>
      <c r="AH22" s="15" t="s">
        <v>85</v>
      </c>
      <c r="AL22" s="15" t="str">
        <f>IF(Regn2!$R22&lt;=1,"",VLOOKUP(Regn2!$R22,Afgr,2))</f>
        <v>Vårbyg, foder</v>
      </c>
      <c r="AN22" s="32">
        <f>IF(Regn2!$R22&gt;1,Regn2!AE22,"")</f>
        <v>110</v>
      </c>
      <c r="AO22" s="15" t="s">
        <v>82</v>
      </c>
      <c r="AQ22" s="17"/>
      <c r="AR22" s="15" t="s">
        <v>82</v>
      </c>
      <c r="AT22" s="37">
        <v>41</v>
      </c>
      <c r="AU22" s="15" t="s">
        <v>82</v>
      </c>
      <c r="AX22" s="17"/>
      <c r="AY22" s="15" t="s">
        <v>82</v>
      </c>
      <c r="BA22" s="17"/>
      <c r="BB22" s="15" t="s">
        <v>1504</v>
      </c>
      <c r="BD22" s="17"/>
      <c r="BE22" s="15" t="s">
        <v>1793</v>
      </c>
      <c r="BH22" s="17">
        <v>122</v>
      </c>
      <c r="BI22" s="15" t="s">
        <v>82</v>
      </c>
      <c r="BJ22" s="37">
        <v>54.59</v>
      </c>
      <c r="BK22" s="15" t="s">
        <v>205</v>
      </c>
      <c r="BM22" s="37">
        <v>85</v>
      </c>
      <c r="BN22" s="15" t="s">
        <v>82</v>
      </c>
      <c r="BP22" s="37">
        <v>74.23</v>
      </c>
      <c r="BQ22" s="15" t="s">
        <v>205</v>
      </c>
      <c r="BT22" s="17"/>
      <c r="BU22" s="15" t="s">
        <v>82</v>
      </c>
      <c r="BW22" s="17"/>
      <c r="BX22" s="15" t="s">
        <v>82</v>
      </c>
      <c r="BY22" s="37">
        <v>75</v>
      </c>
      <c r="BZ22" s="15" t="s">
        <v>205</v>
      </c>
      <c r="CB22" s="17">
        <v>33</v>
      </c>
      <c r="CC22" s="15" t="s">
        <v>1504</v>
      </c>
      <c r="CE22" s="17">
        <v>161</v>
      </c>
      <c r="CF22" s="15" t="s">
        <v>1793</v>
      </c>
      <c r="CH22" s="55">
        <f>IF(Regn2!$R22&gt;1,Regn2!AL22,"")</f>
        <v>56</v>
      </c>
      <c r="CI22" s="15" t="str">
        <f>IF(Regn2!AO22&lt;&gt;0,Regn2!AO22,"")</f>
        <v>hkg</v>
      </c>
      <c r="CK22" s="16">
        <v>55</v>
      </c>
      <c r="CL22" s="15" t="str">
        <f>IF(Regn2!AO22&lt;&gt;0,Regn2!AO22,"")</f>
        <v>hkg</v>
      </c>
      <c r="CN22" s="33">
        <f>IF(Regn2!$R22&gt;1,Regn2!DK22,"")</f>
        <v>11.139495999999999</v>
      </c>
      <c r="CO22" s="15" t="s">
        <v>201</v>
      </c>
      <c r="CQ22" s="38"/>
      <c r="CR22" s="15" t="s">
        <v>201</v>
      </c>
      <c r="CT22" s="55">
        <f>IF(Regn2!$R22&gt;1,Regn2!AR22,"")</f>
        <v>145</v>
      </c>
      <c r="CU22" s="15" t="s">
        <v>188</v>
      </c>
      <c r="CW22" s="124"/>
      <c r="CX22" s="15" t="s">
        <v>188</v>
      </c>
      <c r="CZ22" s="25">
        <f>IF(Regn2!$R22&gt;1,Regn2!AW22,"")</f>
        <v>0</v>
      </c>
      <c r="DA22" s="15" t="s">
        <v>188</v>
      </c>
      <c r="DC22" s="17"/>
      <c r="DD22" s="15" t="s">
        <v>188</v>
      </c>
      <c r="DF22" s="25">
        <f>IF(Regn2!$R22&gt;1,Regn2!BB22,"")</f>
        <v>2946.4285714285716</v>
      </c>
      <c r="DG22" s="15" t="s">
        <v>192</v>
      </c>
      <c r="DI22" s="16"/>
      <c r="DJ22" s="15" t="s">
        <v>192</v>
      </c>
      <c r="DO22" s="33">
        <f>IF(Regn2!$R22&gt;1,Regn2!BI22,"")</f>
        <v>0.5</v>
      </c>
      <c r="DP22" s="15" t="s">
        <v>188</v>
      </c>
      <c r="DR22" s="38"/>
      <c r="DS22" s="15" t="s">
        <v>188</v>
      </c>
      <c r="DU22" s="15" t="str">
        <f>IF(Regn2!$T22&lt;=1,"",VLOOKUP(Regn2!$T22,Efgr,2))</f>
        <v/>
      </c>
      <c r="DW22" s="25" t="str">
        <f>IF(Regn2!$T22&gt;1,Regn2!BN22,"")</f>
        <v/>
      </c>
      <c r="DX22" s="15" t="s">
        <v>82</v>
      </c>
      <c r="DZ22" s="16"/>
      <c r="EA22" s="15" t="s">
        <v>82</v>
      </c>
      <c r="EC22" s="17"/>
      <c r="ED22" s="15" t="s">
        <v>1504</v>
      </c>
      <c r="EF22" s="17"/>
      <c r="EG22" s="15" t="s">
        <v>1793</v>
      </c>
      <c r="EI22" s="16"/>
      <c r="EJ22" s="15" t="s">
        <v>82</v>
      </c>
      <c r="EL22" s="16">
        <v>75</v>
      </c>
      <c r="EM22" s="15" t="s">
        <v>205</v>
      </c>
      <c r="EO22" s="25">
        <f>EI22*EL22*0.01</f>
        <v>0</v>
      </c>
      <c r="EP22" s="15" t="s">
        <v>82</v>
      </c>
      <c r="ER22" s="17"/>
      <c r="ES22" s="15" t="s">
        <v>82</v>
      </c>
      <c r="EV22" s="17"/>
      <c r="EW22" s="15" t="s">
        <v>1504</v>
      </c>
      <c r="EY22" s="17"/>
      <c r="EZ22" s="15" t="s">
        <v>1793</v>
      </c>
      <c r="FB22" s="25" t="str">
        <f>IF(Regn2!$T22&gt;1,Regn2!BQ22,"")</f>
        <v/>
      </c>
      <c r="FC22" s="15" t="str">
        <f>IF(Regn2!$T22&gt;1,Regn2!BT22,"")</f>
        <v/>
      </c>
      <c r="FE22" s="16"/>
      <c r="FF22" s="15" t="str">
        <f>IF(Regn2!$T22&gt;1,Regn2!BT22,"")</f>
        <v/>
      </c>
      <c r="FL22" s="32">
        <f>IF(Regn2!$R22&gt;1,NniveauDelsaedsk1,"")</f>
        <v>194</v>
      </c>
      <c r="FM22" s="15" t="s">
        <v>82</v>
      </c>
      <c r="FO22" s="17"/>
      <c r="FP22" s="15" t="s">
        <v>82</v>
      </c>
      <c r="FR22" s="32">
        <f>IF(Regn2!$R22&gt;1,Regn2!HU22,"")</f>
        <v>311.98999999999899</v>
      </c>
      <c r="FS22" s="15" t="s">
        <v>531</v>
      </c>
      <c r="FU22" s="17"/>
      <c r="FV22" s="15" t="s">
        <v>531</v>
      </c>
      <c r="FX22" s="32">
        <f>IF(Regn2!$R22&gt;1,Regn2!HR22,"")</f>
        <v>304.76666666666603</v>
      </c>
      <c r="FY22" s="15" t="s">
        <v>531</v>
      </c>
      <c r="GA22" s="17"/>
      <c r="GB22" s="15" t="s">
        <v>531</v>
      </c>
      <c r="GD22" s="15">
        <f>IF(Regn2!$R22&gt;1,RetentionNbal,"")</f>
        <v>65</v>
      </c>
      <c r="GE22" s="15" t="s">
        <v>205</v>
      </c>
      <c r="GF22" s="17"/>
      <c r="GG22" s="15" t="s">
        <v>205</v>
      </c>
      <c r="GI22" s="15" t="str">
        <f>IF(Regn2!$R22&lt;=1,"",VLOOKUP(Regn2!$R22,Afgr,2))</f>
        <v>Vårbyg, foder</v>
      </c>
      <c r="GK22" s="25">
        <f>IF(Regn2!$R22&gt;1,Regn2!IO22,"")</f>
        <v>488</v>
      </c>
      <c r="GL22" s="15" t="s">
        <v>188</v>
      </c>
      <c r="GN22" s="16"/>
      <c r="GO22" s="15" t="s">
        <v>188</v>
      </c>
      <c r="GQ22" s="25">
        <f>IF(Regn2!$R22&gt;1,Regn2!JK22,"")</f>
        <v>346.45</v>
      </c>
      <c r="GR22" s="15" t="s">
        <v>188</v>
      </c>
      <c r="GT22" s="16"/>
      <c r="GU22" s="15" t="s">
        <v>188</v>
      </c>
      <c r="GW22" s="25">
        <f>IF(Regn2!$R22&gt;1,Regn2!JO22,"")</f>
        <v>283</v>
      </c>
      <c r="GX22" s="15" t="s">
        <v>188</v>
      </c>
      <c r="GZ22" s="16"/>
      <c r="HA22" s="15" t="s">
        <v>188</v>
      </c>
      <c r="HC22" s="25">
        <f>IF(Regn2!$R22&gt;1,Regn2!JS22,"")</f>
        <v>0</v>
      </c>
      <c r="HD22" s="15" t="s">
        <v>188</v>
      </c>
      <c r="HF22" s="16"/>
      <c r="HG22" s="15" t="s">
        <v>188</v>
      </c>
      <c r="HI22" s="25">
        <f>IF(Regn2!$R22&gt;1,Regn2!JY22,"")</f>
        <v>600</v>
      </c>
      <c r="HJ22" s="15" t="s">
        <v>362</v>
      </c>
      <c r="HL22" s="16"/>
      <c r="HM22" s="15" t="s">
        <v>188</v>
      </c>
      <c r="HO22" s="25">
        <f>IF(Regn2!$R22&gt;1,Regn2!KL22,"")</f>
        <v>350</v>
      </c>
      <c r="HP22" s="15" t="s">
        <v>188</v>
      </c>
      <c r="HR22" s="16"/>
      <c r="HS22" s="15" t="s">
        <v>188</v>
      </c>
      <c r="HU22" s="25">
        <f>IF(Regn2!$R22&gt;1,Regn2!KP22,"")</f>
        <v>140</v>
      </c>
      <c r="HV22" s="15" t="s">
        <v>188</v>
      </c>
      <c r="HX22" s="16"/>
      <c r="HY22" s="15" t="s">
        <v>188</v>
      </c>
      <c r="IA22" s="25">
        <f>IF(Regn2!$R22&gt;1,Regn2!KT22,"")</f>
        <v>300</v>
      </c>
      <c r="IB22" s="15" t="s">
        <v>188</v>
      </c>
      <c r="ID22" s="16"/>
      <c r="IE22" s="15" t="s">
        <v>188</v>
      </c>
      <c r="IG22" s="25">
        <f>IF(Regn2!$R22&gt;1,Regn2!KX22,"")</f>
        <v>0</v>
      </c>
      <c r="IH22" s="15" t="s">
        <v>531</v>
      </c>
      <c r="IJ22" s="16"/>
      <c r="IK22" s="15" t="s">
        <v>531</v>
      </c>
      <c r="IM22" s="25">
        <f>IF(Regn2!$R22&gt;1,Regn2!KZ22,"")</f>
        <v>0</v>
      </c>
      <c r="IN22" s="15" t="s">
        <v>188</v>
      </c>
      <c r="IP22" s="16"/>
      <c r="IQ22" s="15" t="s">
        <v>188</v>
      </c>
      <c r="IS22" s="25">
        <f>IF(Regn2!$R22&gt;1,Regn2!LG22,"")</f>
        <v>951.47058823529414</v>
      </c>
      <c r="IT22" s="15" t="s">
        <v>188</v>
      </c>
      <c r="IV22" s="16"/>
      <c r="IW22" s="15" t="s">
        <v>405</v>
      </c>
      <c r="IY22" s="25">
        <f>IF(Regn2!$R22&gt;1,Regn2!LM22,"")</f>
        <v>716.74107142857144</v>
      </c>
      <c r="IZ22" s="15" t="s">
        <v>188</v>
      </c>
      <c r="JB22" s="16"/>
      <c r="JC22" s="15" t="s">
        <v>188</v>
      </c>
      <c r="JH22" s="25">
        <f>IF(Regn2!$R22&gt;1,Regn2!LQ22,"")</f>
        <v>508.20000000000005</v>
      </c>
      <c r="JI22" s="15" t="s">
        <v>188</v>
      </c>
      <c r="JK22" s="16"/>
      <c r="JL22" s="15" t="s">
        <v>188</v>
      </c>
      <c r="JN22" s="15" t="str">
        <f>IF(Regn2!$T22&lt;=1,"",VLOOKUP(Regn2!$T22,Efgr,2))</f>
        <v/>
      </c>
      <c r="JP22" s="25" t="str">
        <f>IF(Regn2!$T22&gt;1,Regn2!LU22,"")</f>
        <v/>
      </c>
      <c r="JQ22" s="15" t="s">
        <v>188</v>
      </c>
      <c r="JS22" s="16"/>
      <c r="JT22" s="15" t="s">
        <v>188</v>
      </c>
      <c r="JV22" s="25" t="str">
        <f>IF(Regn2!$T22&gt;1,Regn2!MN22,"")</f>
        <v/>
      </c>
      <c r="JW22" s="15" t="s">
        <v>188</v>
      </c>
      <c r="JY22" s="16"/>
      <c r="JZ22" s="15" t="s">
        <v>188</v>
      </c>
      <c r="KB22" s="25" t="str">
        <f>IF(Regn2!$T22&gt;1,Regn2!MR22,"")</f>
        <v/>
      </c>
      <c r="KC22" s="15" t="s">
        <v>188</v>
      </c>
      <c r="KE22" s="16"/>
      <c r="KF22" s="15" t="s">
        <v>188</v>
      </c>
      <c r="KH22" s="25" t="str">
        <f>IF(Regn2!$T22&gt;1,Regn2!MV22,"")</f>
        <v/>
      </c>
      <c r="KI22" s="15" t="s">
        <v>188</v>
      </c>
      <c r="KK22" s="16"/>
      <c r="KL22" s="15" t="s">
        <v>188</v>
      </c>
      <c r="KN22" s="25" t="str">
        <f>IF(Regn2!$T22&gt;1,Regn2!NB22,"")</f>
        <v/>
      </c>
      <c r="KO22" s="15" t="s">
        <v>188</v>
      </c>
      <c r="KQ22" s="16"/>
      <c r="KR22" s="15" t="s">
        <v>188</v>
      </c>
      <c r="KT22" s="25" t="str">
        <f>IF(Regn2!$T22&gt;1,Regn2!NF22,"")</f>
        <v/>
      </c>
      <c r="KU22" s="15" t="s">
        <v>188</v>
      </c>
      <c r="KW22" s="16"/>
      <c r="KX22" s="15" t="s">
        <v>188</v>
      </c>
      <c r="KZ22" s="25" t="str">
        <f>IF(Regn2!$T22&gt;1,Regn2!NJ22,"")</f>
        <v/>
      </c>
      <c r="LA22" s="15" t="s">
        <v>188</v>
      </c>
      <c r="LC22" s="16"/>
      <c r="LD22" s="15" t="s">
        <v>188</v>
      </c>
      <c r="LF22" s="25" t="str">
        <f>IF(Regn2!$T22&gt;1,Regn2!NN22,"")</f>
        <v/>
      </c>
      <c r="LG22" s="15" t="s">
        <v>531</v>
      </c>
      <c r="LI22" s="16"/>
      <c r="LJ22" s="15" t="s">
        <v>531</v>
      </c>
      <c r="LL22" s="25" t="str">
        <f>IF(Regn2!$T22&gt;1,Regn2!NP22,"")</f>
        <v/>
      </c>
      <c r="LM22" s="15" t="s">
        <v>188</v>
      </c>
      <c r="LO22" s="16"/>
      <c r="LP22" s="15" t="s">
        <v>188</v>
      </c>
      <c r="LR22" s="25" t="str">
        <f>IF(Regn2!$T22&gt;1,Regn2!NV22,"")</f>
        <v/>
      </c>
      <c r="LS22" s="15" t="s">
        <v>188</v>
      </c>
      <c r="LU22" s="16"/>
      <c r="LV22" s="15" t="s">
        <v>188</v>
      </c>
      <c r="LX22" s="25" t="str">
        <f>IF(Regn2!$T22&gt;1,Regn2!NZ22,"")</f>
        <v/>
      </c>
      <c r="LY22" s="15" t="s">
        <v>188</v>
      </c>
      <c r="MA22" s="16"/>
      <c r="MB22" s="15" t="s">
        <v>188</v>
      </c>
    </row>
    <row r="23" spans="2:340" ht="8.1" customHeight="1" x14ac:dyDescent="0.25"/>
    <row r="24" spans="2:340" x14ac:dyDescent="0.25">
      <c r="B24" s="240" t="s">
        <v>2350</v>
      </c>
      <c r="AG24" s="36">
        <v>2.95</v>
      </c>
      <c r="AH24" s="15" t="s">
        <v>85</v>
      </c>
      <c r="AL24" s="15" t="str">
        <f>IF(Regn2!$R24&lt;=1,"",VLOOKUP(Regn2!$R24,Afgr,2))</f>
        <v>Vårbyg, foder</v>
      </c>
      <c r="AN24" s="32">
        <f>IF(Regn2!$R24&gt;1,Regn2!AE24,"")</f>
        <v>93</v>
      </c>
      <c r="AO24" s="15" t="s">
        <v>82</v>
      </c>
      <c r="AQ24" s="17"/>
      <c r="AR24" s="15" t="s">
        <v>82</v>
      </c>
      <c r="AT24" s="37">
        <v>41</v>
      </c>
      <c r="AU24" s="15" t="s">
        <v>82</v>
      </c>
      <c r="AX24" s="17"/>
      <c r="AY24" s="15" t="s">
        <v>82</v>
      </c>
      <c r="BA24" s="17"/>
      <c r="BB24" s="15" t="s">
        <v>1504</v>
      </c>
      <c r="BD24" s="17"/>
      <c r="BE24" s="15" t="s">
        <v>1793</v>
      </c>
      <c r="BH24" s="17"/>
      <c r="BI24" s="15" t="s">
        <v>82</v>
      </c>
      <c r="BJ24" s="37">
        <v>75</v>
      </c>
      <c r="BK24" s="15" t="s">
        <v>205</v>
      </c>
      <c r="BM24" s="37">
        <v>85</v>
      </c>
      <c r="BN24" s="15" t="s">
        <v>82</v>
      </c>
      <c r="BP24" s="37">
        <v>74.23</v>
      </c>
      <c r="BQ24" s="15" t="s">
        <v>205</v>
      </c>
      <c r="BT24" s="17"/>
      <c r="BU24" s="15" t="s">
        <v>82</v>
      </c>
      <c r="BW24" s="17"/>
      <c r="BX24" s="15" t="s">
        <v>82</v>
      </c>
      <c r="BY24" s="37">
        <v>75</v>
      </c>
      <c r="BZ24" s="15" t="s">
        <v>205</v>
      </c>
      <c r="CB24" s="17">
        <v>18</v>
      </c>
      <c r="CC24" s="15" t="s">
        <v>1504</v>
      </c>
      <c r="CE24" s="17">
        <v>44</v>
      </c>
      <c r="CF24" s="15" t="s">
        <v>1793</v>
      </c>
      <c r="CH24" s="55">
        <f>IF(Regn2!$R24&gt;1,Regn2!AL24,"")</f>
        <v>56</v>
      </c>
      <c r="CI24" s="15" t="str">
        <f>IF(Regn2!AO24&lt;&gt;0,Regn2!AO24,"")</f>
        <v>hkg</v>
      </c>
      <c r="CK24" s="16">
        <v>82</v>
      </c>
      <c r="CL24" s="15" t="str">
        <f>IF(Regn2!AO24&lt;&gt;0,Regn2!AO24,"")</f>
        <v>hkg</v>
      </c>
      <c r="CN24" s="33">
        <f>IF(Regn2!$R24&gt;1,Regn2!DK24,"")</f>
        <v>10.147500000000001</v>
      </c>
      <c r="CO24" s="15" t="s">
        <v>201</v>
      </c>
      <c r="CQ24" s="38"/>
      <c r="CR24" s="15" t="s">
        <v>201</v>
      </c>
      <c r="CT24" s="55">
        <f>IF(Regn2!$R24&gt;1,Regn2!AR24,"")</f>
        <v>145</v>
      </c>
      <c r="CU24" s="15" t="s">
        <v>188</v>
      </c>
      <c r="CW24" s="124"/>
      <c r="CX24" s="15" t="s">
        <v>188</v>
      </c>
      <c r="CZ24" s="25">
        <f>IF(Regn2!$R24&gt;1,Regn2!AW24,"")</f>
        <v>0</v>
      </c>
      <c r="DA24" s="15" t="s">
        <v>188</v>
      </c>
      <c r="DC24" s="17"/>
      <c r="DD24" s="15" t="s">
        <v>188</v>
      </c>
      <c r="DF24" s="25">
        <f>IF(Regn2!$R24&gt;1,Regn2!BB24,"")</f>
        <v>4392.8571428571431</v>
      </c>
      <c r="DG24" s="15" t="s">
        <v>192</v>
      </c>
      <c r="DI24" s="16"/>
      <c r="DJ24" s="15" t="s">
        <v>192</v>
      </c>
      <c r="DO24" s="33">
        <f>IF(Regn2!$R24&gt;1,Regn2!BI24,"")</f>
        <v>0.5</v>
      </c>
      <c r="DP24" s="15" t="s">
        <v>188</v>
      </c>
      <c r="DR24" s="38"/>
      <c r="DS24" s="15" t="s">
        <v>188</v>
      </c>
      <c r="DU24" s="15" t="str">
        <f>IF(Regn2!$T24&lt;=1,"",VLOOKUP(Regn2!$T24,Efgr,2))</f>
        <v/>
      </c>
      <c r="DW24" s="25" t="str">
        <f>IF(Regn2!$T24&gt;1,Regn2!BN24,"")</f>
        <v/>
      </c>
      <c r="DX24" s="15" t="s">
        <v>82</v>
      </c>
      <c r="DZ24" s="16"/>
      <c r="EA24" s="15" t="s">
        <v>82</v>
      </c>
      <c r="EC24" s="17"/>
      <c r="ED24" s="15" t="s">
        <v>1504</v>
      </c>
      <c r="EF24" s="17"/>
      <c r="EG24" s="15" t="s">
        <v>1793</v>
      </c>
      <c r="EI24" s="16"/>
      <c r="EJ24" s="15" t="s">
        <v>82</v>
      </c>
      <c r="EL24" s="16">
        <v>75</v>
      </c>
      <c r="EM24" s="15" t="s">
        <v>205</v>
      </c>
      <c r="EO24" s="25">
        <f>EI24*EL24*0.01</f>
        <v>0</v>
      </c>
      <c r="EP24" s="15" t="s">
        <v>82</v>
      </c>
      <c r="ER24" s="17"/>
      <c r="ES24" s="15" t="s">
        <v>82</v>
      </c>
      <c r="EV24" s="17"/>
      <c r="EW24" s="15" t="s">
        <v>1504</v>
      </c>
      <c r="EY24" s="17"/>
      <c r="EZ24" s="15" t="s">
        <v>1793</v>
      </c>
      <c r="FB24" s="25" t="str">
        <f>IF(Regn2!$T24&gt;1,Regn2!BQ24,"")</f>
        <v/>
      </c>
      <c r="FC24" s="15" t="str">
        <f>IF(Regn2!$T24&gt;1,Regn2!BT24,"")</f>
        <v/>
      </c>
      <c r="FE24" s="16"/>
      <c r="FF24" s="15" t="str">
        <f>IF(Regn2!$T24&gt;1,Regn2!BT24,"")</f>
        <v/>
      </c>
      <c r="FL24" s="32">
        <f>IF(Regn2!$R24&gt;1,NniveauDelsaedsk1,"")</f>
        <v>194</v>
      </c>
      <c r="FM24" s="15" t="s">
        <v>82</v>
      </c>
      <c r="FO24" s="17"/>
      <c r="FP24" s="15" t="s">
        <v>82</v>
      </c>
      <c r="FR24" s="32">
        <f>IF(Regn2!$R24&gt;1,Regn2!HU24,"")</f>
        <v>284.76666666666603</v>
      </c>
      <c r="FS24" s="15" t="s">
        <v>531</v>
      </c>
      <c r="FU24" s="17"/>
      <c r="FV24" s="15" t="s">
        <v>531</v>
      </c>
      <c r="FX24" s="32">
        <f>IF(Regn2!$R24&gt;1,Regn2!HR24,"")</f>
        <v>304.76666666666603</v>
      </c>
      <c r="FY24" s="15" t="s">
        <v>531</v>
      </c>
      <c r="GA24" s="17"/>
      <c r="GB24" s="15" t="s">
        <v>531</v>
      </c>
      <c r="GD24" s="15">
        <f>IF(Regn2!$R24&gt;1,RetentionNbal,"")</f>
        <v>65</v>
      </c>
      <c r="GE24" s="15" t="s">
        <v>205</v>
      </c>
      <c r="GF24" s="17"/>
      <c r="GG24" s="15" t="s">
        <v>205</v>
      </c>
      <c r="GI24" s="15" t="str">
        <f>IF(Regn2!$R24&lt;=1,"",VLOOKUP(Regn2!$R24,Afgr,2))</f>
        <v>Vårbyg, foder</v>
      </c>
      <c r="GK24" s="25">
        <f>IF(Regn2!$R24&gt;1,Regn2!IO24,"")</f>
        <v>488</v>
      </c>
      <c r="GL24" s="15" t="s">
        <v>188</v>
      </c>
      <c r="GN24" s="16"/>
      <c r="GO24" s="15" t="s">
        <v>188</v>
      </c>
      <c r="GQ24" s="25">
        <f>IF(Regn2!$R24&gt;1,Regn2!JK24,"")</f>
        <v>346.45</v>
      </c>
      <c r="GR24" s="15" t="s">
        <v>188</v>
      </c>
      <c r="GT24" s="16"/>
      <c r="GU24" s="15" t="s">
        <v>188</v>
      </c>
      <c r="GW24" s="25">
        <f>IF(Regn2!$R24&gt;1,Regn2!JO24,"")</f>
        <v>283</v>
      </c>
      <c r="GX24" s="15" t="s">
        <v>188</v>
      </c>
      <c r="GZ24" s="16"/>
      <c r="HA24" s="15" t="s">
        <v>188</v>
      </c>
      <c r="HC24" s="25">
        <f>IF(Regn2!$R24&gt;1,Regn2!JS24,"")</f>
        <v>0</v>
      </c>
      <c r="HD24" s="15" t="s">
        <v>188</v>
      </c>
      <c r="HF24" s="16"/>
      <c r="HG24" s="15" t="s">
        <v>188</v>
      </c>
      <c r="HI24" s="25">
        <f>IF(Regn2!$R24&gt;1,Regn2!JY24,"")</f>
        <v>600</v>
      </c>
      <c r="HJ24" s="15" t="s">
        <v>362</v>
      </c>
      <c r="HL24" s="16"/>
      <c r="HM24" s="15" t="s">
        <v>188</v>
      </c>
      <c r="HO24" s="25">
        <f>IF(Regn2!$R24&gt;1,Regn2!KL24,"")</f>
        <v>350</v>
      </c>
      <c r="HP24" s="15" t="s">
        <v>188</v>
      </c>
      <c r="HR24" s="16"/>
      <c r="HS24" s="15" t="s">
        <v>188</v>
      </c>
      <c r="HU24" s="25">
        <f>IF(Regn2!$R24&gt;1,Regn2!KP24,"")</f>
        <v>140</v>
      </c>
      <c r="HV24" s="15" t="s">
        <v>188</v>
      </c>
      <c r="HX24" s="16"/>
      <c r="HY24" s="15" t="s">
        <v>188</v>
      </c>
      <c r="IA24" s="25">
        <f>IF(Regn2!$R24&gt;1,Regn2!KT24,"")</f>
        <v>300</v>
      </c>
      <c r="IB24" s="15" t="s">
        <v>188</v>
      </c>
      <c r="ID24" s="16"/>
      <c r="IE24" s="15" t="s">
        <v>188</v>
      </c>
      <c r="IG24" s="25">
        <f>IF(Regn2!$R24&gt;1,Regn2!KX24,"")</f>
        <v>0</v>
      </c>
      <c r="IH24" s="15" t="s">
        <v>531</v>
      </c>
      <c r="IJ24" s="16"/>
      <c r="IK24" s="15" t="s">
        <v>531</v>
      </c>
      <c r="IM24" s="25">
        <f>IF(Regn2!$R24&gt;1,Regn2!KZ24,"")</f>
        <v>0</v>
      </c>
      <c r="IN24" s="15" t="s">
        <v>188</v>
      </c>
      <c r="IP24" s="16"/>
      <c r="IQ24" s="15" t="s">
        <v>188</v>
      </c>
      <c r="IS24" s="25">
        <f>IF(Regn2!$R24&gt;1,Regn2!LG24,"")</f>
        <v>1197.6470588235295</v>
      </c>
      <c r="IT24" s="15" t="s">
        <v>188</v>
      </c>
      <c r="IV24" s="16"/>
      <c r="IW24" s="15" t="s">
        <v>405</v>
      </c>
      <c r="IY24" s="25">
        <f>IF(Regn2!$R24&gt;1,Regn2!LM24,"")</f>
        <v>939.73214285714289</v>
      </c>
      <c r="IZ24" s="15" t="s">
        <v>188</v>
      </c>
      <c r="JB24" s="16"/>
      <c r="JC24" s="15" t="s">
        <v>188</v>
      </c>
      <c r="JH24" s="25">
        <f>IF(Regn2!$R24&gt;1,Regn2!LQ24,"")</f>
        <v>757.68000000000018</v>
      </c>
      <c r="JI24" s="15" t="s">
        <v>188</v>
      </c>
      <c r="JK24" s="16"/>
      <c r="JL24" s="15" t="s">
        <v>188</v>
      </c>
      <c r="JN24" s="15" t="str">
        <f>IF(Regn2!$T24&lt;=1,"",VLOOKUP(Regn2!$T24,Efgr,2))</f>
        <v/>
      </c>
      <c r="JP24" s="25" t="str">
        <f>IF(Regn2!$T24&gt;1,Regn2!LU24,"")</f>
        <v/>
      </c>
      <c r="JQ24" s="15" t="s">
        <v>188</v>
      </c>
      <c r="JS24" s="16"/>
      <c r="JT24" s="15" t="s">
        <v>188</v>
      </c>
      <c r="JV24" s="25" t="str">
        <f>IF(Regn2!$T24&gt;1,Regn2!MN24,"")</f>
        <v/>
      </c>
      <c r="JW24" s="15" t="s">
        <v>188</v>
      </c>
      <c r="JY24" s="16"/>
      <c r="JZ24" s="15" t="s">
        <v>188</v>
      </c>
      <c r="KB24" s="25" t="str">
        <f>IF(Regn2!$T24&gt;1,Regn2!MR24,"")</f>
        <v/>
      </c>
      <c r="KC24" s="15" t="s">
        <v>188</v>
      </c>
      <c r="KE24" s="16"/>
      <c r="KF24" s="15" t="s">
        <v>188</v>
      </c>
      <c r="KH24" s="25" t="str">
        <f>IF(Regn2!$T24&gt;1,Regn2!MV24,"")</f>
        <v/>
      </c>
      <c r="KI24" s="15" t="s">
        <v>188</v>
      </c>
      <c r="KK24" s="16"/>
      <c r="KL24" s="15" t="s">
        <v>188</v>
      </c>
      <c r="KN24" s="25" t="str">
        <f>IF(Regn2!$T24&gt;1,Regn2!NB24,"")</f>
        <v/>
      </c>
      <c r="KO24" s="15" t="s">
        <v>188</v>
      </c>
      <c r="KQ24" s="16"/>
      <c r="KR24" s="15" t="s">
        <v>188</v>
      </c>
      <c r="KT24" s="25" t="str">
        <f>IF(Regn2!$T24&gt;1,Regn2!NF24,"")</f>
        <v/>
      </c>
      <c r="KU24" s="15" t="s">
        <v>188</v>
      </c>
      <c r="KW24" s="16"/>
      <c r="KX24" s="15" t="s">
        <v>188</v>
      </c>
      <c r="KZ24" s="25" t="str">
        <f>IF(Regn2!$T24&gt;1,Regn2!NJ24,"")</f>
        <v/>
      </c>
      <c r="LA24" s="15" t="s">
        <v>188</v>
      </c>
      <c r="LC24" s="16"/>
      <c r="LD24" s="15" t="s">
        <v>188</v>
      </c>
      <c r="LF24" s="25" t="str">
        <f>IF(Regn2!$T24&gt;1,Regn2!NN24,"")</f>
        <v/>
      </c>
      <c r="LG24" s="15" t="s">
        <v>531</v>
      </c>
      <c r="LI24" s="16"/>
      <c r="LJ24" s="15" t="s">
        <v>531</v>
      </c>
      <c r="LL24" s="25" t="str">
        <f>IF(Regn2!$T24&gt;1,Regn2!NP24,"")</f>
        <v/>
      </c>
      <c r="LM24" s="15" t="s">
        <v>188</v>
      </c>
      <c r="LO24" s="16"/>
      <c r="LP24" s="15" t="s">
        <v>188</v>
      </c>
      <c r="LR24" s="25" t="str">
        <f>IF(Regn2!$T24&gt;1,Regn2!NV24,"")</f>
        <v/>
      </c>
      <c r="LS24" s="15" t="s">
        <v>188</v>
      </c>
      <c r="LU24" s="16"/>
      <c r="LV24" s="15" t="s">
        <v>188</v>
      </c>
      <c r="LX24" s="25" t="str">
        <f>IF(Regn2!$T24&gt;1,Regn2!NZ24,"")</f>
        <v/>
      </c>
      <c r="LY24" s="15" t="s">
        <v>188</v>
      </c>
      <c r="MA24" s="16"/>
      <c r="MB24" s="15" t="s">
        <v>188</v>
      </c>
    </row>
    <row r="25" spans="2:340" ht="8.1" customHeight="1" x14ac:dyDescent="0.25"/>
    <row r="26" spans="2:340" x14ac:dyDescent="0.25">
      <c r="B26" s="240" t="s">
        <v>2351</v>
      </c>
      <c r="AG26" s="36">
        <v>5.85</v>
      </c>
      <c r="AH26" s="15" t="s">
        <v>85</v>
      </c>
      <c r="AL26" s="15" t="str">
        <f>IF(Regn2!$R26&lt;=1,"",VLOOKUP(Regn2!$R26,Afgr,2))</f>
        <v>Vårbyg, foder</v>
      </c>
      <c r="AN26" s="32">
        <f>IF(Regn2!$R26&gt;1,Regn2!AE26,"")</f>
        <v>25</v>
      </c>
      <c r="AO26" s="15" t="s">
        <v>82</v>
      </c>
      <c r="AQ26" s="17"/>
      <c r="AR26" s="15" t="s">
        <v>82</v>
      </c>
      <c r="AT26" s="37">
        <v>41</v>
      </c>
      <c r="AU26" s="15" t="s">
        <v>82</v>
      </c>
      <c r="AX26" s="17"/>
      <c r="AY26" s="15" t="s">
        <v>82</v>
      </c>
      <c r="BA26" s="17"/>
      <c r="BB26" s="15" t="s">
        <v>1504</v>
      </c>
      <c r="BD26" s="17"/>
      <c r="BE26" s="15" t="s">
        <v>1793</v>
      </c>
      <c r="BH26" s="17"/>
      <c r="BI26" s="15" t="s">
        <v>82</v>
      </c>
      <c r="BJ26" s="37">
        <v>75</v>
      </c>
      <c r="BK26" s="15" t="s">
        <v>205</v>
      </c>
      <c r="BM26" s="37">
        <v>85</v>
      </c>
      <c r="BN26" s="15" t="s">
        <v>82</v>
      </c>
      <c r="BP26" s="37">
        <v>74.23</v>
      </c>
      <c r="BQ26" s="15" t="s">
        <v>205</v>
      </c>
      <c r="BT26" s="17"/>
      <c r="BU26" s="15" t="s">
        <v>82</v>
      </c>
      <c r="BW26" s="17"/>
      <c r="BX26" s="15" t="s">
        <v>82</v>
      </c>
      <c r="BY26" s="37">
        <v>75</v>
      </c>
      <c r="BZ26" s="15" t="s">
        <v>205</v>
      </c>
      <c r="CB26" s="17">
        <v>18</v>
      </c>
      <c r="CC26" s="15" t="s">
        <v>1504</v>
      </c>
      <c r="CE26" s="17">
        <v>44</v>
      </c>
      <c r="CF26" s="15" t="s">
        <v>1793</v>
      </c>
      <c r="CH26" s="55">
        <f>IF(Regn2!$R26&gt;1,Regn2!AL26,"")</f>
        <v>62</v>
      </c>
      <c r="CI26" s="15" t="str">
        <f>IF(Regn2!AO26&lt;&gt;0,Regn2!AO26,"")</f>
        <v>hkg</v>
      </c>
      <c r="CK26" s="16">
        <v>73</v>
      </c>
      <c r="CL26" s="15" t="str">
        <f>IF(Regn2!AO26&lt;&gt;0,Regn2!AO26,"")</f>
        <v>hkg</v>
      </c>
      <c r="CN26" s="33">
        <f>IF(Regn2!$R26&gt;1,Regn2!DK26,"")</f>
        <v>11.5075</v>
      </c>
      <c r="CO26" s="15" t="s">
        <v>201</v>
      </c>
      <c r="CQ26" s="38"/>
      <c r="CR26" s="15" t="s">
        <v>201</v>
      </c>
      <c r="CT26" s="55">
        <f>IF(Regn2!$R26&gt;1,Regn2!AR26,"")</f>
        <v>145</v>
      </c>
      <c r="CU26" s="15" t="s">
        <v>188</v>
      </c>
      <c r="CW26" s="124"/>
      <c r="CX26" s="15" t="s">
        <v>188</v>
      </c>
      <c r="CZ26" s="25">
        <f>IF(Regn2!$R26&gt;1,Regn2!AW26,"")</f>
        <v>0</v>
      </c>
      <c r="DA26" s="15" t="s">
        <v>188</v>
      </c>
      <c r="DC26" s="17"/>
      <c r="DD26" s="15" t="s">
        <v>188</v>
      </c>
      <c r="DF26" s="25">
        <f>IF(Regn2!$R26&gt;1,Regn2!BB26,"")</f>
        <v>3532.2580645161293</v>
      </c>
      <c r="DG26" s="15" t="s">
        <v>192</v>
      </c>
      <c r="DI26" s="16"/>
      <c r="DJ26" s="15" t="s">
        <v>192</v>
      </c>
      <c r="DO26" s="33">
        <f>IF(Regn2!$R26&gt;1,Regn2!BI26,"")</f>
        <v>0.5</v>
      </c>
      <c r="DP26" s="15" t="s">
        <v>188</v>
      </c>
      <c r="DR26" s="38"/>
      <c r="DS26" s="15" t="s">
        <v>188</v>
      </c>
      <c r="DU26" s="15" t="str">
        <f>IF(Regn2!$T26&lt;=1,"",VLOOKUP(Regn2!$T26,Efgr,2))</f>
        <v/>
      </c>
      <c r="DW26" s="25" t="str">
        <f>IF(Regn2!$T26&gt;1,Regn2!BN26,"")</f>
        <v/>
      </c>
      <c r="DX26" s="15" t="s">
        <v>82</v>
      </c>
      <c r="DZ26" s="16"/>
      <c r="EA26" s="15" t="s">
        <v>82</v>
      </c>
      <c r="EC26" s="17"/>
      <c r="ED26" s="15" t="s">
        <v>1504</v>
      </c>
      <c r="EF26" s="17"/>
      <c r="EG26" s="15" t="s">
        <v>1793</v>
      </c>
      <c r="EI26" s="16"/>
      <c r="EJ26" s="15" t="s">
        <v>82</v>
      </c>
      <c r="EL26" s="16">
        <v>75</v>
      </c>
      <c r="EM26" s="15" t="s">
        <v>205</v>
      </c>
      <c r="EO26" s="25">
        <f>EI26*EL26*0.01</f>
        <v>0</v>
      </c>
      <c r="EP26" s="15" t="s">
        <v>82</v>
      </c>
      <c r="ER26" s="17"/>
      <c r="ES26" s="15" t="s">
        <v>82</v>
      </c>
      <c r="EV26" s="17"/>
      <c r="EW26" s="15" t="s">
        <v>1504</v>
      </c>
      <c r="EY26" s="17"/>
      <c r="EZ26" s="15" t="s">
        <v>1793</v>
      </c>
      <c r="FB26" s="25" t="str">
        <f>IF(Regn2!$T26&gt;1,Regn2!BQ26,"")</f>
        <v/>
      </c>
      <c r="FC26" s="15" t="str">
        <f>IF(Regn2!$T26&gt;1,Regn2!BT26,"")</f>
        <v/>
      </c>
      <c r="FE26" s="16"/>
      <c r="FF26" s="15" t="str">
        <f>IF(Regn2!$T26&gt;1,Regn2!BT26,"")</f>
        <v/>
      </c>
      <c r="FL26" s="32">
        <f>IF(Regn2!$R26&gt;1,NniveauDelsaedsk1,"")</f>
        <v>194</v>
      </c>
      <c r="FM26" s="15" t="s">
        <v>82</v>
      </c>
      <c r="FO26" s="17"/>
      <c r="FP26" s="15" t="s">
        <v>82</v>
      </c>
      <c r="FR26" s="32">
        <f>IF(Regn2!$R26&gt;1,Regn2!HU26,"")</f>
        <v>272.32333333333298</v>
      </c>
      <c r="FS26" s="15" t="s">
        <v>531</v>
      </c>
      <c r="FU26" s="17"/>
      <c r="FV26" s="15" t="s">
        <v>531</v>
      </c>
      <c r="FX26" s="32">
        <f>IF(Regn2!$R26&gt;1,Regn2!HR26,"")</f>
        <v>304.76666666666603</v>
      </c>
      <c r="FY26" s="15" t="s">
        <v>531</v>
      </c>
      <c r="GA26" s="17"/>
      <c r="GB26" s="15" t="s">
        <v>531</v>
      </c>
      <c r="GD26" s="15">
        <f>IF(Regn2!$R26&gt;1,RetentionNbal,"")</f>
        <v>65</v>
      </c>
      <c r="GE26" s="15" t="s">
        <v>205</v>
      </c>
      <c r="GF26" s="17"/>
      <c r="GG26" s="15" t="s">
        <v>205</v>
      </c>
      <c r="GI26" s="15" t="str">
        <f>IF(Regn2!$R26&lt;=1,"",VLOOKUP(Regn2!$R26,Afgr,2))</f>
        <v>Vårbyg, foder</v>
      </c>
      <c r="GK26" s="25">
        <f>IF(Regn2!$R26&gt;1,Regn2!IO26,"")</f>
        <v>488</v>
      </c>
      <c r="GL26" s="15" t="s">
        <v>188</v>
      </c>
      <c r="GN26" s="16"/>
      <c r="GO26" s="15" t="s">
        <v>188</v>
      </c>
      <c r="GQ26" s="25">
        <f>IF(Regn2!$R26&gt;1,Regn2!JK26,"")</f>
        <v>346.45</v>
      </c>
      <c r="GR26" s="15" t="s">
        <v>188</v>
      </c>
      <c r="GT26" s="16"/>
      <c r="GU26" s="15" t="s">
        <v>188</v>
      </c>
      <c r="GW26" s="25">
        <f>IF(Regn2!$R26&gt;1,Regn2!JO26,"")</f>
        <v>283</v>
      </c>
      <c r="GX26" s="15" t="s">
        <v>188</v>
      </c>
      <c r="GZ26" s="16"/>
      <c r="HA26" s="15" t="s">
        <v>188</v>
      </c>
      <c r="HC26" s="25">
        <f>IF(Regn2!$R26&gt;1,Regn2!JS26,"")</f>
        <v>0</v>
      </c>
      <c r="HD26" s="15" t="s">
        <v>188</v>
      </c>
      <c r="HF26" s="16"/>
      <c r="HG26" s="15" t="s">
        <v>188</v>
      </c>
      <c r="HI26" s="25">
        <f>IF(Regn2!$R26&gt;1,Regn2!JY26,"")</f>
        <v>600</v>
      </c>
      <c r="HJ26" s="15" t="s">
        <v>362</v>
      </c>
      <c r="HL26" s="16"/>
      <c r="HM26" s="15" t="s">
        <v>188</v>
      </c>
      <c r="HO26" s="25">
        <f>IF(Regn2!$R26&gt;1,Regn2!KL26,"")</f>
        <v>350</v>
      </c>
      <c r="HP26" s="15" t="s">
        <v>188</v>
      </c>
      <c r="HR26" s="16"/>
      <c r="HS26" s="15" t="s">
        <v>188</v>
      </c>
      <c r="HU26" s="25">
        <f>IF(Regn2!$R26&gt;1,Regn2!KP26,"")</f>
        <v>140</v>
      </c>
      <c r="HV26" s="15" t="s">
        <v>188</v>
      </c>
      <c r="HX26" s="16"/>
      <c r="HY26" s="15" t="s">
        <v>188</v>
      </c>
      <c r="IA26" s="25">
        <f>IF(Regn2!$R26&gt;1,Regn2!KT26,"")</f>
        <v>300</v>
      </c>
      <c r="IB26" s="15" t="s">
        <v>188</v>
      </c>
      <c r="ID26" s="16"/>
      <c r="IE26" s="15" t="s">
        <v>188</v>
      </c>
      <c r="IG26" s="25">
        <f>IF(Regn2!$R26&gt;1,Regn2!KX26,"")</f>
        <v>0</v>
      </c>
      <c r="IH26" s="15" t="s">
        <v>531</v>
      </c>
      <c r="IJ26" s="16"/>
      <c r="IK26" s="15" t="s">
        <v>531</v>
      </c>
      <c r="IM26" s="25">
        <f>IF(Regn2!$R26&gt;1,Regn2!KZ26,"")</f>
        <v>0</v>
      </c>
      <c r="IN26" s="15" t="s">
        <v>188</v>
      </c>
      <c r="IP26" s="16"/>
      <c r="IQ26" s="15" t="s">
        <v>188</v>
      </c>
      <c r="IS26" s="25">
        <f>IF(Regn2!$R26&gt;1,Regn2!LG26,"")</f>
        <v>1115.5882352941176</v>
      </c>
      <c r="IT26" s="15" t="s">
        <v>188</v>
      </c>
      <c r="IV26" s="16"/>
      <c r="IW26" s="15" t="s">
        <v>405</v>
      </c>
      <c r="IY26" s="25">
        <f>IF(Regn2!$R26&gt;1,Regn2!LM26,"")</f>
        <v>807.05645161290329</v>
      </c>
      <c r="IZ26" s="15" t="s">
        <v>188</v>
      </c>
      <c r="JB26" s="16"/>
      <c r="JC26" s="15" t="s">
        <v>188</v>
      </c>
      <c r="JH26" s="25">
        <f>IF(Regn2!$R26&gt;1,Regn2!LQ26,"")</f>
        <v>674.5200000000001</v>
      </c>
      <c r="JI26" s="15" t="s">
        <v>188</v>
      </c>
      <c r="JK26" s="16"/>
      <c r="JL26" s="15" t="s">
        <v>188</v>
      </c>
      <c r="JN26" s="15" t="str">
        <f>IF(Regn2!$T26&lt;=1,"",VLOOKUP(Regn2!$T26,Efgr,2))</f>
        <v/>
      </c>
      <c r="JP26" s="25" t="str">
        <f>IF(Regn2!$T26&gt;1,Regn2!LU26,"")</f>
        <v/>
      </c>
      <c r="JQ26" s="15" t="s">
        <v>188</v>
      </c>
      <c r="JS26" s="16"/>
      <c r="JT26" s="15" t="s">
        <v>188</v>
      </c>
      <c r="JV26" s="25" t="str">
        <f>IF(Regn2!$T26&gt;1,Regn2!MN26,"")</f>
        <v/>
      </c>
      <c r="JW26" s="15" t="s">
        <v>188</v>
      </c>
      <c r="JY26" s="16"/>
      <c r="JZ26" s="15" t="s">
        <v>188</v>
      </c>
      <c r="KB26" s="25" t="str">
        <f>IF(Regn2!$T26&gt;1,Regn2!MR26,"")</f>
        <v/>
      </c>
      <c r="KC26" s="15" t="s">
        <v>188</v>
      </c>
      <c r="KE26" s="16"/>
      <c r="KF26" s="15" t="s">
        <v>188</v>
      </c>
      <c r="KH26" s="25" t="str">
        <f>IF(Regn2!$T26&gt;1,Regn2!MV26,"")</f>
        <v/>
      </c>
      <c r="KI26" s="15" t="s">
        <v>188</v>
      </c>
      <c r="KK26" s="16"/>
      <c r="KL26" s="15" t="s">
        <v>188</v>
      </c>
      <c r="KN26" s="25" t="str">
        <f>IF(Regn2!$T26&gt;1,Regn2!NB26,"")</f>
        <v/>
      </c>
      <c r="KO26" s="15" t="s">
        <v>188</v>
      </c>
      <c r="KQ26" s="16"/>
      <c r="KR26" s="15" t="s">
        <v>188</v>
      </c>
      <c r="KT26" s="25" t="str">
        <f>IF(Regn2!$T26&gt;1,Regn2!NF26,"")</f>
        <v/>
      </c>
      <c r="KU26" s="15" t="s">
        <v>188</v>
      </c>
      <c r="KW26" s="16"/>
      <c r="KX26" s="15" t="s">
        <v>188</v>
      </c>
      <c r="KZ26" s="25" t="str">
        <f>IF(Regn2!$T26&gt;1,Regn2!NJ26,"")</f>
        <v/>
      </c>
      <c r="LA26" s="15" t="s">
        <v>188</v>
      </c>
      <c r="LC26" s="16"/>
      <c r="LD26" s="15" t="s">
        <v>188</v>
      </c>
      <c r="LF26" s="25" t="str">
        <f>IF(Regn2!$T26&gt;1,Regn2!NN26,"")</f>
        <v/>
      </c>
      <c r="LG26" s="15" t="s">
        <v>531</v>
      </c>
      <c r="LI26" s="16"/>
      <c r="LJ26" s="15" t="s">
        <v>531</v>
      </c>
      <c r="LL26" s="25" t="str">
        <f>IF(Regn2!$T26&gt;1,Regn2!NP26,"")</f>
        <v/>
      </c>
      <c r="LM26" s="15" t="s">
        <v>188</v>
      </c>
      <c r="LO26" s="16"/>
      <c r="LP26" s="15" t="s">
        <v>188</v>
      </c>
      <c r="LR26" s="25" t="str">
        <f>IF(Regn2!$T26&gt;1,Regn2!NV26,"")</f>
        <v/>
      </c>
      <c r="LS26" s="15" t="s">
        <v>188</v>
      </c>
      <c r="LU26" s="16"/>
      <c r="LV26" s="15" t="s">
        <v>188</v>
      </c>
      <c r="LX26" s="25" t="str">
        <f>IF(Regn2!$T26&gt;1,Regn2!NZ26,"")</f>
        <v/>
      </c>
      <c r="LY26" s="15" t="s">
        <v>188</v>
      </c>
      <c r="MA26" s="16"/>
      <c r="MB26" s="15" t="s">
        <v>188</v>
      </c>
    </row>
    <row r="27" spans="2:340" ht="8.1" customHeight="1" x14ac:dyDescent="0.25"/>
    <row r="28" spans="2:340" x14ac:dyDescent="0.25">
      <c r="B28" s="240" t="s">
        <v>2352</v>
      </c>
      <c r="AG28" s="36">
        <v>2.02</v>
      </c>
      <c r="AH28" s="15" t="s">
        <v>85</v>
      </c>
      <c r="AL28" s="15" t="str">
        <f>IF(Regn2!$R28&lt;=1,"",VLOOKUP(Regn2!$R28,Afgr,2))</f>
        <v>Permanent græs</v>
      </c>
      <c r="AN28" s="32">
        <f>IF(Regn2!$R28&gt;1,Regn2!AE28,"")</f>
        <v>134</v>
      </c>
      <c r="AO28" s="15" t="s">
        <v>82</v>
      </c>
      <c r="AQ28" s="17"/>
      <c r="AR28" s="15" t="s">
        <v>82</v>
      </c>
      <c r="AT28" s="37"/>
      <c r="AU28" s="15" t="s">
        <v>82</v>
      </c>
      <c r="AX28" s="17"/>
      <c r="AY28" s="15" t="s">
        <v>82</v>
      </c>
      <c r="BA28" s="17"/>
      <c r="BB28" s="15" t="s">
        <v>1504</v>
      </c>
      <c r="BD28" s="17"/>
      <c r="BE28" s="15" t="s">
        <v>1793</v>
      </c>
      <c r="BH28" s="17"/>
      <c r="BI28" s="15" t="s">
        <v>82</v>
      </c>
      <c r="BJ28" s="37">
        <v>75</v>
      </c>
      <c r="BK28" s="15" t="s">
        <v>205</v>
      </c>
      <c r="BM28" s="37"/>
      <c r="BN28" s="15" t="s">
        <v>82</v>
      </c>
      <c r="BP28" s="37">
        <v>74.23</v>
      </c>
      <c r="BQ28" s="15" t="s">
        <v>205</v>
      </c>
      <c r="BT28" s="17"/>
      <c r="BU28" s="15" t="s">
        <v>82</v>
      </c>
      <c r="BW28" s="17"/>
      <c r="BX28" s="15" t="s">
        <v>82</v>
      </c>
      <c r="BY28" s="37">
        <v>75</v>
      </c>
      <c r="BZ28" s="15" t="s">
        <v>205</v>
      </c>
      <c r="CB28" s="17"/>
      <c r="CC28" s="15" t="s">
        <v>1504</v>
      </c>
      <c r="CE28" s="17"/>
      <c r="CF28" s="15" t="s">
        <v>1793</v>
      </c>
      <c r="CH28" s="55">
        <f>IF(Regn2!$R28&gt;1,Regn2!AL28,"")</f>
        <v>3000</v>
      </c>
      <c r="CI28" s="15" t="str">
        <f>IF(Regn2!AO28&lt;&gt;0,Regn2!AO28,"")</f>
        <v>FE</v>
      </c>
      <c r="CK28" s="16"/>
      <c r="CL28" s="15" t="str">
        <f>IF(Regn2!AO28&lt;&gt;0,Regn2!AO28,"")</f>
        <v>FE</v>
      </c>
      <c r="CN28" s="33">
        <f>IF(Regn2!$R28&gt;1,Regn2!DK28,"")</f>
        <v>14</v>
      </c>
      <c r="CO28" s="15" t="s">
        <v>201</v>
      </c>
      <c r="CQ28" s="38"/>
      <c r="CR28" s="15" t="s">
        <v>201</v>
      </c>
      <c r="CT28" s="55">
        <f>IF(Regn2!$R28&gt;1,Regn2!AR28,"")</f>
        <v>1.2</v>
      </c>
      <c r="CU28" s="15" t="s">
        <v>188</v>
      </c>
      <c r="CW28" s="124"/>
      <c r="CX28" s="15" t="s">
        <v>188</v>
      </c>
      <c r="CZ28" s="25">
        <f>IF(Regn2!$R28&gt;1,Regn2!AW28,"")</f>
        <v>0</v>
      </c>
      <c r="DA28" s="15" t="s">
        <v>188</v>
      </c>
      <c r="DC28" s="17"/>
      <c r="DD28" s="15" t="s">
        <v>188</v>
      </c>
      <c r="DF28" s="25">
        <f>IF(Regn2!$R28&gt;1,Regn2!BB28,"")</f>
        <v>0</v>
      </c>
      <c r="DG28" s="15" t="s">
        <v>192</v>
      </c>
      <c r="DI28" s="16"/>
      <c r="DJ28" s="15" t="s">
        <v>192</v>
      </c>
      <c r="DO28" s="33">
        <f>IF(Regn2!$R28&gt;1,Regn2!BI28,"")</f>
        <v>0</v>
      </c>
      <c r="DP28" s="15" t="s">
        <v>188</v>
      </c>
      <c r="DR28" s="38"/>
      <c r="DS28" s="15" t="s">
        <v>188</v>
      </c>
      <c r="DU28" s="15" t="str">
        <f>IF(Regn2!$T28&lt;=1,"",VLOOKUP(Regn2!$T28,Efgr,2))</f>
        <v/>
      </c>
      <c r="DW28" s="25" t="str">
        <f>IF(Regn2!$T28&gt;1,Regn2!BN28,"")</f>
        <v/>
      </c>
      <c r="DX28" s="15" t="s">
        <v>82</v>
      </c>
      <c r="DZ28" s="16"/>
      <c r="EA28" s="15" t="s">
        <v>82</v>
      </c>
      <c r="EC28" s="17"/>
      <c r="ED28" s="15" t="s">
        <v>1504</v>
      </c>
      <c r="EF28" s="17"/>
      <c r="EG28" s="15" t="s">
        <v>1793</v>
      </c>
      <c r="EI28" s="16"/>
      <c r="EJ28" s="15" t="s">
        <v>82</v>
      </c>
      <c r="EL28" s="16">
        <v>75</v>
      </c>
      <c r="EM28" s="15" t="s">
        <v>205</v>
      </c>
      <c r="EO28" s="25">
        <f>EI28*EL28*0.01</f>
        <v>0</v>
      </c>
      <c r="EP28" s="15" t="s">
        <v>82</v>
      </c>
      <c r="ER28" s="17"/>
      <c r="ES28" s="15" t="s">
        <v>82</v>
      </c>
      <c r="EV28" s="17"/>
      <c r="EW28" s="15" t="s">
        <v>1504</v>
      </c>
      <c r="EY28" s="17"/>
      <c r="EZ28" s="15" t="s">
        <v>1793</v>
      </c>
      <c r="FB28" s="25" t="str">
        <f>IF(Regn2!$T28&gt;1,Regn2!BQ28,"")</f>
        <v/>
      </c>
      <c r="FC28" s="15" t="str">
        <f>IF(Regn2!$T28&gt;1,Regn2!BT28,"")</f>
        <v/>
      </c>
      <c r="FE28" s="16"/>
      <c r="FF28" s="15" t="str">
        <f>IF(Regn2!$T28&gt;1,Regn2!BT28,"")</f>
        <v/>
      </c>
      <c r="FL28" s="32">
        <f>IF(Regn2!$R28&gt;1,NniveauDelsaedsk1,"")</f>
        <v>194</v>
      </c>
      <c r="FM28" s="15" t="s">
        <v>82</v>
      </c>
      <c r="FO28" s="17"/>
      <c r="FP28" s="15" t="s">
        <v>82</v>
      </c>
      <c r="FR28" s="32">
        <f>IF(Regn2!$R28&gt;1,Regn2!HU28,"")</f>
        <v>272.32333333333298</v>
      </c>
      <c r="FS28" s="15" t="s">
        <v>531</v>
      </c>
      <c r="FU28" s="17"/>
      <c r="FV28" s="15" t="s">
        <v>531</v>
      </c>
      <c r="FX28" s="32">
        <f>IF(Regn2!$R28&gt;1,Regn2!HR28,"")</f>
        <v>272.32333333333298</v>
      </c>
      <c r="FY28" s="15" t="s">
        <v>531</v>
      </c>
      <c r="GA28" s="17"/>
      <c r="GB28" s="15" t="s">
        <v>531</v>
      </c>
      <c r="GD28" s="15">
        <f>IF(Regn2!$R28&gt;1,RetentionNbal,"")</f>
        <v>65</v>
      </c>
      <c r="GE28" s="15" t="s">
        <v>205</v>
      </c>
      <c r="GF28" s="17"/>
      <c r="GG28" s="15" t="s">
        <v>205</v>
      </c>
      <c r="GI28" s="15" t="str">
        <f>IF(Regn2!$R28&lt;=1,"",VLOOKUP(Regn2!$R28,Afgr,2))</f>
        <v>Permanent græs</v>
      </c>
      <c r="GK28" s="25">
        <f>IF(Regn2!$R28&gt;1,Regn2!IO28,"")</f>
        <v>0</v>
      </c>
      <c r="GL28" s="15" t="s">
        <v>188</v>
      </c>
      <c r="GN28" s="16"/>
      <c r="GO28" s="15" t="s">
        <v>188</v>
      </c>
      <c r="GQ28" s="25">
        <f>IF(Regn2!$R28&gt;1,Regn2!JK28,"")</f>
        <v>0</v>
      </c>
      <c r="GR28" s="15" t="s">
        <v>188</v>
      </c>
      <c r="GT28" s="16"/>
      <c r="GU28" s="15" t="s">
        <v>188</v>
      </c>
      <c r="GW28" s="25">
        <f>IF(Regn2!$R28&gt;1,Regn2!JO28,"")</f>
        <v>0</v>
      </c>
      <c r="GX28" s="15" t="s">
        <v>188</v>
      </c>
      <c r="GZ28" s="16"/>
      <c r="HA28" s="15" t="s">
        <v>188</v>
      </c>
      <c r="HC28" s="25">
        <f>IF(Regn2!$R28&gt;1,Regn2!JS28,"")</f>
        <v>0</v>
      </c>
      <c r="HD28" s="15" t="s">
        <v>188</v>
      </c>
      <c r="HF28" s="16"/>
      <c r="HG28" s="15" t="s">
        <v>188</v>
      </c>
      <c r="HI28" s="25">
        <f>IF(Regn2!$R28&gt;1,Regn2!JY28,"")</f>
        <v>0</v>
      </c>
      <c r="HJ28" s="15" t="s">
        <v>362</v>
      </c>
      <c r="HL28" s="16"/>
      <c r="HM28" s="15" t="s">
        <v>188</v>
      </c>
      <c r="HO28" s="25">
        <f>IF(Regn2!$R28&gt;1,Regn2!KL28,"")</f>
        <v>0</v>
      </c>
      <c r="HP28" s="15" t="s">
        <v>188</v>
      </c>
      <c r="HR28" s="16"/>
      <c r="HS28" s="15" t="s">
        <v>188</v>
      </c>
      <c r="HU28" s="25">
        <f>IF(Regn2!$R28&gt;1,Regn2!KP28,"")</f>
        <v>280</v>
      </c>
      <c r="HV28" s="15" t="s">
        <v>188</v>
      </c>
      <c r="HX28" s="16"/>
      <c r="HY28" s="15" t="s">
        <v>188</v>
      </c>
      <c r="IA28" s="25">
        <f>IF(Regn2!$R28&gt;1,Regn2!KT28,"")</f>
        <v>0</v>
      </c>
      <c r="IB28" s="15" t="s">
        <v>188</v>
      </c>
      <c r="ID28" s="16"/>
      <c r="IE28" s="15" t="s">
        <v>188</v>
      </c>
      <c r="IG28" s="25">
        <f>IF(Regn2!$R28&gt;1,Regn2!KX28,"")</f>
        <v>0</v>
      </c>
      <c r="IH28" s="15" t="s">
        <v>531</v>
      </c>
      <c r="IJ28" s="16"/>
      <c r="IK28" s="15" t="s">
        <v>531</v>
      </c>
      <c r="IM28" s="25">
        <f>IF(Regn2!$R28&gt;1,Regn2!KZ28,"")</f>
        <v>0</v>
      </c>
      <c r="IN28" s="15" t="s">
        <v>188</v>
      </c>
      <c r="IP28" s="16"/>
      <c r="IQ28" s="15" t="s">
        <v>188</v>
      </c>
      <c r="IS28" s="25">
        <f>IF(Regn2!$R28&gt;1,Regn2!LG28,"")</f>
        <v>0</v>
      </c>
      <c r="IT28" s="15" t="s">
        <v>188</v>
      </c>
      <c r="IV28" s="16"/>
      <c r="IW28" s="15" t="s">
        <v>405</v>
      </c>
      <c r="IY28" s="25">
        <f>IF(Regn2!$R28&gt;1,Regn2!LM28,"")</f>
        <v>0</v>
      </c>
      <c r="IZ28" s="15" t="s">
        <v>188</v>
      </c>
      <c r="JB28" s="16"/>
      <c r="JC28" s="15" t="s">
        <v>188</v>
      </c>
      <c r="JH28" s="25">
        <f>IF(Regn2!$R28&gt;1,Regn2!LQ28,"")</f>
        <v>0</v>
      </c>
      <c r="JI28" s="15" t="s">
        <v>188</v>
      </c>
      <c r="JK28" s="16"/>
      <c r="JL28" s="15" t="s">
        <v>188</v>
      </c>
      <c r="JN28" s="15" t="str">
        <f>IF(Regn2!$T28&lt;=1,"",VLOOKUP(Regn2!$T28,Efgr,2))</f>
        <v/>
      </c>
      <c r="JP28" s="25" t="str">
        <f>IF(Regn2!$T28&gt;1,Regn2!LU28,"")</f>
        <v/>
      </c>
      <c r="JQ28" s="15" t="s">
        <v>188</v>
      </c>
      <c r="JS28" s="16"/>
      <c r="JT28" s="15" t="s">
        <v>188</v>
      </c>
      <c r="JV28" s="25" t="str">
        <f>IF(Regn2!$T28&gt;1,Regn2!MN28,"")</f>
        <v/>
      </c>
      <c r="JW28" s="15" t="s">
        <v>188</v>
      </c>
      <c r="JY28" s="16"/>
      <c r="JZ28" s="15" t="s">
        <v>188</v>
      </c>
      <c r="KB28" s="25" t="str">
        <f>IF(Regn2!$T28&gt;1,Regn2!MR28,"")</f>
        <v/>
      </c>
      <c r="KC28" s="15" t="s">
        <v>188</v>
      </c>
      <c r="KE28" s="16"/>
      <c r="KF28" s="15" t="s">
        <v>188</v>
      </c>
      <c r="KH28" s="25" t="str">
        <f>IF(Regn2!$T28&gt;1,Regn2!MV28,"")</f>
        <v/>
      </c>
      <c r="KI28" s="15" t="s">
        <v>188</v>
      </c>
      <c r="KK28" s="16"/>
      <c r="KL28" s="15" t="s">
        <v>188</v>
      </c>
      <c r="KN28" s="25" t="str">
        <f>IF(Regn2!$T28&gt;1,Regn2!NB28,"")</f>
        <v/>
      </c>
      <c r="KO28" s="15" t="s">
        <v>188</v>
      </c>
      <c r="KQ28" s="16"/>
      <c r="KR28" s="15" t="s">
        <v>188</v>
      </c>
      <c r="KT28" s="25" t="str">
        <f>IF(Regn2!$T28&gt;1,Regn2!NF28,"")</f>
        <v/>
      </c>
      <c r="KU28" s="15" t="s">
        <v>188</v>
      </c>
      <c r="KW28" s="16"/>
      <c r="KX28" s="15" t="s">
        <v>188</v>
      </c>
      <c r="KZ28" s="25" t="str">
        <f>IF(Regn2!$T28&gt;1,Regn2!NJ28,"")</f>
        <v/>
      </c>
      <c r="LA28" s="15" t="s">
        <v>188</v>
      </c>
      <c r="LC28" s="16"/>
      <c r="LD28" s="15" t="s">
        <v>188</v>
      </c>
      <c r="LF28" s="25" t="str">
        <f>IF(Regn2!$T28&gt;1,Regn2!NN28,"")</f>
        <v/>
      </c>
      <c r="LG28" s="15" t="s">
        <v>531</v>
      </c>
      <c r="LI28" s="16"/>
      <c r="LJ28" s="15" t="s">
        <v>531</v>
      </c>
      <c r="LL28" s="25" t="str">
        <f>IF(Regn2!$T28&gt;1,Regn2!NP28,"")</f>
        <v/>
      </c>
      <c r="LM28" s="15" t="s">
        <v>188</v>
      </c>
      <c r="LO28" s="16"/>
      <c r="LP28" s="15" t="s">
        <v>188</v>
      </c>
      <c r="LR28" s="25" t="str">
        <f>IF(Regn2!$T28&gt;1,Regn2!NV28,"")</f>
        <v/>
      </c>
      <c r="LS28" s="15" t="s">
        <v>188</v>
      </c>
      <c r="LU28" s="16"/>
      <c r="LV28" s="15" t="s">
        <v>188</v>
      </c>
      <c r="LX28" s="25" t="str">
        <f>IF(Regn2!$T28&gt;1,Regn2!NZ28,"")</f>
        <v/>
      </c>
      <c r="LY28" s="15" t="s">
        <v>188</v>
      </c>
      <c r="MA28" s="16"/>
      <c r="MB28" s="15" t="s">
        <v>188</v>
      </c>
    </row>
    <row r="29" spans="2:340" ht="8.1" customHeight="1" x14ac:dyDescent="0.25"/>
    <row r="30" spans="2:340" x14ac:dyDescent="0.25">
      <c r="B30" s="240" t="s">
        <v>2353</v>
      </c>
      <c r="AG30" s="36">
        <v>2.72</v>
      </c>
      <c r="AH30" s="15" t="s">
        <v>85</v>
      </c>
      <c r="AL30" s="15" t="str">
        <f>IF(Regn2!$R30&lt;=1,"",VLOOKUP(Regn2!$R30,Afgr,2))</f>
        <v>Vinterhvede</v>
      </c>
      <c r="AN30" s="32">
        <f>IF(Regn2!$R30&gt;1,Regn2!AE30,"")</f>
        <v>159</v>
      </c>
      <c r="AO30" s="15" t="s">
        <v>82</v>
      </c>
      <c r="AQ30" s="17"/>
      <c r="AR30" s="15" t="s">
        <v>82</v>
      </c>
      <c r="AT30" s="37">
        <v>108</v>
      </c>
      <c r="AU30" s="15" t="s">
        <v>82</v>
      </c>
      <c r="AX30" s="17"/>
      <c r="AY30" s="15" t="s">
        <v>82</v>
      </c>
      <c r="BA30" s="17"/>
      <c r="BB30" s="15" t="s">
        <v>1504</v>
      </c>
      <c r="BD30" s="17"/>
      <c r="BE30" s="15" t="s">
        <v>1793</v>
      </c>
      <c r="BH30" s="17"/>
      <c r="BI30" s="15" t="s">
        <v>82</v>
      </c>
      <c r="BJ30" s="37">
        <v>75</v>
      </c>
      <c r="BK30" s="15" t="s">
        <v>205</v>
      </c>
      <c r="BM30" s="37">
        <v>119</v>
      </c>
      <c r="BN30" s="15" t="s">
        <v>82</v>
      </c>
      <c r="BP30" s="37">
        <v>74.23</v>
      </c>
      <c r="BQ30" s="15" t="s">
        <v>205</v>
      </c>
      <c r="BT30" s="17"/>
      <c r="BU30" s="15" t="s">
        <v>82</v>
      </c>
      <c r="BW30" s="17"/>
      <c r="BX30" s="15" t="s">
        <v>82</v>
      </c>
      <c r="BY30" s="37">
        <v>75</v>
      </c>
      <c r="BZ30" s="15" t="s">
        <v>205</v>
      </c>
      <c r="CB30" s="17">
        <v>26</v>
      </c>
      <c r="CC30" s="15" t="s">
        <v>1504</v>
      </c>
      <c r="CE30" s="17">
        <v>61</v>
      </c>
      <c r="CF30" s="15" t="s">
        <v>1793</v>
      </c>
      <c r="CH30" s="55">
        <f>IF(Regn2!$R30&gt;1,Regn2!AL30,"")</f>
        <v>81</v>
      </c>
      <c r="CI30" s="15" t="str">
        <f>IF(Regn2!AO30&lt;&gt;0,Regn2!AO30,"")</f>
        <v>hkg</v>
      </c>
      <c r="CK30" s="16">
        <v>72</v>
      </c>
      <c r="CL30" s="15" t="str">
        <f>IF(Regn2!AO30&lt;&gt;0,Regn2!AO30,"")</f>
        <v>hkg</v>
      </c>
      <c r="CN30" s="33">
        <f>IF(Regn2!$R30&gt;1,Regn2!DK30,"")</f>
        <v>9.68</v>
      </c>
      <c r="CO30" s="15" t="s">
        <v>201</v>
      </c>
      <c r="CQ30" s="38">
        <v>10</v>
      </c>
      <c r="CR30" s="15" t="s">
        <v>201</v>
      </c>
      <c r="CT30" s="55">
        <f>IF(Regn2!$R30&gt;1,Regn2!AR30,"")</f>
        <v>145</v>
      </c>
      <c r="CU30" s="15" t="s">
        <v>188</v>
      </c>
      <c r="CW30" s="124"/>
      <c r="CX30" s="15" t="s">
        <v>188</v>
      </c>
      <c r="CZ30" s="25">
        <f>IF(Regn2!$R30&gt;1,Regn2!AW30,"")</f>
        <v>0</v>
      </c>
      <c r="DA30" s="15" t="s">
        <v>188</v>
      </c>
      <c r="DC30" s="17"/>
      <c r="DD30" s="15" t="s">
        <v>188</v>
      </c>
      <c r="DF30" s="25">
        <f>IF(Regn2!$R30&gt;1,Regn2!BB30,"")</f>
        <v>4177.7777777777774</v>
      </c>
      <c r="DG30" s="15" t="s">
        <v>192</v>
      </c>
      <c r="DI30" s="16"/>
      <c r="DJ30" s="15" t="s">
        <v>192</v>
      </c>
      <c r="DO30" s="33">
        <f>IF(Regn2!$R30&gt;1,Regn2!BI30,"")</f>
        <v>0.5</v>
      </c>
      <c r="DP30" s="15" t="s">
        <v>188</v>
      </c>
      <c r="DR30" s="38"/>
      <c r="DS30" s="15" t="s">
        <v>188</v>
      </c>
      <c r="DU30" s="15" t="str">
        <f>IF(Regn2!$T30&lt;=1,"",VLOOKUP(Regn2!$T30,Efgr,2))</f>
        <v/>
      </c>
      <c r="DW30" s="25" t="str">
        <f>IF(Regn2!$T30&gt;1,Regn2!BN30,"")</f>
        <v/>
      </c>
      <c r="DX30" s="15" t="s">
        <v>82</v>
      </c>
      <c r="DZ30" s="16"/>
      <c r="EA30" s="15" t="s">
        <v>82</v>
      </c>
      <c r="EC30" s="17"/>
      <c r="ED30" s="15" t="s">
        <v>1504</v>
      </c>
      <c r="EF30" s="17"/>
      <c r="EG30" s="15" t="s">
        <v>1793</v>
      </c>
      <c r="EI30" s="16"/>
      <c r="EJ30" s="15" t="s">
        <v>82</v>
      </c>
      <c r="EL30" s="16">
        <v>75</v>
      </c>
      <c r="EM30" s="15" t="s">
        <v>205</v>
      </c>
      <c r="EO30" s="25">
        <f>EI30*EL30*0.01</f>
        <v>0</v>
      </c>
      <c r="EP30" s="15" t="s">
        <v>82</v>
      </c>
      <c r="ER30" s="17"/>
      <c r="ES30" s="15" t="s">
        <v>82</v>
      </c>
      <c r="EV30" s="17"/>
      <c r="EW30" s="15" t="s">
        <v>1504</v>
      </c>
      <c r="EY30" s="17"/>
      <c r="EZ30" s="15" t="s">
        <v>1793</v>
      </c>
      <c r="FB30" s="25" t="str">
        <f>IF(Regn2!$T30&gt;1,Regn2!BQ30,"")</f>
        <v/>
      </c>
      <c r="FC30" s="15" t="str">
        <f>IF(Regn2!$T30&gt;1,Regn2!BT30,"")</f>
        <v/>
      </c>
      <c r="FE30" s="16"/>
      <c r="FF30" s="15" t="str">
        <f>IF(Regn2!$T30&gt;1,Regn2!BT30,"")</f>
        <v/>
      </c>
      <c r="FL30" s="32">
        <f>IF(Regn2!$R30&gt;1,NniveauDelsaedsk1,"")</f>
        <v>194</v>
      </c>
      <c r="FM30" s="15" t="s">
        <v>82</v>
      </c>
      <c r="FO30" s="17"/>
      <c r="FP30" s="15" t="s">
        <v>82</v>
      </c>
      <c r="FR30" s="32">
        <f>IF(Regn2!$R30&gt;1,Regn2!HU30,"")</f>
        <v>304.76666666666603</v>
      </c>
      <c r="FS30" s="15" t="s">
        <v>531</v>
      </c>
      <c r="FU30" s="17"/>
      <c r="FV30" s="15" t="s">
        <v>531</v>
      </c>
      <c r="FX30" s="32">
        <f>IF(Regn2!$R30&gt;1,Regn2!HR30,"")</f>
        <v>269.74999999999898</v>
      </c>
      <c r="FY30" s="15" t="s">
        <v>531</v>
      </c>
      <c r="GA30" s="17"/>
      <c r="GB30" s="15" t="s">
        <v>531</v>
      </c>
      <c r="GD30" s="15">
        <f>IF(Regn2!$R30&gt;1,RetentionNbal,"")</f>
        <v>65</v>
      </c>
      <c r="GE30" s="15" t="s">
        <v>205</v>
      </c>
      <c r="GF30" s="17"/>
      <c r="GG30" s="15" t="s">
        <v>205</v>
      </c>
      <c r="GI30" s="15" t="str">
        <f>IF(Regn2!$R30&lt;=1,"",VLOOKUP(Regn2!$R30,Afgr,2))</f>
        <v>Vinterhvede</v>
      </c>
      <c r="GK30" s="25">
        <f>IF(Regn2!$R30&gt;1,Regn2!IO30,"")</f>
        <v>578</v>
      </c>
      <c r="GL30" s="15" t="s">
        <v>188</v>
      </c>
      <c r="GN30" s="16"/>
      <c r="GO30" s="15" t="s">
        <v>188</v>
      </c>
      <c r="GQ30" s="25">
        <f>IF(Regn2!$R30&gt;1,Regn2!JK30,"")</f>
        <v>912.59999999999991</v>
      </c>
      <c r="GR30" s="15" t="s">
        <v>188</v>
      </c>
      <c r="GT30" s="16"/>
      <c r="GU30" s="15" t="s">
        <v>188</v>
      </c>
      <c r="GW30" s="25">
        <f>IF(Regn2!$R30&gt;1,Regn2!JO30,"")</f>
        <v>703</v>
      </c>
      <c r="GX30" s="15" t="s">
        <v>188</v>
      </c>
      <c r="GZ30" s="16"/>
      <c r="HA30" s="15" t="s">
        <v>188</v>
      </c>
      <c r="HC30" s="25">
        <f>IF(Regn2!$R30&gt;1,Regn2!JS30,"")</f>
        <v>0</v>
      </c>
      <c r="HD30" s="15" t="s">
        <v>188</v>
      </c>
      <c r="HF30" s="16"/>
      <c r="HG30" s="15" t="s">
        <v>188</v>
      </c>
      <c r="HI30" s="25">
        <f>IF(Regn2!$R30&gt;1,Regn2!JY30,"")</f>
        <v>600</v>
      </c>
      <c r="HJ30" s="15" t="s">
        <v>362</v>
      </c>
      <c r="HL30" s="16"/>
      <c r="HM30" s="15" t="s">
        <v>188</v>
      </c>
      <c r="HO30" s="25">
        <f>IF(Regn2!$R30&gt;1,Regn2!KL30,"")</f>
        <v>350</v>
      </c>
      <c r="HP30" s="15" t="s">
        <v>188</v>
      </c>
      <c r="HR30" s="16"/>
      <c r="HS30" s="15" t="s">
        <v>188</v>
      </c>
      <c r="HU30" s="25">
        <f>IF(Regn2!$R30&gt;1,Regn2!KP30,"")</f>
        <v>280</v>
      </c>
      <c r="HV30" s="15" t="s">
        <v>188</v>
      </c>
      <c r="HX30" s="16"/>
      <c r="HY30" s="15" t="s">
        <v>188</v>
      </c>
      <c r="IA30" s="25">
        <f>IF(Regn2!$R30&gt;1,Regn2!KT30,"")</f>
        <v>450</v>
      </c>
      <c r="IB30" s="15" t="s">
        <v>188</v>
      </c>
      <c r="ID30" s="16"/>
      <c r="IE30" s="15" t="s">
        <v>188</v>
      </c>
      <c r="IG30" s="25">
        <f>IF(Regn2!$R30&gt;1,Regn2!KX30,"")</f>
        <v>0</v>
      </c>
      <c r="IH30" s="15" t="s">
        <v>531</v>
      </c>
      <c r="IJ30" s="16"/>
      <c r="IK30" s="15" t="s">
        <v>531</v>
      </c>
      <c r="IM30" s="25">
        <f>IF(Regn2!$R30&gt;1,Regn2!KZ30,"")</f>
        <v>0</v>
      </c>
      <c r="IN30" s="15" t="s">
        <v>188</v>
      </c>
      <c r="IP30" s="16"/>
      <c r="IQ30" s="15" t="s">
        <v>188</v>
      </c>
      <c r="IS30" s="25">
        <f>IF(Regn2!$R30&gt;1,Regn2!LG30,"")</f>
        <v>1106.4705882352941</v>
      </c>
      <c r="IT30" s="15" t="s">
        <v>188</v>
      </c>
      <c r="IV30" s="16"/>
      <c r="IW30" s="15" t="s">
        <v>405</v>
      </c>
      <c r="IY30" s="25">
        <f>IF(Regn2!$R30&gt;1,Regn2!LM30,"")</f>
        <v>906.57407407407402</v>
      </c>
      <c r="IZ30" s="15" t="s">
        <v>188</v>
      </c>
      <c r="JB30" s="16"/>
      <c r="JC30" s="15" t="s">
        <v>188</v>
      </c>
      <c r="JH30" s="25">
        <f>IF(Regn2!$R30&gt;1,Regn2!LQ30,"")</f>
        <v>665.28000000000009</v>
      </c>
      <c r="JI30" s="15" t="s">
        <v>188</v>
      </c>
      <c r="JK30" s="16"/>
      <c r="JL30" s="15" t="s">
        <v>188</v>
      </c>
      <c r="JN30" s="15" t="str">
        <f>IF(Regn2!$T30&lt;=1,"",VLOOKUP(Regn2!$T30,Efgr,2))</f>
        <v/>
      </c>
      <c r="JP30" s="25" t="str">
        <f>IF(Regn2!$T30&gt;1,Regn2!LU30,"")</f>
        <v/>
      </c>
      <c r="JQ30" s="15" t="s">
        <v>188</v>
      </c>
      <c r="JS30" s="16"/>
      <c r="JT30" s="15" t="s">
        <v>188</v>
      </c>
      <c r="JV30" s="25" t="str">
        <f>IF(Regn2!$T30&gt;1,Regn2!MN30,"")</f>
        <v/>
      </c>
      <c r="JW30" s="15" t="s">
        <v>188</v>
      </c>
      <c r="JY30" s="16"/>
      <c r="JZ30" s="15" t="s">
        <v>188</v>
      </c>
      <c r="KB30" s="25" t="str">
        <f>IF(Regn2!$T30&gt;1,Regn2!MR30,"")</f>
        <v/>
      </c>
      <c r="KC30" s="15" t="s">
        <v>188</v>
      </c>
      <c r="KE30" s="16"/>
      <c r="KF30" s="15" t="s">
        <v>188</v>
      </c>
      <c r="KH30" s="25" t="str">
        <f>IF(Regn2!$T30&gt;1,Regn2!MV30,"")</f>
        <v/>
      </c>
      <c r="KI30" s="15" t="s">
        <v>188</v>
      </c>
      <c r="KK30" s="16"/>
      <c r="KL30" s="15" t="s">
        <v>188</v>
      </c>
      <c r="KN30" s="25" t="str">
        <f>IF(Regn2!$T30&gt;1,Regn2!NB30,"")</f>
        <v/>
      </c>
      <c r="KO30" s="15" t="s">
        <v>188</v>
      </c>
      <c r="KQ30" s="16"/>
      <c r="KR30" s="15" t="s">
        <v>188</v>
      </c>
      <c r="KT30" s="25" t="str">
        <f>IF(Regn2!$T30&gt;1,Regn2!NF30,"")</f>
        <v/>
      </c>
      <c r="KU30" s="15" t="s">
        <v>188</v>
      </c>
      <c r="KW30" s="16"/>
      <c r="KX30" s="15" t="s">
        <v>188</v>
      </c>
      <c r="KZ30" s="25" t="str">
        <f>IF(Regn2!$T30&gt;1,Regn2!NJ30,"")</f>
        <v/>
      </c>
      <c r="LA30" s="15" t="s">
        <v>188</v>
      </c>
      <c r="LC30" s="16"/>
      <c r="LD30" s="15" t="s">
        <v>188</v>
      </c>
      <c r="LF30" s="25" t="str">
        <f>IF(Regn2!$T30&gt;1,Regn2!NN30,"")</f>
        <v/>
      </c>
      <c r="LG30" s="15" t="s">
        <v>531</v>
      </c>
      <c r="LI30" s="16"/>
      <c r="LJ30" s="15" t="s">
        <v>531</v>
      </c>
      <c r="LL30" s="25" t="str">
        <f>IF(Regn2!$T30&gt;1,Regn2!NP30,"")</f>
        <v/>
      </c>
      <c r="LM30" s="15" t="s">
        <v>188</v>
      </c>
      <c r="LO30" s="16"/>
      <c r="LP30" s="15" t="s">
        <v>188</v>
      </c>
      <c r="LR30" s="25" t="str">
        <f>IF(Regn2!$T30&gt;1,Regn2!NV30,"")</f>
        <v/>
      </c>
      <c r="LS30" s="15" t="s">
        <v>188</v>
      </c>
      <c r="LU30" s="16"/>
      <c r="LV30" s="15" t="s">
        <v>188</v>
      </c>
      <c r="LX30" s="25" t="str">
        <f>IF(Regn2!$T30&gt;1,Regn2!NZ30,"")</f>
        <v/>
      </c>
      <c r="LY30" s="15" t="s">
        <v>188</v>
      </c>
      <c r="MA30" s="16"/>
      <c r="MB30" s="15" t="s">
        <v>188</v>
      </c>
    </row>
    <row r="31" spans="2:340" ht="8.1" customHeight="1" x14ac:dyDescent="0.25"/>
    <row r="32" spans="2:340" x14ac:dyDescent="0.25">
      <c r="B32" s="240" t="s">
        <v>2354</v>
      </c>
      <c r="AG32" s="36">
        <v>3.27</v>
      </c>
      <c r="AH32" s="15" t="s">
        <v>85</v>
      </c>
      <c r="AL32" s="15" t="str">
        <f>IF(Regn2!$R32&lt;=1,"",VLOOKUP(Regn2!$R32,Afgr,2))</f>
        <v>Vinterhvede</v>
      </c>
      <c r="AN32" s="32">
        <f>IF(Regn2!$R32&gt;1,Regn2!AE32,"")</f>
        <v>159</v>
      </c>
      <c r="AO32" s="15" t="s">
        <v>82</v>
      </c>
      <c r="AQ32" s="17"/>
      <c r="AR32" s="15" t="s">
        <v>82</v>
      </c>
      <c r="AT32" s="37">
        <v>108</v>
      </c>
      <c r="AU32" s="15" t="s">
        <v>82</v>
      </c>
      <c r="AX32" s="17"/>
      <c r="AY32" s="15" t="s">
        <v>82</v>
      </c>
      <c r="BA32" s="17"/>
      <c r="BB32" s="15" t="s">
        <v>1504</v>
      </c>
      <c r="BD32" s="17"/>
      <c r="BE32" s="15" t="s">
        <v>1793</v>
      </c>
      <c r="BH32" s="17"/>
      <c r="BI32" s="15" t="s">
        <v>82</v>
      </c>
      <c r="BJ32" s="37">
        <v>75</v>
      </c>
      <c r="BK32" s="15" t="s">
        <v>205</v>
      </c>
      <c r="BM32" s="37">
        <v>119</v>
      </c>
      <c r="BN32" s="15" t="s">
        <v>82</v>
      </c>
      <c r="BP32" s="37">
        <v>74.23</v>
      </c>
      <c r="BQ32" s="15" t="s">
        <v>205</v>
      </c>
      <c r="BT32" s="17"/>
      <c r="BU32" s="15" t="s">
        <v>82</v>
      </c>
      <c r="BW32" s="17"/>
      <c r="BX32" s="15" t="s">
        <v>82</v>
      </c>
      <c r="BY32" s="37">
        <v>75</v>
      </c>
      <c r="BZ32" s="15" t="s">
        <v>205</v>
      </c>
      <c r="CB32" s="17">
        <v>26</v>
      </c>
      <c r="CC32" s="15" t="s">
        <v>1504</v>
      </c>
      <c r="CE32" s="17">
        <v>61</v>
      </c>
      <c r="CF32" s="15" t="s">
        <v>1793</v>
      </c>
      <c r="CH32" s="55">
        <f>IF(Regn2!$R32&gt;1,Regn2!AL32,"")</f>
        <v>81</v>
      </c>
      <c r="CI32" s="15" t="str">
        <f>IF(Regn2!AO32&lt;&gt;0,Regn2!AO32,"")</f>
        <v>hkg</v>
      </c>
      <c r="CK32" s="16">
        <v>89</v>
      </c>
      <c r="CL32" s="15" t="str">
        <f>IF(Regn2!AO32&lt;&gt;0,Regn2!AO32,"")</f>
        <v>hkg</v>
      </c>
      <c r="CN32" s="33">
        <f>IF(Regn2!$R32&gt;1,Regn2!DK32,"")</f>
        <v>9.68</v>
      </c>
      <c r="CO32" s="15" t="s">
        <v>201</v>
      </c>
      <c r="CQ32" s="38">
        <v>9.9</v>
      </c>
      <c r="CR32" s="15" t="s">
        <v>201</v>
      </c>
      <c r="CT32" s="55">
        <f>IF(Regn2!$R32&gt;1,Regn2!AR32,"")</f>
        <v>145</v>
      </c>
      <c r="CU32" s="15" t="s">
        <v>188</v>
      </c>
      <c r="CW32" s="124"/>
      <c r="CX32" s="15" t="s">
        <v>188</v>
      </c>
      <c r="CZ32" s="25">
        <f>IF(Regn2!$R32&gt;1,Regn2!AW32,"")</f>
        <v>0</v>
      </c>
      <c r="DA32" s="15" t="s">
        <v>188</v>
      </c>
      <c r="DC32" s="17"/>
      <c r="DD32" s="15" t="s">
        <v>188</v>
      </c>
      <c r="DF32" s="25">
        <f>IF(Regn2!$R32&gt;1,Regn2!BB32,"")</f>
        <v>5164.1975308641977</v>
      </c>
      <c r="DG32" s="15" t="s">
        <v>192</v>
      </c>
      <c r="DI32" s="16"/>
      <c r="DJ32" s="15" t="s">
        <v>192</v>
      </c>
      <c r="DO32" s="33">
        <f>IF(Regn2!$R32&gt;1,Regn2!BI32,"")</f>
        <v>0.5</v>
      </c>
      <c r="DP32" s="15" t="s">
        <v>188</v>
      </c>
      <c r="DR32" s="38"/>
      <c r="DS32" s="15" t="s">
        <v>188</v>
      </c>
      <c r="DU32" s="15" t="str">
        <f>IF(Regn2!$T32&lt;=1,"",VLOOKUP(Regn2!$T32,Efgr,2))</f>
        <v/>
      </c>
      <c r="DW32" s="25" t="str">
        <f>IF(Regn2!$T32&gt;1,Regn2!BN32,"")</f>
        <v/>
      </c>
      <c r="DX32" s="15" t="s">
        <v>82</v>
      </c>
      <c r="DZ32" s="16"/>
      <c r="EA32" s="15" t="s">
        <v>82</v>
      </c>
      <c r="EC32" s="17"/>
      <c r="ED32" s="15" t="s">
        <v>1504</v>
      </c>
      <c r="EF32" s="17"/>
      <c r="EG32" s="15" t="s">
        <v>1793</v>
      </c>
      <c r="EI32" s="16"/>
      <c r="EJ32" s="15" t="s">
        <v>82</v>
      </c>
      <c r="EL32" s="16">
        <v>75</v>
      </c>
      <c r="EM32" s="15" t="s">
        <v>205</v>
      </c>
      <c r="EO32" s="25">
        <f>EI32*EL32*0.01</f>
        <v>0</v>
      </c>
      <c r="EP32" s="15" t="s">
        <v>82</v>
      </c>
      <c r="ER32" s="17"/>
      <c r="ES32" s="15" t="s">
        <v>82</v>
      </c>
      <c r="EV32" s="17"/>
      <c r="EW32" s="15" t="s">
        <v>1504</v>
      </c>
      <c r="EY32" s="17"/>
      <c r="EZ32" s="15" t="s">
        <v>1793</v>
      </c>
      <c r="FB32" s="25" t="str">
        <f>IF(Regn2!$T32&gt;1,Regn2!BQ32,"")</f>
        <v/>
      </c>
      <c r="FC32" s="15" t="str">
        <f>IF(Regn2!$T32&gt;1,Regn2!BT32,"")</f>
        <v/>
      </c>
      <c r="FE32" s="16"/>
      <c r="FF32" s="15" t="str">
        <f>IF(Regn2!$T32&gt;1,Regn2!BT32,"")</f>
        <v/>
      </c>
      <c r="FL32" s="32">
        <f>IF(Regn2!$R32&gt;1,NniveauDelsaedsk1,"")</f>
        <v>194</v>
      </c>
      <c r="FM32" s="15" t="s">
        <v>82</v>
      </c>
      <c r="FO32" s="17"/>
      <c r="FP32" s="15" t="s">
        <v>82</v>
      </c>
      <c r="FR32" s="32">
        <f>IF(Regn2!$R32&gt;1,Regn2!HU32,"")</f>
        <v>304.76666666666603</v>
      </c>
      <c r="FS32" s="15" t="s">
        <v>531</v>
      </c>
      <c r="FU32" s="17"/>
      <c r="FV32" s="15" t="s">
        <v>531</v>
      </c>
      <c r="FX32" s="32">
        <f>IF(Regn2!$R32&gt;1,Regn2!HR32,"")</f>
        <v>269.74999999999898</v>
      </c>
      <c r="FY32" s="15" t="s">
        <v>531</v>
      </c>
      <c r="GA32" s="17"/>
      <c r="GB32" s="15" t="s">
        <v>531</v>
      </c>
      <c r="GD32" s="15">
        <f>IF(Regn2!$R32&gt;1,RetentionNbal,"")</f>
        <v>65</v>
      </c>
      <c r="GE32" s="15" t="s">
        <v>205</v>
      </c>
      <c r="GF32" s="17"/>
      <c r="GG32" s="15" t="s">
        <v>205</v>
      </c>
      <c r="GI32" s="15" t="str">
        <f>IF(Regn2!$R32&lt;=1,"",VLOOKUP(Regn2!$R32,Afgr,2))</f>
        <v>Vinterhvede</v>
      </c>
      <c r="GK32" s="25">
        <f>IF(Regn2!$R32&gt;1,Regn2!IO32,"")</f>
        <v>578</v>
      </c>
      <c r="GL32" s="15" t="s">
        <v>188</v>
      </c>
      <c r="GN32" s="16"/>
      <c r="GO32" s="15" t="s">
        <v>188</v>
      </c>
      <c r="GQ32" s="25">
        <f>IF(Regn2!$R32&gt;1,Regn2!JK32,"")</f>
        <v>912.59999999999991</v>
      </c>
      <c r="GR32" s="15" t="s">
        <v>188</v>
      </c>
      <c r="GT32" s="16"/>
      <c r="GU32" s="15" t="s">
        <v>188</v>
      </c>
      <c r="GW32" s="25">
        <f>IF(Regn2!$R32&gt;1,Regn2!JO32,"")</f>
        <v>703</v>
      </c>
      <c r="GX32" s="15" t="s">
        <v>188</v>
      </c>
      <c r="GZ32" s="16"/>
      <c r="HA32" s="15" t="s">
        <v>188</v>
      </c>
      <c r="HC32" s="25">
        <f>IF(Regn2!$R32&gt;1,Regn2!JS32,"")</f>
        <v>0</v>
      </c>
      <c r="HD32" s="15" t="s">
        <v>188</v>
      </c>
      <c r="HF32" s="16"/>
      <c r="HG32" s="15" t="s">
        <v>188</v>
      </c>
      <c r="HI32" s="25">
        <f>IF(Regn2!$R32&gt;1,Regn2!JY32,"")</f>
        <v>600</v>
      </c>
      <c r="HJ32" s="15" t="s">
        <v>362</v>
      </c>
      <c r="HL32" s="16"/>
      <c r="HM32" s="15" t="s">
        <v>188</v>
      </c>
      <c r="HO32" s="25">
        <f>IF(Regn2!$R32&gt;1,Regn2!KL32,"")</f>
        <v>350</v>
      </c>
      <c r="HP32" s="15" t="s">
        <v>188</v>
      </c>
      <c r="HR32" s="16"/>
      <c r="HS32" s="15" t="s">
        <v>188</v>
      </c>
      <c r="HU32" s="25">
        <f>IF(Regn2!$R32&gt;1,Regn2!KP32,"")</f>
        <v>280</v>
      </c>
      <c r="HV32" s="15" t="s">
        <v>188</v>
      </c>
      <c r="HX32" s="16"/>
      <c r="HY32" s="15" t="s">
        <v>188</v>
      </c>
      <c r="IA32" s="25">
        <f>IF(Regn2!$R32&gt;1,Regn2!KT32,"")</f>
        <v>450</v>
      </c>
      <c r="IB32" s="15" t="s">
        <v>188</v>
      </c>
      <c r="ID32" s="16"/>
      <c r="IE32" s="15" t="s">
        <v>188</v>
      </c>
      <c r="IG32" s="25">
        <f>IF(Regn2!$R32&gt;1,Regn2!KX32,"")</f>
        <v>0</v>
      </c>
      <c r="IH32" s="15" t="s">
        <v>531</v>
      </c>
      <c r="IJ32" s="16"/>
      <c r="IK32" s="15" t="s">
        <v>531</v>
      </c>
      <c r="IM32" s="25">
        <f>IF(Regn2!$R32&gt;1,Regn2!KZ32,"")</f>
        <v>0</v>
      </c>
      <c r="IN32" s="15" t="s">
        <v>188</v>
      </c>
      <c r="IP32" s="16"/>
      <c r="IQ32" s="15" t="s">
        <v>188</v>
      </c>
      <c r="IS32" s="25">
        <f>IF(Regn2!$R32&gt;1,Regn2!LG32,"")</f>
        <v>1261.4705882352941</v>
      </c>
      <c r="IT32" s="15" t="s">
        <v>188</v>
      </c>
      <c r="IV32" s="16"/>
      <c r="IW32" s="15" t="s">
        <v>405</v>
      </c>
      <c r="IY32" s="25">
        <f>IF(Regn2!$R32&gt;1,Regn2!LM32,"")</f>
        <v>1058.6471193415639</v>
      </c>
      <c r="IZ32" s="15" t="s">
        <v>188</v>
      </c>
      <c r="JB32" s="16"/>
      <c r="JC32" s="15" t="s">
        <v>188</v>
      </c>
      <c r="JH32" s="25">
        <f>IF(Regn2!$R32&gt;1,Regn2!LQ32,"")</f>
        <v>822.36000000000013</v>
      </c>
      <c r="JI32" s="15" t="s">
        <v>188</v>
      </c>
      <c r="JK32" s="16"/>
      <c r="JL32" s="15" t="s">
        <v>188</v>
      </c>
      <c r="JN32" s="15" t="str">
        <f>IF(Regn2!$T32&lt;=1,"",VLOOKUP(Regn2!$T32,Efgr,2))</f>
        <v/>
      </c>
      <c r="JP32" s="25" t="str">
        <f>IF(Regn2!$T32&gt;1,Regn2!LU32,"")</f>
        <v/>
      </c>
      <c r="JQ32" s="15" t="s">
        <v>188</v>
      </c>
      <c r="JS32" s="16"/>
      <c r="JT32" s="15" t="s">
        <v>188</v>
      </c>
      <c r="JV32" s="25" t="str">
        <f>IF(Regn2!$T32&gt;1,Regn2!MN32,"")</f>
        <v/>
      </c>
      <c r="JW32" s="15" t="s">
        <v>188</v>
      </c>
      <c r="JY32" s="16"/>
      <c r="JZ32" s="15" t="s">
        <v>188</v>
      </c>
      <c r="KB32" s="25" t="str">
        <f>IF(Regn2!$T32&gt;1,Regn2!MR32,"")</f>
        <v/>
      </c>
      <c r="KC32" s="15" t="s">
        <v>188</v>
      </c>
      <c r="KE32" s="16"/>
      <c r="KF32" s="15" t="s">
        <v>188</v>
      </c>
      <c r="KH32" s="25" t="str">
        <f>IF(Regn2!$T32&gt;1,Regn2!MV32,"")</f>
        <v/>
      </c>
      <c r="KI32" s="15" t="s">
        <v>188</v>
      </c>
      <c r="KK32" s="16"/>
      <c r="KL32" s="15" t="s">
        <v>188</v>
      </c>
      <c r="KN32" s="25" t="str">
        <f>IF(Regn2!$T32&gt;1,Regn2!NB32,"")</f>
        <v/>
      </c>
      <c r="KO32" s="15" t="s">
        <v>188</v>
      </c>
      <c r="KQ32" s="16"/>
      <c r="KR32" s="15" t="s">
        <v>188</v>
      </c>
      <c r="KT32" s="25" t="str">
        <f>IF(Regn2!$T32&gt;1,Regn2!NF32,"")</f>
        <v/>
      </c>
      <c r="KU32" s="15" t="s">
        <v>188</v>
      </c>
      <c r="KW32" s="16"/>
      <c r="KX32" s="15" t="s">
        <v>188</v>
      </c>
      <c r="KZ32" s="25" t="str">
        <f>IF(Regn2!$T32&gt;1,Regn2!NJ32,"")</f>
        <v/>
      </c>
      <c r="LA32" s="15" t="s">
        <v>188</v>
      </c>
      <c r="LC32" s="16"/>
      <c r="LD32" s="15" t="s">
        <v>188</v>
      </c>
      <c r="LF32" s="25" t="str">
        <f>IF(Regn2!$T32&gt;1,Regn2!NN32,"")</f>
        <v/>
      </c>
      <c r="LG32" s="15" t="s">
        <v>531</v>
      </c>
      <c r="LI32" s="16"/>
      <c r="LJ32" s="15" t="s">
        <v>531</v>
      </c>
      <c r="LL32" s="25" t="str">
        <f>IF(Regn2!$T32&gt;1,Regn2!NP32,"")</f>
        <v/>
      </c>
      <c r="LM32" s="15" t="s">
        <v>188</v>
      </c>
      <c r="LO32" s="16"/>
      <c r="LP32" s="15" t="s">
        <v>188</v>
      </c>
      <c r="LR32" s="25" t="str">
        <f>IF(Regn2!$T32&gt;1,Regn2!NV32,"")</f>
        <v/>
      </c>
      <c r="LS32" s="15" t="s">
        <v>188</v>
      </c>
      <c r="LU32" s="16"/>
      <c r="LV32" s="15" t="s">
        <v>188</v>
      </c>
      <c r="LX32" s="25" t="str">
        <f>IF(Regn2!$T32&gt;1,Regn2!NZ32,"")</f>
        <v/>
      </c>
      <c r="LY32" s="15" t="s">
        <v>188</v>
      </c>
      <c r="MA32" s="16"/>
      <c r="MB32" s="15" t="s">
        <v>188</v>
      </c>
    </row>
    <row r="33" spans="2:340" ht="8.1" customHeight="1" x14ac:dyDescent="0.25"/>
    <row r="34" spans="2:340" x14ac:dyDescent="0.25">
      <c r="B34" s="240" t="s">
        <v>2355</v>
      </c>
      <c r="AG34" s="36">
        <v>8.93</v>
      </c>
      <c r="AH34" s="15" t="s">
        <v>85</v>
      </c>
      <c r="AL34" s="15" t="str">
        <f>IF(Regn2!$R34&lt;=1,"",VLOOKUP(Regn2!$R34,Afgr,2))</f>
        <v>Vinterhvede</v>
      </c>
      <c r="AN34" s="32">
        <f>IF(Regn2!$R34&gt;1,Regn2!AE34,"")</f>
        <v>159</v>
      </c>
      <c r="AO34" s="15" t="s">
        <v>82</v>
      </c>
      <c r="AQ34" s="17"/>
      <c r="AR34" s="15" t="s">
        <v>82</v>
      </c>
      <c r="AT34" s="37">
        <v>108</v>
      </c>
      <c r="AU34" s="15" t="s">
        <v>82</v>
      </c>
      <c r="AX34" s="17"/>
      <c r="AY34" s="15" t="s">
        <v>82</v>
      </c>
      <c r="BA34" s="17"/>
      <c r="BB34" s="15" t="s">
        <v>1504</v>
      </c>
      <c r="BD34" s="17"/>
      <c r="BE34" s="15" t="s">
        <v>1793</v>
      </c>
      <c r="BH34" s="17"/>
      <c r="BI34" s="15" t="s">
        <v>82</v>
      </c>
      <c r="BJ34" s="37">
        <v>75</v>
      </c>
      <c r="BK34" s="15" t="s">
        <v>205</v>
      </c>
      <c r="BM34" s="37">
        <v>119</v>
      </c>
      <c r="BN34" s="15" t="s">
        <v>82</v>
      </c>
      <c r="BP34" s="37">
        <v>74.23</v>
      </c>
      <c r="BQ34" s="15" t="s">
        <v>205</v>
      </c>
      <c r="BT34" s="17"/>
      <c r="BU34" s="15" t="s">
        <v>82</v>
      </c>
      <c r="BW34" s="17"/>
      <c r="BX34" s="15" t="s">
        <v>82</v>
      </c>
      <c r="BY34" s="37">
        <v>75</v>
      </c>
      <c r="BZ34" s="15" t="s">
        <v>205</v>
      </c>
      <c r="CB34" s="17">
        <v>26</v>
      </c>
      <c r="CC34" s="15" t="s">
        <v>1504</v>
      </c>
      <c r="CE34" s="17">
        <v>61</v>
      </c>
      <c r="CF34" s="15" t="s">
        <v>1793</v>
      </c>
      <c r="CH34" s="55">
        <f>IF(Regn2!$R34&gt;1,Regn2!AL34,"")</f>
        <v>81</v>
      </c>
      <c r="CI34" s="15" t="str">
        <f>IF(Regn2!AO34&lt;&gt;0,Regn2!AO34,"")</f>
        <v>hkg</v>
      </c>
      <c r="CK34" s="16">
        <v>56</v>
      </c>
      <c r="CL34" s="15" t="str">
        <f>IF(Regn2!AO34&lt;&gt;0,Regn2!AO34,"")</f>
        <v>hkg</v>
      </c>
      <c r="CN34" s="33">
        <f>IF(Regn2!$R34&gt;1,Regn2!DK34,"")</f>
        <v>9.68</v>
      </c>
      <c r="CO34" s="15" t="s">
        <v>201</v>
      </c>
      <c r="CQ34" s="38">
        <v>12.3</v>
      </c>
      <c r="CR34" s="15" t="s">
        <v>201</v>
      </c>
      <c r="CT34" s="55">
        <f>IF(Regn2!$R34&gt;1,Regn2!AR34,"")</f>
        <v>145</v>
      </c>
      <c r="CU34" s="15" t="s">
        <v>188</v>
      </c>
      <c r="CW34" s="124"/>
      <c r="CX34" s="15" t="s">
        <v>188</v>
      </c>
      <c r="CZ34" s="25">
        <f>IF(Regn2!$R34&gt;1,Regn2!AW34,"")</f>
        <v>0</v>
      </c>
      <c r="DA34" s="15" t="s">
        <v>188</v>
      </c>
      <c r="DC34" s="17"/>
      <c r="DD34" s="15" t="s">
        <v>188</v>
      </c>
      <c r="DF34" s="25">
        <f>IF(Regn2!$R34&gt;1,Regn2!BB34,"")</f>
        <v>3249.3827160493829</v>
      </c>
      <c r="DG34" s="15" t="s">
        <v>192</v>
      </c>
      <c r="DI34" s="16"/>
      <c r="DJ34" s="15" t="s">
        <v>192</v>
      </c>
      <c r="DO34" s="33">
        <f>IF(Regn2!$R34&gt;1,Regn2!BI34,"")</f>
        <v>0.5</v>
      </c>
      <c r="DP34" s="15" t="s">
        <v>188</v>
      </c>
      <c r="DR34" s="38"/>
      <c r="DS34" s="15" t="s">
        <v>188</v>
      </c>
      <c r="DU34" s="15" t="str">
        <f>IF(Regn2!$T34&lt;=1,"",VLOOKUP(Regn2!$T34,Efgr,2))</f>
        <v/>
      </c>
      <c r="DW34" s="25" t="str">
        <f>IF(Regn2!$T34&gt;1,Regn2!BN34,"")</f>
        <v/>
      </c>
      <c r="DX34" s="15" t="s">
        <v>82</v>
      </c>
      <c r="DZ34" s="16"/>
      <c r="EA34" s="15" t="s">
        <v>82</v>
      </c>
      <c r="EC34" s="17"/>
      <c r="ED34" s="15" t="s">
        <v>1504</v>
      </c>
      <c r="EF34" s="17"/>
      <c r="EG34" s="15" t="s">
        <v>1793</v>
      </c>
      <c r="EI34" s="16"/>
      <c r="EJ34" s="15" t="s">
        <v>82</v>
      </c>
      <c r="EL34" s="16">
        <v>75</v>
      </c>
      <c r="EM34" s="15" t="s">
        <v>205</v>
      </c>
      <c r="EO34" s="25">
        <f>EI34*EL34*0.01</f>
        <v>0</v>
      </c>
      <c r="EP34" s="15" t="s">
        <v>82</v>
      </c>
      <c r="ER34" s="17"/>
      <c r="ES34" s="15" t="s">
        <v>82</v>
      </c>
      <c r="EV34" s="17"/>
      <c r="EW34" s="15" t="s">
        <v>1504</v>
      </c>
      <c r="EY34" s="17"/>
      <c r="EZ34" s="15" t="s">
        <v>1793</v>
      </c>
      <c r="FB34" s="25" t="str">
        <f>IF(Regn2!$T34&gt;1,Regn2!BQ34,"")</f>
        <v/>
      </c>
      <c r="FC34" s="15" t="str">
        <f>IF(Regn2!$T34&gt;1,Regn2!BT34,"")</f>
        <v/>
      </c>
      <c r="FE34" s="16"/>
      <c r="FF34" s="15" t="str">
        <f>IF(Regn2!$T34&gt;1,Regn2!BT34,"")</f>
        <v/>
      </c>
      <c r="FL34" s="32">
        <f>IF(Regn2!$R34&gt;1,NniveauDelsaedsk1,"")</f>
        <v>194</v>
      </c>
      <c r="FM34" s="15" t="s">
        <v>82</v>
      </c>
      <c r="FO34" s="17"/>
      <c r="FP34" s="15" t="s">
        <v>82</v>
      </c>
      <c r="FR34" s="32">
        <f>IF(Regn2!$R34&gt;1,Regn2!HU34,"")</f>
        <v>304.76666666666603</v>
      </c>
      <c r="FS34" s="15" t="s">
        <v>531</v>
      </c>
      <c r="FU34" s="17"/>
      <c r="FV34" s="15" t="s">
        <v>531</v>
      </c>
      <c r="FX34" s="32">
        <f>IF(Regn2!$R34&gt;1,Regn2!HR34,"")</f>
        <v>269.74999999999898</v>
      </c>
      <c r="FY34" s="15" t="s">
        <v>531</v>
      </c>
      <c r="GA34" s="17"/>
      <c r="GB34" s="15" t="s">
        <v>531</v>
      </c>
      <c r="GD34" s="15">
        <f>IF(Regn2!$R34&gt;1,RetentionNbal,"")</f>
        <v>65</v>
      </c>
      <c r="GE34" s="15" t="s">
        <v>205</v>
      </c>
      <c r="GF34" s="17"/>
      <c r="GG34" s="15" t="s">
        <v>205</v>
      </c>
      <c r="GI34" s="15" t="str">
        <f>IF(Regn2!$R34&lt;=1,"",VLOOKUP(Regn2!$R34,Afgr,2))</f>
        <v>Vinterhvede</v>
      </c>
      <c r="GK34" s="25">
        <f>IF(Regn2!$R34&gt;1,Regn2!IO34,"")</f>
        <v>578</v>
      </c>
      <c r="GL34" s="15" t="s">
        <v>188</v>
      </c>
      <c r="GN34" s="16"/>
      <c r="GO34" s="15" t="s">
        <v>188</v>
      </c>
      <c r="GQ34" s="25">
        <f>IF(Regn2!$R34&gt;1,Regn2!JK34,"")</f>
        <v>912.59999999999991</v>
      </c>
      <c r="GR34" s="15" t="s">
        <v>188</v>
      </c>
      <c r="GT34" s="16"/>
      <c r="GU34" s="15" t="s">
        <v>188</v>
      </c>
      <c r="GW34" s="25">
        <f>IF(Regn2!$R34&gt;1,Regn2!JO34,"")</f>
        <v>703</v>
      </c>
      <c r="GX34" s="15" t="s">
        <v>188</v>
      </c>
      <c r="GZ34" s="16"/>
      <c r="HA34" s="15" t="s">
        <v>188</v>
      </c>
      <c r="HC34" s="25">
        <f>IF(Regn2!$R34&gt;1,Regn2!JS34,"")</f>
        <v>0</v>
      </c>
      <c r="HD34" s="15" t="s">
        <v>188</v>
      </c>
      <c r="HF34" s="16"/>
      <c r="HG34" s="15" t="s">
        <v>188</v>
      </c>
      <c r="HI34" s="25">
        <f>IF(Regn2!$R34&gt;1,Regn2!JY34,"")</f>
        <v>600</v>
      </c>
      <c r="HJ34" s="15" t="s">
        <v>362</v>
      </c>
      <c r="HL34" s="16"/>
      <c r="HM34" s="15" t="s">
        <v>188</v>
      </c>
      <c r="HO34" s="25">
        <f>IF(Regn2!$R34&gt;1,Regn2!KL34,"")</f>
        <v>350</v>
      </c>
      <c r="HP34" s="15" t="s">
        <v>188</v>
      </c>
      <c r="HR34" s="16"/>
      <c r="HS34" s="15" t="s">
        <v>188</v>
      </c>
      <c r="HU34" s="25">
        <f>IF(Regn2!$R34&gt;1,Regn2!KP34,"")</f>
        <v>280</v>
      </c>
      <c r="HV34" s="15" t="s">
        <v>188</v>
      </c>
      <c r="HX34" s="16"/>
      <c r="HY34" s="15" t="s">
        <v>188</v>
      </c>
      <c r="IA34" s="25">
        <f>IF(Regn2!$R34&gt;1,Regn2!KT34,"")</f>
        <v>450</v>
      </c>
      <c r="IB34" s="15" t="s">
        <v>188</v>
      </c>
      <c r="ID34" s="16"/>
      <c r="IE34" s="15" t="s">
        <v>188</v>
      </c>
      <c r="IG34" s="25">
        <f>IF(Regn2!$R34&gt;1,Regn2!KX34,"")</f>
        <v>0</v>
      </c>
      <c r="IH34" s="15" t="s">
        <v>531</v>
      </c>
      <c r="IJ34" s="16"/>
      <c r="IK34" s="15" t="s">
        <v>531</v>
      </c>
      <c r="IM34" s="25">
        <f>IF(Regn2!$R34&gt;1,Regn2!KZ34,"")</f>
        <v>0</v>
      </c>
      <c r="IN34" s="15" t="s">
        <v>188</v>
      </c>
      <c r="IP34" s="16"/>
      <c r="IQ34" s="15" t="s">
        <v>188</v>
      </c>
      <c r="IS34" s="25">
        <f>IF(Regn2!$R34&gt;1,Regn2!LG34,"")</f>
        <v>960.58823529411757</v>
      </c>
      <c r="IT34" s="15" t="s">
        <v>188</v>
      </c>
      <c r="IV34" s="16"/>
      <c r="IW34" s="15" t="s">
        <v>405</v>
      </c>
      <c r="IY34" s="25">
        <f>IF(Regn2!$R34&gt;1,Regn2!LM34,"")</f>
        <v>763.4465020576132</v>
      </c>
      <c r="IZ34" s="15" t="s">
        <v>188</v>
      </c>
      <c r="JB34" s="16"/>
      <c r="JC34" s="15" t="s">
        <v>188</v>
      </c>
      <c r="JH34" s="25">
        <f>IF(Regn2!$R34&gt;1,Regn2!LQ34,"")</f>
        <v>517.44000000000005</v>
      </c>
      <c r="JI34" s="15" t="s">
        <v>188</v>
      </c>
      <c r="JK34" s="16"/>
      <c r="JL34" s="15" t="s">
        <v>188</v>
      </c>
      <c r="JN34" s="15" t="str">
        <f>IF(Regn2!$T34&lt;=1,"",VLOOKUP(Regn2!$T34,Efgr,2))</f>
        <v/>
      </c>
      <c r="JP34" s="25" t="str">
        <f>IF(Regn2!$T34&gt;1,Regn2!LU34,"")</f>
        <v/>
      </c>
      <c r="JQ34" s="15" t="s">
        <v>188</v>
      </c>
      <c r="JS34" s="16"/>
      <c r="JT34" s="15" t="s">
        <v>188</v>
      </c>
      <c r="JV34" s="25" t="str">
        <f>IF(Regn2!$T34&gt;1,Regn2!MN34,"")</f>
        <v/>
      </c>
      <c r="JW34" s="15" t="s">
        <v>188</v>
      </c>
      <c r="JY34" s="16"/>
      <c r="JZ34" s="15" t="s">
        <v>188</v>
      </c>
      <c r="KB34" s="25" t="str">
        <f>IF(Regn2!$T34&gt;1,Regn2!MR34,"")</f>
        <v/>
      </c>
      <c r="KC34" s="15" t="s">
        <v>188</v>
      </c>
      <c r="KE34" s="16"/>
      <c r="KF34" s="15" t="s">
        <v>188</v>
      </c>
      <c r="KH34" s="25" t="str">
        <f>IF(Regn2!$T34&gt;1,Regn2!MV34,"")</f>
        <v/>
      </c>
      <c r="KI34" s="15" t="s">
        <v>188</v>
      </c>
      <c r="KK34" s="16"/>
      <c r="KL34" s="15" t="s">
        <v>188</v>
      </c>
      <c r="KN34" s="25" t="str">
        <f>IF(Regn2!$T34&gt;1,Regn2!NB34,"")</f>
        <v/>
      </c>
      <c r="KO34" s="15" t="s">
        <v>188</v>
      </c>
      <c r="KQ34" s="16"/>
      <c r="KR34" s="15" t="s">
        <v>188</v>
      </c>
      <c r="KT34" s="25" t="str">
        <f>IF(Regn2!$T34&gt;1,Regn2!NF34,"")</f>
        <v/>
      </c>
      <c r="KU34" s="15" t="s">
        <v>188</v>
      </c>
      <c r="KW34" s="16"/>
      <c r="KX34" s="15" t="s">
        <v>188</v>
      </c>
      <c r="KZ34" s="25" t="str">
        <f>IF(Regn2!$T34&gt;1,Regn2!NJ34,"")</f>
        <v/>
      </c>
      <c r="LA34" s="15" t="s">
        <v>188</v>
      </c>
      <c r="LC34" s="16"/>
      <c r="LD34" s="15" t="s">
        <v>188</v>
      </c>
      <c r="LF34" s="25" t="str">
        <f>IF(Regn2!$T34&gt;1,Regn2!NN34,"")</f>
        <v/>
      </c>
      <c r="LG34" s="15" t="s">
        <v>531</v>
      </c>
      <c r="LI34" s="16"/>
      <c r="LJ34" s="15" t="s">
        <v>531</v>
      </c>
      <c r="LL34" s="25" t="str">
        <f>IF(Regn2!$T34&gt;1,Regn2!NP34,"")</f>
        <v/>
      </c>
      <c r="LM34" s="15" t="s">
        <v>188</v>
      </c>
      <c r="LO34" s="16"/>
      <c r="LP34" s="15" t="s">
        <v>188</v>
      </c>
      <c r="LR34" s="25" t="str">
        <f>IF(Regn2!$T34&gt;1,Regn2!NV34,"")</f>
        <v/>
      </c>
      <c r="LS34" s="15" t="s">
        <v>188</v>
      </c>
      <c r="LU34" s="16"/>
      <c r="LV34" s="15" t="s">
        <v>188</v>
      </c>
      <c r="LX34" s="25" t="str">
        <f>IF(Regn2!$T34&gt;1,Regn2!NZ34,"")</f>
        <v/>
      </c>
      <c r="LY34" s="15" t="s">
        <v>188</v>
      </c>
      <c r="MA34" s="16"/>
      <c r="MB34" s="15" t="s">
        <v>188</v>
      </c>
    </row>
    <row r="35" spans="2:340" ht="8.1" customHeight="1" x14ac:dyDescent="0.25"/>
    <row r="36" spans="2:340" x14ac:dyDescent="0.25">
      <c r="B36" s="240" t="s">
        <v>2356</v>
      </c>
      <c r="AG36" s="36">
        <v>3.78</v>
      </c>
      <c r="AH36" s="15" t="s">
        <v>85</v>
      </c>
      <c r="AL36" s="15" t="str">
        <f>IF(Regn2!$R36&lt;=1,"",VLOOKUP(Regn2!$R36,Afgr,2))</f>
        <v>Vinterhvede</v>
      </c>
      <c r="AN36" s="32">
        <f>IF(Regn2!$R36&gt;1,Regn2!AE36,"")</f>
        <v>159</v>
      </c>
      <c r="AO36" s="15" t="s">
        <v>82</v>
      </c>
      <c r="AQ36" s="17"/>
      <c r="AR36" s="15" t="s">
        <v>82</v>
      </c>
      <c r="AT36" s="37">
        <v>108</v>
      </c>
      <c r="AU36" s="15" t="s">
        <v>82</v>
      </c>
      <c r="AX36" s="17"/>
      <c r="AY36" s="15" t="s">
        <v>82</v>
      </c>
      <c r="BA36" s="17"/>
      <c r="BB36" s="15" t="s">
        <v>1504</v>
      </c>
      <c r="BD36" s="17"/>
      <c r="BE36" s="15" t="s">
        <v>1793</v>
      </c>
      <c r="BH36" s="17"/>
      <c r="BI36" s="15" t="s">
        <v>82</v>
      </c>
      <c r="BJ36" s="37">
        <v>75</v>
      </c>
      <c r="BK36" s="15" t="s">
        <v>205</v>
      </c>
      <c r="BM36" s="37">
        <v>119</v>
      </c>
      <c r="BN36" s="15" t="s">
        <v>82</v>
      </c>
      <c r="BP36" s="37">
        <v>74.23</v>
      </c>
      <c r="BQ36" s="15" t="s">
        <v>205</v>
      </c>
      <c r="BT36" s="17"/>
      <c r="BU36" s="15" t="s">
        <v>82</v>
      </c>
      <c r="BW36" s="17"/>
      <c r="BX36" s="15" t="s">
        <v>82</v>
      </c>
      <c r="BY36" s="37">
        <v>75</v>
      </c>
      <c r="BZ36" s="15" t="s">
        <v>205</v>
      </c>
      <c r="CB36" s="17">
        <v>26</v>
      </c>
      <c r="CC36" s="15" t="s">
        <v>1504</v>
      </c>
      <c r="CE36" s="17">
        <v>61</v>
      </c>
      <c r="CF36" s="15" t="s">
        <v>1793</v>
      </c>
      <c r="CH36" s="55">
        <f>IF(Regn2!$R36&gt;1,Regn2!AL36,"")</f>
        <v>81</v>
      </c>
      <c r="CI36" s="15" t="str">
        <f>IF(Regn2!AO36&lt;&gt;0,Regn2!AO36,"")</f>
        <v>hkg</v>
      </c>
      <c r="CK36" s="16">
        <v>58</v>
      </c>
      <c r="CL36" s="15" t="str">
        <f>IF(Regn2!AO36&lt;&gt;0,Regn2!AO36,"")</f>
        <v>hkg</v>
      </c>
      <c r="CN36" s="33">
        <f>IF(Regn2!$R36&gt;1,Regn2!DK36,"")</f>
        <v>9.68</v>
      </c>
      <c r="CO36" s="15" t="s">
        <v>201</v>
      </c>
      <c r="CQ36" s="38">
        <v>12.3</v>
      </c>
      <c r="CR36" s="15" t="s">
        <v>201</v>
      </c>
      <c r="CT36" s="55">
        <f>IF(Regn2!$R36&gt;1,Regn2!AR36,"")</f>
        <v>145</v>
      </c>
      <c r="CU36" s="15" t="s">
        <v>188</v>
      </c>
      <c r="CW36" s="124"/>
      <c r="CX36" s="15" t="s">
        <v>188</v>
      </c>
      <c r="CZ36" s="25">
        <f>IF(Regn2!$R36&gt;1,Regn2!AW36,"")</f>
        <v>0</v>
      </c>
      <c r="DA36" s="15" t="s">
        <v>188</v>
      </c>
      <c r="DC36" s="17"/>
      <c r="DD36" s="15" t="s">
        <v>188</v>
      </c>
      <c r="DF36" s="25">
        <f>IF(Regn2!$R36&gt;1,Regn2!BB36,"")</f>
        <v>3365.4320987654319</v>
      </c>
      <c r="DG36" s="15" t="s">
        <v>192</v>
      </c>
      <c r="DI36" s="16"/>
      <c r="DJ36" s="15" t="s">
        <v>192</v>
      </c>
      <c r="DO36" s="33">
        <f>IF(Regn2!$R36&gt;1,Regn2!BI36,"")</f>
        <v>0.5</v>
      </c>
      <c r="DP36" s="15" t="s">
        <v>188</v>
      </c>
      <c r="DR36" s="38"/>
      <c r="DS36" s="15" t="s">
        <v>188</v>
      </c>
      <c r="DU36" s="15" t="str">
        <f>IF(Regn2!$T36&lt;=1,"",VLOOKUP(Regn2!$T36,Efgr,2))</f>
        <v/>
      </c>
      <c r="DW36" s="25" t="str">
        <f>IF(Regn2!$T36&gt;1,Regn2!BN36,"")</f>
        <v/>
      </c>
      <c r="DX36" s="15" t="s">
        <v>82</v>
      </c>
      <c r="DZ36" s="16"/>
      <c r="EA36" s="15" t="s">
        <v>82</v>
      </c>
      <c r="EC36" s="17"/>
      <c r="ED36" s="15" t="s">
        <v>1504</v>
      </c>
      <c r="EF36" s="17"/>
      <c r="EG36" s="15" t="s">
        <v>1793</v>
      </c>
      <c r="EI36" s="16"/>
      <c r="EJ36" s="15" t="s">
        <v>82</v>
      </c>
      <c r="EL36" s="16">
        <v>75</v>
      </c>
      <c r="EM36" s="15" t="s">
        <v>205</v>
      </c>
      <c r="EO36" s="25">
        <f>EI36*EL36*0.01</f>
        <v>0</v>
      </c>
      <c r="EP36" s="15" t="s">
        <v>82</v>
      </c>
      <c r="ER36" s="17"/>
      <c r="ES36" s="15" t="s">
        <v>82</v>
      </c>
      <c r="EV36" s="17"/>
      <c r="EW36" s="15" t="s">
        <v>1504</v>
      </c>
      <c r="EY36" s="17"/>
      <c r="EZ36" s="15" t="s">
        <v>1793</v>
      </c>
      <c r="FB36" s="25" t="str">
        <f>IF(Regn2!$T36&gt;1,Regn2!BQ36,"")</f>
        <v/>
      </c>
      <c r="FC36" s="15" t="str">
        <f>IF(Regn2!$T36&gt;1,Regn2!BT36,"")</f>
        <v/>
      </c>
      <c r="FE36" s="16"/>
      <c r="FF36" s="15" t="str">
        <f>IF(Regn2!$T36&gt;1,Regn2!BT36,"")</f>
        <v/>
      </c>
      <c r="FL36" s="32">
        <f>IF(Regn2!$R36&gt;1,NniveauDelsaedsk1,"")</f>
        <v>194</v>
      </c>
      <c r="FM36" s="15" t="s">
        <v>82</v>
      </c>
      <c r="FO36" s="17"/>
      <c r="FP36" s="15" t="s">
        <v>82</v>
      </c>
      <c r="FR36" s="32">
        <f>IF(Regn2!$R36&gt;1,Regn2!HU36,"")</f>
        <v>304.76666666666603</v>
      </c>
      <c r="FS36" s="15" t="s">
        <v>531</v>
      </c>
      <c r="FU36" s="17"/>
      <c r="FV36" s="15" t="s">
        <v>531</v>
      </c>
      <c r="FX36" s="32">
        <f>IF(Regn2!$R36&gt;1,Regn2!HR36,"")</f>
        <v>269.74999999999898</v>
      </c>
      <c r="FY36" s="15" t="s">
        <v>531</v>
      </c>
      <c r="GA36" s="17"/>
      <c r="GB36" s="15" t="s">
        <v>531</v>
      </c>
      <c r="GD36" s="15">
        <f>IF(Regn2!$R36&gt;1,RetentionNbal,"")</f>
        <v>65</v>
      </c>
      <c r="GE36" s="15" t="s">
        <v>205</v>
      </c>
      <c r="GF36" s="17"/>
      <c r="GG36" s="15" t="s">
        <v>205</v>
      </c>
      <c r="GI36" s="15" t="str">
        <f>IF(Regn2!$R36&lt;=1,"",VLOOKUP(Regn2!$R36,Afgr,2))</f>
        <v>Vinterhvede</v>
      </c>
      <c r="GK36" s="25">
        <f>IF(Regn2!$R36&gt;1,Regn2!IO36,"")</f>
        <v>578</v>
      </c>
      <c r="GL36" s="15" t="s">
        <v>188</v>
      </c>
      <c r="GN36" s="16"/>
      <c r="GO36" s="15" t="s">
        <v>188</v>
      </c>
      <c r="GQ36" s="25">
        <f>IF(Regn2!$R36&gt;1,Regn2!JK36,"")</f>
        <v>912.59999999999991</v>
      </c>
      <c r="GR36" s="15" t="s">
        <v>188</v>
      </c>
      <c r="GT36" s="16"/>
      <c r="GU36" s="15" t="s">
        <v>188</v>
      </c>
      <c r="GW36" s="25">
        <f>IF(Regn2!$R36&gt;1,Regn2!JO36,"")</f>
        <v>703</v>
      </c>
      <c r="GX36" s="15" t="s">
        <v>188</v>
      </c>
      <c r="GZ36" s="16"/>
      <c r="HA36" s="15" t="s">
        <v>188</v>
      </c>
      <c r="HC36" s="25">
        <f>IF(Regn2!$R36&gt;1,Regn2!JS36,"")</f>
        <v>0</v>
      </c>
      <c r="HD36" s="15" t="s">
        <v>188</v>
      </c>
      <c r="HF36" s="16"/>
      <c r="HG36" s="15" t="s">
        <v>188</v>
      </c>
      <c r="HI36" s="25">
        <f>IF(Regn2!$R36&gt;1,Regn2!JY36,"")</f>
        <v>600</v>
      </c>
      <c r="HJ36" s="15" t="s">
        <v>362</v>
      </c>
      <c r="HL36" s="16"/>
      <c r="HM36" s="15" t="s">
        <v>188</v>
      </c>
      <c r="HO36" s="25">
        <f>IF(Regn2!$R36&gt;1,Regn2!KL36,"")</f>
        <v>350</v>
      </c>
      <c r="HP36" s="15" t="s">
        <v>188</v>
      </c>
      <c r="HR36" s="16"/>
      <c r="HS36" s="15" t="s">
        <v>188</v>
      </c>
      <c r="HU36" s="25">
        <f>IF(Regn2!$R36&gt;1,Regn2!KP36,"")</f>
        <v>280</v>
      </c>
      <c r="HV36" s="15" t="s">
        <v>188</v>
      </c>
      <c r="HX36" s="16"/>
      <c r="HY36" s="15" t="s">
        <v>188</v>
      </c>
      <c r="IA36" s="25">
        <f>IF(Regn2!$R36&gt;1,Regn2!KT36,"")</f>
        <v>450</v>
      </c>
      <c r="IB36" s="15" t="s">
        <v>188</v>
      </c>
      <c r="ID36" s="16"/>
      <c r="IE36" s="15" t="s">
        <v>188</v>
      </c>
      <c r="IG36" s="25">
        <f>IF(Regn2!$R36&gt;1,Regn2!KX36,"")</f>
        <v>0</v>
      </c>
      <c r="IH36" s="15" t="s">
        <v>531</v>
      </c>
      <c r="IJ36" s="16"/>
      <c r="IK36" s="15" t="s">
        <v>531</v>
      </c>
      <c r="IM36" s="25">
        <f>IF(Regn2!$R36&gt;1,Regn2!KZ36,"")</f>
        <v>0</v>
      </c>
      <c r="IN36" s="15" t="s">
        <v>188</v>
      </c>
      <c r="IP36" s="16"/>
      <c r="IQ36" s="15" t="s">
        <v>188</v>
      </c>
      <c r="IS36" s="25">
        <f>IF(Regn2!$R36&gt;1,Regn2!LG36,"")</f>
        <v>978.82352941176475</v>
      </c>
      <c r="IT36" s="15" t="s">
        <v>188</v>
      </c>
      <c r="IV36" s="16"/>
      <c r="IW36" s="15" t="s">
        <v>405</v>
      </c>
      <c r="IY36" s="25">
        <f>IF(Regn2!$R36&gt;1,Regn2!LM36,"")</f>
        <v>781.33744855967075</v>
      </c>
      <c r="IZ36" s="15" t="s">
        <v>188</v>
      </c>
      <c r="JB36" s="16"/>
      <c r="JC36" s="15" t="s">
        <v>188</v>
      </c>
      <c r="JH36" s="25">
        <f>IF(Regn2!$R36&gt;1,Regn2!LQ36,"")</f>
        <v>535.92000000000007</v>
      </c>
      <c r="JI36" s="15" t="s">
        <v>188</v>
      </c>
      <c r="JK36" s="16"/>
      <c r="JL36" s="15" t="s">
        <v>188</v>
      </c>
      <c r="JN36" s="15" t="str">
        <f>IF(Regn2!$T36&lt;=1,"",VLOOKUP(Regn2!$T36,Efgr,2))</f>
        <v/>
      </c>
      <c r="JP36" s="25" t="str">
        <f>IF(Regn2!$T36&gt;1,Regn2!LU36,"")</f>
        <v/>
      </c>
      <c r="JQ36" s="15" t="s">
        <v>188</v>
      </c>
      <c r="JS36" s="16"/>
      <c r="JT36" s="15" t="s">
        <v>188</v>
      </c>
      <c r="JV36" s="25" t="str">
        <f>IF(Regn2!$T36&gt;1,Regn2!MN36,"")</f>
        <v/>
      </c>
      <c r="JW36" s="15" t="s">
        <v>188</v>
      </c>
      <c r="JY36" s="16"/>
      <c r="JZ36" s="15" t="s">
        <v>188</v>
      </c>
      <c r="KB36" s="25" t="str">
        <f>IF(Regn2!$T36&gt;1,Regn2!MR36,"")</f>
        <v/>
      </c>
      <c r="KC36" s="15" t="s">
        <v>188</v>
      </c>
      <c r="KE36" s="16"/>
      <c r="KF36" s="15" t="s">
        <v>188</v>
      </c>
      <c r="KH36" s="25" t="str">
        <f>IF(Regn2!$T36&gt;1,Regn2!MV36,"")</f>
        <v/>
      </c>
      <c r="KI36" s="15" t="s">
        <v>188</v>
      </c>
      <c r="KK36" s="16"/>
      <c r="KL36" s="15" t="s">
        <v>188</v>
      </c>
      <c r="KN36" s="25" t="str">
        <f>IF(Regn2!$T36&gt;1,Regn2!NB36,"")</f>
        <v/>
      </c>
      <c r="KO36" s="15" t="s">
        <v>188</v>
      </c>
      <c r="KQ36" s="16"/>
      <c r="KR36" s="15" t="s">
        <v>188</v>
      </c>
      <c r="KT36" s="25" t="str">
        <f>IF(Regn2!$T36&gt;1,Regn2!NF36,"")</f>
        <v/>
      </c>
      <c r="KU36" s="15" t="s">
        <v>188</v>
      </c>
      <c r="KW36" s="16"/>
      <c r="KX36" s="15" t="s">
        <v>188</v>
      </c>
      <c r="KZ36" s="25" t="str">
        <f>IF(Regn2!$T36&gt;1,Regn2!NJ36,"")</f>
        <v/>
      </c>
      <c r="LA36" s="15" t="s">
        <v>188</v>
      </c>
      <c r="LC36" s="16"/>
      <c r="LD36" s="15" t="s">
        <v>188</v>
      </c>
      <c r="LF36" s="25" t="str">
        <f>IF(Regn2!$T36&gt;1,Regn2!NN36,"")</f>
        <v/>
      </c>
      <c r="LG36" s="15" t="s">
        <v>531</v>
      </c>
      <c r="LI36" s="16"/>
      <c r="LJ36" s="15" t="s">
        <v>531</v>
      </c>
      <c r="LL36" s="25" t="str">
        <f>IF(Regn2!$T36&gt;1,Regn2!NP36,"")</f>
        <v/>
      </c>
      <c r="LM36" s="15" t="s">
        <v>188</v>
      </c>
      <c r="LO36" s="16"/>
      <c r="LP36" s="15" t="s">
        <v>188</v>
      </c>
      <c r="LR36" s="25" t="str">
        <f>IF(Regn2!$T36&gt;1,Regn2!NV36,"")</f>
        <v/>
      </c>
      <c r="LS36" s="15" t="s">
        <v>188</v>
      </c>
      <c r="LU36" s="16"/>
      <c r="LV36" s="15" t="s">
        <v>188</v>
      </c>
      <c r="LX36" s="25" t="str">
        <f>IF(Regn2!$T36&gt;1,Regn2!NZ36,"")</f>
        <v/>
      </c>
      <c r="LY36" s="15" t="s">
        <v>188</v>
      </c>
      <c r="MA36" s="16"/>
      <c r="MB36" s="15" t="s">
        <v>188</v>
      </c>
    </row>
    <row r="37" spans="2:340" ht="8.1" customHeight="1" x14ac:dyDescent="0.25"/>
    <row r="38" spans="2:340" x14ac:dyDescent="0.25">
      <c r="B38" s="240" t="s">
        <v>2357</v>
      </c>
      <c r="AG38" s="36">
        <v>0.72</v>
      </c>
      <c r="AH38" s="15" t="s">
        <v>85</v>
      </c>
      <c r="AL38" s="15" t="str">
        <f>IF(Regn2!$R102&lt;=1,"",VLOOKUP(Regn2!$R102,Afgr,2))</f>
        <v/>
      </c>
      <c r="AN38" s="32" t="str">
        <f>IF(Regn2!$R102&gt;1,Regn2!AE102,"")</f>
        <v/>
      </c>
      <c r="AO38" s="15" t="s">
        <v>82</v>
      </c>
      <c r="AQ38" s="17"/>
      <c r="AR38" s="15" t="s">
        <v>82</v>
      </c>
      <c r="AT38" s="37">
        <v>41</v>
      </c>
      <c r="AU38" s="15" t="s">
        <v>82</v>
      </c>
      <c r="AX38" s="17"/>
      <c r="AY38" s="15" t="s">
        <v>82</v>
      </c>
      <c r="BA38" s="17"/>
      <c r="BB38" s="15" t="s">
        <v>1504</v>
      </c>
      <c r="BD38" s="17"/>
      <c r="BE38" s="15" t="s">
        <v>1793</v>
      </c>
      <c r="BH38" s="17"/>
      <c r="BI38" s="15" t="s">
        <v>82</v>
      </c>
      <c r="BJ38" s="37">
        <v>75</v>
      </c>
      <c r="BK38" s="15" t="s">
        <v>205</v>
      </c>
      <c r="BM38" s="37">
        <v>85</v>
      </c>
      <c r="BN38" s="15" t="s">
        <v>82</v>
      </c>
      <c r="BP38" s="37">
        <v>74.23</v>
      </c>
      <c r="BQ38" s="15" t="s">
        <v>205</v>
      </c>
      <c r="BT38" s="17"/>
      <c r="BU38" s="15" t="s">
        <v>82</v>
      </c>
      <c r="BW38" s="17"/>
      <c r="BX38" s="15" t="s">
        <v>82</v>
      </c>
      <c r="BY38" s="37">
        <v>75</v>
      </c>
      <c r="BZ38" s="15" t="s">
        <v>205</v>
      </c>
      <c r="CB38" s="17">
        <v>18</v>
      </c>
      <c r="CC38" s="15" t="s">
        <v>1504</v>
      </c>
      <c r="CE38" s="17">
        <v>44</v>
      </c>
      <c r="CF38" s="15" t="s">
        <v>1793</v>
      </c>
      <c r="CH38" s="55" t="str">
        <f>IF(Regn2!$R102&gt;1,Regn2!AL102,"")</f>
        <v/>
      </c>
      <c r="CI38" s="15" t="str">
        <f>IF(Regn2!AO102&lt;&gt;0,Regn2!AO102,"")</f>
        <v/>
      </c>
      <c r="CK38" s="16">
        <v>33</v>
      </c>
      <c r="CL38" s="15" t="str">
        <f>IF(Regn2!AO102&lt;&gt;0,Regn2!AO102,"")</f>
        <v/>
      </c>
      <c r="CN38" s="33" t="str">
        <f>IF(Regn2!$R102&gt;1,Regn2!DK102,"")</f>
        <v/>
      </c>
      <c r="CO38" s="15" t="s">
        <v>201</v>
      </c>
      <c r="CQ38" s="38">
        <v>12.1</v>
      </c>
      <c r="CR38" s="15" t="s">
        <v>201</v>
      </c>
      <c r="CT38" s="55" t="str">
        <f>IF(Regn2!$R102&gt;1,Regn2!AR102,"")</f>
        <v/>
      </c>
      <c r="CU38" s="15" t="s">
        <v>188</v>
      </c>
      <c r="CW38" s="124"/>
      <c r="CX38" s="15" t="s">
        <v>188</v>
      </c>
      <c r="CZ38" s="25" t="str">
        <f>IF(Regn2!$R102&gt;1,Regn2!AW102,"")</f>
        <v/>
      </c>
      <c r="DA38" s="15" t="s">
        <v>188</v>
      </c>
      <c r="DC38" s="17"/>
      <c r="DD38" s="15" t="s">
        <v>188</v>
      </c>
      <c r="DF38" s="25" t="str">
        <f>IF(Regn2!$R102&gt;1,Regn2!BB102,"")</f>
        <v/>
      </c>
      <c r="DG38" s="15" t="s">
        <v>192</v>
      </c>
      <c r="DI38" s="16"/>
      <c r="DJ38" s="15" t="s">
        <v>192</v>
      </c>
      <c r="DO38" s="33" t="str">
        <f>IF(Regn2!$R102&gt;1,Regn2!BI102,"")</f>
        <v/>
      </c>
      <c r="DP38" s="15" t="s">
        <v>188</v>
      </c>
      <c r="DR38" s="38"/>
      <c r="DS38" s="15" t="s">
        <v>188</v>
      </c>
      <c r="DU38" s="15" t="str">
        <f>IF(Regn2!$T102&lt;=1,"",VLOOKUP(Regn2!$T102,Efgr,2))</f>
        <v/>
      </c>
      <c r="DW38" s="25" t="str">
        <f>IF(Regn2!$T102&gt;1,Regn2!BN102,"")</f>
        <v/>
      </c>
      <c r="DX38" s="15" t="s">
        <v>82</v>
      </c>
      <c r="DZ38" s="16"/>
      <c r="EA38" s="15" t="s">
        <v>82</v>
      </c>
      <c r="EC38" s="17"/>
      <c r="ED38" s="15" t="s">
        <v>1504</v>
      </c>
      <c r="EF38" s="17"/>
      <c r="EG38" s="15" t="s">
        <v>1793</v>
      </c>
      <c r="EI38" s="16"/>
      <c r="EJ38" s="15" t="s">
        <v>82</v>
      </c>
      <c r="EL38" s="16">
        <v>75</v>
      </c>
      <c r="EM38" s="15" t="s">
        <v>205</v>
      </c>
      <c r="EO38" s="25">
        <f>EI38*EL38*0.01</f>
        <v>0</v>
      </c>
      <c r="EP38" s="15" t="s">
        <v>82</v>
      </c>
      <c r="ER38" s="17"/>
      <c r="ES38" s="15" t="s">
        <v>82</v>
      </c>
      <c r="EV38" s="17"/>
      <c r="EW38" s="15" t="s">
        <v>1504</v>
      </c>
      <c r="EY38" s="17"/>
      <c r="EZ38" s="15" t="s">
        <v>1793</v>
      </c>
      <c r="FB38" s="25" t="str">
        <f>IF(Regn2!$T102&gt;1,Regn2!BQ102,"")</f>
        <v/>
      </c>
      <c r="FC38" s="15" t="str">
        <f>IF(Regn2!$T102&gt;1,Regn2!BT102,"")</f>
        <v/>
      </c>
      <c r="FE38" s="16"/>
      <c r="FF38" s="15" t="str">
        <f>IF(Regn2!$T102&gt;1,Regn2!BT102,"")</f>
        <v/>
      </c>
      <c r="FL38" s="32" t="str">
        <f>IF(Regn2!$R102&gt;1,NniveauDelsaedsk1,"")</f>
        <v/>
      </c>
      <c r="FM38" s="15" t="s">
        <v>82</v>
      </c>
      <c r="FO38" s="17"/>
      <c r="FP38" s="15" t="s">
        <v>82</v>
      </c>
      <c r="FR38" s="32" t="str">
        <f>IF(Regn2!$R102&gt;1,Regn2!HU102,"")</f>
        <v/>
      </c>
      <c r="FS38" s="15" t="s">
        <v>531</v>
      </c>
      <c r="FU38" s="17"/>
      <c r="FV38" s="15" t="s">
        <v>531</v>
      </c>
      <c r="FX38" s="32" t="str">
        <f>IF(Regn2!$R102&gt;1,Regn2!HR102,"")</f>
        <v/>
      </c>
      <c r="FY38" s="15" t="s">
        <v>531</v>
      </c>
      <c r="GA38" s="17"/>
      <c r="GB38" s="15" t="s">
        <v>531</v>
      </c>
      <c r="GD38" s="15" t="str">
        <f>IF(Regn2!$R102&gt;1,RetentionNbal,"")</f>
        <v/>
      </c>
      <c r="GE38" s="15" t="s">
        <v>205</v>
      </c>
      <c r="GF38" s="17"/>
      <c r="GG38" s="15" t="s">
        <v>205</v>
      </c>
      <c r="GI38" s="15" t="str">
        <f>IF(Regn2!$R102&lt;=1,"",VLOOKUP(Regn2!$R102,Afgr,2))</f>
        <v/>
      </c>
      <c r="GK38" s="25" t="str">
        <f>IF(Regn2!$R102&gt;1,Regn2!IO102,"")</f>
        <v/>
      </c>
      <c r="GL38" s="15" t="s">
        <v>188</v>
      </c>
      <c r="GN38" s="16"/>
      <c r="GO38" s="15" t="s">
        <v>188</v>
      </c>
      <c r="GQ38" s="25" t="str">
        <f>IF(Regn2!$R102&gt;1,Regn2!JK102,"")</f>
        <v/>
      </c>
      <c r="GR38" s="15" t="s">
        <v>188</v>
      </c>
      <c r="GT38" s="16"/>
      <c r="GU38" s="15" t="s">
        <v>188</v>
      </c>
      <c r="GW38" s="25" t="str">
        <f>IF(Regn2!$R102&gt;1,Regn2!JO102,"")</f>
        <v/>
      </c>
      <c r="GX38" s="15" t="s">
        <v>188</v>
      </c>
      <c r="GZ38" s="16"/>
      <c r="HA38" s="15" t="s">
        <v>188</v>
      </c>
      <c r="HC38" s="25" t="str">
        <f>IF(Regn2!$R102&gt;1,Regn2!JS102,"")</f>
        <v/>
      </c>
      <c r="HD38" s="15" t="s">
        <v>188</v>
      </c>
      <c r="HF38" s="16"/>
      <c r="HG38" s="15" t="s">
        <v>188</v>
      </c>
      <c r="HI38" s="25" t="str">
        <f>IF(Regn2!$R102&gt;1,Regn2!JY102,"")</f>
        <v/>
      </c>
      <c r="HJ38" s="15" t="s">
        <v>362</v>
      </c>
      <c r="HL38" s="16"/>
      <c r="HM38" s="15" t="s">
        <v>188</v>
      </c>
      <c r="HO38" s="25" t="str">
        <f>IF(Regn2!$R102&gt;1,Regn2!KL102,"")</f>
        <v/>
      </c>
      <c r="HP38" s="15" t="s">
        <v>188</v>
      </c>
      <c r="HR38" s="16"/>
      <c r="HS38" s="15" t="s">
        <v>188</v>
      </c>
      <c r="HU38" s="25" t="str">
        <f>IF(Regn2!$R102&gt;1,Regn2!KP102,"")</f>
        <v/>
      </c>
      <c r="HV38" s="15" t="s">
        <v>188</v>
      </c>
      <c r="HX38" s="16"/>
      <c r="HY38" s="15" t="s">
        <v>188</v>
      </c>
      <c r="IA38" s="25" t="str">
        <f>IF(Regn2!$R102&gt;1,Regn2!KT102,"")</f>
        <v/>
      </c>
      <c r="IB38" s="15" t="s">
        <v>188</v>
      </c>
      <c r="ID38" s="16"/>
      <c r="IE38" s="15" t="s">
        <v>188</v>
      </c>
      <c r="IG38" s="25" t="str">
        <f>IF(Regn2!$R102&gt;1,Regn2!KX102,"")</f>
        <v/>
      </c>
      <c r="IH38" s="15" t="s">
        <v>531</v>
      </c>
      <c r="IJ38" s="16"/>
      <c r="IK38" s="15" t="s">
        <v>531</v>
      </c>
      <c r="IM38" s="25" t="str">
        <f>IF(Regn2!$R102&gt;1,Regn2!KZ102,"")</f>
        <v/>
      </c>
      <c r="IN38" s="15" t="s">
        <v>188</v>
      </c>
      <c r="IP38" s="16"/>
      <c r="IQ38" s="15" t="s">
        <v>188</v>
      </c>
      <c r="IS38" s="25" t="str">
        <f>IF(Regn2!$R102&gt;1,Regn2!LG102,"")</f>
        <v/>
      </c>
      <c r="IT38" s="15" t="s">
        <v>188</v>
      </c>
      <c r="IV38" s="16"/>
      <c r="IW38" s="15" t="s">
        <v>405</v>
      </c>
      <c r="IY38" s="25" t="str">
        <f>IF(Regn2!$R102&gt;1,Regn2!LM102,"")</f>
        <v/>
      </c>
      <c r="IZ38" s="15" t="s">
        <v>188</v>
      </c>
      <c r="JB38" s="16"/>
      <c r="JC38" s="15" t="s">
        <v>188</v>
      </c>
      <c r="JH38" s="25" t="str">
        <f>IF(Regn2!$R102&gt;1,Regn2!LQ102,"")</f>
        <v/>
      </c>
      <c r="JI38" s="15" t="s">
        <v>188</v>
      </c>
      <c r="JK38" s="16"/>
      <c r="JL38" s="15" t="s">
        <v>188</v>
      </c>
      <c r="JN38" s="15" t="str">
        <f>IF(Regn2!$T102&lt;=1,"",VLOOKUP(Regn2!$T102,Efgr,2))</f>
        <v/>
      </c>
      <c r="JP38" s="25" t="str">
        <f>IF(Regn2!$T102&gt;1,Regn2!LU102,"")</f>
        <v/>
      </c>
      <c r="JQ38" s="15" t="s">
        <v>188</v>
      </c>
      <c r="JS38" s="16"/>
      <c r="JT38" s="15" t="s">
        <v>188</v>
      </c>
      <c r="JV38" s="25" t="str">
        <f>IF(Regn2!$T102&gt;1,Regn2!MN102,"")</f>
        <v/>
      </c>
      <c r="JW38" s="15" t="s">
        <v>188</v>
      </c>
      <c r="JY38" s="16"/>
      <c r="JZ38" s="15" t="s">
        <v>188</v>
      </c>
      <c r="KB38" s="25" t="str">
        <f>IF(Regn2!$T102&gt;1,Regn2!MR102,"")</f>
        <v/>
      </c>
      <c r="KC38" s="15" t="s">
        <v>188</v>
      </c>
      <c r="KE38" s="16"/>
      <c r="KF38" s="15" t="s">
        <v>188</v>
      </c>
      <c r="KH38" s="25" t="str">
        <f>IF(Regn2!$T102&gt;1,Regn2!MV102,"")</f>
        <v/>
      </c>
      <c r="KI38" s="15" t="s">
        <v>188</v>
      </c>
      <c r="KK38" s="16"/>
      <c r="KL38" s="15" t="s">
        <v>188</v>
      </c>
      <c r="KN38" s="25" t="str">
        <f>IF(Regn2!$T102&gt;1,Regn2!NB102,"")</f>
        <v/>
      </c>
      <c r="KO38" s="15" t="s">
        <v>188</v>
      </c>
      <c r="KQ38" s="16"/>
      <c r="KR38" s="15" t="s">
        <v>188</v>
      </c>
      <c r="KT38" s="25" t="str">
        <f>IF(Regn2!$T102&gt;1,Regn2!NF102,"")</f>
        <v/>
      </c>
      <c r="KU38" s="15" t="s">
        <v>188</v>
      </c>
      <c r="KW38" s="16"/>
      <c r="KX38" s="15" t="s">
        <v>188</v>
      </c>
      <c r="KZ38" s="25" t="str">
        <f>IF(Regn2!$T102&gt;1,Regn2!NJ102,"")</f>
        <v/>
      </c>
      <c r="LA38" s="15" t="s">
        <v>188</v>
      </c>
      <c r="LC38" s="16"/>
      <c r="LD38" s="15" t="s">
        <v>188</v>
      </c>
      <c r="LF38" s="25" t="str">
        <f>IF(Regn2!$T102&gt;1,Regn2!NN102,"")</f>
        <v/>
      </c>
      <c r="LG38" s="15" t="s">
        <v>531</v>
      </c>
      <c r="LI38" s="16"/>
      <c r="LJ38" s="15" t="s">
        <v>531</v>
      </c>
      <c r="LL38" s="25" t="str">
        <f>IF(Regn2!$T102&gt;1,Regn2!NP102,"")</f>
        <v/>
      </c>
      <c r="LM38" s="15" t="s">
        <v>188</v>
      </c>
      <c r="LO38" s="16"/>
      <c r="LP38" s="15" t="s">
        <v>188</v>
      </c>
      <c r="LR38" s="25" t="str">
        <f>IF(Regn2!$T102&gt;1,Regn2!NV102,"")</f>
        <v/>
      </c>
      <c r="LS38" s="15" t="s">
        <v>188</v>
      </c>
      <c r="LU38" s="16"/>
      <c r="LV38" s="15" t="s">
        <v>188</v>
      </c>
      <c r="LX38" s="25" t="str">
        <f>IF(Regn2!$T102&gt;1,Regn2!NZ102,"")</f>
        <v/>
      </c>
      <c r="LY38" s="15" t="s">
        <v>188</v>
      </c>
      <c r="MA38" s="16"/>
      <c r="MB38" s="15" t="s">
        <v>188</v>
      </c>
    </row>
    <row r="39" spans="2:340" ht="8.1" customHeight="1" x14ac:dyDescent="0.25"/>
    <row r="40" spans="2:340" x14ac:dyDescent="0.25">
      <c r="B40" s="240" t="s">
        <v>2358</v>
      </c>
      <c r="AG40" s="36">
        <v>5.05</v>
      </c>
      <c r="AH40" s="15" t="s">
        <v>85</v>
      </c>
      <c r="AL40" s="15" t="str">
        <f>IF(Regn2!$R40&lt;=1,"",VLOOKUP(Regn2!$R40,Afgr,2))</f>
        <v>Permanent græs</v>
      </c>
      <c r="AN40" s="32">
        <f>IF(Regn2!$R40&gt;1,Regn2!AE40,"")</f>
        <v>134</v>
      </c>
      <c r="AO40" s="15" t="s">
        <v>82</v>
      </c>
      <c r="AQ40" s="17"/>
      <c r="AR40" s="15" t="s">
        <v>82</v>
      </c>
      <c r="AT40" s="37"/>
      <c r="AU40" s="15" t="s">
        <v>82</v>
      </c>
      <c r="AX40" s="17"/>
      <c r="AY40" s="15" t="s">
        <v>82</v>
      </c>
      <c r="BA40" s="17"/>
      <c r="BB40" s="15" t="s">
        <v>1504</v>
      </c>
      <c r="BD40" s="17"/>
      <c r="BE40" s="15" t="s">
        <v>1793</v>
      </c>
      <c r="BH40" s="17"/>
      <c r="BI40" s="15" t="s">
        <v>82</v>
      </c>
      <c r="BJ40" s="37">
        <v>75</v>
      </c>
      <c r="BK40" s="15" t="s">
        <v>205</v>
      </c>
      <c r="BM40" s="37"/>
      <c r="BN40" s="15" t="s">
        <v>82</v>
      </c>
      <c r="BP40" s="37">
        <v>74.23</v>
      </c>
      <c r="BQ40" s="15" t="s">
        <v>205</v>
      </c>
      <c r="BT40" s="17"/>
      <c r="BU40" s="15" t="s">
        <v>82</v>
      </c>
      <c r="BW40" s="17"/>
      <c r="BX40" s="15" t="s">
        <v>82</v>
      </c>
      <c r="BY40" s="37">
        <v>75</v>
      </c>
      <c r="BZ40" s="15" t="s">
        <v>205</v>
      </c>
      <c r="CB40" s="17"/>
      <c r="CC40" s="15" t="s">
        <v>1504</v>
      </c>
      <c r="CE40" s="17"/>
      <c r="CF40" s="15" t="s">
        <v>1793</v>
      </c>
      <c r="CH40" s="55">
        <f>IF(Regn2!$R40&gt;1,Regn2!AL40,"")</f>
        <v>3000</v>
      </c>
      <c r="CI40" s="15" t="str">
        <f>IF(Regn2!AO40&lt;&gt;0,Regn2!AO40,"")</f>
        <v>FE</v>
      </c>
      <c r="CK40" s="16"/>
      <c r="CL40" s="15" t="str">
        <f>IF(Regn2!AO40&lt;&gt;0,Regn2!AO40,"")</f>
        <v>FE</v>
      </c>
      <c r="CN40" s="33">
        <f>IF(Regn2!$R40&gt;1,Regn2!DK40,"")</f>
        <v>14</v>
      </c>
      <c r="CO40" s="15" t="s">
        <v>201</v>
      </c>
      <c r="CQ40" s="38"/>
      <c r="CR40" s="15" t="s">
        <v>201</v>
      </c>
      <c r="CT40" s="55">
        <f>IF(Regn2!$R40&gt;1,Regn2!AR40,"")</f>
        <v>1.2</v>
      </c>
      <c r="CU40" s="15" t="s">
        <v>188</v>
      </c>
      <c r="CW40" s="124"/>
      <c r="CX40" s="15" t="s">
        <v>188</v>
      </c>
      <c r="CZ40" s="25">
        <f>IF(Regn2!$R40&gt;1,Regn2!AW40,"")</f>
        <v>0</v>
      </c>
      <c r="DA40" s="15" t="s">
        <v>188</v>
      </c>
      <c r="DC40" s="17"/>
      <c r="DD40" s="15" t="s">
        <v>188</v>
      </c>
      <c r="DF40" s="25">
        <f>IF(Regn2!$R40&gt;1,Regn2!BB40,"")</f>
        <v>0</v>
      </c>
      <c r="DG40" s="15" t="s">
        <v>192</v>
      </c>
      <c r="DI40" s="16"/>
      <c r="DJ40" s="15" t="s">
        <v>192</v>
      </c>
      <c r="DO40" s="33">
        <f>IF(Regn2!$R40&gt;1,Regn2!BI40,"")</f>
        <v>0</v>
      </c>
      <c r="DP40" s="15" t="s">
        <v>188</v>
      </c>
      <c r="DR40" s="38"/>
      <c r="DS40" s="15" t="s">
        <v>188</v>
      </c>
      <c r="DU40" s="15" t="str">
        <f>IF(Regn2!$T40&lt;=1,"",VLOOKUP(Regn2!$T40,Efgr,2))</f>
        <v/>
      </c>
      <c r="DW40" s="25" t="str">
        <f>IF(Regn2!$T40&gt;1,Regn2!BN40,"")</f>
        <v/>
      </c>
      <c r="DX40" s="15" t="s">
        <v>82</v>
      </c>
      <c r="DZ40" s="16"/>
      <c r="EA40" s="15" t="s">
        <v>82</v>
      </c>
      <c r="EC40" s="17"/>
      <c r="ED40" s="15" t="s">
        <v>1504</v>
      </c>
      <c r="EF40" s="17"/>
      <c r="EG40" s="15" t="s">
        <v>1793</v>
      </c>
      <c r="EI40" s="16"/>
      <c r="EJ40" s="15" t="s">
        <v>82</v>
      </c>
      <c r="EL40" s="16">
        <v>75</v>
      </c>
      <c r="EM40" s="15" t="s">
        <v>205</v>
      </c>
      <c r="EO40" s="25">
        <f>EI40*EL40*0.01</f>
        <v>0</v>
      </c>
      <c r="EP40" s="15" t="s">
        <v>82</v>
      </c>
      <c r="ER40" s="17"/>
      <c r="ES40" s="15" t="s">
        <v>82</v>
      </c>
      <c r="EV40" s="17"/>
      <c r="EW40" s="15" t="s">
        <v>1504</v>
      </c>
      <c r="EY40" s="17"/>
      <c r="EZ40" s="15" t="s">
        <v>1793</v>
      </c>
      <c r="FB40" s="25" t="str">
        <f>IF(Regn2!$T40&gt;1,Regn2!BQ40,"")</f>
        <v/>
      </c>
      <c r="FC40" s="15" t="str">
        <f>IF(Regn2!$T40&gt;1,Regn2!BT40,"")</f>
        <v/>
      </c>
      <c r="FE40" s="16"/>
      <c r="FF40" s="15" t="str">
        <f>IF(Regn2!$T40&gt;1,Regn2!BT40,"")</f>
        <v/>
      </c>
      <c r="FL40" s="32">
        <f>IF(Regn2!$R40&gt;1,NniveauDelsaedsk1,"")</f>
        <v>194</v>
      </c>
      <c r="FM40" s="15" t="s">
        <v>82</v>
      </c>
      <c r="FO40" s="17"/>
      <c r="FP40" s="15" t="s">
        <v>82</v>
      </c>
      <c r="FR40" s="32">
        <f>IF(Regn2!$R40&gt;1,Regn2!HU40,"")</f>
        <v>272.32333333333298</v>
      </c>
      <c r="FS40" s="15" t="s">
        <v>531</v>
      </c>
      <c r="FU40" s="17"/>
      <c r="FV40" s="15" t="s">
        <v>531</v>
      </c>
      <c r="FX40" s="32">
        <f>IF(Regn2!$R40&gt;1,Regn2!HR40,"")</f>
        <v>272.32333333333298</v>
      </c>
      <c r="FY40" s="15" t="s">
        <v>531</v>
      </c>
      <c r="GA40" s="17"/>
      <c r="GB40" s="15" t="s">
        <v>531</v>
      </c>
      <c r="GD40" s="15">
        <f>IF(Regn2!$R40&gt;1,RetentionNbal,"")</f>
        <v>65</v>
      </c>
      <c r="GE40" s="15" t="s">
        <v>205</v>
      </c>
      <c r="GF40" s="17"/>
      <c r="GG40" s="15" t="s">
        <v>205</v>
      </c>
      <c r="GI40" s="15" t="str">
        <f>IF(Regn2!$R40&lt;=1,"",VLOOKUP(Regn2!$R40,Afgr,2))</f>
        <v>Permanent græs</v>
      </c>
      <c r="GK40" s="25">
        <f>IF(Regn2!$R40&gt;1,Regn2!IO40,"")</f>
        <v>0</v>
      </c>
      <c r="GL40" s="15" t="s">
        <v>188</v>
      </c>
      <c r="GN40" s="16"/>
      <c r="GO40" s="15" t="s">
        <v>188</v>
      </c>
      <c r="GQ40" s="25">
        <f>IF(Regn2!$R40&gt;1,Regn2!JK40,"")</f>
        <v>0</v>
      </c>
      <c r="GR40" s="15" t="s">
        <v>188</v>
      </c>
      <c r="GT40" s="16"/>
      <c r="GU40" s="15" t="s">
        <v>188</v>
      </c>
      <c r="GW40" s="25">
        <f>IF(Regn2!$R40&gt;1,Regn2!JO40,"")</f>
        <v>0</v>
      </c>
      <c r="GX40" s="15" t="s">
        <v>188</v>
      </c>
      <c r="GZ40" s="16"/>
      <c r="HA40" s="15" t="s">
        <v>188</v>
      </c>
      <c r="HC40" s="25">
        <f>IF(Regn2!$R40&gt;1,Regn2!JS40,"")</f>
        <v>0</v>
      </c>
      <c r="HD40" s="15" t="s">
        <v>188</v>
      </c>
      <c r="HF40" s="16"/>
      <c r="HG40" s="15" t="s">
        <v>188</v>
      </c>
      <c r="HI40" s="25">
        <f>IF(Regn2!$R40&gt;1,Regn2!JY40,"")</f>
        <v>0</v>
      </c>
      <c r="HJ40" s="15" t="s">
        <v>362</v>
      </c>
      <c r="HL40" s="16"/>
      <c r="HM40" s="15" t="s">
        <v>188</v>
      </c>
      <c r="HO40" s="25">
        <f>IF(Regn2!$R40&gt;1,Regn2!KL40,"")</f>
        <v>0</v>
      </c>
      <c r="HP40" s="15" t="s">
        <v>188</v>
      </c>
      <c r="HR40" s="16"/>
      <c r="HS40" s="15" t="s">
        <v>188</v>
      </c>
      <c r="HU40" s="25">
        <f>IF(Regn2!$R40&gt;1,Regn2!KP40,"")</f>
        <v>280</v>
      </c>
      <c r="HV40" s="15" t="s">
        <v>188</v>
      </c>
      <c r="HX40" s="16"/>
      <c r="HY40" s="15" t="s">
        <v>188</v>
      </c>
      <c r="IA40" s="25">
        <f>IF(Regn2!$R40&gt;1,Regn2!KT40,"")</f>
        <v>0</v>
      </c>
      <c r="IB40" s="15" t="s">
        <v>188</v>
      </c>
      <c r="ID40" s="16"/>
      <c r="IE40" s="15" t="s">
        <v>188</v>
      </c>
      <c r="IG40" s="25">
        <f>IF(Regn2!$R40&gt;1,Regn2!KX40,"")</f>
        <v>0</v>
      </c>
      <c r="IH40" s="15" t="s">
        <v>531</v>
      </c>
      <c r="IJ40" s="16"/>
      <c r="IK40" s="15" t="s">
        <v>531</v>
      </c>
      <c r="IM40" s="25">
        <f>IF(Regn2!$R40&gt;1,Regn2!KZ40,"")</f>
        <v>0</v>
      </c>
      <c r="IN40" s="15" t="s">
        <v>188</v>
      </c>
      <c r="IP40" s="16"/>
      <c r="IQ40" s="15" t="s">
        <v>188</v>
      </c>
      <c r="IS40" s="25">
        <f>IF(Regn2!$R40&gt;1,Regn2!LG40,"")</f>
        <v>0</v>
      </c>
      <c r="IT40" s="15" t="s">
        <v>188</v>
      </c>
      <c r="IV40" s="16"/>
      <c r="IW40" s="15" t="s">
        <v>405</v>
      </c>
      <c r="IY40" s="25">
        <f>IF(Regn2!$R40&gt;1,Regn2!LM40,"")</f>
        <v>0</v>
      </c>
      <c r="IZ40" s="15" t="s">
        <v>188</v>
      </c>
      <c r="JB40" s="16"/>
      <c r="JC40" s="15" t="s">
        <v>188</v>
      </c>
      <c r="JH40" s="25">
        <f>IF(Regn2!$R40&gt;1,Regn2!LQ40,"")</f>
        <v>0</v>
      </c>
      <c r="JI40" s="15" t="s">
        <v>188</v>
      </c>
      <c r="JK40" s="16"/>
      <c r="JL40" s="15" t="s">
        <v>188</v>
      </c>
      <c r="JN40" s="15" t="str">
        <f>IF(Regn2!$T40&lt;=1,"",VLOOKUP(Regn2!$T40,Efgr,2))</f>
        <v/>
      </c>
      <c r="JP40" s="25" t="str">
        <f>IF(Regn2!$T40&gt;1,Regn2!LU40,"")</f>
        <v/>
      </c>
      <c r="JQ40" s="15" t="s">
        <v>188</v>
      </c>
      <c r="JS40" s="16"/>
      <c r="JT40" s="15" t="s">
        <v>188</v>
      </c>
      <c r="JV40" s="25" t="str">
        <f>IF(Regn2!$T40&gt;1,Regn2!MN40,"")</f>
        <v/>
      </c>
      <c r="JW40" s="15" t="s">
        <v>188</v>
      </c>
      <c r="JY40" s="16"/>
      <c r="JZ40" s="15" t="s">
        <v>188</v>
      </c>
      <c r="KB40" s="25" t="str">
        <f>IF(Regn2!$T40&gt;1,Regn2!MR40,"")</f>
        <v/>
      </c>
      <c r="KC40" s="15" t="s">
        <v>188</v>
      </c>
      <c r="KE40" s="16"/>
      <c r="KF40" s="15" t="s">
        <v>188</v>
      </c>
      <c r="KH40" s="25" t="str">
        <f>IF(Regn2!$T40&gt;1,Regn2!MV40,"")</f>
        <v/>
      </c>
      <c r="KI40" s="15" t="s">
        <v>188</v>
      </c>
      <c r="KK40" s="16"/>
      <c r="KL40" s="15" t="s">
        <v>188</v>
      </c>
      <c r="KN40" s="25" t="str">
        <f>IF(Regn2!$T40&gt;1,Regn2!NB40,"")</f>
        <v/>
      </c>
      <c r="KO40" s="15" t="s">
        <v>188</v>
      </c>
      <c r="KQ40" s="16"/>
      <c r="KR40" s="15" t="s">
        <v>188</v>
      </c>
      <c r="KT40" s="25" t="str">
        <f>IF(Regn2!$T40&gt;1,Regn2!NF40,"")</f>
        <v/>
      </c>
      <c r="KU40" s="15" t="s">
        <v>188</v>
      </c>
      <c r="KW40" s="16"/>
      <c r="KX40" s="15" t="s">
        <v>188</v>
      </c>
      <c r="KZ40" s="25" t="str">
        <f>IF(Regn2!$T40&gt;1,Regn2!NJ40,"")</f>
        <v/>
      </c>
      <c r="LA40" s="15" t="s">
        <v>188</v>
      </c>
      <c r="LC40" s="16"/>
      <c r="LD40" s="15" t="s">
        <v>188</v>
      </c>
      <c r="LF40" s="25" t="str">
        <f>IF(Regn2!$T40&gt;1,Regn2!NN40,"")</f>
        <v/>
      </c>
      <c r="LG40" s="15" t="s">
        <v>531</v>
      </c>
      <c r="LI40" s="16"/>
      <c r="LJ40" s="15" t="s">
        <v>531</v>
      </c>
      <c r="LL40" s="25" t="str">
        <f>IF(Regn2!$T40&gt;1,Regn2!NP40,"")</f>
        <v/>
      </c>
      <c r="LM40" s="15" t="s">
        <v>188</v>
      </c>
      <c r="LO40" s="16"/>
      <c r="LP40" s="15" t="s">
        <v>188</v>
      </c>
      <c r="LR40" s="25" t="str">
        <f>IF(Regn2!$T40&gt;1,Regn2!NV40,"")</f>
        <v/>
      </c>
      <c r="LS40" s="15" t="s">
        <v>188</v>
      </c>
      <c r="LU40" s="16"/>
      <c r="LV40" s="15" t="s">
        <v>188</v>
      </c>
      <c r="LX40" s="25" t="str">
        <f>IF(Regn2!$T40&gt;1,Regn2!NZ40,"")</f>
        <v/>
      </c>
      <c r="LY40" s="15" t="s">
        <v>188</v>
      </c>
      <c r="MA40" s="16"/>
      <c r="MB40" s="15" t="s">
        <v>188</v>
      </c>
    </row>
    <row r="41" spans="2:340" ht="8.1" customHeight="1" x14ac:dyDescent="0.25"/>
    <row r="42" spans="2:340" x14ac:dyDescent="0.25">
      <c r="B42" s="240" t="s">
        <v>2359</v>
      </c>
      <c r="AG42" s="36">
        <v>2.38</v>
      </c>
      <c r="AH42" s="15" t="s">
        <v>85</v>
      </c>
      <c r="AL42" s="15" t="str">
        <f>IF(Regn2!$R42&lt;=1,"",VLOOKUP(Regn2!$R42,Afgr,2))</f>
        <v>Permanent græs</v>
      </c>
      <c r="AN42" s="32">
        <f>IF(Regn2!$R42&gt;1,Regn2!AE42,"")</f>
        <v>134</v>
      </c>
      <c r="AO42" s="15" t="s">
        <v>82</v>
      </c>
      <c r="AQ42" s="17"/>
      <c r="AR42" s="15" t="s">
        <v>82</v>
      </c>
      <c r="AT42" s="37"/>
      <c r="AU42" s="15" t="s">
        <v>82</v>
      </c>
      <c r="AX42" s="17"/>
      <c r="AY42" s="15" t="s">
        <v>82</v>
      </c>
      <c r="BA42" s="17"/>
      <c r="BB42" s="15" t="s">
        <v>1504</v>
      </c>
      <c r="BD42" s="17"/>
      <c r="BE42" s="15" t="s">
        <v>1793</v>
      </c>
      <c r="BH42" s="17"/>
      <c r="BI42" s="15" t="s">
        <v>82</v>
      </c>
      <c r="BJ42" s="37">
        <v>75</v>
      </c>
      <c r="BK42" s="15" t="s">
        <v>205</v>
      </c>
      <c r="BM42" s="37"/>
      <c r="BN42" s="15" t="s">
        <v>82</v>
      </c>
      <c r="BP42" s="37">
        <v>74.23</v>
      </c>
      <c r="BQ42" s="15" t="s">
        <v>205</v>
      </c>
      <c r="BT42" s="17"/>
      <c r="BU42" s="15" t="s">
        <v>82</v>
      </c>
      <c r="BW42" s="17"/>
      <c r="BX42" s="15" t="s">
        <v>82</v>
      </c>
      <c r="BY42" s="37">
        <v>75</v>
      </c>
      <c r="BZ42" s="15" t="s">
        <v>205</v>
      </c>
      <c r="CB42" s="17"/>
      <c r="CC42" s="15" t="s">
        <v>1504</v>
      </c>
      <c r="CE42" s="17"/>
      <c r="CF42" s="15" t="s">
        <v>1793</v>
      </c>
      <c r="CH42" s="55">
        <f>IF(Regn2!$R42&gt;1,Regn2!AL42,"")</f>
        <v>3000</v>
      </c>
      <c r="CI42" s="15" t="str">
        <f>IF(Regn2!AO42&lt;&gt;0,Regn2!AO42,"")</f>
        <v>FE</v>
      </c>
      <c r="CK42" s="16"/>
      <c r="CL42" s="15" t="str">
        <f>IF(Regn2!AO42&lt;&gt;0,Regn2!AO42,"")</f>
        <v>FE</v>
      </c>
      <c r="CN42" s="33">
        <f>IF(Regn2!$R42&gt;1,Regn2!DK42,"")</f>
        <v>14</v>
      </c>
      <c r="CO42" s="15" t="s">
        <v>201</v>
      </c>
      <c r="CQ42" s="38"/>
      <c r="CR42" s="15" t="s">
        <v>201</v>
      </c>
      <c r="CT42" s="55">
        <f>IF(Regn2!$R42&gt;1,Regn2!AR42,"")</f>
        <v>1.2</v>
      </c>
      <c r="CU42" s="15" t="s">
        <v>188</v>
      </c>
      <c r="CW42" s="124"/>
      <c r="CX42" s="15" t="s">
        <v>188</v>
      </c>
      <c r="CZ42" s="25">
        <f>IF(Regn2!$R42&gt;1,Regn2!AW42,"")</f>
        <v>0</v>
      </c>
      <c r="DA42" s="15" t="s">
        <v>188</v>
      </c>
      <c r="DC42" s="17"/>
      <c r="DD42" s="15" t="s">
        <v>188</v>
      </c>
      <c r="DF42" s="25">
        <f>IF(Regn2!$R42&gt;1,Regn2!BB42,"")</f>
        <v>0</v>
      </c>
      <c r="DG42" s="15" t="s">
        <v>192</v>
      </c>
      <c r="DI42" s="16"/>
      <c r="DJ42" s="15" t="s">
        <v>192</v>
      </c>
      <c r="DO42" s="33">
        <f>IF(Regn2!$R42&gt;1,Regn2!BI42,"")</f>
        <v>0</v>
      </c>
      <c r="DP42" s="15" t="s">
        <v>188</v>
      </c>
      <c r="DR42" s="38"/>
      <c r="DS42" s="15" t="s">
        <v>188</v>
      </c>
      <c r="DU42" s="15" t="str">
        <f>IF(Regn2!$T42&lt;=1,"",VLOOKUP(Regn2!$T42,Efgr,2))</f>
        <v/>
      </c>
      <c r="DW42" s="25" t="str">
        <f>IF(Regn2!$T42&gt;1,Regn2!BN42,"")</f>
        <v/>
      </c>
      <c r="DX42" s="15" t="s">
        <v>82</v>
      </c>
      <c r="DZ42" s="16"/>
      <c r="EA42" s="15" t="s">
        <v>82</v>
      </c>
      <c r="EC42" s="17"/>
      <c r="ED42" s="15" t="s">
        <v>1504</v>
      </c>
      <c r="EF42" s="17"/>
      <c r="EG42" s="15" t="s">
        <v>1793</v>
      </c>
      <c r="EI42" s="16"/>
      <c r="EJ42" s="15" t="s">
        <v>82</v>
      </c>
      <c r="EL42" s="16">
        <v>75</v>
      </c>
      <c r="EM42" s="15" t="s">
        <v>205</v>
      </c>
      <c r="EO42" s="25">
        <f>EI42*EL42*0.01</f>
        <v>0</v>
      </c>
      <c r="EP42" s="15" t="s">
        <v>82</v>
      </c>
      <c r="ER42" s="17"/>
      <c r="ES42" s="15" t="s">
        <v>82</v>
      </c>
      <c r="EV42" s="17"/>
      <c r="EW42" s="15" t="s">
        <v>1504</v>
      </c>
      <c r="EY42" s="17"/>
      <c r="EZ42" s="15" t="s">
        <v>1793</v>
      </c>
      <c r="FB42" s="25" t="str">
        <f>IF(Regn2!$T42&gt;1,Regn2!BQ42,"")</f>
        <v/>
      </c>
      <c r="FC42" s="15" t="str">
        <f>IF(Regn2!$T42&gt;1,Regn2!BT42,"")</f>
        <v/>
      </c>
      <c r="FE42" s="16"/>
      <c r="FF42" s="15" t="str">
        <f>IF(Regn2!$T42&gt;1,Regn2!BT42,"")</f>
        <v/>
      </c>
      <c r="FL42" s="32">
        <f>IF(Regn2!$R42&gt;1,NniveauDelsaedsk1,"")</f>
        <v>194</v>
      </c>
      <c r="FM42" s="15" t="s">
        <v>82</v>
      </c>
      <c r="FO42" s="17"/>
      <c r="FP42" s="15" t="s">
        <v>82</v>
      </c>
      <c r="FR42" s="32">
        <f>IF(Regn2!$R42&gt;1,Regn2!HU42,"")</f>
        <v>272.32333333333298</v>
      </c>
      <c r="FS42" s="15" t="s">
        <v>531</v>
      </c>
      <c r="FU42" s="17"/>
      <c r="FV42" s="15" t="s">
        <v>531</v>
      </c>
      <c r="FX42" s="32">
        <f>IF(Regn2!$R42&gt;1,Regn2!HR42,"")</f>
        <v>272.32333333333298</v>
      </c>
      <c r="FY42" s="15" t="s">
        <v>531</v>
      </c>
      <c r="GA42" s="17"/>
      <c r="GB42" s="15" t="s">
        <v>531</v>
      </c>
      <c r="GD42" s="15">
        <f>IF(Regn2!$R42&gt;1,RetentionNbal,"")</f>
        <v>65</v>
      </c>
      <c r="GE42" s="15" t="s">
        <v>205</v>
      </c>
      <c r="GF42" s="17"/>
      <c r="GG42" s="15" t="s">
        <v>205</v>
      </c>
      <c r="GI42" s="15" t="str">
        <f>IF(Regn2!$R42&lt;=1,"",VLOOKUP(Regn2!$R42,Afgr,2))</f>
        <v>Permanent græs</v>
      </c>
      <c r="GK42" s="25">
        <f>IF(Regn2!$R42&gt;1,Regn2!IO42,"")</f>
        <v>0</v>
      </c>
      <c r="GL42" s="15" t="s">
        <v>188</v>
      </c>
      <c r="GN42" s="16"/>
      <c r="GO42" s="15" t="s">
        <v>188</v>
      </c>
      <c r="GQ42" s="25">
        <f>IF(Regn2!$R42&gt;1,Regn2!JK42,"")</f>
        <v>0</v>
      </c>
      <c r="GR42" s="15" t="s">
        <v>188</v>
      </c>
      <c r="GT42" s="16"/>
      <c r="GU42" s="15" t="s">
        <v>188</v>
      </c>
      <c r="GW42" s="25">
        <f>IF(Regn2!$R42&gt;1,Regn2!JO42,"")</f>
        <v>0</v>
      </c>
      <c r="GX42" s="15" t="s">
        <v>188</v>
      </c>
      <c r="GZ42" s="16"/>
      <c r="HA42" s="15" t="s">
        <v>188</v>
      </c>
      <c r="HC42" s="25">
        <f>IF(Regn2!$R42&gt;1,Regn2!JS42,"")</f>
        <v>0</v>
      </c>
      <c r="HD42" s="15" t="s">
        <v>188</v>
      </c>
      <c r="HF42" s="16"/>
      <c r="HG42" s="15" t="s">
        <v>188</v>
      </c>
      <c r="HI42" s="25">
        <f>IF(Regn2!$R42&gt;1,Regn2!JY42,"")</f>
        <v>0</v>
      </c>
      <c r="HJ42" s="15" t="s">
        <v>362</v>
      </c>
      <c r="HL42" s="16"/>
      <c r="HM42" s="15" t="s">
        <v>188</v>
      </c>
      <c r="HO42" s="25">
        <f>IF(Regn2!$R42&gt;1,Regn2!KL42,"")</f>
        <v>0</v>
      </c>
      <c r="HP42" s="15" t="s">
        <v>188</v>
      </c>
      <c r="HR42" s="16"/>
      <c r="HS42" s="15" t="s">
        <v>188</v>
      </c>
      <c r="HU42" s="25">
        <f>IF(Regn2!$R42&gt;1,Regn2!KP42,"")</f>
        <v>280</v>
      </c>
      <c r="HV42" s="15" t="s">
        <v>188</v>
      </c>
      <c r="HX42" s="16"/>
      <c r="HY42" s="15" t="s">
        <v>188</v>
      </c>
      <c r="IA42" s="25">
        <f>IF(Regn2!$R42&gt;1,Regn2!KT42,"")</f>
        <v>0</v>
      </c>
      <c r="IB42" s="15" t="s">
        <v>188</v>
      </c>
      <c r="ID42" s="16"/>
      <c r="IE42" s="15" t="s">
        <v>188</v>
      </c>
      <c r="IG42" s="25">
        <f>IF(Regn2!$R42&gt;1,Regn2!KX42,"")</f>
        <v>0</v>
      </c>
      <c r="IH42" s="15" t="s">
        <v>531</v>
      </c>
      <c r="IJ42" s="16"/>
      <c r="IK42" s="15" t="s">
        <v>531</v>
      </c>
      <c r="IM42" s="25">
        <f>IF(Regn2!$R42&gt;1,Regn2!KZ42,"")</f>
        <v>0</v>
      </c>
      <c r="IN42" s="15" t="s">
        <v>188</v>
      </c>
      <c r="IP42" s="16"/>
      <c r="IQ42" s="15" t="s">
        <v>188</v>
      </c>
      <c r="IS42" s="25">
        <f>IF(Regn2!$R42&gt;1,Regn2!LG42,"")</f>
        <v>0</v>
      </c>
      <c r="IT42" s="15" t="s">
        <v>188</v>
      </c>
      <c r="IV42" s="16"/>
      <c r="IW42" s="15" t="s">
        <v>405</v>
      </c>
      <c r="IY42" s="25">
        <f>IF(Regn2!$R42&gt;1,Regn2!LM42,"")</f>
        <v>0</v>
      </c>
      <c r="IZ42" s="15" t="s">
        <v>188</v>
      </c>
      <c r="JB42" s="16"/>
      <c r="JC42" s="15" t="s">
        <v>188</v>
      </c>
      <c r="JH42" s="25">
        <f>IF(Regn2!$R42&gt;1,Regn2!LQ42,"")</f>
        <v>0</v>
      </c>
      <c r="JI42" s="15" t="s">
        <v>188</v>
      </c>
      <c r="JK42" s="16"/>
      <c r="JL42" s="15" t="s">
        <v>188</v>
      </c>
      <c r="JN42" s="15" t="str">
        <f>IF(Regn2!$T42&lt;=1,"",VLOOKUP(Regn2!$T42,Efgr,2))</f>
        <v/>
      </c>
      <c r="JP42" s="25" t="str">
        <f>IF(Regn2!$T42&gt;1,Regn2!LU42,"")</f>
        <v/>
      </c>
      <c r="JQ42" s="15" t="s">
        <v>188</v>
      </c>
      <c r="JS42" s="16"/>
      <c r="JT42" s="15" t="s">
        <v>188</v>
      </c>
      <c r="JV42" s="25" t="str">
        <f>IF(Regn2!$T42&gt;1,Regn2!MN42,"")</f>
        <v/>
      </c>
      <c r="JW42" s="15" t="s">
        <v>188</v>
      </c>
      <c r="JY42" s="16"/>
      <c r="JZ42" s="15" t="s">
        <v>188</v>
      </c>
      <c r="KB42" s="25" t="str">
        <f>IF(Regn2!$T42&gt;1,Regn2!MR42,"")</f>
        <v/>
      </c>
      <c r="KC42" s="15" t="s">
        <v>188</v>
      </c>
      <c r="KE42" s="16"/>
      <c r="KF42" s="15" t="s">
        <v>188</v>
      </c>
      <c r="KH42" s="25" t="str">
        <f>IF(Regn2!$T42&gt;1,Regn2!MV42,"")</f>
        <v/>
      </c>
      <c r="KI42" s="15" t="s">
        <v>188</v>
      </c>
      <c r="KK42" s="16"/>
      <c r="KL42" s="15" t="s">
        <v>188</v>
      </c>
      <c r="KN42" s="25" t="str">
        <f>IF(Regn2!$T42&gt;1,Regn2!NB42,"")</f>
        <v/>
      </c>
      <c r="KO42" s="15" t="s">
        <v>188</v>
      </c>
      <c r="KQ42" s="16"/>
      <c r="KR42" s="15" t="s">
        <v>188</v>
      </c>
      <c r="KT42" s="25" t="str">
        <f>IF(Regn2!$T42&gt;1,Regn2!NF42,"")</f>
        <v/>
      </c>
      <c r="KU42" s="15" t="s">
        <v>188</v>
      </c>
      <c r="KW42" s="16"/>
      <c r="KX42" s="15" t="s">
        <v>188</v>
      </c>
      <c r="KZ42" s="25" t="str">
        <f>IF(Regn2!$T42&gt;1,Regn2!NJ42,"")</f>
        <v/>
      </c>
      <c r="LA42" s="15" t="s">
        <v>188</v>
      </c>
      <c r="LC42" s="16"/>
      <c r="LD42" s="15" t="s">
        <v>188</v>
      </c>
      <c r="LF42" s="25" t="str">
        <f>IF(Regn2!$T42&gt;1,Regn2!NN42,"")</f>
        <v/>
      </c>
      <c r="LG42" s="15" t="s">
        <v>531</v>
      </c>
      <c r="LI42" s="16"/>
      <c r="LJ42" s="15" t="s">
        <v>531</v>
      </c>
      <c r="LL42" s="25" t="str">
        <f>IF(Regn2!$T42&gt;1,Regn2!NP42,"")</f>
        <v/>
      </c>
      <c r="LM42" s="15" t="s">
        <v>188</v>
      </c>
      <c r="LO42" s="16"/>
      <c r="LP42" s="15" t="s">
        <v>188</v>
      </c>
      <c r="LR42" s="25" t="str">
        <f>IF(Regn2!$T42&gt;1,Regn2!NV42,"")</f>
        <v/>
      </c>
      <c r="LS42" s="15" t="s">
        <v>188</v>
      </c>
      <c r="LU42" s="16"/>
      <c r="LV42" s="15" t="s">
        <v>188</v>
      </c>
      <c r="LX42" s="25" t="str">
        <f>IF(Regn2!$T42&gt;1,Regn2!NZ42,"")</f>
        <v/>
      </c>
      <c r="LY42" s="15" t="s">
        <v>188</v>
      </c>
      <c r="MA42" s="16"/>
      <c r="MB42" s="15" t="s">
        <v>188</v>
      </c>
    </row>
    <row r="43" spans="2:340" ht="8.1" customHeight="1" x14ac:dyDescent="0.25"/>
    <row r="44" spans="2:340" x14ac:dyDescent="0.25">
      <c r="B44" s="240" t="s">
        <v>2360</v>
      </c>
      <c r="AG44" s="36">
        <v>1.1100000000000001</v>
      </c>
      <c r="AH44" s="15" t="s">
        <v>85</v>
      </c>
      <c r="AL44" s="15" t="str">
        <f>IF(Regn2!$R44&lt;=1,"",VLOOKUP(Regn2!$R44,Afgr,2))</f>
        <v>Permanent græs</v>
      </c>
      <c r="AN44" s="32">
        <f>IF(Regn2!$R44&gt;1,Regn2!AE44,"")</f>
        <v>134</v>
      </c>
      <c r="AO44" s="15" t="s">
        <v>82</v>
      </c>
      <c r="AQ44" s="17"/>
      <c r="AR44" s="15" t="s">
        <v>82</v>
      </c>
      <c r="AT44" s="37"/>
      <c r="AU44" s="15" t="s">
        <v>82</v>
      </c>
      <c r="AX44" s="17"/>
      <c r="AY44" s="15" t="s">
        <v>82</v>
      </c>
      <c r="BA44" s="17"/>
      <c r="BB44" s="15" t="s">
        <v>1504</v>
      </c>
      <c r="BD44" s="17"/>
      <c r="BE44" s="15" t="s">
        <v>1793</v>
      </c>
      <c r="BH44" s="17"/>
      <c r="BI44" s="15" t="s">
        <v>82</v>
      </c>
      <c r="BJ44" s="37">
        <v>75</v>
      </c>
      <c r="BK44" s="15" t="s">
        <v>205</v>
      </c>
      <c r="BM44" s="37"/>
      <c r="BN44" s="15" t="s">
        <v>82</v>
      </c>
      <c r="BP44" s="37">
        <v>74.23</v>
      </c>
      <c r="BQ44" s="15" t="s">
        <v>205</v>
      </c>
      <c r="BT44" s="17"/>
      <c r="BU44" s="15" t="s">
        <v>82</v>
      </c>
      <c r="BW44" s="17"/>
      <c r="BX44" s="15" t="s">
        <v>82</v>
      </c>
      <c r="BY44" s="37">
        <v>75</v>
      </c>
      <c r="BZ44" s="15" t="s">
        <v>205</v>
      </c>
      <c r="CB44" s="17"/>
      <c r="CC44" s="15" t="s">
        <v>1504</v>
      </c>
      <c r="CE44" s="17"/>
      <c r="CF44" s="15" t="s">
        <v>1793</v>
      </c>
      <c r="CH44" s="55">
        <f>IF(Regn2!$R44&gt;1,Regn2!AL44,"")</f>
        <v>3000</v>
      </c>
      <c r="CI44" s="15" t="str">
        <f>IF(Regn2!AO44&lt;&gt;0,Regn2!AO44,"")</f>
        <v>FE</v>
      </c>
      <c r="CK44" s="16"/>
      <c r="CL44" s="15" t="str">
        <f>IF(Regn2!AO44&lt;&gt;0,Regn2!AO44,"")</f>
        <v>FE</v>
      </c>
      <c r="CN44" s="33">
        <f>IF(Regn2!$R44&gt;1,Regn2!DK44,"")</f>
        <v>14</v>
      </c>
      <c r="CO44" s="15" t="s">
        <v>201</v>
      </c>
      <c r="CQ44" s="38"/>
      <c r="CR44" s="15" t="s">
        <v>201</v>
      </c>
      <c r="CT44" s="55">
        <f>IF(Regn2!$R44&gt;1,Regn2!AR44,"")</f>
        <v>1.2</v>
      </c>
      <c r="CU44" s="15" t="s">
        <v>188</v>
      </c>
      <c r="CW44" s="124"/>
      <c r="CX44" s="15" t="s">
        <v>188</v>
      </c>
      <c r="CZ44" s="25">
        <f>IF(Regn2!$R44&gt;1,Regn2!AW44,"")</f>
        <v>0</v>
      </c>
      <c r="DA44" s="15" t="s">
        <v>188</v>
      </c>
      <c r="DC44" s="17"/>
      <c r="DD44" s="15" t="s">
        <v>188</v>
      </c>
      <c r="DF44" s="25">
        <f>IF(Regn2!$R44&gt;1,Regn2!BB44,"")</f>
        <v>0</v>
      </c>
      <c r="DG44" s="15" t="s">
        <v>192</v>
      </c>
      <c r="DI44" s="16"/>
      <c r="DJ44" s="15" t="s">
        <v>192</v>
      </c>
      <c r="DO44" s="33">
        <f>IF(Regn2!$R44&gt;1,Regn2!BI44,"")</f>
        <v>0</v>
      </c>
      <c r="DP44" s="15" t="s">
        <v>188</v>
      </c>
      <c r="DR44" s="38"/>
      <c r="DS44" s="15" t="s">
        <v>188</v>
      </c>
      <c r="DU44" s="15" t="str">
        <f>IF(Regn2!$T44&lt;=1,"",VLOOKUP(Regn2!$T44,Efgr,2))</f>
        <v/>
      </c>
      <c r="DW44" s="25" t="str">
        <f>IF(Regn2!$T44&gt;1,Regn2!BN44,"")</f>
        <v/>
      </c>
      <c r="DX44" s="15" t="s">
        <v>82</v>
      </c>
      <c r="DZ44" s="16"/>
      <c r="EA44" s="15" t="s">
        <v>82</v>
      </c>
      <c r="EC44" s="17"/>
      <c r="ED44" s="15" t="s">
        <v>1504</v>
      </c>
      <c r="EF44" s="17"/>
      <c r="EG44" s="15" t="s">
        <v>1793</v>
      </c>
      <c r="EI44" s="16"/>
      <c r="EJ44" s="15" t="s">
        <v>82</v>
      </c>
      <c r="EL44" s="16">
        <v>75</v>
      </c>
      <c r="EM44" s="15" t="s">
        <v>205</v>
      </c>
      <c r="EO44" s="25">
        <f>EI44*EL44*0.01</f>
        <v>0</v>
      </c>
      <c r="EP44" s="15" t="s">
        <v>82</v>
      </c>
      <c r="ER44" s="17"/>
      <c r="ES44" s="15" t="s">
        <v>82</v>
      </c>
      <c r="EV44" s="17"/>
      <c r="EW44" s="15" t="s">
        <v>1504</v>
      </c>
      <c r="EY44" s="17"/>
      <c r="EZ44" s="15" t="s">
        <v>1793</v>
      </c>
      <c r="FB44" s="25" t="str">
        <f>IF(Regn2!$T44&gt;1,Regn2!BQ44,"")</f>
        <v/>
      </c>
      <c r="FC44" s="15" t="str">
        <f>IF(Regn2!$T44&gt;1,Regn2!BT44,"")</f>
        <v/>
      </c>
      <c r="FE44" s="16"/>
      <c r="FF44" s="15" t="str">
        <f>IF(Regn2!$T44&gt;1,Regn2!BT44,"")</f>
        <v/>
      </c>
      <c r="FL44" s="32">
        <f>IF(Regn2!$R44&gt;1,NniveauDelsaedsk1,"")</f>
        <v>194</v>
      </c>
      <c r="FM44" s="15" t="s">
        <v>82</v>
      </c>
      <c r="FO44" s="17"/>
      <c r="FP44" s="15" t="s">
        <v>82</v>
      </c>
      <c r="FR44" s="32">
        <f>IF(Regn2!$R44&gt;1,Regn2!HU44,"")</f>
        <v>272.32333333333298</v>
      </c>
      <c r="FS44" s="15" t="s">
        <v>531</v>
      </c>
      <c r="FU44" s="17"/>
      <c r="FV44" s="15" t="s">
        <v>531</v>
      </c>
      <c r="FX44" s="32">
        <f>IF(Regn2!$R44&gt;1,Regn2!HR44,"")</f>
        <v>272.32333333333298</v>
      </c>
      <c r="FY44" s="15" t="s">
        <v>531</v>
      </c>
      <c r="GA44" s="17"/>
      <c r="GB44" s="15" t="s">
        <v>531</v>
      </c>
      <c r="GD44" s="15">
        <f>IF(Regn2!$R44&gt;1,RetentionNbal,"")</f>
        <v>65</v>
      </c>
      <c r="GE44" s="15" t="s">
        <v>205</v>
      </c>
      <c r="GF44" s="17"/>
      <c r="GG44" s="15" t="s">
        <v>205</v>
      </c>
      <c r="GI44" s="15" t="str">
        <f>IF(Regn2!$R44&lt;=1,"",VLOOKUP(Regn2!$R44,Afgr,2))</f>
        <v>Permanent græs</v>
      </c>
      <c r="GK44" s="25">
        <f>IF(Regn2!$R44&gt;1,Regn2!IO44,"")</f>
        <v>0</v>
      </c>
      <c r="GL44" s="15" t="s">
        <v>188</v>
      </c>
      <c r="GN44" s="16"/>
      <c r="GO44" s="15" t="s">
        <v>188</v>
      </c>
      <c r="GQ44" s="25">
        <f>IF(Regn2!$R44&gt;1,Regn2!JK44,"")</f>
        <v>0</v>
      </c>
      <c r="GR44" s="15" t="s">
        <v>188</v>
      </c>
      <c r="GT44" s="16"/>
      <c r="GU44" s="15" t="s">
        <v>188</v>
      </c>
      <c r="GW44" s="25">
        <f>IF(Regn2!$R44&gt;1,Regn2!JO44,"")</f>
        <v>0</v>
      </c>
      <c r="GX44" s="15" t="s">
        <v>188</v>
      </c>
      <c r="GZ44" s="16"/>
      <c r="HA44" s="15" t="s">
        <v>188</v>
      </c>
      <c r="HC44" s="25">
        <f>IF(Regn2!$R44&gt;1,Regn2!JS44,"")</f>
        <v>0</v>
      </c>
      <c r="HD44" s="15" t="s">
        <v>188</v>
      </c>
      <c r="HF44" s="16"/>
      <c r="HG44" s="15" t="s">
        <v>188</v>
      </c>
      <c r="HI44" s="25">
        <f>IF(Regn2!$R44&gt;1,Regn2!JY44,"")</f>
        <v>0</v>
      </c>
      <c r="HJ44" s="15" t="s">
        <v>362</v>
      </c>
      <c r="HL44" s="16"/>
      <c r="HM44" s="15" t="s">
        <v>188</v>
      </c>
      <c r="HO44" s="25">
        <f>IF(Regn2!$R44&gt;1,Regn2!KL44,"")</f>
        <v>0</v>
      </c>
      <c r="HP44" s="15" t="s">
        <v>188</v>
      </c>
      <c r="HR44" s="16"/>
      <c r="HS44" s="15" t="s">
        <v>188</v>
      </c>
      <c r="HU44" s="25">
        <f>IF(Regn2!$R44&gt;1,Regn2!KP44,"")</f>
        <v>280</v>
      </c>
      <c r="HV44" s="15" t="s">
        <v>188</v>
      </c>
      <c r="HX44" s="16"/>
      <c r="HY44" s="15" t="s">
        <v>188</v>
      </c>
      <c r="IA44" s="25">
        <f>IF(Regn2!$R44&gt;1,Regn2!KT44,"")</f>
        <v>0</v>
      </c>
      <c r="IB44" s="15" t="s">
        <v>188</v>
      </c>
      <c r="ID44" s="16"/>
      <c r="IE44" s="15" t="s">
        <v>188</v>
      </c>
      <c r="IG44" s="25">
        <f>IF(Regn2!$R44&gt;1,Regn2!KX44,"")</f>
        <v>0</v>
      </c>
      <c r="IH44" s="15" t="s">
        <v>531</v>
      </c>
      <c r="IJ44" s="16"/>
      <c r="IK44" s="15" t="s">
        <v>531</v>
      </c>
      <c r="IM44" s="25">
        <f>IF(Regn2!$R44&gt;1,Regn2!KZ44,"")</f>
        <v>0</v>
      </c>
      <c r="IN44" s="15" t="s">
        <v>188</v>
      </c>
      <c r="IP44" s="16"/>
      <c r="IQ44" s="15" t="s">
        <v>188</v>
      </c>
      <c r="IS44" s="25">
        <f>IF(Regn2!$R44&gt;1,Regn2!LG44,"")</f>
        <v>0</v>
      </c>
      <c r="IT44" s="15" t="s">
        <v>188</v>
      </c>
      <c r="IV44" s="16"/>
      <c r="IW44" s="15" t="s">
        <v>405</v>
      </c>
      <c r="IY44" s="25">
        <f>IF(Regn2!$R44&gt;1,Regn2!LM44,"")</f>
        <v>0</v>
      </c>
      <c r="IZ44" s="15" t="s">
        <v>188</v>
      </c>
      <c r="JB44" s="16"/>
      <c r="JC44" s="15" t="s">
        <v>188</v>
      </c>
      <c r="JH44" s="25">
        <f>IF(Regn2!$R44&gt;1,Regn2!LQ44,"")</f>
        <v>0</v>
      </c>
      <c r="JI44" s="15" t="s">
        <v>188</v>
      </c>
      <c r="JK44" s="16"/>
      <c r="JL44" s="15" t="s">
        <v>188</v>
      </c>
      <c r="JN44" s="15" t="str">
        <f>IF(Regn2!$T44&lt;=1,"",VLOOKUP(Regn2!$T44,Efgr,2))</f>
        <v/>
      </c>
      <c r="JP44" s="25" t="str">
        <f>IF(Regn2!$T44&gt;1,Regn2!LU44,"")</f>
        <v/>
      </c>
      <c r="JQ44" s="15" t="s">
        <v>188</v>
      </c>
      <c r="JS44" s="16"/>
      <c r="JT44" s="15" t="s">
        <v>188</v>
      </c>
      <c r="JV44" s="25" t="str">
        <f>IF(Regn2!$T44&gt;1,Regn2!MN44,"")</f>
        <v/>
      </c>
      <c r="JW44" s="15" t="s">
        <v>188</v>
      </c>
      <c r="JY44" s="16"/>
      <c r="JZ44" s="15" t="s">
        <v>188</v>
      </c>
      <c r="KB44" s="25" t="str">
        <f>IF(Regn2!$T44&gt;1,Regn2!MR44,"")</f>
        <v/>
      </c>
      <c r="KC44" s="15" t="s">
        <v>188</v>
      </c>
      <c r="KE44" s="16"/>
      <c r="KF44" s="15" t="s">
        <v>188</v>
      </c>
      <c r="KH44" s="25" t="str">
        <f>IF(Regn2!$T44&gt;1,Regn2!MV44,"")</f>
        <v/>
      </c>
      <c r="KI44" s="15" t="s">
        <v>188</v>
      </c>
      <c r="KK44" s="16"/>
      <c r="KL44" s="15" t="s">
        <v>188</v>
      </c>
      <c r="KN44" s="25" t="str">
        <f>IF(Regn2!$T44&gt;1,Regn2!NB44,"")</f>
        <v/>
      </c>
      <c r="KO44" s="15" t="s">
        <v>188</v>
      </c>
      <c r="KQ44" s="16"/>
      <c r="KR44" s="15" t="s">
        <v>188</v>
      </c>
      <c r="KT44" s="25" t="str">
        <f>IF(Regn2!$T44&gt;1,Regn2!NF44,"")</f>
        <v/>
      </c>
      <c r="KU44" s="15" t="s">
        <v>188</v>
      </c>
      <c r="KW44" s="16"/>
      <c r="KX44" s="15" t="s">
        <v>188</v>
      </c>
      <c r="KZ44" s="25" t="str">
        <f>IF(Regn2!$T44&gt;1,Regn2!NJ44,"")</f>
        <v/>
      </c>
      <c r="LA44" s="15" t="s">
        <v>188</v>
      </c>
      <c r="LC44" s="16"/>
      <c r="LD44" s="15" t="s">
        <v>188</v>
      </c>
      <c r="LF44" s="25" t="str">
        <f>IF(Regn2!$T44&gt;1,Regn2!NN44,"")</f>
        <v/>
      </c>
      <c r="LG44" s="15" t="s">
        <v>531</v>
      </c>
      <c r="LI44" s="16"/>
      <c r="LJ44" s="15" t="s">
        <v>531</v>
      </c>
      <c r="LL44" s="25" t="str">
        <f>IF(Regn2!$T44&gt;1,Regn2!NP44,"")</f>
        <v/>
      </c>
      <c r="LM44" s="15" t="s">
        <v>188</v>
      </c>
      <c r="LO44" s="16"/>
      <c r="LP44" s="15" t="s">
        <v>188</v>
      </c>
      <c r="LR44" s="25" t="str">
        <f>IF(Regn2!$T44&gt;1,Regn2!NV44,"")</f>
        <v/>
      </c>
      <c r="LS44" s="15" t="s">
        <v>188</v>
      </c>
      <c r="LU44" s="16"/>
      <c r="LV44" s="15" t="s">
        <v>188</v>
      </c>
      <c r="LX44" s="25" t="str">
        <f>IF(Regn2!$T44&gt;1,Regn2!NZ44,"")</f>
        <v/>
      </c>
      <c r="LY44" s="15" t="s">
        <v>188</v>
      </c>
      <c r="MA44" s="16"/>
      <c r="MB44" s="15" t="s">
        <v>188</v>
      </c>
    </row>
    <row r="45" spans="2:340" ht="8.1" customHeight="1" x14ac:dyDescent="0.25"/>
    <row r="46" spans="2:340" x14ac:dyDescent="0.25">
      <c r="B46" s="240" t="s">
        <v>2361</v>
      </c>
      <c r="AG46" s="36">
        <v>3.21</v>
      </c>
      <c r="AH46" s="15" t="s">
        <v>85</v>
      </c>
      <c r="AL46" s="15" t="str">
        <f>IF(Regn2!$R46&lt;=1,"",VLOOKUP(Regn2!$R46,Afgr,2))</f>
        <v>Vinterhvede</v>
      </c>
      <c r="AN46" s="32">
        <f>IF(Regn2!$R46&gt;1,Regn2!AE46,"")</f>
        <v>146</v>
      </c>
      <c r="AO46" s="15" t="s">
        <v>82</v>
      </c>
      <c r="AQ46" s="17"/>
      <c r="AR46" s="15" t="s">
        <v>82</v>
      </c>
      <c r="AT46" s="37">
        <v>108</v>
      </c>
      <c r="AU46" s="15" t="s">
        <v>82</v>
      </c>
      <c r="AX46" s="17"/>
      <c r="AY46" s="15" t="s">
        <v>82</v>
      </c>
      <c r="BA46" s="17"/>
      <c r="BB46" s="15" t="s">
        <v>1504</v>
      </c>
      <c r="BD46" s="17"/>
      <c r="BE46" s="15" t="s">
        <v>1793</v>
      </c>
      <c r="BH46" s="17"/>
      <c r="BI46" s="15" t="s">
        <v>82</v>
      </c>
      <c r="BJ46" s="37">
        <v>75</v>
      </c>
      <c r="BK46" s="15" t="s">
        <v>205</v>
      </c>
      <c r="BM46" s="37">
        <v>119</v>
      </c>
      <c r="BN46" s="15" t="s">
        <v>82</v>
      </c>
      <c r="BP46" s="37">
        <v>74.23</v>
      </c>
      <c r="BQ46" s="15" t="s">
        <v>205</v>
      </c>
      <c r="BT46" s="17"/>
      <c r="BU46" s="15" t="s">
        <v>82</v>
      </c>
      <c r="BW46" s="17"/>
      <c r="BX46" s="15" t="s">
        <v>82</v>
      </c>
      <c r="BY46" s="37">
        <v>75</v>
      </c>
      <c r="BZ46" s="15" t="s">
        <v>205</v>
      </c>
      <c r="CB46" s="17">
        <v>26</v>
      </c>
      <c r="CC46" s="15" t="s">
        <v>1504</v>
      </c>
      <c r="CE46" s="17">
        <v>61</v>
      </c>
      <c r="CF46" s="15" t="s">
        <v>1793</v>
      </c>
      <c r="CH46" s="55">
        <f>IF(Regn2!$R46&gt;1,Regn2!AL46,"")</f>
        <v>63</v>
      </c>
      <c r="CI46" s="15" t="str">
        <f>IF(Regn2!AO46&lt;&gt;0,Regn2!AO46,"")</f>
        <v>hkg</v>
      </c>
      <c r="CK46" s="16">
        <v>62</v>
      </c>
      <c r="CL46" s="15" t="str">
        <f>IF(Regn2!AO46&lt;&gt;0,Regn2!AO46,"")</f>
        <v>hkg</v>
      </c>
      <c r="CN46" s="33">
        <f>IF(Regn2!$R46&gt;1,Regn2!DK46,"")</f>
        <v>9.94</v>
      </c>
      <c r="CO46" s="15" t="s">
        <v>201</v>
      </c>
      <c r="CQ46" s="38">
        <v>12.1</v>
      </c>
      <c r="CR46" s="15" t="s">
        <v>201</v>
      </c>
      <c r="CT46" s="55">
        <f>IF(Regn2!$R46&gt;1,Regn2!AR46,"")</f>
        <v>145</v>
      </c>
      <c r="CU46" s="15" t="s">
        <v>188</v>
      </c>
      <c r="CW46" s="124"/>
      <c r="CX46" s="15" t="s">
        <v>188</v>
      </c>
      <c r="CZ46" s="25">
        <f>IF(Regn2!$R46&gt;1,Regn2!AW46,"")</f>
        <v>0</v>
      </c>
      <c r="DA46" s="15" t="s">
        <v>188</v>
      </c>
      <c r="DC46" s="17"/>
      <c r="DD46" s="15" t="s">
        <v>188</v>
      </c>
      <c r="DF46" s="25">
        <f>IF(Regn2!$R46&gt;1,Regn2!BB46,"")</f>
        <v>3444.4444444444443</v>
      </c>
      <c r="DG46" s="15" t="s">
        <v>192</v>
      </c>
      <c r="DI46" s="16"/>
      <c r="DJ46" s="15" t="s">
        <v>192</v>
      </c>
      <c r="DO46" s="33">
        <f>IF(Regn2!$R46&gt;1,Regn2!BI46,"")</f>
        <v>0.5</v>
      </c>
      <c r="DP46" s="15" t="s">
        <v>188</v>
      </c>
      <c r="DR46" s="38"/>
      <c r="DS46" s="15" t="s">
        <v>188</v>
      </c>
      <c r="DU46" s="15" t="str">
        <f>IF(Regn2!$T46&lt;=1,"",VLOOKUP(Regn2!$T46,Efgr,2))</f>
        <v/>
      </c>
      <c r="DW46" s="25" t="str">
        <f>IF(Regn2!$T46&gt;1,Regn2!BN46,"")</f>
        <v/>
      </c>
      <c r="DX46" s="15" t="s">
        <v>82</v>
      </c>
      <c r="DZ46" s="16"/>
      <c r="EA46" s="15" t="s">
        <v>82</v>
      </c>
      <c r="EC46" s="17"/>
      <c r="ED46" s="15" t="s">
        <v>1504</v>
      </c>
      <c r="EF46" s="17"/>
      <c r="EG46" s="15" t="s">
        <v>1793</v>
      </c>
      <c r="EI46" s="16"/>
      <c r="EJ46" s="15" t="s">
        <v>82</v>
      </c>
      <c r="EL46" s="16">
        <v>75</v>
      </c>
      <c r="EM46" s="15" t="s">
        <v>205</v>
      </c>
      <c r="EO46" s="25">
        <f>EI46*EL46*0.01</f>
        <v>0</v>
      </c>
      <c r="EP46" s="15" t="s">
        <v>82</v>
      </c>
      <c r="ER46" s="17"/>
      <c r="ES46" s="15" t="s">
        <v>82</v>
      </c>
      <c r="EV46" s="17"/>
      <c r="EW46" s="15" t="s">
        <v>1504</v>
      </c>
      <c r="EY46" s="17"/>
      <c r="EZ46" s="15" t="s">
        <v>1793</v>
      </c>
      <c r="FB46" s="25" t="str">
        <f>IF(Regn2!$T46&gt;1,Regn2!BQ46,"")</f>
        <v/>
      </c>
      <c r="FC46" s="15" t="str">
        <f>IF(Regn2!$T46&gt;1,Regn2!BT46,"")</f>
        <v/>
      </c>
      <c r="FE46" s="16"/>
      <c r="FF46" s="15" t="str">
        <f>IF(Regn2!$T46&gt;1,Regn2!BT46,"")</f>
        <v/>
      </c>
      <c r="FL46" s="32">
        <f>IF(Regn2!$R46&gt;1,NniveauDelsaedsk1,"")</f>
        <v>194</v>
      </c>
      <c r="FM46" s="15" t="s">
        <v>82</v>
      </c>
      <c r="FO46" s="17"/>
      <c r="FP46" s="15" t="s">
        <v>82</v>
      </c>
      <c r="FR46" s="32">
        <f>IF(Regn2!$R46&gt;1,Regn2!HU46,"")</f>
        <v>304.76666666666603</v>
      </c>
      <c r="FS46" s="15" t="s">
        <v>531</v>
      </c>
      <c r="FU46" s="17"/>
      <c r="FV46" s="15" t="s">
        <v>531</v>
      </c>
      <c r="FX46" s="32">
        <f>IF(Regn2!$R46&gt;1,Regn2!HR46,"")</f>
        <v>269.74999999999898</v>
      </c>
      <c r="FY46" s="15" t="s">
        <v>531</v>
      </c>
      <c r="GA46" s="17"/>
      <c r="GB46" s="15" t="s">
        <v>531</v>
      </c>
      <c r="GD46" s="15">
        <f>IF(Regn2!$R46&gt;1,RetentionNbal,"")</f>
        <v>65</v>
      </c>
      <c r="GE46" s="15" t="s">
        <v>205</v>
      </c>
      <c r="GF46" s="17"/>
      <c r="GG46" s="15" t="s">
        <v>205</v>
      </c>
      <c r="GI46" s="15" t="str">
        <f>IF(Regn2!$R46&lt;=1,"",VLOOKUP(Regn2!$R46,Afgr,2))</f>
        <v>Vinterhvede</v>
      </c>
      <c r="GK46" s="25">
        <f>IF(Regn2!$R46&gt;1,Regn2!IO46,"")</f>
        <v>578</v>
      </c>
      <c r="GL46" s="15" t="s">
        <v>188</v>
      </c>
      <c r="GN46" s="16"/>
      <c r="GO46" s="15" t="s">
        <v>188</v>
      </c>
      <c r="GQ46" s="25">
        <f>IF(Regn2!$R46&gt;1,Regn2!JK46,"")</f>
        <v>912.59999999999991</v>
      </c>
      <c r="GR46" s="15" t="s">
        <v>188</v>
      </c>
      <c r="GT46" s="16"/>
      <c r="GU46" s="15" t="s">
        <v>188</v>
      </c>
      <c r="GW46" s="25">
        <f>IF(Regn2!$R46&gt;1,Regn2!JO46,"")</f>
        <v>703</v>
      </c>
      <c r="GX46" s="15" t="s">
        <v>188</v>
      </c>
      <c r="GZ46" s="16"/>
      <c r="HA46" s="15" t="s">
        <v>188</v>
      </c>
      <c r="HC46" s="25">
        <f>IF(Regn2!$R46&gt;1,Regn2!JS46,"")</f>
        <v>0</v>
      </c>
      <c r="HD46" s="15" t="s">
        <v>188</v>
      </c>
      <c r="HF46" s="16"/>
      <c r="HG46" s="15" t="s">
        <v>188</v>
      </c>
      <c r="HI46" s="25">
        <f>IF(Regn2!$R46&gt;1,Regn2!JY46,"")</f>
        <v>600</v>
      </c>
      <c r="HJ46" s="15" t="s">
        <v>362</v>
      </c>
      <c r="HL46" s="16"/>
      <c r="HM46" s="15" t="s">
        <v>188</v>
      </c>
      <c r="HO46" s="25">
        <f>IF(Regn2!$R46&gt;1,Regn2!KL46,"")</f>
        <v>350</v>
      </c>
      <c r="HP46" s="15" t="s">
        <v>188</v>
      </c>
      <c r="HR46" s="16"/>
      <c r="HS46" s="15" t="s">
        <v>188</v>
      </c>
      <c r="HU46" s="25">
        <f>IF(Regn2!$R46&gt;1,Regn2!KP46,"")</f>
        <v>280</v>
      </c>
      <c r="HV46" s="15" t="s">
        <v>188</v>
      </c>
      <c r="HX46" s="16"/>
      <c r="HY46" s="15" t="s">
        <v>188</v>
      </c>
      <c r="IA46" s="25">
        <f>IF(Regn2!$R46&gt;1,Regn2!KT46,"")</f>
        <v>450</v>
      </c>
      <c r="IB46" s="15" t="s">
        <v>188</v>
      </c>
      <c r="ID46" s="16"/>
      <c r="IE46" s="15" t="s">
        <v>188</v>
      </c>
      <c r="IG46" s="25">
        <f>IF(Regn2!$R46&gt;1,Regn2!KX46,"")</f>
        <v>0</v>
      </c>
      <c r="IH46" s="15" t="s">
        <v>531</v>
      </c>
      <c r="IJ46" s="16"/>
      <c r="IK46" s="15" t="s">
        <v>531</v>
      </c>
      <c r="IM46" s="25">
        <f>IF(Regn2!$R46&gt;1,Regn2!KZ46,"")</f>
        <v>0</v>
      </c>
      <c r="IN46" s="15" t="s">
        <v>188</v>
      </c>
      <c r="IP46" s="16"/>
      <c r="IQ46" s="15" t="s">
        <v>188</v>
      </c>
      <c r="IS46" s="25">
        <f>IF(Regn2!$R46&gt;1,Regn2!LG46,"")</f>
        <v>1015.2941176470588</v>
      </c>
      <c r="IT46" s="15" t="s">
        <v>188</v>
      </c>
      <c r="IV46" s="16"/>
      <c r="IW46" s="15" t="s">
        <v>405</v>
      </c>
      <c r="IY46" s="25">
        <f>IF(Regn2!$R46&gt;1,Regn2!LM46,"")</f>
        <v>793.51851851851848</v>
      </c>
      <c r="IZ46" s="15" t="s">
        <v>188</v>
      </c>
      <c r="JB46" s="16"/>
      <c r="JC46" s="15" t="s">
        <v>188</v>
      </c>
      <c r="JH46" s="25">
        <f>IF(Regn2!$R46&gt;1,Regn2!LQ46,"")</f>
        <v>572.88000000000011</v>
      </c>
      <c r="JI46" s="15" t="s">
        <v>188</v>
      </c>
      <c r="JK46" s="16"/>
      <c r="JL46" s="15" t="s">
        <v>188</v>
      </c>
      <c r="JN46" s="15" t="str">
        <f>IF(Regn2!$T46&lt;=1,"",VLOOKUP(Regn2!$T46,Efgr,2))</f>
        <v/>
      </c>
      <c r="JP46" s="25" t="str">
        <f>IF(Regn2!$T46&gt;1,Regn2!LU46,"")</f>
        <v/>
      </c>
      <c r="JQ46" s="15" t="s">
        <v>188</v>
      </c>
      <c r="JS46" s="16"/>
      <c r="JT46" s="15" t="s">
        <v>188</v>
      </c>
      <c r="JV46" s="25" t="str">
        <f>IF(Regn2!$T46&gt;1,Regn2!MN46,"")</f>
        <v/>
      </c>
      <c r="JW46" s="15" t="s">
        <v>188</v>
      </c>
      <c r="JY46" s="16"/>
      <c r="JZ46" s="15" t="s">
        <v>188</v>
      </c>
      <c r="KB46" s="25" t="str">
        <f>IF(Regn2!$T46&gt;1,Regn2!MR46,"")</f>
        <v/>
      </c>
      <c r="KC46" s="15" t="s">
        <v>188</v>
      </c>
      <c r="KE46" s="16"/>
      <c r="KF46" s="15" t="s">
        <v>188</v>
      </c>
      <c r="KH46" s="25" t="str">
        <f>IF(Regn2!$T46&gt;1,Regn2!MV46,"")</f>
        <v/>
      </c>
      <c r="KI46" s="15" t="s">
        <v>188</v>
      </c>
      <c r="KK46" s="16"/>
      <c r="KL46" s="15" t="s">
        <v>188</v>
      </c>
      <c r="KN46" s="25" t="str">
        <f>IF(Regn2!$T46&gt;1,Regn2!NB46,"")</f>
        <v/>
      </c>
      <c r="KO46" s="15" t="s">
        <v>188</v>
      </c>
      <c r="KQ46" s="16"/>
      <c r="KR46" s="15" t="s">
        <v>188</v>
      </c>
      <c r="KT46" s="25" t="str">
        <f>IF(Regn2!$T46&gt;1,Regn2!NF46,"")</f>
        <v/>
      </c>
      <c r="KU46" s="15" t="s">
        <v>188</v>
      </c>
      <c r="KW46" s="16"/>
      <c r="KX46" s="15" t="s">
        <v>188</v>
      </c>
      <c r="KZ46" s="25" t="str">
        <f>IF(Regn2!$T46&gt;1,Regn2!NJ46,"")</f>
        <v/>
      </c>
      <c r="LA46" s="15" t="s">
        <v>188</v>
      </c>
      <c r="LC46" s="16"/>
      <c r="LD46" s="15" t="s">
        <v>188</v>
      </c>
      <c r="LF46" s="25" t="str">
        <f>IF(Regn2!$T46&gt;1,Regn2!NN46,"")</f>
        <v/>
      </c>
      <c r="LG46" s="15" t="s">
        <v>531</v>
      </c>
      <c r="LI46" s="16"/>
      <c r="LJ46" s="15" t="s">
        <v>531</v>
      </c>
      <c r="LL46" s="25" t="str">
        <f>IF(Regn2!$T46&gt;1,Regn2!NP46,"")</f>
        <v/>
      </c>
      <c r="LM46" s="15" t="s">
        <v>188</v>
      </c>
      <c r="LO46" s="16"/>
      <c r="LP46" s="15" t="s">
        <v>188</v>
      </c>
      <c r="LR46" s="25" t="str">
        <f>IF(Regn2!$T46&gt;1,Regn2!NV46,"")</f>
        <v/>
      </c>
      <c r="LS46" s="15" t="s">
        <v>188</v>
      </c>
      <c r="LU46" s="16"/>
      <c r="LV46" s="15" t="s">
        <v>188</v>
      </c>
      <c r="LX46" s="25" t="str">
        <f>IF(Regn2!$T46&gt;1,Regn2!NZ46,"")</f>
        <v/>
      </c>
      <c r="LY46" s="15" t="s">
        <v>188</v>
      </c>
      <c r="MA46" s="16"/>
      <c r="MB46" s="15" t="s">
        <v>188</v>
      </c>
    </row>
    <row r="47" spans="2:340" ht="8.1" customHeight="1" x14ac:dyDescent="0.25"/>
    <row r="48" spans="2:340" x14ac:dyDescent="0.25">
      <c r="B48" s="240" t="s">
        <v>2362</v>
      </c>
      <c r="AG48" s="36">
        <v>1.7</v>
      </c>
      <c r="AH48" s="15" t="s">
        <v>85</v>
      </c>
      <c r="AL48" s="15" t="str">
        <f>IF(Regn2!$R48&lt;=1,"",VLOOKUP(Regn2!$R48,Afgr,2))</f>
        <v>Kløvergræs, 4 slæt</v>
      </c>
      <c r="AN48" s="32">
        <f>IF(Regn2!$R48&gt;1,Regn2!AE48,"")</f>
        <v>321</v>
      </c>
      <c r="AO48" s="15" t="s">
        <v>82</v>
      </c>
      <c r="AQ48" s="17"/>
      <c r="AR48" s="15" t="s">
        <v>82</v>
      </c>
      <c r="AT48" s="37"/>
      <c r="AU48" s="15" t="s">
        <v>82</v>
      </c>
      <c r="AX48" s="17"/>
      <c r="AY48" s="15" t="s">
        <v>82</v>
      </c>
      <c r="BA48" s="17"/>
      <c r="BB48" s="15" t="s">
        <v>1504</v>
      </c>
      <c r="BD48" s="17"/>
      <c r="BE48" s="15" t="s">
        <v>1793</v>
      </c>
      <c r="BH48" s="17"/>
      <c r="BI48" s="15" t="s">
        <v>82</v>
      </c>
      <c r="BJ48" s="37">
        <v>75</v>
      </c>
      <c r="BK48" s="15" t="s">
        <v>205</v>
      </c>
      <c r="BM48" s="37"/>
      <c r="BN48" s="15" t="s">
        <v>82</v>
      </c>
      <c r="BP48" s="37">
        <v>74.23</v>
      </c>
      <c r="BQ48" s="15" t="s">
        <v>205</v>
      </c>
      <c r="BT48" s="17"/>
      <c r="BU48" s="15" t="s">
        <v>82</v>
      </c>
      <c r="BW48" s="17"/>
      <c r="BX48" s="15" t="s">
        <v>82</v>
      </c>
      <c r="BY48" s="37">
        <v>75</v>
      </c>
      <c r="BZ48" s="15" t="s">
        <v>205</v>
      </c>
      <c r="CB48" s="17"/>
      <c r="CC48" s="15" t="s">
        <v>1504</v>
      </c>
      <c r="CE48" s="17"/>
      <c r="CF48" s="15" t="s">
        <v>1793</v>
      </c>
      <c r="CH48" s="55">
        <f>IF(Regn2!$R48&gt;1,Regn2!AL48,"")</f>
        <v>7100</v>
      </c>
      <c r="CI48" s="15" t="str">
        <f>IF(Regn2!AO48&lt;&gt;0,Regn2!AO48,"")</f>
        <v>FE</v>
      </c>
      <c r="CK48" s="16"/>
      <c r="CL48" s="15" t="str">
        <f>IF(Regn2!AO48&lt;&gt;0,Regn2!AO48,"")</f>
        <v>FE</v>
      </c>
      <c r="CN48" s="33">
        <f>IF(Regn2!$R48&gt;1,Regn2!DK48,"")</f>
        <v>16.3125</v>
      </c>
      <c r="CO48" s="15" t="s">
        <v>201</v>
      </c>
      <c r="CQ48" s="38"/>
      <c r="CR48" s="15" t="s">
        <v>201</v>
      </c>
      <c r="CT48" s="55">
        <f>IF(Regn2!$R48&gt;1,Regn2!AR48,"")</f>
        <v>1.2</v>
      </c>
      <c r="CU48" s="15" t="s">
        <v>188</v>
      </c>
      <c r="CW48" s="124"/>
      <c r="CX48" s="15" t="s">
        <v>188</v>
      </c>
      <c r="CZ48" s="25">
        <f>IF(Regn2!$R48&gt;1,Regn2!AW48,"")</f>
        <v>0</v>
      </c>
      <c r="DA48" s="15" t="s">
        <v>188</v>
      </c>
      <c r="DC48" s="17"/>
      <c r="DD48" s="15" t="s">
        <v>188</v>
      </c>
      <c r="DF48" s="25">
        <f>IF(Regn2!$R48&gt;1,Regn2!BB48,"")</f>
        <v>0</v>
      </c>
      <c r="DG48" s="15" t="s">
        <v>192</v>
      </c>
      <c r="DI48" s="16"/>
      <c r="DJ48" s="15" t="s">
        <v>192</v>
      </c>
      <c r="DO48" s="33">
        <f>IF(Regn2!$R48&gt;1,Regn2!BI48,"")</f>
        <v>0</v>
      </c>
      <c r="DP48" s="15" t="s">
        <v>188</v>
      </c>
      <c r="DR48" s="38"/>
      <c r="DS48" s="15" t="s">
        <v>188</v>
      </c>
      <c r="DU48" s="15" t="str">
        <f>IF(Regn2!$T48&lt;=1,"",VLOOKUP(Regn2!$T48,Efgr,2))</f>
        <v/>
      </c>
      <c r="DW48" s="25" t="str">
        <f>IF(Regn2!$T48&gt;1,Regn2!BN48,"")</f>
        <v/>
      </c>
      <c r="DX48" s="15" t="s">
        <v>82</v>
      </c>
      <c r="DZ48" s="16"/>
      <c r="EA48" s="15" t="s">
        <v>82</v>
      </c>
      <c r="EC48" s="17"/>
      <c r="ED48" s="15" t="s">
        <v>1504</v>
      </c>
      <c r="EF48" s="17"/>
      <c r="EG48" s="15" t="s">
        <v>1793</v>
      </c>
      <c r="EI48" s="16"/>
      <c r="EJ48" s="15" t="s">
        <v>82</v>
      </c>
      <c r="EL48" s="16">
        <v>75</v>
      </c>
      <c r="EM48" s="15" t="s">
        <v>205</v>
      </c>
      <c r="EO48" s="25">
        <f>EI48*EL48*0.01</f>
        <v>0</v>
      </c>
      <c r="EP48" s="15" t="s">
        <v>82</v>
      </c>
      <c r="ER48" s="17"/>
      <c r="ES48" s="15" t="s">
        <v>82</v>
      </c>
      <c r="EV48" s="17"/>
      <c r="EW48" s="15" t="s">
        <v>1504</v>
      </c>
      <c r="EY48" s="17"/>
      <c r="EZ48" s="15" t="s">
        <v>1793</v>
      </c>
      <c r="FB48" s="25" t="str">
        <f>IF(Regn2!$T48&gt;1,Regn2!BQ48,"")</f>
        <v/>
      </c>
      <c r="FC48" s="15" t="str">
        <f>IF(Regn2!$T48&gt;1,Regn2!BT48,"")</f>
        <v/>
      </c>
      <c r="FE48" s="16"/>
      <c r="FF48" s="15" t="str">
        <f>IF(Regn2!$T48&gt;1,Regn2!BT48,"")</f>
        <v/>
      </c>
      <c r="FL48" s="32">
        <f>IF(Regn2!$R48&gt;1,NniveauDelsaedsk1,"")</f>
        <v>194</v>
      </c>
      <c r="FM48" s="15" t="s">
        <v>82</v>
      </c>
      <c r="FO48" s="17"/>
      <c r="FP48" s="15" t="s">
        <v>82</v>
      </c>
      <c r="FR48" s="32">
        <f>IF(Regn2!$R48&gt;1,Regn2!HU48,"")</f>
        <v>272.32333333333298</v>
      </c>
      <c r="FS48" s="15" t="s">
        <v>531</v>
      </c>
      <c r="FU48" s="17"/>
      <c r="FV48" s="15" t="s">
        <v>531</v>
      </c>
      <c r="FX48" s="32">
        <f>IF(Regn2!$R48&gt;1,Regn2!HR48,"")</f>
        <v>272.32333333333298</v>
      </c>
      <c r="FY48" s="15" t="s">
        <v>531</v>
      </c>
      <c r="GA48" s="17"/>
      <c r="GB48" s="15" t="s">
        <v>531</v>
      </c>
      <c r="GD48" s="15">
        <f>IF(Regn2!$R48&gt;1,RetentionNbal,"")</f>
        <v>65</v>
      </c>
      <c r="GE48" s="15" t="s">
        <v>205</v>
      </c>
      <c r="GF48" s="17"/>
      <c r="GG48" s="15" t="s">
        <v>205</v>
      </c>
      <c r="GI48" s="15" t="str">
        <f>IF(Regn2!$R48&lt;=1,"",VLOOKUP(Regn2!$R48,Afgr,2))</f>
        <v>Kløvergræs, 4 slæt</v>
      </c>
      <c r="GK48" s="25">
        <f>IF(Regn2!$R48&gt;1,Regn2!IO48,"")</f>
        <v>420</v>
      </c>
      <c r="GL48" s="15" t="s">
        <v>188</v>
      </c>
      <c r="GN48" s="16"/>
      <c r="GO48" s="15" t="s">
        <v>188</v>
      </c>
      <c r="GQ48" s="25">
        <f>IF(Regn2!$R48&gt;1,Regn2!JK48,"")</f>
        <v>0</v>
      </c>
      <c r="GR48" s="15" t="s">
        <v>188</v>
      </c>
      <c r="GT48" s="16"/>
      <c r="GU48" s="15" t="s">
        <v>188</v>
      </c>
      <c r="GW48" s="25">
        <f>IF(Regn2!$R48&gt;1,Regn2!JO48,"")</f>
        <v>0</v>
      </c>
      <c r="GX48" s="15" t="s">
        <v>188</v>
      </c>
      <c r="GZ48" s="16"/>
      <c r="HA48" s="15" t="s">
        <v>188</v>
      </c>
      <c r="HC48" s="25">
        <f>IF(Regn2!$R48&gt;1,Regn2!JS48,"")</f>
        <v>369.2</v>
      </c>
      <c r="HD48" s="15" t="s">
        <v>188</v>
      </c>
      <c r="HF48" s="16"/>
      <c r="HG48" s="15" t="s">
        <v>188</v>
      </c>
      <c r="HI48" s="25">
        <f>IF(Regn2!$R48&gt;1,Regn2!JY48,"")</f>
        <v>0</v>
      </c>
      <c r="HJ48" s="15" t="s">
        <v>362</v>
      </c>
      <c r="HL48" s="16"/>
      <c r="HM48" s="15" t="s">
        <v>188</v>
      </c>
      <c r="HO48" s="25">
        <f>IF(Regn2!$R48&gt;1,Regn2!KL48,"")</f>
        <v>125</v>
      </c>
      <c r="HP48" s="15" t="s">
        <v>188</v>
      </c>
      <c r="HR48" s="16"/>
      <c r="HS48" s="15" t="s">
        <v>188</v>
      </c>
      <c r="HU48" s="25">
        <f>IF(Regn2!$R48&gt;1,Regn2!KP48,"")</f>
        <v>420</v>
      </c>
      <c r="HV48" s="15" t="s">
        <v>188</v>
      </c>
      <c r="HX48" s="16"/>
      <c r="HY48" s="15" t="s">
        <v>188</v>
      </c>
      <c r="IA48" s="25">
        <f>IF(Regn2!$R48&gt;1,Regn2!KT48,"")</f>
        <v>0</v>
      </c>
      <c r="IB48" s="15" t="s">
        <v>188</v>
      </c>
      <c r="ID48" s="16"/>
      <c r="IE48" s="15" t="s">
        <v>188</v>
      </c>
      <c r="IG48" s="25">
        <f>IF(Regn2!$R48&gt;1,Regn2!KX48,"")</f>
        <v>0</v>
      </c>
      <c r="IH48" s="15" t="s">
        <v>531</v>
      </c>
      <c r="IJ48" s="16"/>
      <c r="IK48" s="15" t="s">
        <v>531</v>
      </c>
      <c r="IM48" s="25">
        <f>IF(Regn2!$R48&gt;1,Regn2!KZ48,"")</f>
        <v>0</v>
      </c>
      <c r="IN48" s="15" t="s">
        <v>188</v>
      </c>
      <c r="IP48" s="16"/>
      <c r="IQ48" s="15" t="s">
        <v>188</v>
      </c>
      <c r="IS48" s="25">
        <f>IF(Regn2!$R48&gt;1,Regn2!LG48,"")</f>
        <v>3513.5</v>
      </c>
      <c r="IT48" s="15" t="s">
        <v>188</v>
      </c>
      <c r="IV48" s="16"/>
      <c r="IW48" s="15" t="s">
        <v>405</v>
      </c>
      <c r="IY48" s="25">
        <f>IF(Regn2!$R48&gt;1,Regn2!LM48,"")</f>
        <v>0</v>
      </c>
      <c r="IZ48" s="15" t="s">
        <v>188</v>
      </c>
      <c r="JB48" s="16"/>
      <c r="JC48" s="15" t="s">
        <v>188</v>
      </c>
      <c r="JH48" s="25">
        <f>IF(Regn2!$R48&gt;1,Regn2!LQ48,"")</f>
        <v>0</v>
      </c>
      <c r="JI48" s="15" t="s">
        <v>188</v>
      </c>
      <c r="JK48" s="16"/>
      <c r="JL48" s="15" t="s">
        <v>188</v>
      </c>
      <c r="JN48" s="15" t="str">
        <f>IF(Regn2!$T48&lt;=1,"",VLOOKUP(Regn2!$T48,Efgr,2))</f>
        <v/>
      </c>
      <c r="JP48" s="25" t="str">
        <f>IF(Regn2!$T48&gt;1,Regn2!LU48,"")</f>
        <v/>
      </c>
      <c r="JQ48" s="15" t="s">
        <v>188</v>
      </c>
      <c r="JS48" s="16"/>
      <c r="JT48" s="15" t="s">
        <v>188</v>
      </c>
      <c r="JV48" s="25" t="str">
        <f>IF(Regn2!$T48&gt;1,Regn2!MN48,"")</f>
        <v/>
      </c>
      <c r="JW48" s="15" t="s">
        <v>188</v>
      </c>
      <c r="JY48" s="16"/>
      <c r="JZ48" s="15" t="s">
        <v>188</v>
      </c>
      <c r="KB48" s="25" t="str">
        <f>IF(Regn2!$T48&gt;1,Regn2!MR48,"")</f>
        <v/>
      </c>
      <c r="KC48" s="15" t="s">
        <v>188</v>
      </c>
      <c r="KE48" s="16"/>
      <c r="KF48" s="15" t="s">
        <v>188</v>
      </c>
      <c r="KH48" s="25" t="str">
        <f>IF(Regn2!$T48&gt;1,Regn2!MV48,"")</f>
        <v/>
      </c>
      <c r="KI48" s="15" t="s">
        <v>188</v>
      </c>
      <c r="KK48" s="16"/>
      <c r="KL48" s="15" t="s">
        <v>188</v>
      </c>
      <c r="KN48" s="25" t="str">
        <f>IF(Regn2!$T48&gt;1,Regn2!NB48,"")</f>
        <v/>
      </c>
      <c r="KO48" s="15" t="s">
        <v>188</v>
      </c>
      <c r="KQ48" s="16"/>
      <c r="KR48" s="15" t="s">
        <v>188</v>
      </c>
      <c r="KT48" s="25" t="str">
        <f>IF(Regn2!$T48&gt;1,Regn2!NF48,"")</f>
        <v/>
      </c>
      <c r="KU48" s="15" t="s">
        <v>188</v>
      </c>
      <c r="KW48" s="16"/>
      <c r="KX48" s="15" t="s">
        <v>188</v>
      </c>
      <c r="KZ48" s="25" t="str">
        <f>IF(Regn2!$T48&gt;1,Regn2!NJ48,"")</f>
        <v/>
      </c>
      <c r="LA48" s="15" t="s">
        <v>188</v>
      </c>
      <c r="LC48" s="16"/>
      <c r="LD48" s="15" t="s">
        <v>188</v>
      </c>
      <c r="LF48" s="25" t="str">
        <f>IF(Regn2!$T48&gt;1,Regn2!NN48,"")</f>
        <v/>
      </c>
      <c r="LG48" s="15" t="s">
        <v>531</v>
      </c>
      <c r="LI48" s="16"/>
      <c r="LJ48" s="15" t="s">
        <v>531</v>
      </c>
      <c r="LL48" s="25" t="str">
        <f>IF(Regn2!$T48&gt;1,Regn2!NP48,"")</f>
        <v/>
      </c>
      <c r="LM48" s="15" t="s">
        <v>188</v>
      </c>
      <c r="LO48" s="16"/>
      <c r="LP48" s="15" t="s">
        <v>188</v>
      </c>
      <c r="LR48" s="25" t="str">
        <f>IF(Regn2!$T48&gt;1,Regn2!NV48,"")</f>
        <v/>
      </c>
      <c r="LS48" s="15" t="s">
        <v>188</v>
      </c>
      <c r="LU48" s="16"/>
      <c r="LV48" s="15" t="s">
        <v>188</v>
      </c>
      <c r="LX48" s="25" t="str">
        <f>IF(Regn2!$T48&gt;1,Regn2!NZ48,"")</f>
        <v/>
      </c>
      <c r="LY48" s="15" t="s">
        <v>188</v>
      </c>
      <c r="MA48" s="16"/>
      <c r="MB48" s="15" t="s">
        <v>188</v>
      </c>
    </row>
    <row r="49" spans="2:340" ht="8.1" customHeight="1" x14ac:dyDescent="0.25"/>
    <row r="50" spans="2:340" x14ac:dyDescent="0.25">
      <c r="B50" s="240" t="s">
        <v>2363</v>
      </c>
      <c r="AG50" s="36">
        <v>0.4</v>
      </c>
      <c r="AH50" s="15" t="s">
        <v>85</v>
      </c>
      <c r="AL50" s="15" t="str">
        <f>IF(Regn2!$R50&lt;=1,"",VLOOKUP(Regn2!$R50,Afgr,2))</f>
        <v>Permanent græs (0N)</v>
      </c>
      <c r="AN50" s="32">
        <f>IF(Regn2!$R50&gt;1,Regn2!AE50,"")</f>
        <v>0</v>
      </c>
      <c r="AO50" s="15" t="s">
        <v>82</v>
      </c>
      <c r="AQ50" s="17"/>
      <c r="AR50" s="15" t="s">
        <v>82</v>
      </c>
      <c r="AT50" s="37"/>
      <c r="AU50" s="15" t="s">
        <v>82</v>
      </c>
      <c r="AX50" s="17"/>
      <c r="AY50" s="15" t="s">
        <v>82</v>
      </c>
      <c r="BA50" s="17"/>
      <c r="BB50" s="15" t="s">
        <v>1504</v>
      </c>
      <c r="BD50" s="17"/>
      <c r="BE50" s="15" t="s">
        <v>1793</v>
      </c>
      <c r="BH50" s="17"/>
      <c r="BI50" s="15" t="s">
        <v>82</v>
      </c>
      <c r="BJ50" s="37">
        <v>75</v>
      </c>
      <c r="BK50" s="15" t="s">
        <v>205</v>
      </c>
      <c r="BM50" s="37"/>
      <c r="BN50" s="15" t="s">
        <v>82</v>
      </c>
      <c r="BP50" s="37">
        <v>74.23</v>
      </c>
      <c r="BQ50" s="15" t="s">
        <v>205</v>
      </c>
      <c r="BT50" s="17"/>
      <c r="BU50" s="15" t="s">
        <v>82</v>
      </c>
      <c r="BW50" s="17"/>
      <c r="BX50" s="15" t="s">
        <v>82</v>
      </c>
      <c r="BY50" s="37">
        <v>75</v>
      </c>
      <c r="BZ50" s="15" t="s">
        <v>205</v>
      </c>
      <c r="CB50" s="17"/>
      <c r="CC50" s="15" t="s">
        <v>1504</v>
      </c>
      <c r="CE50" s="17"/>
      <c r="CF50" s="15" t="s">
        <v>1793</v>
      </c>
      <c r="CH50" s="55">
        <f>IF(Regn2!$R50&gt;1,Regn2!AL50,"")</f>
        <v>0</v>
      </c>
      <c r="CI50" s="15" t="str">
        <f>IF(Regn2!AO50&lt;&gt;0,Regn2!AO50,"")</f>
        <v>FE</v>
      </c>
      <c r="CK50" s="16"/>
      <c r="CL50" s="15" t="str">
        <f>IF(Regn2!AO50&lt;&gt;0,Regn2!AO50,"")</f>
        <v>FE</v>
      </c>
      <c r="CN50" s="33">
        <f>IF(Regn2!$R50&gt;1,Regn2!DK50,"")</f>
        <v>14</v>
      </c>
      <c r="CO50" s="15" t="s">
        <v>201</v>
      </c>
      <c r="CQ50" s="38"/>
      <c r="CR50" s="15" t="s">
        <v>201</v>
      </c>
      <c r="CT50" s="55">
        <f>IF(Regn2!$R50&gt;1,Regn2!AR50,"")</f>
        <v>1.2</v>
      </c>
      <c r="CU50" s="15" t="s">
        <v>188</v>
      </c>
      <c r="CW50" s="124"/>
      <c r="CX50" s="15" t="s">
        <v>188</v>
      </c>
      <c r="CZ50" s="25">
        <f>IF(Regn2!$R50&gt;1,Regn2!AW50,"")</f>
        <v>0</v>
      </c>
      <c r="DA50" s="15" t="s">
        <v>188</v>
      </c>
      <c r="DC50" s="17"/>
      <c r="DD50" s="15" t="s">
        <v>188</v>
      </c>
      <c r="DF50" s="25">
        <f>IF(Regn2!$R50&gt;1,Regn2!BB50,"")</f>
        <v>0</v>
      </c>
      <c r="DG50" s="15" t="s">
        <v>192</v>
      </c>
      <c r="DI50" s="16"/>
      <c r="DJ50" s="15" t="s">
        <v>192</v>
      </c>
      <c r="DO50" s="33">
        <f>IF(Regn2!$R50&gt;1,Regn2!BI50,"")</f>
        <v>0</v>
      </c>
      <c r="DP50" s="15" t="s">
        <v>188</v>
      </c>
      <c r="DR50" s="38"/>
      <c r="DS50" s="15" t="s">
        <v>188</v>
      </c>
      <c r="DU50" s="15" t="str">
        <f>IF(Regn2!$T50&lt;=1,"",VLOOKUP(Regn2!$T50,Efgr,2))</f>
        <v/>
      </c>
      <c r="DW50" s="25" t="str">
        <f>IF(Regn2!$T50&gt;1,Regn2!BN50,"")</f>
        <v/>
      </c>
      <c r="DX50" s="15" t="s">
        <v>82</v>
      </c>
      <c r="DZ50" s="16"/>
      <c r="EA50" s="15" t="s">
        <v>82</v>
      </c>
      <c r="EC50" s="17"/>
      <c r="ED50" s="15" t="s">
        <v>1504</v>
      </c>
      <c r="EF50" s="17"/>
      <c r="EG50" s="15" t="s">
        <v>1793</v>
      </c>
      <c r="EI50" s="16"/>
      <c r="EJ50" s="15" t="s">
        <v>82</v>
      </c>
      <c r="EL50" s="16">
        <v>75</v>
      </c>
      <c r="EM50" s="15" t="s">
        <v>205</v>
      </c>
      <c r="EO50" s="25">
        <f>EI50*EL50*0.01</f>
        <v>0</v>
      </c>
      <c r="EP50" s="15" t="s">
        <v>82</v>
      </c>
      <c r="ER50" s="17"/>
      <c r="ES50" s="15" t="s">
        <v>82</v>
      </c>
      <c r="EV50" s="17"/>
      <c r="EW50" s="15" t="s">
        <v>1504</v>
      </c>
      <c r="EY50" s="17"/>
      <c r="EZ50" s="15" t="s">
        <v>1793</v>
      </c>
      <c r="FB50" s="25" t="str">
        <f>IF(Regn2!$T50&gt;1,Regn2!BQ50,"")</f>
        <v/>
      </c>
      <c r="FC50" s="15" t="str">
        <f>IF(Regn2!$T50&gt;1,Regn2!BT50,"")</f>
        <v/>
      </c>
      <c r="FE50" s="16"/>
      <c r="FF50" s="15" t="str">
        <f>IF(Regn2!$T50&gt;1,Regn2!BT50,"")</f>
        <v/>
      </c>
      <c r="FL50" s="32">
        <f>IF(Regn2!$R50&gt;1,NniveauDelsaedsk1,"")</f>
        <v>194</v>
      </c>
      <c r="FM50" s="15" t="s">
        <v>82</v>
      </c>
      <c r="FO50" s="17"/>
      <c r="FP50" s="15" t="s">
        <v>82</v>
      </c>
      <c r="FR50" s="32">
        <f>IF(Regn2!$R50&gt;1,Regn2!HU50,"")</f>
        <v>272.32333333333298</v>
      </c>
      <c r="FS50" s="15" t="s">
        <v>531</v>
      </c>
      <c r="FU50" s="17"/>
      <c r="FV50" s="15" t="s">
        <v>531</v>
      </c>
      <c r="FX50" s="32">
        <f>IF(Regn2!$R50&gt;1,Regn2!HR50,"")</f>
        <v>272.32333333333298</v>
      </c>
      <c r="FY50" s="15" t="s">
        <v>531</v>
      </c>
      <c r="GA50" s="17"/>
      <c r="GB50" s="15" t="s">
        <v>531</v>
      </c>
      <c r="GD50" s="15">
        <f>IF(Regn2!$R50&gt;1,RetentionNbal,"")</f>
        <v>65</v>
      </c>
      <c r="GE50" s="15" t="s">
        <v>205</v>
      </c>
      <c r="GF50" s="17"/>
      <c r="GG50" s="15" t="s">
        <v>205</v>
      </c>
      <c r="GI50" s="15" t="str">
        <f>IF(Regn2!$R50&lt;=1,"",VLOOKUP(Regn2!$R50,Afgr,2))</f>
        <v>Permanent græs (0N)</v>
      </c>
      <c r="GK50" s="25">
        <f>IF(Regn2!$R50&gt;1,Regn2!IO50,"")</f>
        <v>0</v>
      </c>
      <c r="GL50" s="15" t="s">
        <v>188</v>
      </c>
      <c r="GN50" s="16"/>
      <c r="GO50" s="15" t="s">
        <v>188</v>
      </c>
      <c r="GQ50" s="25">
        <f>IF(Regn2!$R50&gt;1,Regn2!JK50,"")</f>
        <v>0</v>
      </c>
      <c r="GR50" s="15" t="s">
        <v>188</v>
      </c>
      <c r="GT50" s="16"/>
      <c r="GU50" s="15" t="s">
        <v>188</v>
      </c>
      <c r="GW50" s="25">
        <f>IF(Regn2!$R50&gt;1,Regn2!JO50,"")</f>
        <v>0</v>
      </c>
      <c r="GX50" s="15" t="s">
        <v>188</v>
      </c>
      <c r="GZ50" s="16"/>
      <c r="HA50" s="15" t="s">
        <v>188</v>
      </c>
      <c r="HC50" s="25">
        <f>IF(Regn2!$R50&gt;1,Regn2!JS50,"")</f>
        <v>0</v>
      </c>
      <c r="HD50" s="15" t="s">
        <v>188</v>
      </c>
      <c r="HF50" s="16"/>
      <c r="HG50" s="15" t="s">
        <v>188</v>
      </c>
      <c r="HI50" s="25">
        <f>IF(Regn2!$R50&gt;1,Regn2!JY50,"")</f>
        <v>0</v>
      </c>
      <c r="HJ50" s="15" t="s">
        <v>362</v>
      </c>
      <c r="HL50" s="16"/>
      <c r="HM50" s="15" t="s">
        <v>188</v>
      </c>
      <c r="HO50" s="25">
        <f>IF(Regn2!$R50&gt;1,Regn2!KL50,"")</f>
        <v>0</v>
      </c>
      <c r="HP50" s="15" t="s">
        <v>188</v>
      </c>
      <c r="HR50" s="16"/>
      <c r="HS50" s="15" t="s">
        <v>188</v>
      </c>
      <c r="HU50" s="25">
        <f>IF(Regn2!$R50&gt;1,Regn2!KP50,"")</f>
        <v>0</v>
      </c>
      <c r="HV50" s="15" t="s">
        <v>188</v>
      </c>
      <c r="HX50" s="16"/>
      <c r="HY50" s="15" t="s">
        <v>188</v>
      </c>
      <c r="IA50" s="25">
        <f>IF(Regn2!$R50&gt;1,Regn2!KT50,"")</f>
        <v>0</v>
      </c>
      <c r="IB50" s="15" t="s">
        <v>188</v>
      </c>
      <c r="ID50" s="16"/>
      <c r="IE50" s="15" t="s">
        <v>188</v>
      </c>
      <c r="IG50" s="25">
        <f>IF(Regn2!$R50&gt;1,Regn2!KX50,"")</f>
        <v>0</v>
      </c>
      <c r="IH50" s="15" t="s">
        <v>531</v>
      </c>
      <c r="IJ50" s="16"/>
      <c r="IK50" s="15" t="s">
        <v>531</v>
      </c>
      <c r="IM50" s="25">
        <f>IF(Regn2!$R50&gt;1,Regn2!KZ50,"")</f>
        <v>0</v>
      </c>
      <c r="IN50" s="15" t="s">
        <v>188</v>
      </c>
      <c r="IP50" s="16"/>
      <c r="IQ50" s="15" t="s">
        <v>188</v>
      </c>
      <c r="IS50" s="25">
        <f>IF(Regn2!$R50&gt;1,Regn2!LG50,"")</f>
        <v>0</v>
      </c>
      <c r="IT50" s="15" t="s">
        <v>188</v>
      </c>
      <c r="IV50" s="16"/>
      <c r="IW50" s="15" t="s">
        <v>405</v>
      </c>
      <c r="IY50" s="25">
        <f>IF(Regn2!$R50&gt;1,Regn2!LM50,"")</f>
        <v>0</v>
      </c>
      <c r="IZ50" s="15" t="s">
        <v>188</v>
      </c>
      <c r="JB50" s="16"/>
      <c r="JC50" s="15" t="s">
        <v>188</v>
      </c>
      <c r="JH50" s="25">
        <f>IF(Regn2!$R50&gt;1,Regn2!LQ50,"")</f>
        <v>0</v>
      </c>
      <c r="JI50" s="15" t="s">
        <v>188</v>
      </c>
      <c r="JK50" s="16"/>
      <c r="JL50" s="15" t="s">
        <v>188</v>
      </c>
      <c r="JN50" s="15" t="str">
        <f>IF(Regn2!$T50&lt;=1,"",VLOOKUP(Regn2!$T50,Efgr,2))</f>
        <v/>
      </c>
      <c r="JP50" s="25" t="str">
        <f>IF(Regn2!$T50&gt;1,Regn2!LU50,"")</f>
        <v/>
      </c>
      <c r="JQ50" s="15" t="s">
        <v>188</v>
      </c>
      <c r="JS50" s="16"/>
      <c r="JT50" s="15" t="s">
        <v>188</v>
      </c>
      <c r="JV50" s="25" t="str">
        <f>IF(Regn2!$T50&gt;1,Regn2!MN50,"")</f>
        <v/>
      </c>
      <c r="JW50" s="15" t="s">
        <v>188</v>
      </c>
      <c r="JY50" s="16"/>
      <c r="JZ50" s="15" t="s">
        <v>188</v>
      </c>
      <c r="KB50" s="25" t="str">
        <f>IF(Regn2!$T50&gt;1,Regn2!MR50,"")</f>
        <v/>
      </c>
      <c r="KC50" s="15" t="s">
        <v>188</v>
      </c>
      <c r="KE50" s="16"/>
      <c r="KF50" s="15" t="s">
        <v>188</v>
      </c>
      <c r="KH50" s="25" t="str">
        <f>IF(Regn2!$T50&gt;1,Regn2!MV50,"")</f>
        <v/>
      </c>
      <c r="KI50" s="15" t="s">
        <v>188</v>
      </c>
      <c r="KK50" s="16"/>
      <c r="KL50" s="15" t="s">
        <v>188</v>
      </c>
      <c r="KN50" s="25" t="str">
        <f>IF(Regn2!$T50&gt;1,Regn2!NB50,"")</f>
        <v/>
      </c>
      <c r="KO50" s="15" t="s">
        <v>188</v>
      </c>
      <c r="KQ50" s="16"/>
      <c r="KR50" s="15" t="s">
        <v>188</v>
      </c>
      <c r="KT50" s="25" t="str">
        <f>IF(Regn2!$T50&gt;1,Regn2!NF50,"")</f>
        <v/>
      </c>
      <c r="KU50" s="15" t="s">
        <v>188</v>
      </c>
      <c r="KW50" s="16"/>
      <c r="KX50" s="15" t="s">
        <v>188</v>
      </c>
      <c r="KZ50" s="25" t="str">
        <f>IF(Regn2!$T50&gt;1,Regn2!NJ50,"")</f>
        <v/>
      </c>
      <c r="LA50" s="15" t="s">
        <v>188</v>
      </c>
      <c r="LC50" s="16"/>
      <c r="LD50" s="15" t="s">
        <v>188</v>
      </c>
      <c r="LF50" s="25" t="str">
        <f>IF(Regn2!$T50&gt;1,Regn2!NN50,"")</f>
        <v/>
      </c>
      <c r="LG50" s="15" t="s">
        <v>531</v>
      </c>
      <c r="LI50" s="16"/>
      <c r="LJ50" s="15" t="s">
        <v>531</v>
      </c>
      <c r="LL50" s="25" t="str">
        <f>IF(Regn2!$T50&gt;1,Regn2!NP50,"")</f>
        <v/>
      </c>
      <c r="LM50" s="15" t="s">
        <v>188</v>
      </c>
      <c r="LO50" s="16"/>
      <c r="LP50" s="15" t="s">
        <v>188</v>
      </c>
      <c r="LR50" s="25" t="str">
        <f>IF(Regn2!$T50&gt;1,Regn2!NV50,"")</f>
        <v/>
      </c>
      <c r="LS50" s="15" t="s">
        <v>188</v>
      </c>
      <c r="LU50" s="16"/>
      <c r="LV50" s="15" t="s">
        <v>188</v>
      </c>
      <c r="LX50" s="25" t="str">
        <f>IF(Regn2!$T50&gt;1,Regn2!NZ50,"")</f>
        <v/>
      </c>
      <c r="LY50" s="15" t="s">
        <v>188</v>
      </c>
      <c r="MA50" s="16"/>
      <c r="MB50" s="15" t="s">
        <v>188</v>
      </c>
    </row>
    <row r="51" spans="2:340" ht="8.1" customHeight="1" x14ac:dyDescent="0.25"/>
    <row r="52" spans="2:340" x14ac:dyDescent="0.25">
      <c r="B52" s="240" t="s">
        <v>2364</v>
      </c>
      <c r="AG52" s="36">
        <v>3.13</v>
      </c>
      <c r="AH52" s="15" t="s">
        <v>85</v>
      </c>
      <c r="AL52" s="15" t="str">
        <f>IF(Regn2!$R52&lt;=1,"",VLOOKUP(Regn2!$R52,Afgr,2))</f>
        <v>Vinterhvede</v>
      </c>
      <c r="AN52" s="32">
        <f>IF(Regn2!$R52&gt;1,Regn2!AE52,"")</f>
        <v>146</v>
      </c>
      <c r="AO52" s="15" t="s">
        <v>82</v>
      </c>
      <c r="AQ52" s="17"/>
      <c r="AR52" s="15" t="s">
        <v>82</v>
      </c>
      <c r="AT52" s="37">
        <v>108</v>
      </c>
      <c r="AU52" s="15" t="s">
        <v>82</v>
      </c>
      <c r="AX52" s="17"/>
      <c r="AY52" s="15" t="s">
        <v>82</v>
      </c>
      <c r="BA52" s="17"/>
      <c r="BB52" s="15" t="s">
        <v>1504</v>
      </c>
      <c r="BD52" s="17"/>
      <c r="BE52" s="15" t="s">
        <v>1793</v>
      </c>
      <c r="BH52" s="17"/>
      <c r="BI52" s="15" t="s">
        <v>82</v>
      </c>
      <c r="BJ52" s="37">
        <v>75</v>
      </c>
      <c r="BK52" s="15" t="s">
        <v>205</v>
      </c>
      <c r="BM52" s="37">
        <v>119</v>
      </c>
      <c r="BN52" s="15" t="s">
        <v>82</v>
      </c>
      <c r="BP52" s="37">
        <v>74.23</v>
      </c>
      <c r="BQ52" s="15" t="s">
        <v>205</v>
      </c>
      <c r="BT52" s="17"/>
      <c r="BU52" s="15" t="s">
        <v>82</v>
      </c>
      <c r="BW52" s="17"/>
      <c r="BX52" s="15" t="s">
        <v>82</v>
      </c>
      <c r="BY52" s="37">
        <v>75</v>
      </c>
      <c r="BZ52" s="15" t="s">
        <v>205</v>
      </c>
      <c r="CB52" s="17">
        <v>26</v>
      </c>
      <c r="CC52" s="15" t="s">
        <v>1504</v>
      </c>
      <c r="CE52" s="17">
        <v>61</v>
      </c>
      <c r="CF52" s="15" t="s">
        <v>1793</v>
      </c>
      <c r="CH52" s="55">
        <f>IF(Regn2!$R52&gt;1,Regn2!AL52,"")</f>
        <v>63</v>
      </c>
      <c r="CI52" s="15" t="str">
        <f>IF(Regn2!AO52&lt;&gt;0,Regn2!AO52,"")</f>
        <v>hkg</v>
      </c>
      <c r="CK52" s="16">
        <v>69</v>
      </c>
      <c r="CL52" s="15" t="str">
        <f>IF(Regn2!AO52&lt;&gt;0,Regn2!AO52,"")</f>
        <v>hkg</v>
      </c>
      <c r="CN52" s="33">
        <f>IF(Regn2!$R52&gt;1,Regn2!DK52,"")</f>
        <v>9.94</v>
      </c>
      <c r="CO52" s="15" t="s">
        <v>201</v>
      </c>
      <c r="CQ52" s="38">
        <v>11.8</v>
      </c>
      <c r="CR52" s="15" t="s">
        <v>201</v>
      </c>
      <c r="CT52" s="55">
        <f>IF(Regn2!$R52&gt;1,Regn2!AR52,"")</f>
        <v>145</v>
      </c>
      <c r="CU52" s="15" t="s">
        <v>188</v>
      </c>
      <c r="CW52" s="124"/>
      <c r="CX52" s="15" t="s">
        <v>188</v>
      </c>
      <c r="CZ52" s="25">
        <f>IF(Regn2!$R52&gt;1,Regn2!AW52,"")</f>
        <v>0</v>
      </c>
      <c r="DA52" s="15" t="s">
        <v>188</v>
      </c>
      <c r="DC52" s="17"/>
      <c r="DD52" s="15" t="s">
        <v>188</v>
      </c>
      <c r="DF52" s="25">
        <f>IF(Regn2!$R52&gt;1,Regn2!BB52,"")</f>
        <v>3833.3333333333335</v>
      </c>
      <c r="DG52" s="15" t="s">
        <v>192</v>
      </c>
      <c r="DI52" s="16"/>
      <c r="DJ52" s="15" t="s">
        <v>192</v>
      </c>
      <c r="DO52" s="33">
        <f>IF(Regn2!$R52&gt;1,Regn2!BI52,"")</f>
        <v>0.5</v>
      </c>
      <c r="DP52" s="15" t="s">
        <v>188</v>
      </c>
      <c r="DR52" s="38"/>
      <c r="DS52" s="15" t="s">
        <v>188</v>
      </c>
      <c r="DU52" s="15" t="str">
        <f>IF(Regn2!$T52&lt;=1,"",VLOOKUP(Regn2!$T52,Efgr,2))</f>
        <v/>
      </c>
      <c r="DW52" s="25" t="str">
        <f>IF(Regn2!$T52&gt;1,Regn2!BN52,"")</f>
        <v/>
      </c>
      <c r="DX52" s="15" t="s">
        <v>82</v>
      </c>
      <c r="DZ52" s="16"/>
      <c r="EA52" s="15" t="s">
        <v>82</v>
      </c>
      <c r="EC52" s="17"/>
      <c r="ED52" s="15" t="s">
        <v>1504</v>
      </c>
      <c r="EF52" s="17"/>
      <c r="EG52" s="15" t="s">
        <v>1793</v>
      </c>
      <c r="EI52" s="16"/>
      <c r="EJ52" s="15" t="s">
        <v>82</v>
      </c>
      <c r="EL52" s="16">
        <v>75</v>
      </c>
      <c r="EM52" s="15" t="s">
        <v>205</v>
      </c>
      <c r="EO52" s="25">
        <f>EI52*EL52*0.01</f>
        <v>0</v>
      </c>
      <c r="EP52" s="15" t="s">
        <v>82</v>
      </c>
      <c r="ER52" s="17"/>
      <c r="ES52" s="15" t="s">
        <v>82</v>
      </c>
      <c r="EV52" s="17"/>
      <c r="EW52" s="15" t="s">
        <v>1504</v>
      </c>
      <c r="EY52" s="17"/>
      <c r="EZ52" s="15" t="s">
        <v>1793</v>
      </c>
      <c r="FB52" s="25" t="str">
        <f>IF(Regn2!$T52&gt;1,Regn2!BQ52,"")</f>
        <v/>
      </c>
      <c r="FC52" s="15" t="str">
        <f>IF(Regn2!$T52&gt;1,Regn2!BT52,"")</f>
        <v/>
      </c>
      <c r="FE52" s="16"/>
      <c r="FF52" s="15" t="str">
        <f>IF(Regn2!$T52&gt;1,Regn2!BT52,"")</f>
        <v/>
      </c>
      <c r="FL52" s="32">
        <f>IF(Regn2!$R52&gt;1,NniveauDelsaedsk1,"")</f>
        <v>194</v>
      </c>
      <c r="FM52" s="15" t="s">
        <v>82</v>
      </c>
      <c r="FO52" s="17"/>
      <c r="FP52" s="15" t="s">
        <v>82</v>
      </c>
      <c r="FR52" s="32">
        <f>IF(Regn2!$R52&gt;1,Regn2!HU52,"")</f>
        <v>304.76666666666603</v>
      </c>
      <c r="FS52" s="15" t="s">
        <v>531</v>
      </c>
      <c r="FU52" s="17"/>
      <c r="FV52" s="15" t="s">
        <v>531</v>
      </c>
      <c r="FX52" s="32">
        <f>IF(Regn2!$R52&gt;1,Regn2!HR52,"")</f>
        <v>269.74999999999898</v>
      </c>
      <c r="FY52" s="15" t="s">
        <v>531</v>
      </c>
      <c r="GA52" s="17"/>
      <c r="GB52" s="15" t="s">
        <v>531</v>
      </c>
      <c r="GD52" s="15">
        <f>IF(Regn2!$R52&gt;1,RetentionNbal,"")</f>
        <v>65</v>
      </c>
      <c r="GE52" s="15" t="s">
        <v>205</v>
      </c>
      <c r="GF52" s="17"/>
      <c r="GG52" s="15" t="s">
        <v>205</v>
      </c>
      <c r="GI52" s="15" t="str">
        <f>IF(Regn2!$R52&lt;=1,"",VLOOKUP(Regn2!$R52,Afgr,2))</f>
        <v>Vinterhvede</v>
      </c>
      <c r="GK52" s="25">
        <f>IF(Regn2!$R52&gt;1,Regn2!IO52,"")</f>
        <v>578</v>
      </c>
      <c r="GL52" s="15" t="s">
        <v>188</v>
      </c>
      <c r="GN52" s="16"/>
      <c r="GO52" s="15" t="s">
        <v>188</v>
      </c>
      <c r="GQ52" s="25">
        <f>IF(Regn2!$R52&gt;1,Regn2!JK52,"")</f>
        <v>912.59999999999991</v>
      </c>
      <c r="GR52" s="15" t="s">
        <v>188</v>
      </c>
      <c r="GT52" s="16"/>
      <c r="GU52" s="15" t="s">
        <v>188</v>
      </c>
      <c r="GW52" s="25">
        <f>IF(Regn2!$R52&gt;1,Regn2!JO52,"")</f>
        <v>703</v>
      </c>
      <c r="GX52" s="15" t="s">
        <v>188</v>
      </c>
      <c r="GZ52" s="16"/>
      <c r="HA52" s="15" t="s">
        <v>188</v>
      </c>
      <c r="HC52" s="25">
        <f>IF(Regn2!$R52&gt;1,Regn2!JS52,"")</f>
        <v>0</v>
      </c>
      <c r="HD52" s="15" t="s">
        <v>188</v>
      </c>
      <c r="HF52" s="16"/>
      <c r="HG52" s="15" t="s">
        <v>188</v>
      </c>
      <c r="HI52" s="25">
        <f>IF(Regn2!$R52&gt;1,Regn2!JY52,"")</f>
        <v>600</v>
      </c>
      <c r="HJ52" s="15" t="s">
        <v>362</v>
      </c>
      <c r="HL52" s="16"/>
      <c r="HM52" s="15" t="s">
        <v>188</v>
      </c>
      <c r="HO52" s="25">
        <f>IF(Regn2!$R52&gt;1,Regn2!KL52,"")</f>
        <v>350</v>
      </c>
      <c r="HP52" s="15" t="s">
        <v>188</v>
      </c>
      <c r="HR52" s="16"/>
      <c r="HS52" s="15" t="s">
        <v>188</v>
      </c>
      <c r="HU52" s="25">
        <f>IF(Regn2!$R52&gt;1,Regn2!KP52,"")</f>
        <v>280</v>
      </c>
      <c r="HV52" s="15" t="s">
        <v>188</v>
      </c>
      <c r="HX52" s="16"/>
      <c r="HY52" s="15" t="s">
        <v>188</v>
      </c>
      <c r="IA52" s="25">
        <f>IF(Regn2!$R52&gt;1,Regn2!KT52,"")</f>
        <v>450</v>
      </c>
      <c r="IB52" s="15" t="s">
        <v>188</v>
      </c>
      <c r="ID52" s="16"/>
      <c r="IE52" s="15" t="s">
        <v>188</v>
      </c>
      <c r="IG52" s="25">
        <f>IF(Regn2!$R52&gt;1,Regn2!KX52,"")</f>
        <v>0</v>
      </c>
      <c r="IH52" s="15" t="s">
        <v>531</v>
      </c>
      <c r="IJ52" s="16"/>
      <c r="IK52" s="15" t="s">
        <v>531</v>
      </c>
      <c r="IM52" s="25">
        <f>IF(Regn2!$R52&gt;1,Regn2!KZ52,"")</f>
        <v>0</v>
      </c>
      <c r="IN52" s="15" t="s">
        <v>188</v>
      </c>
      <c r="IP52" s="16"/>
      <c r="IQ52" s="15" t="s">
        <v>188</v>
      </c>
      <c r="IS52" s="25">
        <f>IF(Regn2!$R52&gt;1,Regn2!LG52,"")</f>
        <v>1079.1176470588234</v>
      </c>
      <c r="IT52" s="15" t="s">
        <v>188</v>
      </c>
      <c r="IV52" s="16"/>
      <c r="IW52" s="15" t="s">
        <v>405</v>
      </c>
      <c r="IY52" s="25">
        <f>IF(Regn2!$R52&gt;1,Regn2!LM52,"")</f>
        <v>853.47222222222217</v>
      </c>
      <c r="IZ52" s="15" t="s">
        <v>188</v>
      </c>
      <c r="JB52" s="16"/>
      <c r="JC52" s="15" t="s">
        <v>188</v>
      </c>
      <c r="JH52" s="25">
        <f>IF(Regn2!$R52&gt;1,Regn2!LQ52,"")</f>
        <v>637.56000000000006</v>
      </c>
      <c r="JI52" s="15" t="s">
        <v>188</v>
      </c>
      <c r="JK52" s="16"/>
      <c r="JL52" s="15" t="s">
        <v>188</v>
      </c>
      <c r="JN52" s="15" t="str">
        <f>IF(Regn2!$T52&lt;=1,"",VLOOKUP(Regn2!$T52,Efgr,2))</f>
        <v/>
      </c>
      <c r="JP52" s="25" t="str">
        <f>IF(Regn2!$T52&gt;1,Regn2!LU52,"")</f>
        <v/>
      </c>
      <c r="JQ52" s="15" t="s">
        <v>188</v>
      </c>
      <c r="JS52" s="16"/>
      <c r="JT52" s="15" t="s">
        <v>188</v>
      </c>
      <c r="JV52" s="25" t="str">
        <f>IF(Regn2!$T52&gt;1,Regn2!MN52,"")</f>
        <v/>
      </c>
      <c r="JW52" s="15" t="s">
        <v>188</v>
      </c>
      <c r="JY52" s="16"/>
      <c r="JZ52" s="15" t="s">
        <v>188</v>
      </c>
      <c r="KB52" s="25" t="str">
        <f>IF(Regn2!$T52&gt;1,Regn2!MR52,"")</f>
        <v/>
      </c>
      <c r="KC52" s="15" t="s">
        <v>188</v>
      </c>
      <c r="KE52" s="16"/>
      <c r="KF52" s="15" t="s">
        <v>188</v>
      </c>
      <c r="KH52" s="25" t="str">
        <f>IF(Regn2!$T52&gt;1,Regn2!MV52,"")</f>
        <v/>
      </c>
      <c r="KI52" s="15" t="s">
        <v>188</v>
      </c>
      <c r="KK52" s="16"/>
      <c r="KL52" s="15" t="s">
        <v>188</v>
      </c>
      <c r="KN52" s="25" t="str">
        <f>IF(Regn2!$T52&gt;1,Regn2!NB52,"")</f>
        <v/>
      </c>
      <c r="KO52" s="15" t="s">
        <v>188</v>
      </c>
      <c r="KQ52" s="16"/>
      <c r="KR52" s="15" t="s">
        <v>188</v>
      </c>
      <c r="KT52" s="25" t="str">
        <f>IF(Regn2!$T52&gt;1,Regn2!NF52,"")</f>
        <v/>
      </c>
      <c r="KU52" s="15" t="s">
        <v>188</v>
      </c>
      <c r="KW52" s="16"/>
      <c r="KX52" s="15" t="s">
        <v>188</v>
      </c>
      <c r="KZ52" s="25" t="str">
        <f>IF(Regn2!$T52&gt;1,Regn2!NJ52,"")</f>
        <v/>
      </c>
      <c r="LA52" s="15" t="s">
        <v>188</v>
      </c>
      <c r="LC52" s="16"/>
      <c r="LD52" s="15" t="s">
        <v>188</v>
      </c>
      <c r="LF52" s="25" t="str">
        <f>IF(Regn2!$T52&gt;1,Regn2!NN52,"")</f>
        <v/>
      </c>
      <c r="LG52" s="15" t="s">
        <v>531</v>
      </c>
      <c r="LI52" s="16"/>
      <c r="LJ52" s="15" t="s">
        <v>531</v>
      </c>
      <c r="LL52" s="25" t="str">
        <f>IF(Regn2!$T52&gt;1,Regn2!NP52,"")</f>
        <v/>
      </c>
      <c r="LM52" s="15" t="s">
        <v>188</v>
      </c>
      <c r="LO52" s="16"/>
      <c r="LP52" s="15" t="s">
        <v>188</v>
      </c>
      <c r="LR52" s="25" t="str">
        <f>IF(Regn2!$T52&gt;1,Regn2!NV52,"")</f>
        <v/>
      </c>
      <c r="LS52" s="15" t="s">
        <v>188</v>
      </c>
      <c r="LU52" s="16"/>
      <c r="LV52" s="15" t="s">
        <v>188</v>
      </c>
      <c r="LX52" s="25" t="str">
        <f>IF(Regn2!$T52&gt;1,Regn2!NZ52,"")</f>
        <v/>
      </c>
      <c r="LY52" s="15" t="s">
        <v>188</v>
      </c>
      <c r="MA52" s="16"/>
      <c r="MB52" s="15" t="s">
        <v>188</v>
      </c>
    </row>
    <row r="53" spans="2:340" ht="8.1" customHeight="1" x14ac:dyDescent="0.25"/>
    <row r="54" spans="2:340" x14ac:dyDescent="0.25">
      <c r="B54" s="240" t="s">
        <v>2365</v>
      </c>
      <c r="AG54" s="36">
        <v>1.48</v>
      </c>
      <c r="AH54" s="15" t="s">
        <v>85</v>
      </c>
      <c r="AL54" s="15" t="str">
        <f>IF(Regn2!$R54&lt;=1,"",VLOOKUP(Regn2!$R54,Afgr,2))</f>
        <v>Permanent græs</v>
      </c>
      <c r="AN54" s="32">
        <f>IF(Regn2!$R54&gt;1,Regn2!AE54,"")</f>
        <v>134</v>
      </c>
      <c r="AO54" s="15" t="s">
        <v>82</v>
      </c>
      <c r="AQ54" s="17"/>
      <c r="AR54" s="15" t="s">
        <v>82</v>
      </c>
      <c r="AT54" s="37"/>
      <c r="AU54" s="15" t="s">
        <v>82</v>
      </c>
      <c r="AX54" s="17"/>
      <c r="AY54" s="15" t="s">
        <v>82</v>
      </c>
      <c r="BA54" s="17"/>
      <c r="BB54" s="15" t="s">
        <v>1504</v>
      </c>
      <c r="BD54" s="17"/>
      <c r="BE54" s="15" t="s">
        <v>1793</v>
      </c>
      <c r="BH54" s="17"/>
      <c r="BI54" s="15" t="s">
        <v>82</v>
      </c>
      <c r="BJ54" s="37">
        <v>75</v>
      </c>
      <c r="BK54" s="15" t="s">
        <v>205</v>
      </c>
      <c r="BM54" s="37"/>
      <c r="BN54" s="15" t="s">
        <v>82</v>
      </c>
      <c r="BP54" s="37">
        <v>74.23</v>
      </c>
      <c r="BQ54" s="15" t="s">
        <v>205</v>
      </c>
      <c r="BT54" s="17"/>
      <c r="BU54" s="15" t="s">
        <v>82</v>
      </c>
      <c r="BW54" s="17"/>
      <c r="BX54" s="15" t="s">
        <v>82</v>
      </c>
      <c r="BY54" s="37">
        <v>75</v>
      </c>
      <c r="BZ54" s="15" t="s">
        <v>205</v>
      </c>
      <c r="CB54" s="17"/>
      <c r="CC54" s="15" t="s">
        <v>1504</v>
      </c>
      <c r="CE54" s="17"/>
      <c r="CF54" s="15" t="s">
        <v>1793</v>
      </c>
      <c r="CH54" s="55">
        <f>IF(Regn2!$R54&gt;1,Regn2!AL54,"")</f>
        <v>3000</v>
      </c>
      <c r="CI54" s="15" t="str">
        <f>IF(Regn2!AO54&lt;&gt;0,Regn2!AO54,"")</f>
        <v>FE</v>
      </c>
      <c r="CK54" s="16"/>
      <c r="CL54" s="15" t="str">
        <f>IF(Regn2!AO54&lt;&gt;0,Regn2!AO54,"")</f>
        <v>FE</v>
      </c>
      <c r="CN54" s="33">
        <f>IF(Regn2!$R54&gt;1,Regn2!DK54,"")</f>
        <v>14</v>
      </c>
      <c r="CO54" s="15" t="s">
        <v>201</v>
      </c>
      <c r="CQ54" s="38"/>
      <c r="CR54" s="15" t="s">
        <v>201</v>
      </c>
      <c r="CT54" s="55">
        <f>IF(Regn2!$R54&gt;1,Regn2!AR54,"")</f>
        <v>1.2</v>
      </c>
      <c r="CU54" s="15" t="s">
        <v>188</v>
      </c>
      <c r="CW54" s="124"/>
      <c r="CX54" s="15" t="s">
        <v>188</v>
      </c>
      <c r="CZ54" s="25">
        <f>IF(Regn2!$R54&gt;1,Regn2!AW54,"")</f>
        <v>0</v>
      </c>
      <c r="DA54" s="15" t="s">
        <v>188</v>
      </c>
      <c r="DC54" s="17"/>
      <c r="DD54" s="15" t="s">
        <v>188</v>
      </c>
      <c r="DF54" s="25">
        <f>IF(Regn2!$R54&gt;1,Regn2!BB54,"")</f>
        <v>0</v>
      </c>
      <c r="DG54" s="15" t="s">
        <v>192</v>
      </c>
      <c r="DI54" s="16"/>
      <c r="DJ54" s="15" t="s">
        <v>192</v>
      </c>
      <c r="DO54" s="33">
        <f>IF(Regn2!$R54&gt;1,Regn2!BI54,"")</f>
        <v>0</v>
      </c>
      <c r="DP54" s="15" t="s">
        <v>188</v>
      </c>
      <c r="DR54" s="38"/>
      <c r="DS54" s="15" t="s">
        <v>188</v>
      </c>
      <c r="DU54" s="15" t="str">
        <f>IF(Regn2!$T54&lt;=1,"",VLOOKUP(Regn2!$T54,Efgr,2))</f>
        <v/>
      </c>
      <c r="DW54" s="25" t="str">
        <f>IF(Regn2!$T54&gt;1,Regn2!BN54,"")</f>
        <v/>
      </c>
      <c r="DX54" s="15" t="s">
        <v>82</v>
      </c>
      <c r="DZ54" s="16"/>
      <c r="EA54" s="15" t="s">
        <v>82</v>
      </c>
      <c r="EC54" s="17"/>
      <c r="ED54" s="15" t="s">
        <v>1504</v>
      </c>
      <c r="EF54" s="17"/>
      <c r="EG54" s="15" t="s">
        <v>1793</v>
      </c>
      <c r="EI54" s="16"/>
      <c r="EJ54" s="15" t="s">
        <v>82</v>
      </c>
      <c r="EL54" s="16">
        <v>75</v>
      </c>
      <c r="EM54" s="15" t="s">
        <v>205</v>
      </c>
      <c r="EO54" s="25">
        <f>EI54*EL54*0.01</f>
        <v>0</v>
      </c>
      <c r="EP54" s="15" t="s">
        <v>82</v>
      </c>
      <c r="ER54" s="17"/>
      <c r="ES54" s="15" t="s">
        <v>82</v>
      </c>
      <c r="EV54" s="17"/>
      <c r="EW54" s="15" t="s">
        <v>1504</v>
      </c>
      <c r="EY54" s="17"/>
      <c r="EZ54" s="15" t="s">
        <v>1793</v>
      </c>
      <c r="FB54" s="25" t="str">
        <f>IF(Regn2!$T54&gt;1,Regn2!BQ54,"")</f>
        <v/>
      </c>
      <c r="FC54" s="15" t="str">
        <f>IF(Regn2!$T54&gt;1,Regn2!BT54,"")</f>
        <v/>
      </c>
      <c r="FE54" s="16"/>
      <c r="FF54" s="15" t="str">
        <f>IF(Regn2!$T54&gt;1,Regn2!BT54,"")</f>
        <v/>
      </c>
      <c r="FL54" s="32">
        <f>IF(Regn2!$R54&gt;1,NniveauDelsaedsk1,"")</f>
        <v>194</v>
      </c>
      <c r="FM54" s="15" t="s">
        <v>82</v>
      </c>
      <c r="FO54" s="17"/>
      <c r="FP54" s="15" t="s">
        <v>82</v>
      </c>
      <c r="FR54" s="32">
        <f>IF(Regn2!$R54&gt;1,Regn2!HU54,"")</f>
        <v>272.32333333333298</v>
      </c>
      <c r="FS54" s="15" t="s">
        <v>531</v>
      </c>
      <c r="FU54" s="17"/>
      <c r="FV54" s="15" t="s">
        <v>531</v>
      </c>
      <c r="FX54" s="32">
        <f>IF(Regn2!$R54&gt;1,Regn2!HR54,"")</f>
        <v>272.32333333333298</v>
      </c>
      <c r="FY54" s="15" t="s">
        <v>531</v>
      </c>
      <c r="GA54" s="17"/>
      <c r="GB54" s="15" t="s">
        <v>531</v>
      </c>
      <c r="GD54" s="15">
        <f>IF(Regn2!$R54&gt;1,RetentionNbal,"")</f>
        <v>65</v>
      </c>
      <c r="GE54" s="15" t="s">
        <v>205</v>
      </c>
      <c r="GF54" s="17"/>
      <c r="GG54" s="15" t="s">
        <v>205</v>
      </c>
      <c r="GI54" s="15" t="str">
        <f>IF(Regn2!$R54&lt;=1,"",VLOOKUP(Regn2!$R54,Afgr,2))</f>
        <v>Permanent græs</v>
      </c>
      <c r="GK54" s="25">
        <f>IF(Regn2!$R54&gt;1,Regn2!IO54,"")</f>
        <v>0</v>
      </c>
      <c r="GL54" s="15" t="s">
        <v>188</v>
      </c>
      <c r="GN54" s="16"/>
      <c r="GO54" s="15" t="s">
        <v>188</v>
      </c>
      <c r="GQ54" s="25">
        <f>IF(Regn2!$R54&gt;1,Regn2!JK54,"")</f>
        <v>0</v>
      </c>
      <c r="GR54" s="15" t="s">
        <v>188</v>
      </c>
      <c r="GT54" s="16"/>
      <c r="GU54" s="15" t="s">
        <v>188</v>
      </c>
      <c r="GW54" s="25">
        <f>IF(Regn2!$R54&gt;1,Regn2!JO54,"")</f>
        <v>0</v>
      </c>
      <c r="GX54" s="15" t="s">
        <v>188</v>
      </c>
      <c r="GZ54" s="16"/>
      <c r="HA54" s="15" t="s">
        <v>188</v>
      </c>
      <c r="HC54" s="25">
        <f>IF(Regn2!$R54&gt;1,Regn2!JS54,"")</f>
        <v>0</v>
      </c>
      <c r="HD54" s="15" t="s">
        <v>188</v>
      </c>
      <c r="HF54" s="16"/>
      <c r="HG54" s="15" t="s">
        <v>188</v>
      </c>
      <c r="HI54" s="25">
        <f>IF(Regn2!$R54&gt;1,Regn2!JY54,"")</f>
        <v>0</v>
      </c>
      <c r="HJ54" s="15" t="s">
        <v>362</v>
      </c>
      <c r="HL54" s="16"/>
      <c r="HM54" s="15" t="s">
        <v>188</v>
      </c>
      <c r="HO54" s="25">
        <f>IF(Regn2!$R54&gt;1,Regn2!KL54,"")</f>
        <v>0</v>
      </c>
      <c r="HP54" s="15" t="s">
        <v>188</v>
      </c>
      <c r="HR54" s="16"/>
      <c r="HS54" s="15" t="s">
        <v>188</v>
      </c>
      <c r="HU54" s="25">
        <f>IF(Regn2!$R54&gt;1,Regn2!KP54,"")</f>
        <v>280</v>
      </c>
      <c r="HV54" s="15" t="s">
        <v>188</v>
      </c>
      <c r="HX54" s="16"/>
      <c r="HY54" s="15" t="s">
        <v>188</v>
      </c>
      <c r="IA54" s="25">
        <f>IF(Regn2!$R54&gt;1,Regn2!KT54,"")</f>
        <v>0</v>
      </c>
      <c r="IB54" s="15" t="s">
        <v>188</v>
      </c>
      <c r="ID54" s="16"/>
      <c r="IE54" s="15" t="s">
        <v>188</v>
      </c>
      <c r="IG54" s="25">
        <f>IF(Regn2!$R54&gt;1,Regn2!KX54,"")</f>
        <v>0</v>
      </c>
      <c r="IH54" s="15" t="s">
        <v>531</v>
      </c>
      <c r="IJ54" s="16"/>
      <c r="IK54" s="15" t="s">
        <v>531</v>
      </c>
      <c r="IM54" s="25">
        <f>IF(Regn2!$R54&gt;1,Regn2!KZ54,"")</f>
        <v>0</v>
      </c>
      <c r="IN54" s="15" t="s">
        <v>188</v>
      </c>
      <c r="IP54" s="16"/>
      <c r="IQ54" s="15" t="s">
        <v>188</v>
      </c>
      <c r="IS54" s="25">
        <f>IF(Regn2!$R54&gt;1,Regn2!LG54,"")</f>
        <v>0</v>
      </c>
      <c r="IT54" s="15" t="s">
        <v>188</v>
      </c>
      <c r="IV54" s="16"/>
      <c r="IW54" s="15" t="s">
        <v>405</v>
      </c>
      <c r="IY54" s="25">
        <f>IF(Regn2!$R54&gt;1,Regn2!LM54,"")</f>
        <v>0</v>
      </c>
      <c r="IZ54" s="15" t="s">
        <v>188</v>
      </c>
      <c r="JB54" s="16"/>
      <c r="JC54" s="15" t="s">
        <v>188</v>
      </c>
      <c r="JH54" s="25">
        <f>IF(Regn2!$R54&gt;1,Regn2!LQ54,"")</f>
        <v>0</v>
      </c>
      <c r="JI54" s="15" t="s">
        <v>188</v>
      </c>
      <c r="JK54" s="16"/>
      <c r="JL54" s="15" t="s">
        <v>188</v>
      </c>
      <c r="JN54" s="15" t="str">
        <f>IF(Regn2!$T54&lt;=1,"",VLOOKUP(Regn2!$T54,Efgr,2))</f>
        <v/>
      </c>
      <c r="JP54" s="25" t="str">
        <f>IF(Regn2!$T54&gt;1,Regn2!LU54,"")</f>
        <v/>
      </c>
      <c r="JQ54" s="15" t="s">
        <v>188</v>
      </c>
      <c r="JS54" s="16"/>
      <c r="JT54" s="15" t="s">
        <v>188</v>
      </c>
      <c r="JV54" s="25" t="str">
        <f>IF(Regn2!$T54&gt;1,Regn2!MN54,"")</f>
        <v/>
      </c>
      <c r="JW54" s="15" t="s">
        <v>188</v>
      </c>
      <c r="JY54" s="16"/>
      <c r="JZ54" s="15" t="s">
        <v>188</v>
      </c>
      <c r="KB54" s="25" t="str">
        <f>IF(Regn2!$T54&gt;1,Regn2!MR54,"")</f>
        <v/>
      </c>
      <c r="KC54" s="15" t="s">
        <v>188</v>
      </c>
      <c r="KE54" s="16"/>
      <c r="KF54" s="15" t="s">
        <v>188</v>
      </c>
      <c r="KH54" s="25" t="str">
        <f>IF(Regn2!$T54&gt;1,Regn2!MV54,"")</f>
        <v/>
      </c>
      <c r="KI54" s="15" t="s">
        <v>188</v>
      </c>
      <c r="KK54" s="16"/>
      <c r="KL54" s="15" t="s">
        <v>188</v>
      </c>
      <c r="KN54" s="25" t="str">
        <f>IF(Regn2!$T54&gt;1,Regn2!NB54,"")</f>
        <v/>
      </c>
      <c r="KO54" s="15" t="s">
        <v>188</v>
      </c>
      <c r="KQ54" s="16"/>
      <c r="KR54" s="15" t="s">
        <v>188</v>
      </c>
      <c r="KT54" s="25" t="str">
        <f>IF(Regn2!$T54&gt;1,Regn2!NF54,"")</f>
        <v/>
      </c>
      <c r="KU54" s="15" t="s">
        <v>188</v>
      </c>
      <c r="KW54" s="16"/>
      <c r="KX54" s="15" t="s">
        <v>188</v>
      </c>
      <c r="KZ54" s="25" t="str">
        <f>IF(Regn2!$T54&gt;1,Regn2!NJ54,"")</f>
        <v/>
      </c>
      <c r="LA54" s="15" t="s">
        <v>188</v>
      </c>
      <c r="LC54" s="16"/>
      <c r="LD54" s="15" t="s">
        <v>188</v>
      </c>
      <c r="LF54" s="25" t="str">
        <f>IF(Regn2!$T54&gt;1,Regn2!NN54,"")</f>
        <v/>
      </c>
      <c r="LG54" s="15" t="s">
        <v>531</v>
      </c>
      <c r="LI54" s="16"/>
      <c r="LJ54" s="15" t="s">
        <v>531</v>
      </c>
      <c r="LL54" s="25" t="str">
        <f>IF(Regn2!$T54&gt;1,Regn2!NP54,"")</f>
        <v/>
      </c>
      <c r="LM54" s="15" t="s">
        <v>188</v>
      </c>
      <c r="LO54" s="16"/>
      <c r="LP54" s="15" t="s">
        <v>188</v>
      </c>
      <c r="LR54" s="25" t="str">
        <f>IF(Regn2!$T54&gt;1,Regn2!NV54,"")</f>
        <v/>
      </c>
      <c r="LS54" s="15" t="s">
        <v>188</v>
      </c>
      <c r="LU54" s="16"/>
      <c r="LV54" s="15" t="s">
        <v>188</v>
      </c>
      <c r="LX54" s="25" t="str">
        <f>IF(Regn2!$T54&gt;1,Regn2!NZ54,"")</f>
        <v/>
      </c>
      <c r="LY54" s="15" t="s">
        <v>188</v>
      </c>
      <c r="MA54" s="16"/>
      <c r="MB54" s="15" t="s">
        <v>188</v>
      </c>
    </row>
    <row r="55" spans="2:340" ht="8.1" customHeight="1" x14ac:dyDescent="0.25"/>
    <row r="56" spans="2:340" x14ac:dyDescent="0.25">
      <c r="B56" s="240" t="s">
        <v>2366</v>
      </c>
      <c r="AG56" s="36">
        <v>1.97</v>
      </c>
      <c r="AH56" s="15" t="s">
        <v>85</v>
      </c>
      <c r="AL56" s="15" t="str">
        <f>IF(Regn2!$R56&lt;=1,"",VLOOKUP(Regn2!$R56,Afgr,2))</f>
        <v>Permanent græs</v>
      </c>
      <c r="AN56" s="32">
        <f>IF(Regn2!$R56&gt;1,Regn2!AE56,"")</f>
        <v>134</v>
      </c>
      <c r="AO56" s="15" t="s">
        <v>82</v>
      </c>
      <c r="AQ56" s="17"/>
      <c r="AR56" s="15" t="s">
        <v>82</v>
      </c>
      <c r="AT56" s="37"/>
      <c r="AU56" s="15" t="s">
        <v>82</v>
      </c>
      <c r="AX56" s="17"/>
      <c r="AY56" s="15" t="s">
        <v>82</v>
      </c>
      <c r="BA56" s="17"/>
      <c r="BB56" s="15" t="s">
        <v>1504</v>
      </c>
      <c r="BD56" s="17"/>
      <c r="BE56" s="15" t="s">
        <v>1793</v>
      </c>
      <c r="BH56" s="17"/>
      <c r="BI56" s="15" t="s">
        <v>82</v>
      </c>
      <c r="BJ56" s="37">
        <v>75</v>
      </c>
      <c r="BK56" s="15" t="s">
        <v>205</v>
      </c>
      <c r="BM56" s="37"/>
      <c r="BN56" s="15" t="s">
        <v>82</v>
      </c>
      <c r="BP56" s="37">
        <v>74.23</v>
      </c>
      <c r="BQ56" s="15" t="s">
        <v>205</v>
      </c>
      <c r="BT56" s="17"/>
      <c r="BU56" s="15" t="s">
        <v>82</v>
      </c>
      <c r="BW56" s="17"/>
      <c r="BX56" s="15" t="s">
        <v>82</v>
      </c>
      <c r="BY56" s="37">
        <v>75</v>
      </c>
      <c r="BZ56" s="15" t="s">
        <v>205</v>
      </c>
      <c r="CB56" s="17"/>
      <c r="CC56" s="15" t="s">
        <v>1504</v>
      </c>
      <c r="CE56" s="17"/>
      <c r="CF56" s="15" t="s">
        <v>1793</v>
      </c>
      <c r="CH56" s="55">
        <f>IF(Regn2!$R56&gt;1,Regn2!AL56,"")</f>
        <v>3000</v>
      </c>
      <c r="CI56" s="15" t="str">
        <f>IF(Regn2!AO56&lt;&gt;0,Regn2!AO56,"")</f>
        <v>FE</v>
      </c>
      <c r="CK56" s="16"/>
      <c r="CL56" s="15" t="str">
        <f>IF(Regn2!AO56&lt;&gt;0,Regn2!AO56,"")</f>
        <v>FE</v>
      </c>
      <c r="CN56" s="33">
        <f>IF(Regn2!$R56&gt;1,Regn2!DK56,"")</f>
        <v>14</v>
      </c>
      <c r="CO56" s="15" t="s">
        <v>201</v>
      </c>
      <c r="CQ56" s="38"/>
      <c r="CR56" s="15" t="s">
        <v>201</v>
      </c>
      <c r="CT56" s="55">
        <f>IF(Regn2!$R56&gt;1,Regn2!AR56,"")</f>
        <v>1.2</v>
      </c>
      <c r="CU56" s="15" t="s">
        <v>188</v>
      </c>
      <c r="CW56" s="124"/>
      <c r="CX56" s="15" t="s">
        <v>188</v>
      </c>
      <c r="CZ56" s="25">
        <f>IF(Regn2!$R56&gt;1,Regn2!AW56,"")</f>
        <v>0</v>
      </c>
      <c r="DA56" s="15" t="s">
        <v>188</v>
      </c>
      <c r="DC56" s="17"/>
      <c r="DD56" s="15" t="s">
        <v>188</v>
      </c>
      <c r="DF56" s="25">
        <f>IF(Regn2!$R56&gt;1,Regn2!BB56,"")</f>
        <v>0</v>
      </c>
      <c r="DG56" s="15" t="s">
        <v>192</v>
      </c>
      <c r="DI56" s="16"/>
      <c r="DJ56" s="15" t="s">
        <v>192</v>
      </c>
      <c r="DO56" s="33">
        <f>IF(Regn2!$R56&gt;1,Regn2!BI56,"")</f>
        <v>0</v>
      </c>
      <c r="DP56" s="15" t="s">
        <v>188</v>
      </c>
      <c r="DR56" s="38"/>
      <c r="DS56" s="15" t="s">
        <v>188</v>
      </c>
      <c r="DU56" s="15" t="str">
        <f>IF(Regn2!$T56&lt;=1,"",VLOOKUP(Regn2!$T56,Efgr,2))</f>
        <v/>
      </c>
      <c r="DW56" s="25" t="str">
        <f>IF(Regn2!$T56&gt;1,Regn2!BN56,"")</f>
        <v/>
      </c>
      <c r="DX56" s="15" t="s">
        <v>82</v>
      </c>
      <c r="DZ56" s="16"/>
      <c r="EA56" s="15" t="s">
        <v>82</v>
      </c>
      <c r="EC56" s="17"/>
      <c r="ED56" s="15" t="s">
        <v>1504</v>
      </c>
      <c r="EF56" s="17"/>
      <c r="EG56" s="15" t="s">
        <v>1793</v>
      </c>
      <c r="EI56" s="16"/>
      <c r="EJ56" s="15" t="s">
        <v>82</v>
      </c>
      <c r="EL56" s="16">
        <v>75</v>
      </c>
      <c r="EM56" s="15" t="s">
        <v>205</v>
      </c>
      <c r="EO56" s="25">
        <f>EI56*EL56*0.01</f>
        <v>0</v>
      </c>
      <c r="EP56" s="15" t="s">
        <v>82</v>
      </c>
      <c r="ER56" s="17"/>
      <c r="ES56" s="15" t="s">
        <v>82</v>
      </c>
      <c r="EV56" s="17"/>
      <c r="EW56" s="15" t="s">
        <v>1504</v>
      </c>
      <c r="EY56" s="17"/>
      <c r="EZ56" s="15" t="s">
        <v>1793</v>
      </c>
      <c r="FB56" s="25" t="str">
        <f>IF(Regn2!$T56&gt;1,Regn2!BQ56,"")</f>
        <v/>
      </c>
      <c r="FC56" s="15" t="str">
        <f>IF(Regn2!$T56&gt;1,Regn2!BT56,"")</f>
        <v/>
      </c>
      <c r="FE56" s="16"/>
      <c r="FF56" s="15" t="str">
        <f>IF(Regn2!$T56&gt;1,Regn2!BT56,"")</f>
        <v/>
      </c>
      <c r="FL56" s="32">
        <f>IF(Regn2!$R56&gt;1,NniveauDelsaedsk1,"")</f>
        <v>194</v>
      </c>
      <c r="FM56" s="15" t="s">
        <v>82</v>
      </c>
      <c r="FO56" s="17"/>
      <c r="FP56" s="15" t="s">
        <v>82</v>
      </c>
      <c r="FR56" s="32">
        <f>IF(Regn2!$R56&gt;1,Regn2!HU56,"")</f>
        <v>272.32333333333298</v>
      </c>
      <c r="FS56" s="15" t="s">
        <v>531</v>
      </c>
      <c r="FU56" s="17"/>
      <c r="FV56" s="15" t="s">
        <v>531</v>
      </c>
      <c r="FX56" s="32">
        <f>IF(Regn2!$R56&gt;1,Regn2!HR56,"")</f>
        <v>272.32333333333298</v>
      </c>
      <c r="FY56" s="15" t="s">
        <v>531</v>
      </c>
      <c r="GA56" s="17"/>
      <c r="GB56" s="15" t="s">
        <v>531</v>
      </c>
      <c r="GD56" s="15">
        <f>IF(Regn2!$R56&gt;1,RetentionNbal,"")</f>
        <v>65</v>
      </c>
      <c r="GE56" s="15" t="s">
        <v>205</v>
      </c>
      <c r="GF56" s="17"/>
      <c r="GG56" s="15" t="s">
        <v>205</v>
      </c>
      <c r="GI56" s="15" t="str">
        <f>IF(Regn2!$R56&lt;=1,"",VLOOKUP(Regn2!$R56,Afgr,2))</f>
        <v>Permanent græs</v>
      </c>
      <c r="GK56" s="25">
        <f>IF(Regn2!$R56&gt;1,Regn2!IO56,"")</f>
        <v>0</v>
      </c>
      <c r="GL56" s="15" t="s">
        <v>188</v>
      </c>
      <c r="GN56" s="16"/>
      <c r="GO56" s="15" t="s">
        <v>188</v>
      </c>
      <c r="GQ56" s="25">
        <f>IF(Regn2!$R56&gt;1,Regn2!JK56,"")</f>
        <v>0</v>
      </c>
      <c r="GR56" s="15" t="s">
        <v>188</v>
      </c>
      <c r="GT56" s="16"/>
      <c r="GU56" s="15" t="s">
        <v>188</v>
      </c>
      <c r="GW56" s="25">
        <f>IF(Regn2!$R56&gt;1,Regn2!JO56,"")</f>
        <v>0</v>
      </c>
      <c r="GX56" s="15" t="s">
        <v>188</v>
      </c>
      <c r="GZ56" s="16"/>
      <c r="HA56" s="15" t="s">
        <v>188</v>
      </c>
      <c r="HC56" s="25">
        <f>IF(Regn2!$R56&gt;1,Regn2!JS56,"")</f>
        <v>0</v>
      </c>
      <c r="HD56" s="15" t="s">
        <v>188</v>
      </c>
      <c r="HF56" s="16"/>
      <c r="HG56" s="15" t="s">
        <v>188</v>
      </c>
      <c r="HI56" s="25">
        <f>IF(Regn2!$R56&gt;1,Regn2!JY56,"")</f>
        <v>0</v>
      </c>
      <c r="HJ56" s="15" t="s">
        <v>362</v>
      </c>
      <c r="HL56" s="16"/>
      <c r="HM56" s="15" t="s">
        <v>188</v>
      </c>
      <c r="HO56" s="25">
        <f>IF(Regn2!$R56&gt;1,Regn2!KL56,"")</f>
        <v>0</v>
      </c>
      <c r="HP56" s="15" t="s">
        <v>188</v>
      </c>
      <c r="HR56" s="16"/>
      <c r="HS56" s="15" t="s">
        <v>188</v>
      </c>
      <c r="HU56" s="25">
        <f>IF(Regn2!$R56&gt;1,Regn2!KP56,"")</f>
        <v>280</v>
      </c>
      <c r="HV56" s="15" t="s">
        <v>188</v>
      </c>
      <c r="HX56" s="16"/>
      <c r="HY56" s="15" t="s">
        <v>188</v>
      </c>
      <c r="IA56" s="25">
        <f>IF(Regn2!$R56&gt;1,Regn2!KT56,"")</f>
        <v>0</v>
      </c>
      <c r="IB56" s="15" t="s">
        <v>188</v>
      </c>
      <c r="ID56" s="16"/>
      <c r="IE56" s="15" t="s">
        <v>188</v>
      </c>
      <c r="IG56" s="25">
        <f>IF(Regn2!$R56&gt;1,Regn2!KX56,"")</f>
        <v>0</v>
      </c>
      <c r="IH56" s="15" t="s">
        <v>531</v>
      </c>
      <c r="IJ56" s="16"/>
      <c r="IK56" s="15" t="s">
        <v>531</v>
      </c>
      <c r="IM56" s="25">
        <f>IF(Regn2!$R56&gt;1,Regn2!KZ56,"")</f>
        <v>0</v>
      </c>
      <c r="IN56" s="15" t="s">
        <v>188</v>
      </c>
      <c r="IP56" s="16"/>
      <c r="IQ56" s="15" t="s">
        <v>188</v>
      </c>
      <c r="IS56" s="25">
        <f>IF(Regn2!$R56&gt;1,Regn2!LG56,"")</f>
        <v>0</v>
      </c>
      <c r="IT56" s="15" t="s">
        <v>188</v>
      </c>
      <c r="IV56" s="16"/>
      <c r="IW56" s="15" t="s">
        <v>405</v>
      </c>
      <c r="IY56" s="25">
        <f>IF(Regn2!$R56&gt;1,Regn2!LM56,"")</f>
        <v>0</v>
      </c>
      <c r="IZ56" s="15" t="s">
        <v>188</v>
      </c>
      <c r="JB56" s="16"/>
      <c r="JC56" s="15" t="s">
        <v>188</v>
      </c>
      <c r="JH56" s="25">
        <f>IF(Regn2!$R56&gt;1,Regn2!LQ56,"")</f>
        <v>0</v>
      </c>
      <c r="JI56" s="15" t="s">
        <v>188</v>
      </c>
      <c r="JK56" s="16"/>
      <c r="JL56" s="15" t="s">
        <v>188</v>
      </c>
      <c r="JN56" s="15" t="str">
        <f>IF(Regn2!$T56&lt;=1,"",VLOOKUP(Regn2!$T56,Efgr,2))</f>
        <v/>
      </c>
      <c r="JP56" s="25" t="str">
        <f>IF(Regn2!$T56&gt;1,Regn2!LU56,"")</f>
        <v/>
      </c>
      <c r="JQ56" s="15" t="s">
        <v>188</v>
      </c>
      <c r="JS56" s="16"/>
      <c r="JT56" s="15" t="s">
        <v>188</v>
      </c>
      <c r="JV56" s="25" t="str">
        <f>IF(Regn2!$T56&gt;1,Regn2!MN56,"")</f>
        <v/>
      </c>
      <c r="JW56" s="15" t="s">
        <v>188</v>
      </c>
      <c r="JY56" s="16"/>
      <c r="JZ56" s="15" t="s">
        <v>188</v>
      </c>
      <c r="KB56" s="25" t="str">
        <f>IF(Regn2!$T56&gt;1,Regn2!MR56,"")</f>
        <v/>
      </c>
      <c r="KC56" s="15" t="s">
        <v>188</v>
      </c>
      <c r="KE56" s="16"/>
      <c r="KF56" s="15" t="s">
        <v>188</v>
      </c>
      <c r="KH56" s="25" t="str">
        <f>IF(Regn2!$T56&gt;1,Regn2!MV56,"")</f>
        <v/>
      </c>
      <c r="KI56" s="15" t="s">
        <v>188</v>
      </c>
      <c r="KK56" s="16"/>
      <c r="KL56" s="15" t="s">
        <v>188</v>
      </c>
      <c r="KN56" s="25" t="str">
        <f>IF(Regn2!$T56&gt;1,Regn2!NB56,"")</f>
        <v/>
      </c>
      <c r="KO56" s="15" t="s">
        <v>188</v>
      </c>
      <c r="KQ56" s="16"/>
      <c r="KR56" s="15" t="s">
        <v>188</v>
      </c>
      <c r="KT56" s="25" t="str">
        <f>IF(Regn2!$T56&gt;1,Regn2!NF56,"")</f>
        <v/>
      </c>
      <c r="KU56" s="15" t="s">
        <v>188</v>
      </c>
      <c r="KW56" s="16"/>
      <c r="KX56" s="15" t="s">
        <v>188</v>
      </c>
      <c r="KZ56" s="25" t="str">
        <f>IF(Regn2!$T56&gt;1,Regn2!NJ56,"")</f>
        <v/>
      </c>
      <c r="LA56" s="15" t="s">
        <v>188</v>
      </c>
      <c r="LC56" s="16"/>
      <c r="LD56" s="15" t="s">
        <v>188</v>
      </c>
      <c r="LF56" s="25" t="str">
        <f>IF(Regn2!$T56&gt;1,Regn2!NN56,"")</f>
        <v/>
      </c>
      <c r="LG56" s="15" t="s">
        <v>531</v>
      </c>
      <c r="LI56" s="16"/>
      <c r="LJ56" s="15" t="s">
        <v>531</v>
      </c>
      <c r="LL56" s="25" t="str">
        <f>IF(Regn2!$T56&gt;1,Regn2!NP56,"")</f>
        <v/>
      </c>
      <c r="LM56" s="15" t="s">
        <v>188</v>
      </c>
      <c r="LO56" s="16"/>
      <c r="LP56" s="15" t="s">
        <v>188</v>
      </c>
      <c r="LR56" s="25" t="str">
        <f>IF(Regn2!$T56&gt;1,Regn2!NV56,"")</f>
        <v/>
      </c>
      <c r="LS56" s="15" t="s">
        <v>188</v>
      </c>
      <c r="LU56" s="16"/>
      <c r="LV56" s="15" t="s">
        <v>188</v>
      </c>
      <c r="LX56" s="25" t="str">
        <f>IF(Regn2!$T56&gt;1,Regn2!NZ56,"")</f>
        <v/>
      </c>
      <c r="LY56" s="15" t="s">
        <v>188</v>
      </c>
      <c r="MA56" s="16"/>
      <c r="MB56" s="15" t="s">
        <v>188</v>
      </c>
    </row>
    <row r="57" spans="2:340" ht="8.1" customHeight="1" x14ac:dyDescent="0.25"/>
    <row r="58" spans="2:340" x14ac:dyDescent="0.25">
      <c r="B58" s="240" t="s">
        <v>2367</v>
      </c>
      <c r="AG58" s="36">
        <v>0.98</v>
      </c>
      <c r="AH58" s="15" t="s">
        <v>85</v>
      </c>
      <c r="AL58" s="15" t="str">
        <f>IF(Regn2!$R58&lt;=1,"",VLOOKUP(Regn2!$R58,Afgr,2))</f>
        <v>Permanent græs</v>
      </c>
      <c r="AN58" s="32">
        <f>IF(Regn2!$R58&gt;1,Regn2!AE58,"")</f>
        <v>134</v>
      </c>
      <c r="AO58" s="15" t="s">
        <v>82</v>
      </c>
      <c r="AQ58" s="17"/>
      <c r="AR58" s="15" t="s">
        <v>82</v>
      </c>
      <c r="AT58" s="37"/>
      <c r="AU58" s="15" t="s">
        <v>82</v>
      </c>
      <c r="AX58" s="17"/>
      <c r="AY58" s="15" t="s">
        <v>82</v>
      </c>
      <c r="BA58" s="17"/>
      <c r="BB58" s="15" t="s">
        <v>1504</v>
      </c>
      <c r="BD58" s="17"/>
      <c r="BE58" s="15" t="s">
        <v>1793</v>
      </c>
      <c r="BH58" s="17"/>
      <c r="BI58" s="15" t="s">
        <v>82</v>
      </c>
      <c r="BJ58" s="37">
        <v>75</v>
      </c>
      <c r="BK58" s="15" t="s">
        <v>205</v>
      </c>
      <c r="BM58" s="37"/>
      <c r="BN58" s="15" t="s">
        <v>82</v>
      </c>
      <c r="BP58" s="37">
        <v>74.23</v>
      </c>
      <c r="BQ58" s="15" t="s">
        <v>205</v>
      </c>
      <c r="BT58" s="17"/>
      <c r="BU58" s="15" t="s">
        <v>82</v>
      </c>
      <c r="BW58" s="17"/>
      <c r="BX58" s="15" t="s">
        <v>82</v>
      </c>
      <c r="BY58" s="37">
        <v>75</v>
      </c>
      <c r="BZ58" s="15" t="s">
        <v>205</v>
      </c>
      <c r="CB58" s="17"/>
      <c r="CC58" s="15" t="s">
        <v>1504</v>
      </c>
      <c r="CE58" s="17"/>
      <c r="CF58" s="15" t="s">
        <v>1793</v>
      </c>
      <c r="CH58" s="55">
        <f>IF(Regn2!$R58&gt;1,Regn2!AL58,"")</f>
        <v>3000</v>
      </c>
      <c r="CI58" s="15" t="str">
        <f>IF(Regn2!AO58&lt;&gt;0,Regn2!AO58,"")</f>
        <v>FE</v>
      </c>
      <c r="CK58" s="16"/>
      <c r="CL58" s="15" t="str">
        <f>IF(Regn2!AO58&lt;&gt;0,Regn2!AO58,"")</f>
        <v>FE</v>
      </c>
      <c r="CN58" s="33">
        <f>IF(Regn2!$R58&gt;1,Regn2!DK58,"")</f>
        <v>14</v>
      </c>
      <c r="CO58" s="15" t="s">
        <v>201</v>
      </c>
      <c r="CQ58" s="38"/>
      <c r="CR58" s="15" t="s">
        <v>201</v>
      </c>
      <c r="CT58" s="55">
        <f>IF(Regn2!$R58&gt;1,Regn2!AR58,"")</f>
        <v>1.2</v>
      </c>
      <c r="CU58" s="15" t="s">
        <v>188</v>
      </c>
      <c r="CW58" s="124"/>
      <c r="CX58" s="15" t="s">
        <v>188</v>
      </c>
      <c r="CZ58" s="25">
        <f>IF(Regn2!$R58&gt;1,Regn2!AW58,"")</f>
        <v>0</v>
      </c>
      <c r="DA58" s="15" t="s">
        <v>188</v>
      </c>
      <c r="DC58" s="17"/>
      <c r="DD58" s="15" t="s">
        <v>188</v>
      </c>
      <c r="DF58" s="25">
        <f>IF(Regn2!$R58&gt;1,Regn2!BB58,"")</f>
        <v>0</v>
      </c>
      <c r="DG58" s="15" t="s">
        <v>192</v>
      </c>
      <c r="DI58" s="16"/>
      <c r="DJ58" s="15" t="s">
        <v>192</v>
      </c>
      <c r="DO58" s="33">
        <f>IF(Regn2!$R58&gt;1,Regn2!BI58,"")</f>
        <v>0</v>
      </c>
      <c r="DP58" s="15" t="s">
        <v>188</v>
      </c>
      <c r="DR58" s="38"/>
      <c r="DS58" s="15" t="s">
        <v>188</v>
      </c>
      <c r="DU58" s="15" t="str">
        <f>IF(Regn2!$T58&lt;=1,"",VLOOKUP(Regn2!$T58,Efgr,2))</f>
        <v/>
      </c>
      <c r="DW58" s="25" t="str">
        <f>IF(Regn2!$T58&gt;1,Regn2!BN58,"")</f>
        <v/>
      </c>
      <c r="DX58" s="15" t="s">
        <v>82</v>
      </c>
      <c r="DZ58" s="16"/>
      <c r="EA58" s="15" t="s">
        <v>82</v>
      </c>
      <c r="EC58" s="17"/>
      <c r="ED58" s="15" t="s">
        <v>1504</v>
      </c>
      <c r="EF58" s="17"/>
      <c r="EG58" s="15" t="s">
        <v>1793</v>
      </c>
      <c r="EI58" s="16"/>
      <c r="EJ58" s="15" t="s">
        <v>82</v>
      </c>
      <c r="EL58" s="16">
        <v>75</v>
      </c>
      <c r="EM58" s="15" t="s">
        <v>205</v>
      </c>
      <c r="EO58" s="25">
        <f>EI58*EL58*0.01</f>
        <v>0</v>
      </c>
      <c r="EP58" s="15" t="s">
        <v>82</v>
      </c>
      <c r="ER58" s="17"/>
      <c r="ES58" s="15" t="s">
        <v>82</v>
      </c>
      <c r="EV58" s="17"/>
      <c r="EW58" s="15" t="s">
        <v>1504</v>
      </c>
      <c r="EY58" s="17"/>
      <c r="EZ58" s="15" t="s">
        <v>1793</v>
      </c>
      <c r="FB58" s="25" t="str">
        <f>IF(Regn2!$T58&gt;1,Regn2!BQ58,"")</f>
        <v/>
      </c>
      <c r="FC58" s="15" t="str">
        <f>IF(Regn2!$T58&gt;1,Regn2!BT58,"")</f>
        <v/>
      </c>
      <c r="FE58" s="16"/>
      <c r="FF58" s="15" t="str">
        <f>IF(Regn2!$T58&gt;1,Regn2!BT58,"")</f>
        <v/>
      </c>
      <c r="FL58" s="32">
        <f>IF(Regn2!$R58&gt;1,NniveauDelsaedsk1,"")</f>
        <v>194</v>
      </c>
      <c r="FM58" s="15" t="s">
        <v>82</v>
      </c>
      <c r="FO58" s="17"/>
      <c r="FP58" s="15" t="s">
        <v>82</v>
      </c>
      <c r="FR58" s="32">
        <f>IF(Regn2!$R58&gt;1,Regn2!HU58,"")</f>
        <v>272.32333333333298</v>
      </c>
      <c r="FS58" s="15" t="s">
        <v>531</v>
      </c>
      <c r="FU58" s="17"/>
      <c r="FV58" s="15" t="s">
        <v>531</v>
      </c>
      <c r="FX58" s="32">
        <f>IF(Regn2!$R58&gt;1,Regn2!HR58,"")</f>
        <v>272.32333333333298</v>
      </c>
      <c r="FY58" s="15" t="s">
        <v>531</v>
      </c>
      <c r="GA58" s="17"/>
      <c r="GB58" s="15" t="s">
        <v>531</v>
      </c>
      <c r="GD58" s="15">
        <f>IF(Regn2!$R58&gt;1,RetentionNbal,"")</f>
        <v>65</v>
      </c>
      <c r="GE58" s="15" t="s">
        <v>205</v>
      </c>
      <c r="GF58" s="17"/>
      <c r="GG58" s="15" t="s">
        <v>205</v>
      </c>
      <c r="GI58" s="15" t="str">
        <f>IF(Regn2!$R58&lt;=1,"",VLOOKUP(Regn2!$R58,Afgr,2))</f>
        <v>Permanent græs</v>
      </c>
      <c r="GK58" s="25">
        <f>IF(Regn2!$R58&gt;1,Regn2!IO58,"")</f>
        <v>0</v>
      </c>
      <c r="GL58" s="15" t="s">
        <v>188</v>
      </c>
      <c r="GN58" s="16"/>
      <c r="GO58" s="15" t="s">
        <v>188</v>
      </c>
      <c r="GQ58" s="25">
        <f>IF(Regn2!$R58&gt;1,Regn2!JK58,"")</f>
        <v>0</v>
      </c>
      <c r="GR58" s="15" t="s">
        <v>188</v>
      </c>
      <c r="GT58" s="16"/>
      <c r="GU58" s="15" t="s">
        <v>188</v>
      </c>
      <c r="GW58" s="25">
        <f>IF(Regn2!$R58&gt;1,Regn2!JO58,"")</f>
        <v>0</v>
      </c>
      <c r="GX58" s="15" t="s">
        <v>188</v>
      </c>
      <c r="GZ58" s="16"/>
      <c r="HA58" s="15" t="s">
        <v>188</v>
      </c>
      <c r="HC58" s="25">
        <f>IF(Regn2!$R58&gt;1,Regn2!JS58,"")</f>
        <v>0</v>
      </c>
      <c r="HD58" s="15" t="s">
        <v>188</v>
      </c>
      <c r="HF58" s="16"/>
      <c r="HG58" s="15" t="s">
        <v>188</v>
      </c>
      <c r="HI58" s="25">
        <f>IF(Regn2!$R58&gt;1,Regn2!JY58,"")</f>
        <v>0</v>
      </c>
      <c r="HJ58" s="15" t="s">
        <v>362</v>
      </c>
      <c r="HL58" s="16"/>
      <c r="HM58" s="15" t="s">
        <v>188</v>
      </c>
      <c r="HO58" s="25">
        <f>IF(Regn2!$R58&gt;1,Regn2!KL58,"")</f>
        <v>0</v>
      </c>
      <c r="HP58" s="15" t="s">
        <v>188</v>
      </c>
      <c r="HR58" s="16"/>
      <c r="HS58" s="15" t="s">
        <v>188</v>
      </c>
      <c r="HU58" s="25">
        <f>IF(Regn2!$R58&gt;1,Regn2!KP58,"")</f>
        <v>280</v>
      </c>
      <c r="HV58" s="15" t="s">
        <v>188</v>
      </c>
      <c r="HX58" s="16"/>
      <c r="HY58" s="15" t="s">
        <v>188</v>
      </c>
      <c r="IA58" s="25">
        <f>IF(Regn2!$R58&gt;1,Regn2!KT58,"")</f>
        <v>0</v>
      </c>
      <c r="IB58" s="15" t="s">
        <v>188</v>
      </c>
      <c r="ID58" s="16"/>
      <c r="IE58" s="15" t="s">
        <v>188</v>
      </c>
      <c r="IG58" s="25">
        <f>IF(Regn2!$R58&gt;1,Regn2!KX58,"")</f>
        <v>0</v>
      </c>
      <c r="IH58" s="15" t="s">
        <v>531</v>
      </c>
      <c r="IJ58" s="16"/>
      <c r="IK58" s="15" t="s">
        <v>531</v>
      </c>
      <c r="IM58" s="25">
        <f>IF(Regn2!$R58&gt;1,Regn2!KZ58,"")</f>
        <v>0</v>
      </c>
      <c r="IN58" s="15" t="s">
        <v>188</v>
      </c>
      <c r="IP58" s="16"/>
      <c r="IQ58" s="15" t="s">
        <v>188</v>
      </c>
      <c r="IS58" s="25">
        <f>IF(Regn2!$R58&gt;1,Regn2!LG58,"")</f>
        <v>0</v>
      </c>
      <c r="IT58" s="15" t="s">
        <v>188</v>
      </c>
      <c r="IV58" s="16"/>
      <c r="IW58" s="15" t="s">
        <v>405</v>
      </c>
      <c r="IY58" s="25">
        <f>IF(Regn2!$R58&gt;1,Regn2!LM58,"")</f>
        <v>0</v>
      </c>
      <c r="IZ58" s="15" t="s">
        <v>188</v>
      </c>
      <c r="JB58" s="16"/>
      <c r="JC58" s="15" t="s">
        <v>188</v>
      </c>
      <c r="JH58" s="25">
        <f>IF(Regn2!$R58&gt;1,Regn2!LQ58,"")</f>
        <v>0</v>
      </c>
      <c r="JI58" s="15" t="s">
        <v>188</v>
      </c>
      <c r="JK58" s="16"/>
      <c r="JL58" s="15" t="s">
        <v>188</v>
      </c>
      <c r="JN58" s="15" t="str">
        <f>IF(Regn2!$T58&lt;=1,"",VLOOKUP(Regn2!$T58,Efgr,2))</f>
        <v/>
      </c>
      <c r="JP58" s="25" t="str">
        <f>IF(Regn2!$T58&gt;1,Regn2!LU58,"")</f>
        <v/>
      </c>
      <c r="JQ58" s="15" t="s">
        <v>188</v>
      </c>
      <c r="JS58" s="16"/>
      <c r="JT58" s="15" t="s">
        <v>188</v>
      </c>
      <c r="JV58" s="25" t="str">
        <f>IF(Regn2!$T58&gt;1,Regn2!MN58,"")</f>
        <v/>
      </c>
      <c r="JW58" s="15" t="s">
        <v>188</v>
      </c>
      <c r="JY58" s="16"/>
      <c r="JZ58" s="15" t="s">
        <v>188</v>
      </c>
      <c r="KB58" s="25" t="str">
        <f>IF(Regn2!$T58&gt;1,Regn2!MR58,"")</f>
        <v/>
      </c>
      <c r="KC58" s="15" t="s">
        <v>188</v>
      </c>
      <c r="KE58" s="16"/>
      <c r="KF58" s="15" t="s">
        <v>188</v>
      </c>
      <c r="KH58" s="25" t="str">
        <f>IF(Regn2!$T58&gt;1,Regn2!MV58,"")</f>
        <v/>
      </c>
      <c r="KI58" s="15" t="s">
        <v>188</v>
      </c>
      <c r="KK58" s="16"/>
      <c r="KL58" s="15" t="s">
        <v>188</v>
      </c>
      <c r="KN58" s="25" t="str">
        <f>IF(Regn2!$T58&gt;1,Regn2!NB58,"")</f>
        <v/>
      </c>
      <c r="KO58" s="15" t="s">
        <v>188</v>
      </c>
      <c r="KQ58" s="16"/>
      <c r="KR58" s="15" t="s">
        <v>188</v>
      </c>
      <c r="KT58" s="25" t="str">
        <f>IF(Regn2!$T58&gt;1,Regn2!NF58,"")</f>
        <v/>
      </c>
      <c r="KU58" s="15" t="s">
        <v>188</v>
      </c>
      <c r="KW58" s="16"/>
      <c r="KX58" s="15" t="s">
        <v>188</v>
      </c>
      <c r="KZ58" s="25" t="str">
        <f>IF(Regn2!$T58&gt;1,Regn2!NJ58,"")</f>
        <v/>
      </c>
      <c r="LA58" s="15" t="s">
        <v>188</v>
      </c>
      <c r="LC58" s="16"/>
      <c r="LD58" s="15" t="s">
        <v>188</v>
      </c>
      <c r="LF58" s="25" t="str">
        <f>IF(Regn2!$T58&gt;1,Regn2!NN58,"")</f>
        <v/>
      </c>
      <c r="LG58" s="15" t="s">
        <v>531</v>
      </c>
      <c r="LI58" s="16"/>
      <c r="LJ58" s="15" t="s">
        <v>531</v>
      </c>
      <c r="LL58" s="25" t="str">
        <f>IF(Regn2!$T58&gt;1,Regn2!NP58,"")</f>
        <v/>
      </c>
      <c r="LM58" s="15" t="s">
        <v>188</v>
      </c>
      <c r="LO58" s="16"/>
      <c r="LP58" s="15" t="s">
        <v>188</v>
      </c>
      <c r="LR58" s="25" t="str">
        <f>IF(Regn2!$T58&gt;1,Regn2!NV58,"")</f>
        <v/>
      </c>
      <c r="LS58" s="15" t="s">
        <v>188</v>
      </c>
      <c r="LU58" s="16"/>
      <c r="LV58" s="15" t="s">
        <v>188</v>
      </c>
      <c r="LX58" s="25" t="str">
        <f>IF(Regn2!$T58&gt;1,Regn2!NZ58,"")</f>
        <v/>
      </c>
      <c r="LY58" s="15" t="s">
        <v>188</v>
      </c>
      <c r="MA58" s="16"/>
      <c r="MB58" s="15" t="s">
        <v>188</v>
      </c>
    </row>
    <row r="59" spans="2:340" ht="8.1" customHeight="1" x14ac:dyDescent="0.25"/>
    <row r="60" spans="2:340" x14ac:dyDescent="0.25">
      <c r="B60" s="240" t="s">
        <v>2368</v>
      </c>
      <c r="AG60" s="36">
        <v>1.34</v>
      </c>
      <c r="AH60" s="15" t="s">
        <v>85</v>
      </c>
      <c r="AL60" s="15" t="str">
        <f>IF(Regn2!$R60&lt;=1,"",VLOOKUP(Regn2!$R60,Afgr,2))</f>
        <v>Kløvergræs, 4 slæt</v>
      </c>
      <c r="AN60" s="32">
        <f>IF(Regn2!$R60&gt;1,Regn2!AE60,"")</f>
        <v>321</v>
      </c>
      <c r="AO60" s="15" t="s">
        <v>82</v>
      </c>
      <c r="AQ60" s="17"/>
      <c r="AR60" s="15" t="s">
        <v>82</v>
      </c>
      <c r="AT60" s="37"/>
      <c r="AU60" s="15" t="s">
        <v>82</v>
      </c>
      <c r="AX60" s="17"/>
      <c r="AY60" s="15" t="s">
        <v>82</v>
      </c>
      <c r="BA60" s="17"/>
      <c r="BB60" s="15" t="s">
        <v>1504</v>
      </c>
      <c r="BD60" s="17"/>
      <c r="BE60" s="15" t="s">
        <v>1793</v>
      </c>
      <c r="BH60" s="17"/>
      <c r="BI60" s="15" t="s">
        <v>82</v>
      </c>
      <c r="BJ60" s="37">
        <v>75</v>
      </c>
      <c r="BK60" s="15" t="s">
        <v>205</v>
      </c>
      <c r="BM60" s="37"/>
      <c r="BN60" s="15" t="s">
        <v>82</v>
      </c>
      <c r="BP60" s="37">
        <v>74.23</v>
      </c>
      <c r="BQ60" s="15" t="s">
        <v>205</v>
      </c>
      <c r="BT60" s="17"/>
      <c r="BU60" s="15" t="s">
        <v>82</v>
      </c>
      <c r="BW60" s="17"/>
      <c r="BX60" s="15" t="s">
        <v>82</v>
      </c>
      <c r="BY60" s="37">
        <v>75</v>
      </c>
      <c r="BZ60" s="15" t="s">
        <v>205</v>
      </c>
      <c r="CB60" s="17"/>
      <c r="CC60" s="15" t="s">
        <v>1504</v>
      </c>
      <c r="CE60" s="17"/>
      <c r="CF60" s="15" t="s">
        <v>1793</v>
      </c>
      <c r="CH60" s="55">
        <f>IF(Regn2!$R60&gt;1,Regn2!AL60,"")</f>
        <v>7100</v>
      </c>
      <c r="CI60" s="15" t="str">
        <f>IF(Regn2!AO60&lt;&gt;0,Regn2!AO60,"")</f>
        <v>FE</v>
      </c>
      <c r="CK60" s="16"/>
      <c r="CL60" s="15" t="str">
        <f>IF(Regn2!AO60&lt;&gt;0,Regn2!AO60,"")</f>
        <v>FE</v>
      </c>
      <c r="CN60" s="33">
        <f>IF(Regn2!$R60&gt;1,Regn2!DK60,"")</f>
        <v>16.3125</v>
      </c>
      <c r="CO60" s="15" t="s">
        <v>201</v>
      </c>
      <c r="CQ60" s="38"/>
      <c r="CR60" s="15" t="s">
        <v>201</v>
      </c>
      <c r="CT60" s="55">
        <f>IF(Regn2!$R60&gt;1,Regn2!AR60,"")</f>
        <v>1.2</v>
      </c>
      <c r="CU60" s="15" t="s">
        <v>188</v>
      </c>
      <c r="CW60" s="124"/>
      <c r="CX60" s="15" t="s">
        <v>188</v>
      </c>
      <c r="CZ60" s="25">
        <f>IF(Regn2!$R60&gt;1,Regn2!AW60,"")</f>
        <v>0</v>
      </c>
      <c r="DA60" s="15" t="s">
        <v>188</v>
      </c>
      <c r="DC60" s="17"/>
      <c r="DD60" s="15" t="s">
        <v>188</v>
      </c>
      <c r="DF60" s="25">
        <f>IF(Regn2!$R60&gt;1,Regn2!BB60,"")</f>
        <v>0</v>
      </c>
      <c r="DG60" s="15" t="s">
        <v>192</v>
      </c>
      <c r="DI60" s="16"/>
      <c r="DJ60" s="15" t="s">
        <v>192</v>
      </c>
      <c r="DO60" s="33">
        <f>IF(Regn2!$R60&gt;1,Regn2!BI60,"")</f>
        <v>0</v>
      </c>
      <c r="DP60" s="15" t="s">
        <v>188</v>
      </c>
      <c r="DR60" s="38"/>
      <c r="DS60" s="15" t="s">
        <v>188</v>
      </c>
      <c r="DU60" s="15" t="str">
        <f>IF(Regn2!$T60&lt;=1,"",VLOOKUP(Regn2!$T60,Efgr,2))</f>
        <v/>
      </c>
      <c r="DW60" s="25" t="str">
        <f>IF(Regn2!$T60&gt;1,Regn2!BN60,"")</f>
        <v/>
      </c>
      <c r="DX60" s="15" t="s">
        <v>82</v>
      </c>
      <c r="DZ60" s="16"/>
      <c r="EA60" s="15" t="s">
        <v>82</v>
      </c>
      <c r="EC60" s="17"/>
      <c r="ED60" s="15" t="s">
        <v>1504</v>
      </c>
      <c r="EF60" s="17"/>
      <c r="EG60" s="15" t="s">
        <v>1793</v>
      </c>
      <c r="EI60" s="16"/>
      <c r="EJ60" s="15" t="s">
        <v>82</v>
      </c>
      <c r="EL60" s="16">
        <v>75</v>
      </c>
      <c r="EM60" s="15" t="s">
        <v>205</v>
      </c>
      <c r="EO60" s="25">
        <f>EI60*EL60*0.01</f>
        <v>0</v>
      </c>
      <c r="EP60" s="15" t="s">
        <v>82</v>
      </c>
      <c r="ER60" s="17"/>
      <c r="ES60" s="15" t="s">
        <v>82</v>
      </c>
      <c r="EV60" s="17"/>
      <c r="EW60" s="15" t="s">
        <v>1504</v>
      </c>
      <c r="EY60" s="17"/>
      <c r="EZ60" s="15" t="s">
        <v>1793</v>
      </c>
      <c r="FB60" s="25" t="str">
        <f>IF(Regn2!$T60&gt;1,Regn2!BQ60,"")</f>
        <v/>
      </c>
      <c r="FC60" s="15" t="str">
        <f>IF(Regn2!$T60&gt;1,Regn2!BT60,"")</f>
        <v/>
      </c>
      <c r="FE60" s="16"/>
      <c r="FF60" s="15" t="str">
        <f>IF(Regn2!$T60&gt;1,Regn2!BT60,"")</f>
        <v/>
      </c>
      <c r="FL60" s="32">
        <f>IF(Regn2!$R60&gt;1,NniveauDelsaedsk1,"")</f>
        <v>194</v>
      </c>
      <c r="FM60" s="15" t="s">
        <v>82</v>
      </c>
      <c r="FO60" s="17"/>
      <c r="FP60" s="15" t="s">
        <v>82</v>
      </c>
      <c r="FR60" s="32">
        <f>IF(Regn2!$R60&gt;1,Regn2!HU60,"")</f>
        <v>272.32333333333298</v>
      </c>
      <c r="FS60" s="15" t="s">
        <v>531</v>
      </c>
      <c r="FU60" s="17"/>
      <c r="FV60" s="15" t="s">
        <v>531</v>
      </c>
      <c r="FX60" s="32">
        <f>IF(Regn2!$R60&gt;1,Regn2!HR60,"")</f>
        <v>272.32333333333298</v>
      </c>
      <c r="FY60" s="15" t="s">
        <v>531</v>
      </c>
      <c r="GA60" s="17"/>
      <c r="GB60" s="15" t="s">
        <v>531</v>
      </c>
      <c r="GD60" s="15">
        <f>IF(Regn2!$R60&gt;1,RetentionNbal,"")</f>
        <v>65</v>
      </c>
      <c r="GE60" s="15" t="s">
        <v>205</v>
      </c>
      <c r="GF60" s="17"/>
      <c r="GG60" s="15" t="s">
        <v>205</v>
      </c>
      <c r="GI60" s="15" t="str">
        <f>IF(Regn2!$R60&lt;=1,"",VLOOKUP(Regn2!$R60,Afgr,2))</f>
        <v>Kløvergræs, 4 slæt</v>
      </c>
      <c r="GK60" s="25">
        <f>IF(Regn2!$R60&gt;1,Regn2!IO60,"")</f>
        <v>420</v>
      </c>
      <c r="GL60" s="15" t="s">
        <v>188</v>
      </c>
      <c r="GN60" s="16"/>
      <c r="GO60" s="15" t="s">
        <v>188</v>
      </c>
      <c r="GQ60" s="25">
        <f>IF(Regn2!$R60&gt;1,Regn2!JK60,"")</f>
        <v>0</v>
      </c>
      <c r="GR60" s="15" t="s">
        <v>188</v>
      </c>
      <c r="GT60" s="16"/>
      <c r="GU60" s="15" t="s">
        <v>188</v>
      </c>
      <c r="GW60" s="25">
        <f>IF(Regn2!$R60&gt;1,Regn2!JO60,"")</f>
        <v>0</v>
      </c>
      <c r="GX60" s="15" t="s">
        <v>188</v>
      </c>
      <c r="GZ60" s="16"/>
      <c r="HA60" s="15" t="s">
        <v>188</v>
      </c>
      <c r="HC60" s="25">
        <f>IF(Regn2!$R60&gt;1,Regn2!JS60,"")</f>
        <v>369.2</v>
      </c>
      <c r="HD60" s="15" t="s">
        <v>188</v>
      </c>
      <c r="HF60" s="16"/>
      <c r="HG60" s="15" t="s">
        <v>188</v>
      </c>
      <c r="HI60" s="25">
        <f>IF(Regn2!$R60&gt;1,Regn2!JY60,"")</f>
        <v>0</v>
      </c>
      <c r="HJ60" s="15" t="s">
        <v>362</v>
      </c>
      <c r="HL60" s="16"/>
      <c r="HM60" s="15" t="s">
        <v>188</v>
      </c>
      <c r="HO60" s="25">
        <f>IF(Regn2!$R60&gt;1,Regn2!KL60,"")</f>
        <v>125</v>
      </c>
      <c r="HP60" s="15" t="s">
        <v>188</v>
      </c>
      <c r="HR60" s="16"/>
      <c r="HS60" s="15" t="s">
        <v>188</v>
      </c>
      <c r="HU60" s="25">
        <f>IF(Regn2!$R60&gt;1,Regn2!KP60,"")</f>
        <v>420</v>
      </c>
      <c r="HV60" s="15" t="s">
        <v>188</v>
      </c>
      <c r="HX60" s="16"/>
      <c r="HY60" s="15" t="s">
        <v>188</v>
      </c>
      <c r="IA60" s="25">
        <f>IF(Regn2!$R60&gt;1,Regn2!KT60,"")</f>
        <v>0</v>
      </c>
      <c r="IB60" s="15" t="s">
        <v>188</v>
      </c>
      <c r="ID60" s="16"/>
      <c r="IE60" s="15" t="s">
        <v>188</v>
      </c>
      <c r="IG60" s="25">
        <f>IF(Regn2!$R60&gt;1,Regn2!KX60,"")</f>
        <v>0</v>
      </c>
      <c r="IH60" s="15" t="s">
        <v>531</v>
      </c>
      <c r="IJ60" s="16"/>
      <c r="IK60" s="15" t="s">
        <v>531</v>
      </c>
      <c r="IM60" s="25">
        <f>IF(Regn2!$R60&gt;1,Regn2!KZ60,"")</f>
        <v>0</v>
      </c>
      <c r="IN60" s="15" t="s">
        <v>188</v>
      </c>
      <c r="IP60" s="16"/>
      <c r="IQ60" s="15" t="s">
        <v>188</v>
      </c>
      <c r="IS60" s="25">
        <f>IF(Regn2!$R60&gt;1,Regn2!LG60,"")</f>
        <v>3513.5</v>
      </c>
      <c r="IT60" s="15" t="s">
        <v>188</v>
      </c>
      <c r="IV60" s="16"/>
      <c r="IW60" s="15" t="s">
        <v>405</v>
      </c>
      <c r="IY60" s="25">
        <f>IF(Regn2!$R60&gt;1,Regn2!LM60,"")</f>
        <v>0</v>
      </c>
      <c r="IZ60" s="15" t="s">
        <v>188</v>
      </c>
      <c r="JB60" s="16"/>
      <c r="JC60" s="15" t="s">
        <v>188</v>
      </c>
      <c r="JH60" s="25">
        <f>IF(Regn2!$R60&gt;1,Regn2!LQ60,"")</f>
        <v>0</v>
      </c>
      <c r="JI60" s="15" t="s">
        <v>188</v>
      </c>
      <c r="JK60" s="16"/>
      <c r="JL60" s="15" t="s">
        <v>188</v>
      </c>
      <c r="JN60" s="15" t="str">
        <f>IF(Regn2!$T60&lt;=1,"",VLOOKUP(Regn2!$T60,Efgr,2))</f>
        <v/>
      </c>
      <c r="JP60" s="25" t="str">
        <f>IF(Regn2!$T60&gt;1,Regn2!LU60,"")</f>
        <v/>
      </c>
      <c r="JQ60" s="15" t="s">
        <v>188</v>
      </c>
      <c r="JS60" s="16"/>
      <c r="JT60" s="15" t="s">
        <v>188</v>
      </c>
      <c r="JV60" s="25" t="str">
        <f>IF(Regn2!$T60&gt;1,Regn2!MN60,"")</f>
        <v/>
      </c>
      <c r="JW60" s="15" t="s">
        <v>188</v>
      </c>
      <c r="JY60" s="16"/>
      <c r="JZ60" s="15" t="s">
        <v>188</v>
      </c>
      <c r="KB60" s="25" t="str">
        <f>IF(Regn2!$T60&gt;1,Regn2!MR60,"")</f>
        <v/>
      </c>
      <c r="KC60" s="15" t="s">
        <v>188</v>
      </c>
      <c r="KE60" s="16"/>
      <c r="KF60" s="15" t="s">
        <v>188</v>
      </c>
      <c r="KH60" s="25" t="str">
        <f>IF(Regn2!$T60&gt;1,Regn2!MV60,"")</f>
        <v/>
      </c>
      <c r="KI60" s="15" t="s">
        <v>188</v>
      </c>
      <c r="KK60" s="16"/>
      <c r="KL60" s="15" t="s">
        <v>188</v>
      </c>
      <c r="KN60" s="25" t="str">
        <f>IF(Regn2!$T60&gt;1,Regn2!NB60,"")</f>
        <v/>
      </c>
      <c r="KO60" s="15" t="s">
        <v>188</v>
      </c>
      <c r="KQ60" s="16"/>
      <c r="KR60" s="15" t="s">
        <v>188</v>
      </c>
      <c r="KT60" s="25" t="str">
        <f>IF(Regn2!$T60&gt;1,Regn2!NF60,"")</f>
        <v/>
      </c>
      <c r="KU60" s="15" t="s">
        <v>188</v>
      </c>
      <c r="KW60" s="16"/>
      <c r="KX60" s="15" t="s">
        <v>188</v>
      </c>
      <c r="KZ60" s="25" t="str">
        <f>IF(Regn2!$T60&gt;1,Regn2!NJ60,"")</f>
        <v/>
      </c>
      <c r="LA60" s="15" t="s">
        <v>188</v>
      </c>
      <c r="LC60" s="16"/>
      <c r="LD60" s="15" t="s">
        <v>188</v>
      </c>
      <c r="LF60" s="25" t="str">
        <f>IF(Regn2!$T60&gt;1,Regn2!NN60,"")</f>
        <v/>
      </c>
      <c r="LG60" s="15" t="s">
        <v>531</v>
      </c>
      <c r="LI60" s="16"/>
      <c r="LJ60" s="15" t="s">
        <v>531</v>
      </c>
      <c r="LL60" s="25" t="str">
        <f>IF(Regn2!$T60&gt;1,Regn2!NP60,"")</f>
        <v/>
      </c>
      <c r="LM60" s="15" t="s">
        <v>188</v>
      </c>
      <c r="LO60" s="16"/>
      <c r="LP60" s="15" t="s">
        <v>188</v>
      </c>
      <c r="LR60" s="25" t="str">
        <f>IF(Regn2!$T60&gt;1,Regn2!NV60,"")</f>
        <v/>
      </c>
      <c r="LS60" s="15" t="s">
        <v>188</v>
      </c>
      <c r="LU60" s="16"/>
      <c r="LV60" s="15" t="s">
        <v>188</v>
      </c>
      <c r="LX60" s="25" t="str">
        <f>IF(Regn2!$T60&gt;1,Regn2!NZ60,"")</f>
        <v/>
      </c>
      <c r="LY60" s="15" t="s">
        <v>188</v>
      </c>
      <c r="MA60" s="16"/>
      <c r="MB60" s="15" t="s">
        <v>188</v>
      </c>
    </row>
    <row r="61" spans="2:340" ht="8.1" customHeight="1" x14ac:dyDescent="0.25"/>
    <row r="62" spans="2:340" x14ac:dyDescent="0.25">
      <c r="B62" s="240" t="s">
        <v>2369</v>
      </c>
      <c r="AG62" s="36">
        <v>12.52</v>
      </c>
      <c r="AH62" s="15" t="s">
        <v>85</v>
      </c>
      <c r="AL62" s="15" t="str">
        <f>IF(Regn2!$R62&lt;=1,"",VLOOKUP(Regn2!$R62,Afgr,2))</f>
        <v>Vårbyg, foder</v>
      </c>
      <c r="AN62" s="32">
        <f>IF(Regn2!$R62&gt;1,Regn2!AE62,"")</f>
        <v>110</v>
      </c>
      <c r="AO62" s="15" t="s">
        <v>82</v>
      </c>
      <c r="AQ62" s="17"/>
      <c r="AR62" s="15" t="s">
        <v>82</v>
      </c>
      <c r="AT62" s="37">
        <v>41</v>
      </c>
      <c r="AU62" s="15" t="s">
        <v>82</v>
      </c>
      <c r="AX62" s="17"/>
      <c r="AY62" s="15" t="s">
        <v>82</v>
      </c>
      <c r="BA62" s="17"/>
      <c r="BB62" s="15" t="s">
        <v>1504</v>
      </c>
      <c r="BD62" s="17"/>
      <c r="BE62" s="15" t="s">
        <v>1793</v>
      </c>
      <c r="BH62" s="17"/>
      <c r="BI62" s="15" t="s">
        <v>82</v>
      </c>
      <c r="BJ62" s="37">
        <v>75</v>
      </c>
      <c r="BK62" s="15" t="s">
        <v>205</v>
      </c>
      <c r="BM62" s="37">
        <v>85</v>
      </c>
      <c r="BN62" s="15" t="s">
        <v>82</v>
      </c>
      <c r="BP62" s="37">
        <v>74.23</v>
      </c>
      <c r="BQ62" s="15" t="s">
        <v>205</v>
      </c>
      <c r="BT62" s="17"/>
      <c r="BU62" s="15" t="s">
        <v>82</v>
      </c>
      <c r="BW62" s="17"/>
      <c r="BX62" s="15" t="s">
        <v>82</v>
      </c>
      <c r="BY62" s="37">
        <v>75</v>
      </c>
      <c r="BZ62" s="15" t="s">
        <v>205</v>
      </c>
      <c r="CB62" s="17">
        <v>18</v>
      </c>
      <c r="CC62" s="15" t="s">
        <v>1504</v>
      </c>
      <c r="CE62" s="17">
        <v>44</v>
      </c>
      <c r="CF62" s="15" t="s">
        <v>1793</v>
      </c>
      <c r="CH62" s="55">
        <f>IF(Regn2!$R62&gt;1,Regn2!AL62,"")</f>
        <v>56</v>
      </c>
      <c r="CI62" s="15" t="str">
        <f>IF(Regn2!AO62&lt;&gt;0,Regn2!AO62,"")</f>
        <v>hkg</v>
      </c>
      <c r="CK62" s="16">
        <v>52</v>
      </c>
      <c r="CL62" s="15" t="str">
        <f>IF(Regn2!AO62&lt;&gt;0,Regn2!AO62,"")</f>
        <v>hkg</v>
      </c>
      <c r="CN62" s="33">
        <f>IF(Regn2!$R62&gt;1,Regn2!DK62,"")</f>
        <v>9.8074999999999992</v>
      </c>
      <c r="CO62" s="15" t="s">
        <v>201</v>
      </c>
      <c r="CQ62" s="38">
        <v>11.7</v>
      </c>
      <c r="CR62" s="15" t="s">
        <v>201</v>
      </c>
      <c r="CT62" s="55">
        <f>IF(Regn2!$R62&gt;1,Regn2!AR62,"")</f>
        <v>145</v>
      </c>
      <c r="CU62" s="15" t="s">
        <v>188</v>
      </c>
      <c r="CW62" s="124"/>
      <c r="CX62" s="15" t="s">
        <v>188</v>
      </c>
      <c r="CZ62" s="25">
        <f>IF(Regn2!$R62&gt;1,Regn2!AW62,"")</f>
        <v>0</v>
      </c>
      <c r="DA62" s="15" t="s">
        <v>188</v>
      </c>
      <c r="DC62" s="17"/>
      <c r="DD62" s="15" t="s">
        <v>188</v>
      </c>
      <c r="DF62" s="25">
        <f>IF(Regn2!$R62&gt;1,Regn2!BB62,"")</f>
        <v>2785.7142857142858</v>
      </c>
      <c r="DG62" s="15" t="s">
        <v>192</v>
      </c>
      <c r="DI62" s="16"/>
      <c r="DJ62" s="15" t="s">
        <v>192</v>
      </c>
      <c r="DO62" s="33">
        <f>IF(Regn2!$R62&gt;1,Regn2!BI62,"")</f>
        <v>0.5</v>
      </c>
      <c r="DP62" s="15" t="s">
        <v>188</v>
      </c>
      <c r="DR62" s="38"/>
      <c r="DS62" s="15" t="s">
        <v>188</v>
      </c>
      <c r="DU62" s="15" t="str">
        <f>IF(Regn2!$T62&lt;=1,"",VLOOKUP(Regn2!$T62,Efgr,2))</f>
        <v/>
      </c>
      <c r="DW62" s="25" t="str">
        <f>IF(Regn2!$T62&gt;1,Regn2!BN62,"")</f>
        <v/>
      </c>
      <c r="DX62" s="15" t="s">
        <v>82</v>
      </c>
      <c r="DZ62" s="16"/>
      <c r="EA62" s="15" t="s">
        <v>82</v>
      </c>
      <c r="EC62" s="17"/>
      <c r="ED62" s="15" t="s">
        <v>1504</v>
      </c>
      <c r="EF62" s="17"/>
      <c r="EG62" s="15" t="s">
        <v>1793</v>
      </c>
      <c r="EI62" s="16"/>
      <c r="EJ62" s="15" t="s">
        <v>82</v>
      </c>
      <c r="EL62" s="16">
        <v>75</v>
      </c>
      <c r="EM62" s="15" t="s">
        <v>205</v>
      </c>
      <c r="EO62" s="25">
        <f>EI62*EL62*0.01</f>
        <v>0</v>
      </c>
      <c r="EP62" s="15" t="s">
        <v>82</v>
      </c>
      <c r="ER62" s="17"/>
      <c r="ES62" s="15" t="s">
        <v>82</v>
      </c>
      <c r="EV62" s="17"/>
      <c r="EW62" s="15" t="s">
        <v>1504</v>
      </c>
      <c r="EY62" s="17"/>
      <c r="EZ62" s="15" t="s">
        <v>1793</v>
      </c>
      <c r="FB62" s="25" t="str">
        <f>IF(Regn2!$T62&gt;1,Regn2!BQ62,"")</f>
        <v/>
      </c>
      <c r="FC62" s="15" t="str">
        <f>IF(Regn2!$T62&gt;1,Regn2!BT62,"")</f>
        <v/>
      </c>
      <c r="FE62" s="16"/>
      <c r="FF62" s="15" t="str">
        <f>IF(Regn2!$T62&gt;1,Regn2!BT62,"")</f>
        <v/>
      </c>
      <c r="FL62" s="32">
        <f>IF(Regn2!$R62&gt;1,NniveauDelsaedsk1,"")</f>
        <v>194</v>
      </c>
      <c r="FM62" s="15" t="s">
        <v>82</v>
      </c>
      <c r="FO62" s="17"/>
      <c r="FP62" s="15" t="s">
        <v>82</v>
      </c>
      <c r="FR62" s="32">
        <f>IF(Regn2!$R62&gt;1,Regn2!HU62,"")</f>
        <v>269.74999999999898</v>
      </c>
      <c r="FS62" s="15" t="s">
        <v>531</v>
      </c>
      <c r="FU62" s="17"/>
      <c r="FV62" s="15" t="s">
        <v>531</v>
      </c>
      <c r="FX62" s="32">
        <f>IF(Regn2!$R62&gt;1,Regn2!HR62,"")</f>
        <v>304.76666666666603</v>
      </c>
      <c r="FY62" s="15" t="s">
        <v>531</v>
      </c>
      <c r="GA62" s="17"/>
      <c r="GB62" s="15" t="s">
        <v>531</v>
      </c>
      <c r="GD62" s="15">
        <f>IF(Regn2!$R62&gt;1,RetentionNbal,"")</f>
        <v>65</v>
      </c>
      <c r="GE62" s="15" t="s">
        <v>205</v>
      </c>
      <c r="GF62" s="17"/>
      <c r="GG62" s="15" t="s">
        <v>205</v>
      </c>
      <c r="GI62" s="15" t="str">
        <f>IF(Regn2!$R62&lt;=1,"",VLOOKUP(Regn2!$R62,Afgr,2))</f>
        <v>Vårbyg, foder</v>
      </c>
      <c r="GK62" s="25">
        <f>IF(Regn2!$R62&gt;1,Regn2!IO62,"")</f>
        <v>488</v>
      </c>
      <c r="GL62" s="15" t="s">
        <v>188</v>
      </c>
      <c r="GN62" s="16"/>
      <c r="GO62" s="15" t="s">
        <v>188</v>
      </c>
      <c r="GQ62" s="25">
        <f>IF(Regn2!$R62&gt;1,Regn2!JK62,"")</f>
        <v>346.45</v>
      </c>
      <c r="GR62" s="15" t="s">
        <v>188</v>
      </c>
      <c r="GT62" s="16"/>
      <c r="GU62" s="15" t="s">
        <v>188</v>
      </c>
      <c r="GW62" s="25">
        <f>IF(Regn2!$R62&gt;1,Regn2!JO62,"")</f>
        <v>283</v>
      </c>
      <c r="GX62" s="15" t="s">
        <v>188</v>
      </c>
      <c r="GZ62" s="16"/>
      <c r="HA62" s="15" t="s">
        <v>188</v>
      </c>
      <c r="HC62" s="25">
        <f>IF(Regn2!$R62&gt;1,Regn2!JS62,"")</f>
        <v>0</v>
      </c>
      <c r="HD62" s="15" t="s">
        <v>188</v>
      </c>
      <c r="HF62" s="16"/>
      <c r="HG62" s="15" t="s">
        <v>188</v>
      </c>
      <c r="HI62" s="25">
        <f>IF(Regn2!$R62&gt;1,Regn2!JY62,"")</f>
        <v>600</v>
      </c>
      <c r="HJ62" s="15" t="s">
        <v>362</v>
      </c>
      <c r="HL62" s="16"/>
      <c r="HM62" s="15" t="s">
        <v>188</v>
      </c>
      <c r="HO62" s="25">
        <f>IF(Regn2!$R62&gt;1,Regn2!KL62,"")</f>
        <v>350</v>
      </c>
      <c r="HP62" s="15" t="s">
        <v>188</v>
      </c>
      <c r="HR62" s="16"/>
      <c r="HS62" s="15" t="s">
        <v>188</v>
      </c>
      <c r="HU62" s="25">
        <f>IF(Regn2!$R62&gt;1,Regn2!KP62,"")</f>
        <v>140</v>
      </c>
      <c r="HV62" s="15" t="s">
        <v>188</v>
      </c>
      <c r="HX62" s="16"/>
      <c r="HY62" s="15" t="s">
        <v>188</v>
      </c>
      <c r="IA62" s="25">
        <f>IF(Regn2!$R62&gt;1,Regn2!KT62,"")</f>
        <v>300</v>
      </c>
      <c r="IB62" s="15" t="s">
        <v>188</v>
      </c>
      <c r="ID62" s="16"/>
      <c r="IE62" s="15" t="s">
        <v>188</v>
      </c>
      <c r="IG62" s="25">
        <f>IF(Regn2!$R62&gt;1,Regn2!KX62,"")</f>
        <v>0</v>
      </c>
      <c r="IH62" s="15" t="s">
        <v>531</v>
      </c>
      <c r="IJ62" s="16"/>
      <c r="IK62" s="15" t="s">
        <v>531</v>
      </c>
      <c r="IM62" s="25">
        <f>IF(Regn2!$R62&gt;1,Regn2!KZ62,"")</f>
        <v>0</v>
      </c>
      <c r="IN62" s="15" t="s">
        <v>188</v>
      </c>
      <c r="IP62" s="16"/>
      <c r="IQ62" s="15" t="s">
        <v>188</v>
      </c>
      <c r="IS62" s="25">
        <f>IF(Regn2!$R62&gt;1,Regn2!LG62,"")</f>
        <v>974.11764705882365</v>
      </c>
      <c r="IT62" s="15" t="s">
        <v>188</v>
      </c>
      <c r="IV62" s="16"/>
      <c r="IW62" s="15" t="s">
        <v>405</v>
      </c>
      <c r="IY62" s="25">
        <f>IF(Regn2!$R62&gt;1,Regn2!LM62,"")</f>
        <v>0</v>
      </c>
      <c r="IZ62" s="15" t="s">
        <v>188</v>
      </c>
      <c r="JB62" s="16"/>
      <c r="JC62" s="15" t="s">
        <v>188</v>
      </c>
      <c r="JH62" s="25">
        <f>IF(Regn2!$R62&gt;1,Regn2!LQ62,"")</f>
        <v>480.48000000000008</v>
      </c>
      <c r="JI62" s="15" t="s">
        <v>188</v>
      </c>
      <c r="JK62" s="16"/>
      <c r="JL62" s="15" t="s">
        <v>188</v>
      </c>
      <c r="JN62" s="15" t="str">
        <f>IF(Regn2!$T62&lt;=1,"",VLOOKUP(Regn2!$T62,Efgr,2))</f>
        <v/>
      </c>
      <c r="JP62" s="25" t="str">
        <f>IF(Regn2!$T62&gt;1,Regn2!LU62,"")</f>
        <v/>
      </c>
      <c r="JQ62" s="15" t="s">
        <v>188</v>
      </c>
      <c r="JS62" s="16"/>
      <c r="JT62" s="15" t="s">
        <v>188</v>
      </c>
      <c r="JV62" s="25" t="str">
        <f>IF(Regn2!$T62&gt;1,Regn2!MN62,"")</f>
        <v/>
      </c>
      <c r="JW62" s="15" t="s">
        <v>188</v>
      </c>
      <c r="JY62" s="16"/>
      <c r="JZ62" s="15" t="s">
        <v>188</v>
      </c>
      <c r="KB62" s="25" t="str">
        <f>IF(Regn2!$T62&gt;1,Regn2!MR62,"")</f>
        <v/>
      </c>
      <c r="KC62" s="15" t="s">
        <v>188</v>
      </c>
      <c r="KE62" s="16"/>
      <c r="KF62" s="15" t="s">
        <v>188</v>
      </c>
      <c r="KH62" s="25" t="str">
        <f>IF(Regn2!$T62&gt;1,Regn2!MV62,"")</f>
        <v/>
      </c>
      <c r="KI62" s="15" t="s">
        <v>188</v>
      </c>
      <c r="KK62" s="16"/>
      <c r="KL62" s="15" t="s">
        <v>188</v>
      </c>
      <c r="KN62" s="25" t="str">
        <f>IF(Regn2!$T62&gt;1,Regn2!NB62,"")</f>
        <v/>
      </c>
      <c r="KO62" s="15" t="s">
        <v>188</v>
      </c>
      <c r="KQ62" s="16"/>
      <c r="KR62" s="15" t="s">
        <v>188</v>
      </c>
      <c r="KT62" s="25" t="str">
        <f>IF(Regn2!$T62&gt;1,Regn2!NF62,"")</f>
        <v/>
      </c>
      <c r="KU62" s="15" t="s">
        <v>188</v>
      </c>
      <c r="KW62" s="16"/>
      <c r="KX62" s="15" t="s">
        <v>188</v>
      </c>
      <c r="KZ62" s="25" t="str">
        <f>IF(Regn2!$T62&gt;1,Regn2!NJ62,"")</f>
        <v/>
      </c>
      <c r="LA62" s="15" t="s">
        <v>188</v>
      </c>
      <c r="LC62" s="16"/>
      <c r="LD62" s="15" t="s">
        <v>188</v>
      </c>
      <c r="LF62" s="25" t="str">
        <f>IF(Regn2!$T62&gt;1,Regn2!NN62,"")</f>
        <v/>
      </c>
      <c r="LG62" s="15" t="s">
        <v>531</v>
      </c>
      <c r="LI62" s="16"/>
      <c r="LJ62" s="15" t="s">
        <v>531</v>
      </c>
      <c r="LL62" s="25" t="str">
        <f>IF(Regn2!$T62&gt;1,Regn2!NP62,"")</f>
        <v/>
      </c>
      <c r="LM62" s="15" t="s">
        <v>188</v>
      </c>
      <c r="LO62" s="16"/>
      <c r="LP62" s="15" t="s">
        <v>188</v>
      </c>
      <c r="LR62" s="25" t="str">
        <f>IF(Regn2!$T62&gt;1,Regn2!NV62,"")</f>
        <v/>
      </c>
      <c r="LS62" s="15" t="s">
        <v>188</v>
      </c>
      <c r="LU62" s="16"/>
      <c r="LV62" s="15" t="s">
        <v>188</v>
      </c>
      <c r="LX62" s="25" t="str">
        <f>IF(Regn2!$T62&gt;1,Regn2!NZ62,"")</f>
        <v/>
      </c>
      <c r="LY62" s="15" t="s">
        <v>188</v>
      </c>
      <c r="MA62" s="16"/>
      <c r="MB62" s="15" t="s">
        <v>188</v>
      </c>
    </row>
    <row r="63" spans="2:340" ht="8.1" customHeight="1" x14ac:dyDescent="0.25"/>
    <row r="64" spans="2:340" x14ac:dyDescent="0.25">
      <c r="B64" s="240" t="s">
        <v>2370</v>
      </c>
      <c r="AG64" s="36">
        <v>0.92</v>
      </c>
      <c r="AH64" s="15" t="s">
        <v>85</v>
      </c>
      <c r="AL64" s="15" t="str">
        <f>IF(Regn2!$R64&lt;=1,"",VLOOKUP(Regn2!$R64,Afgr,2))</f>
        <v>Kløvergræs, 4 slæt</v>
      </c>
      <c r="AN64" s="32">
        <f>IF(Regn2!$R64&gt;1,Regn2!AE64,"")</f>
        <v>321</v>
      </c>
      <c r="AO64" s="15" t="s">
        <v>82</v>
      </c>
      <c r="AQ64" s="17"/>
      <c r="AR64" s="15" t="s">
        <v>82</v>
      </c>
      <c r="AT64" s="37"/>
      <c r="AU64" s="15" t="s">
        <v>82</v>
      </c>
      <c r="AX64" s="17"/>
      <c r="AY64" s="15" t="s">
        <v>82</v>
      </c>
      <c r="BA64" s="17"/>
      <c r="BB64" s="15" t="s">
        <v>1504</v>
      </c>
      <c r="BD64" s="17"/>
      <c r="BE64" s="15" t="s">
        <v>1793</v>
      </c>
      <c r="BH64" s="17"/>
      <c r="BI64" s="15" t="s">
        <v>82</v>
      </c>
      <c r="BJ64" s="37">
        <v>75</v>
      </c>
      <c r="BK64" s="15" t="s">
        <v>205</v>
      </c>
      <c r="BM64" s="37"/>
      <c r="BN64" s="15" t="s">
        <v>82</v>
      </c>
      <c r="BP64" s="37">
        <v>74.23</v>
      </c>
      <c r="BQ64" s="15" t="s">
        <v>205</v>
      </c>
      <c r="BT64" s="17"/>
      <c r="BU64" s="15" t="s">
        <v>82</v>
      </c>
      <c r="BW64" s="17"/>
      <c r="BX64" s="15" t="s">
        <v>82</v>
      </c>
      <c r="BY64" s="37">
        <v>75</v>
      </c>
      <c r="BZ64" s="15" t="s">
        <v>205</v>
      </c>
      <c r="CB64" s="17"/>
      <c r="CC64" s="15" t="s">
        <v>1504</v>
      </c>
      <c r="CE64" s="17"/>
      <c r="CF64" s="15" t="s">
        <v>1793</v>
      </c>
      <c r="CH64" s="55">
        <f>IF(Regn2!$R64&gt;1,Regn2!AL64,"")</f>
        <v>7100</v>
      </c>
      <c r="CI64" s="15" t="str">
        <f>IF(Regn2!AO64&lt;&gt;0,Regn2!AO64,"")</f>
        <v>FE</v>
      </c>
      <c r="CK64" s="16"/>
      <c r="CL64" s="15" t="str">
        <f>IF(Regn2!AO64&lt;&gt;0,Regn2!AO64,"")</f>
        <v>FE</v>
      </c>
      <c r="CN64" s="33">
        <f>IF(Regn2!$R64&gt;1,Regn2!DK64,"")</f>
        <v>16.3125</v>
      </c>
      <c r="CO64" s="15" t="s">
        <v>201</v>
      </c>
      <c r="CQ64" s="38"/>
      <c r="CR64" s="15" t="s">
        <v>201</v>
      </c>
      <c r="CT64" s="55">
        <f>IF(Regn2!$R64&gt;1,Regn2!AR64,"")</f>
        <v>1.2</v>
      </c>
      <c r="CU64" s="15" t="s">
        <v>188</v>
      </c>
      <c r="CW64" s="124"/>
      <c r="CX64" s="15" t="s">
        <v>188</v>
      </c>
      <c r="CZ64" s="25">
        <f>IF(Regn2!$R64&gt;1,Regn2!AW64,"")</f>
        <v>0</v>
      </c>
      <c r="DA64" s="15" t="s">
        <v>188</v>
      </c>
      <c r="DC64" s="17"/>
      <c r="DD64" s="15" t="s">
        <v>188</v>
      </c>
      <c r="DF64" s="25">
        <f>IF(Regn2!$R64&gt;1,Regn2!BB64,"")</f>
        <v>0</v>
      </c>
      <c r="DG64" s="15" t="s">
        <v>192</v>
      </c>
      <c r="DI64" s="16"/>
      <c r="DJ64" s="15" t="s">
        <v>192</v>
      </c>
      <c r="DO64" s="33">
        <f>IF(Regn2!$R64&gt;1,Regn2!BI64,"")</f>
        <v>0</v>
      </c>
      <c r="DP64" s="15" t="s">
        <v>188</v>
      </c>
      <c r="DR64" s="38"/>
      <c r="DS64" s="15" t="s">
        <v>188</v>
      </c>
      <c r="DU64" s="15" t="str">
        <f>IF(Regn2!$T64&lt;=1,"",VLOOKUP(Regn2!$T64,Efgr,2))</f>
        <v/>
      </c>
      <c r="DW64" s="25" t="str">
        <f>IF(Regn2!$T64&gt;1,Regn2!BN64,"")</f>
        <v/>
      </c>
      <c r="DX64" s="15" t="s">
        <v>82</v>
      </c>
      <c r="DZ64" s="16"/>
      <c r="EA64" s="15" t="s">
        <v>82</v>
      </c>
      <c r="EC64" s="17"/>
      <c r="ED64" s="15" t="s">
        <v>1504</v>
      </c>
      <c r="EF64" s="17"/>
      <c r="EG64" s="15" t="s">
        <v>1793</v>
      </c>
      <c r="EI64" s="16"/>
      <c r="EJ64" s="15" t="s">
        <v>82</v>
      </c>
      <c r="EL64" s="16">
        <v>75</v>
      </c>
      <c r="EM64" s="15" t="s">
        <v>205</v>
      </c>
      <c r="EO64" s="25">
        <f>EI64*EL64*0.01</f>
        <v>0</v>
      </c>
      <c r="EP64" s="15" t="s">
        <v>82</v>
      </c>
      <c r="ER64" s="17"/>
      <c r="ES64" s="15" t="s">
        <v>82</v>
      </c>
      <c r="EV64" s="17"/>
      <c r="EW64" s="15" t="s">
        <v>1504</v>
      </c>
      <c r="EY64" s="17"/>
      <c r="EZ64" s="15" t="s">
        <v>1793</v>
      </c>
      <c r="FB64" s="25" t="str">
        <f>IF(Regn2!$T64&gt;1,Regn2!BQ64,"")</f>
        <v/>
      </c>
      <c r="FC64" s="15" t="str">
        <f>IF(Regn2!$T64&gt;1,Regn2!BT64,"")</f>
        <v/>
      </c>
      <c r="FE64" s="16"/>
      <c r="FF64" s="15" t="str">
        <f>IF(Regn2!$T64&gt;1,Regn2!BT64,"")</f>
        <v/>
      </c>
      <c r="FL64" s="32">
        <f>IF(Regn2!$R64&gt;1,NniveauDelsaedsk1,"")</f>
        <v>194</v>
      </c>
      <c r="FM64" s="15" t="s">
        <v>82</v>
      </c>
      <c r="FO64" s="17"/>
      <c r="FP64" s="15" t="s">
        <v>82</v>
      </c>
      <c r="FR64" s="32">
        <f>IF(Regn2!$R64&gt;1,Regn2!HU64,"")</f>
        <v>272.32333333333298</v>
      </c>
      <c r="FS64" s="15" t="s">
        <v>531</v>
      </c>
      <c r="FU64" s="17"/>
      <c r="FV64" s="15" t="s">
        <v>531</v>
      </c>
      <c r="FX64" s="32">
        <f>IF(Regn2!$R64&gt;1,Regn2!HR64,"")</f>
        <v>272.32333333333298</v>
      </c>
      <c r="FY64" s="15" t="s">
        <v>531</v>
      </c>
      <c r="GA64" s="17"/>
      <c r="GB64" s="15" t="s">
        <v>531</v>
      </c>
      <c r="GD64" s="15">
        <f>IF(Regn2!$R64&gt;1,RetentionNbal,"")</f>
        <v>65</v>
      </c>
      <c r="GE64" s="15" t="s">
        <v>205</v>
      </c>
      <c r="GF64" s="17"/>
      <c r="GG64" s="15" t="s">
        <v>205</v>
      </c>
      <c r="GI64" s="15" t="str">
        <f>IF(Regn2!$R64&lt;=1,"",VLOOKUP(Regn2!$R64,Afgr,2))</f>
        <v>Kløvergræs, 4 slæt</v>
      </c>
      <c r="GK64" s="25">
        <f>IF(Regn2!$R64&gt;1,Regn2!IO64,"")</f>
        <v>420</v>
      </c>
      <c r="GL64" s="15" t="s">
        <v>188</v>
      </c>
      <c r="GN64" s="16"/>
      <c r="GO64" s="15" t="s">
        <v>188</v>
      </c>
      <c r="GQ64" s="25">
        <f>IF(Regn2!$R64&gt;1,Regn2!JK64,"")</f>
        <v>0</v>
      </c>
      <c r="GR64" s="15" t="s">
        <v>188</v>
      </c>
      <c r="GT64" s="16"/>
      <c r="GU64" s="15" t="s">
        <v>188</v>
      </c>
      <c r="GW64" s="25">
        <f>IF(Regn2!$R64&gt;1,Regn2!JO64,"")</f>
        <v>0</v>
      </c>
      <c r="GX64" s="15" t="s">
        <v>188</v>
      </c>
      <c r="GZ64" s="16"/>
      <c r="HA64" s="15" t="s">
        <v>188</v>
      </c>
      <c r="HC64" s="25">
        <f>IF(Regn2!$R64&gt;1,Regn2!JS64,"")</f>
        <v>369.2</v>
      </c>
      <c r="HD64" s="15" t="s">
        <v>188</v>
      </c>
      <c r="HF64" s="16"/>
      <c r="HG64" s="15" t="s">
        <v>188</v>
      </c>
      <c r="HI64" s="25">
        <f>IF(Regn2!$R64&gt;1,Regn2!JY64,"")</f>
        <v>0</v>
      </c>
      <c r="HJ64" s="15" t="s">
        <v>362</v>
      </c>
      <c r="HL64" s="16"/>
      <c r="HM64" s="15" t="s">
        <v>188</v>
      </c>
      <c r="HO64" s="25">
        <f>IF(Regn2!$R64&gt;1,Regn2!KL64,"")</f>
        <v>125</v>
      </c>
      <c r="HP64" s="15" t="s">
        <v>188</v>
      </c>
      <c r="HR64" s="16"/>
      <c r="HS64" s="15" t="s">
        <v>188</v>
      </c>
      <c r="HU64" s="25">
        <f>IF(Regn2!$R64&gt;1,Regn2!KP64,"")</f>
        <v>420</v>
      </c>
      <c r="HV64" s="15" t="s">
        <v>188</v>
      </c>
      <c r="HX64" s="16"/>
      <c r="HY64" s="15" t="s">
        <v>188</v>
      </c>
      <c r="IA64" s="25">
        <f>IF(Regn2!$R64&gt;1,Regn2!KT64,"")</f>
        <v>0</v>
      </c>
      <c r="IB64" s="15" t="s">
        <v>188</v>
      </c>
      <c r="ID64" s="16"/>
      <c r="IE64" s="15" t="s">
        <v>188</v>
      </c>
      <c r="IG64" s="25">
        <f>IF(Regn2!$R64&gt;1,Regn2!KX64,"")</f>
        <v>0</v>
      </c>
      <c r="IH64" s="15" t="s">
        <v>531</v>
      </c>
      <c r="IJ64" s="16"/>
      <c r="IK64" s="15" t="s">
        <v>531</v>
      </c>
      <c r="IM64" s="25">
        <f>IF(Regn2!$R64&gt;1,Regn2!KZ64,"")</f>
        <v>0</v>
      </c>
      <c r="IN64" s="15" t="s">
        <v>188</v>
      </c>
      <c r="IP64" s="16"/>
      <c r="IQ64" s="15" t="s">
        <v>188</v>
      </c>
      <c r="IS64" s="25">
        <f>IF(Regn2!$R64&gt;1,Regn2!LG64,"")</f>
        <v>3513.5</v>
      </c>
      <c r="IT64" s="15" t="s">
        <v>188</v>
      </c>
      <c r="IV64" s="16"/>
      <c r="IW64" s="15" t="s">
        <v>405</v>
      </c>
      <c r="IY64" s="25">
        <f>IF(Regn2!$R64&gt;1,Regn2!LM64,"")</f>
        <v>0</v>
      </c>
      <c r="IZ64" s="15" t="s">
        <v>188</v>
      </c>
      <c r="JB64" s="16"/>
      <c r="JC64" s="15" t="s">
        <v>188</v>
      </c>
      <c r="JH64" s="25">
        <f>IF(Regn2!$R64&gt;1,Regn2!LQ64,"")</f>
        <v>0</v>
      </c>
      <c r="JI64" s="15" t="s">
        <v>188</v>
      </c>
      <c r="JK64" s="16"/>
      <c r="JL64" s="15" t="s">
        <v>188</v>
      </c>
      <c r="JN64" s="15" t="str">
        <f>IF(Regn2!$T64&lt;=1,"",VLOOKUP(Regn2!$T64,Efgr,2))</f>
        <v/>
      </c>
      <c r="JP64" s="25" t="str">
        <f>IF(Regn2!$T64&gt;1,Regn2!LU64,"")</f>
        <v/>
      </c>
      <c r="JQ64" s="15" t="s">
        <v>188</v>
      </c>
      <c r="JS64" s="16"/>
      <c r="JT64" s="15" t="s">
        <v>188</v>
      </c>
      <c r="JV64" s="25" t="str">
        <f>IF(Regn2!$T64&gt;1,Regn2!MN64,"")</f>
        <v/>
      </c>
      <c r="JW64" s="15" t="s">
        <v>188</v>
      </c>
      <c r="JY64" s="16"/>
      <c r="JZ64" s="15" t="s">
        <v>188</v>
      </c>
      <c r="KB64" s="25" t="str">
        <f>IF(Regn2!$T64&gt;1,Regn2!MR64,"")</f>
        <v/>
      </c>
      <c r="KC64" s="15" t="s">
        <v>188</v>
      </c>
      <c r="KE64" s="16"/>
      <c r="KF64" s="15" t="s">
        <v>188</v>
      </c>
      <c r="KH64" s="25" t="str">
        <f>IF(Regn2!$T64&gt;1,Regn2!MV64,"")</f>
        <v/>
      </c>
      <c r="KI64" s="15" t="s">
        <v>188</v>
      </c>
      <c r="KK64" s="16"/>
      <c r="KL64" s="15" t="s">
        <v>188</v>
      </c>
      <c r="KN64" s="25" t="str">
        <f>IF(Regn2!$T64&gt;1,Regn2!NB64,"")</f>
        <v/>
      </c>
      <c r="KO64" s="15" t="s">
        <v>188</v>
      </c>
      <c r="KQ64" s="16"/>
      <c r="KR64" s="15" t="s">
        <v>188</v>
      </c>
      <c r="KT64" s="25" t="str">
        <f>IF(Regn2!$T64&gt;1,Regn2!NF64,"")</f>
        <v/>
      </c>
      <c r="KU64" s="15" t="s">
        <v>188</v>
      </c>
      <c r="KW64" s="16"/>
      <c r="KX64" s="15" t="s">
        <v>188</v>
      </c>
      <c r="KZ64" s="25" t="str">
        <f>IF(Regn2!$T64&gt;1,Regn2!NJ64,"")</f>
        <v/>
      </c>
      <c r="LA64" s="15" t="s">
        <v>188</v>
      </c>
      <c r="LC64" s="16"/>
      <c r="LD64" s="15" t="s">
        <v>188</v>
      </c>
      <c r="LF64" s="25" t="str">
        <f>IF(Regn2!$T64&gt;1,Regn2!NN64,"")</f>
        <v/>
      </c>
      <c r="LG64" s="15" t="s">
        <v>531</v>
      </c>
      <c r="LI64" s="16"/>
      <c r="LJ64" s="15" t="s">
        <v>531</v>
      </c>
      <c r="LL64" s="25" t="str">
        <f>IF(Regn2!$T64&gt;1,Regn2!NP64,"")</f>
        <v/>
      </c>
      <c r="LM64" s="15" t="s">
        <v>188</v>
      </c>
      <c r="LO64" s="16"/>
      <c r="LP64" s="15" t="s">
        <v>188</v>
      </c>
      <c r="LR64" s="25" t="str">
        <f>IF(Regn2!$T64&gt;1,Regn2!NV64,"")</f>
        <v/>
      </c>
      <c r="LS64" s="15" t="s">
        <v>188</v>
      </c>
      <c r="LU64" s="16"/>
      <c r="LV64" s="15" t="s">
        <v>188</v>
      </c>
      <c r="LX64" s="25" t="str">
        <f>IF(Regn2!$T64&gt;1,Regn2!NZ64,"")</f>
        <v/>
      </c>
      <c r="LY64" s="15" t="s">
        <v>188</v>
      </c>
      <c r="MA64" s="16"/>
      <c r="MB64" s="15" t="s">
        <v>188</v>
      </c>
    </row>
    <row r="65" spans="2:340" ht="8.1" customHeight="1" x14ac:dyDescent="0.25"/>
    <row r="66" spans="2:340" x14ac:dyDescent="0.25">
      <c r="B66" s="240" t="s">
        <v>2371</v>
      </c>
      <c r="AG66" s="36">
        <v>6.29</v>
      </c>
      <c r="AH66" s="15" t="s">
        <v>85</v>
      </c>
      <c r="AL66" s="15" t="str">
        <f>IF(Regn2!$R66&lt;=1,"",VLOOKUP(Regn2!$R66,Afgr,2))</f>
        <v>Vårbyg, foder</v>
      </c>
      <c r="AN66" s="32">
        <f>IF(Regn2!$R66&gt;1,Regn2!AE66,"")</f>
        <v>25</v>
      </c>
      <c r="AO66" s="15" t="s">
        <v>82</v>
      </c>
      <c r="AQ66" s="17"/>
      <c r="AR66" s="15" t="s">
        <v>82</v>
      </c>
      <c r="AT66" s="37">
        <v>41</v>
      </c>
      <c r="AU66" s="15" t="s">
        <v>82</v>
      </c>
      <c r="AX66" s="17"/>
      <c r="AY66" s="15" t="s">
        <v>82</v>
      </c>
      <c r="BA66" s="17"/>
      <c r="BB66" s="15" t="s">
        <v>1504</v>
      </c>
      <c r="BD66" s="17"/>
      <c r="BE66" s="15" t="s">
        <v>1793</v>
      </c>
      <c r="BH66" s="17"/>
      <c r="BI66" s="15" t="s">
        <v>82</v>
      </c>
      <c r="BJ66" s="37">
        <v>75</v>
      </c>
      <c r="BK66" s="15" t="s">
        <v>205</v>
      </c>
      <c r="BM66" s="37">
        <v>85</v>
      </c>
      <c r="BN66" s="15" t="s">
        <v>82</v>
      </c>
      <c r="BP66" s="37">
        <v>74.23</v>
      </c>
      <c r="BQ66" s="15" t="s">
        <v>205</v>
      </c>
      <c r="BT66" s="17"/>
      <c r="BU66" s="15" t="s">
        <v>82</v>
      </c>
      <c r="BW66" s="17"/>
      <c r="BX66" s="15" t="s">
        <v>82</v>
      </c>
      <c r="BY66" s="37">
        <v>75</v>
      </c>
      <c r="BZ66" s="15" t="s">
        <v>205</v>
      </c>
      <c r="CB66" s="17">
        <v>18</v>
      </c>
      <c r="CC66" s="15" t="s">
        <v>1504</v>
      </c>
      <c r="CE66" s="17">
        <v>44</v>
      </c>
      <c r="CF66" s="15" t="s">
        <v>1793</v>
      </c>
      <c r="CH66" s="55">
        <f>IF(Regn2!$R66&gt;1,Regn2!AL66,"")</f>
        <v>62</v>
      </c>
      <c r="CI66" s="15" t="str">
        <f>IF(Regn2!AO66&lt;&gt;0,Regn2!AO66,"")</f>
        <v>hkg</v>
      </c>
      <c r="CK66" s="16">
        <v>70</v>
      </c>
      <c r="CL66" s="15" t="str">
        <f>IF(Regn2!AO66&lt;&gt;0,Regn2!AO66,"")</f>
        <v>hkg</v>
      </c>
      <c r="CN66" s="33">
        <f>IF(Regn2!$R66&gt;1,Regn2!DK66,"")</f>
        <v>11.5075</v>
      </c>
      <c r="CO66" s="15" t="s">
        <v>201</v>
      </c>
      <c r="CQ66" s="38">
        <v>11.5</v>
      </c>
      <c r="CR66" s="15" t="s">
        <v>201</v>
      </c>
      <c r="CT66" s="55">
        <f>IF(Regn2!$R66&gt;1,Regn2!AR66,"")</f>
        <v>145</v>
      </c>
      <c r="CU66" s="15" t="s">
        <v>188</v>
      </c>
      <c r="CW66" s="124"/>
      <c r="CX66" s="15" t="s">
        <v>188</v>
      </c>
      <c r="CZ66" s="25">
        <f>IF(Regn2!$R66&gt;1,Regn2!AW66,"")</f>
        <v>0</v>
      </c>
      <c r="DA66" s="15" t="s">
        <v>188</v>
      </c>
      <c r="DC66" s="17"/>
      <c r="DD66" s="15" t="s">
        <v>188</v>
      </c>
      <c r="DF66" s="25">
        <f>IF(Regn2!$R66&gt;1,Regn2!BB66,"")</f>
        <v>3387.0967741935483</v>
      </c>
      <c r="DG66" s="15" t="s">
        <v>192</v>
      </c>
      <c r="DI66" s="16"/>
      <c r="DJ66" s="15" t="s">
        <v>192</v>
      </c>
      <c r="DO66" s="33">
        <f>IF(Regn2!$R66&gt;1,Regn2!BI66,"")</f>
        <v>0.5</v>
      </c>
      <c r="DP66" s="15" t="s">
        <v>188</v>
      </c>
      <c r="DR66" s="38"/>
      <c r="DS66" s="15" t="s">
        <v>188</v>
      </c>
      <c r="DU66" s="15" t="str">
        <f>IF(Regn2!$T66&lt;=1,"",VLOOKUP(Regn2!$T66,Efgr,2))</f>
        <v>Græs E</v>
      </c>
      <c r="DW66" s="25">
        <f>IF(Regn2!$T66&gt;1,Regn2!BN66,"")</f>
        <v>0</v>
      </c>
      <c r="DX66" s="15" t="s">
        <v>82</v>
      </c>
      <c r="DZ66" s="16"/>
      <c r="EA66" s="15" t="s">
        <v>82</v>
      </c>
      <c r="EC66" s="17"/>
      <c r="ED66" s="15" t="s">
        <v>1504</v>
      </c>
      <c r="EF66" s="17"/>
      <c r="EG66" s="15" t="s">
        <v>1793</v>
      </c>
      <c r="EI66" s="16"/>
      <c r="EJ66" s="15" t="s">
        <v>82</v>
      </c>
      <c r="EL66" s="16">
        <v>75</v>
      </c>
      <c r="EM66" s="15" t="s">
        <v>205</v>
      </c>
      <c r="EO66" s="25">
        <f>EI66*EL66*0.01</f>
        <v>0</v>
      </c>
      <c r="EP66" s="15" t="s">
        <v>82</v>
      </c>
      <c r="ER66" s="17"/>
      <c r="ES66" s="15" t="s">
        <v>82</v>
      </c>
      <c r="EV66" s="17"/>
      <c r="EW66" s="15" t="s">
        <v>1504</v>
      </c>
      <c r="EY66" s="17"/>
      <c r="EZ66" s="15" t="s">
        <v>1793</v>
      </c>
      <c r="FB66" s="25">
        <f>IF(Regn2!$T66&gt;1,Regn2!BQ66,"")</f>
        <v>0</v>
      </c>
      <c r="FC66" s="15" t="str">
        <f>IF(Regn2!$T66&gt;1,Regn2!BT66,"")</f>
        <v>FE</v>
      </c>
      <c r="FE66" s="16"/>
      <c r="FF66" s="15" t="str">
        <f>IF(Regn2!$T66&gt;1,Regn2!BT66,"")</f>
        <v>FE</v>
      </c>
      <c r="FL66" s="32">
        <f>IF(Regn2!$R66&gt;1,NniveauDelsaedsk1,"")</f>
        <v>194</v>
      </c>
      <c r="FM66" s="15" t="s">
        <v>82</v>
      </c>
      <c r="FO66" s="17"/>
      <c r="FP66" s="15" t="s">
        <v>82</v>
      </c>
      <c r="FR66" s="32">
        <f>IF(Regn2!$R66&gt;1,Regn2!HU66,"")</f>
        <v>272.32333333333298</v>
      </c>
      <c r="FS66" s="15" t="s">
        <v>531</v>
      </c>
      <c r="FU66" s="17"/>
      <c r="FV66" s="15" t="s">
        <v>531</v>
      </c>
      <c r="FX66" s="32">
        <f>IF(Regn2!$R66&gt;1,Regn2!HR66,"")</f>
        <v>284.76666666666603</v>
      </c>
      <c r="FY66" s="15" t="s">
        <v>531</v>
      </c>
      <c r="GA66" s="17"/>
      <c r="GB66" s="15" t="s">
        <v>531</v>
      </c>
      <c r="GD66" s="15">
        <f>IF(Regn2!$R66&gt;1,RetentionNbal,"")</f>
        <v>65</v>
      </c>
      <c r="GE66" s="15" t="s">
        <v>205</v>
      </c>
      <c r="GF66" s="17"/>
      <c r="GG66" s="15" t="s">
        <v>205</v>
      </c>
      <c r="GI66" s="15" t="str">
        <f>IF(Regn2!$R66&lt;=1,"",VLOOKUP(Regn2!$R66,Afgr,2))</f>
        <v>Vårbyg, foder</v>
      </c>
      <c r="GK66" s="25">
        <f>IF(Regn2!$R66&gt;1,Regn2!IO66,"")</f>
        <v>488</v>
      </c>
      <c r="GL66" s="15" t="s">
        <v>188</v>
      </c>
      <c r="GN66" s="16"/>
      <c r="GO66" s="15" t="s">
        <v>188</v>
      </c>
      <c r="GQ66" s="25">
        <f>IF(Regn2!$R66&gt;1,Regn2!JK66,"")</f>
        <v>346.45</v>
      </c>
      <c r="GR66" s="15" t="s">
        <v>188</v>
      </c>
      <c r="GT66" s="16"/>
      <c r="GU66" s="15" t="s">
        <v>188</v>
      </c>
      <c r="GW66" s="25">
        <f>IF(Regn2!$R66&gt;1,Regn2!JO66,"")</f>
        <v>283</v>
      </c>
      <c r="GX66" s="15" t="s">
        <v>188</v>
      </c>
      <c r="GZ66" s="16"/>
      <c r="HA66" s="15" t="s">
        <v>188</v>
      </c>
      <c r="HC66" s="25">
        <f>IF(Regn2!$R66&gt;1,Regn2!JS66,"")</f>
        <v>0</v>
      </c>
      <c r="HD66" s="15" t="s">
        <v>188</v>
      </c>
      <c r="HF66" s="16"/>
      <c r="HG66" s="15" t="s">
        <v>188</v>
      </c>
      <c r="HI66" s="25">
        <f>IF(Regn2!$R66&gt;1,Regn2!JY66,"")</f>
        <v>600</v>
      </c>
      <c r="HJ66" s="15" t="s">
        <v>362</v>
      </c>
      <c r="HL66" s="16"/>
      <c r="HM66" s="15" t="s">
        <v>188</v>
      </c>
      <c r="HO66" s="25">
        <f>IF(Regn2!$R66&gt;1,Regn2!KL66,"")</f>
        <v>350</v>
      </c>
      <c r="HP66" s="15" t="s">
        <v>188</v>
      </c>
      <c r="HR66" s="16"/>
      <c r="HS66" s="15" t="s">
        <v>188</v>
      </c>
      <c r="HU66" s="25">
        <f>IF(Regn2!$R66&gt;1,Regn2!KP66,"")</f>
        <v>140</v>
      </c>
      <c r="HV66" s="15" t="s">
        <v>188</v>
      </c>
      <c r="HX66" s="16"/>
      <c r="HY66" s="15" t="s">
        <v>188</v>
      </c>
      <c r="IA66" s="25">
        <f>IF(Regn2!$R66&gt;1,Regn2!KT66,"")</f>
        <v>300</v>
      </c>
      <c r="IB66" s="15" t="s">
        <v>188</v>
      </c>
      <c r="ID66" s="16"/>
      <c r="IE66" s="15" t="s">
        <v>188</v>
      </c>
      <c r="IG66" s="25">
        <f>IF(Regn2!$R66&gt;1,Regn2!KX66,"")</f>
        <v>0</v>
      </c>
      <c r="IH66" s="15" t="s">
        <v>531</v>
      </c>
      <c r="IJ66" s="16"/>
      <c r="IK66" s="15" t="s">
        <v>531</v>
      </c>
      <c r="IM66" s="25">
        <f>IF(Regn2!$R66&gt;1,Regn2!KZ66,"")</f>
        <v>0</v>
      </c>
      <c r="IN66" s="15" t="s">
        <v>188</v>
      </c>
      <c r="IP66" s="16"/>
      <c r="IQ66" s="15" t="s">
        <v>188</v>
      </c>
      <c r="IS66" s="25">
        <f>IF(Regn2!$R66&gt;1,Regn2!LG66,"")</f>
        <v>1088.2352941176471</v>
      </c>
      <c r="IT66" s="15" t="s">
        <v>188</v>
      </c>
      <c r="IV66" s="16"/>
      <c r="IW66" s="15" t="s">
        <v>405</v>
      </c>
      <c r="IY66" s="25">
        <f>IF(Regn2!$R66&gt;1,Regn2!LM66,"")</f>
        <v>784.67741935483866</v>
      </c>
      <c r="IZ66" s="15" t="s">
        <v>188</v>
      </c>
      <c r="JB66" s="16"/>
      <c r="JC66" s="15" t="s">
        <v>188</v>
      </c>
      <c r="JH66" s="25">
        <f>IF(Regn2!$R66&gt;1,Regn2!LQ66,"")</f>
        <v>646.80000000000007</v>
      </c>
      <c r="JI66" s="15" t="s">
        <v>188</v>
      </c>
      <c r="JK66" s="16"/>
      <c r="JL66" s="15" t="s">
        <v>188</v>
      </c>
      <c r="JN66" s="15" t="str">
        <f>IF(Regn2!$T66&lt;=1,"",VLOOKUP(Regn2!$T66,Efgr,2))</f>
        <v>Græs E</v>
      </c>
      <c r="JP66" s="25">
        <f>IF(Regn2!$T66&gt;1,Regn2!LU66,"")</f>
        <v>300</v>
      </c>
      <c r="JQ66" s="15" t="s">
        <v>188</v>
      </c>
      <c r="JS66" s="16"/>
      <c r="JT66" s="15" t="s">
        <v>188</v>
      </c>
      <c r="JV66" s="25">
        <f>IF(Regn2!$T66&gt;1,Regn2!MN66,"")</f>
        <v>0</v>
      </c>
      <c r="JW66" s="15" t="s">
        <v>188</v>
      </c>
      <c r="JY66" s="16"/>
      <c r="JZ66" s="15" t="s">
        <v>188</v>
      </c>
      <c r="KB66" s="25">
        <f>IF(Regn2!$T66&gt;1,Regn2!MR66,"")</f>
        <v>0</v>
      </c>
      <c r="KC66" s="15" t="s">
        <v>188</v>
      </c>
      <c r="KE66" s="16"/>
      <c r="KF66" s="15" t="s">
        <v>188</v>
      </c>
      <c r="KH66" s="25">
        <f>IF(Regn2!$T66&gt;1,Regn2!MV66,"")</f>
        <v>0</v>
      </c>
      <c r="KI66" s="15" t="s">
        <v>188</v>
      </c>
      <c r="KK66" s="16"/>
      <c r="KL66" s="15" t="s">
        <v>188</v>
      </c>
      <c r="KN66" s="25">
        <f>IF(Regn2!$T66&gt;1,Regn2!NB66,"")</f>
        <v>55</v>
      </c>
      <c r="KO66" s="15" t="s">
        <v>188</v>
      </c>
      <c r="KQ66" s="16"/>
      <c r="KR66" s="15" t="s">
        <v>188</v>
      </c>
      <c r="KT66" s="25">
        <f>IF(Regn2!$T66&gt;1,Regn2!NF66,"")</f>
        <v>0</v>
      </c>
      <c r="KU66" s="15" t="s">
        <v>188</v>
      </c>
      <c r="KW66" s="16"/>
      <c r="KX66" s="15" t="s">
        <v>188</v>
      </c>
      <c r="KZ66" s="25">
        <f>IF(Regn2!$T66&gt;1,Regn2!NJ66,"")</f>
        <v>0</v>
      </c>
      <c r="LA66" s="15" t="s">
        <v>188</v>
      </c>
      <c r="LC66" s="16"/>
      <c r="LD66" s="15" t="s">
        <v>188</v>
      </c>
      <c r="LF66" s="25">
        <f>IF(Regn2!$T66&gt;1,Regn2!NN66,"")</f>
        <v>0</v>
      </c>
      <c r="LG66" s="15" t="s">
        <v>531</v>
      </c>
      <c r="LI66" s="16"/>
      <c r="LJ66" s="15" t="s">
        <v>531</v>
      </c>
      <c r="LL66" s="25">
        <f>IF(Regn2!$T66&gt;1,Regn2!NP66,"")</f>
        <v>0</v>
      </c>
      <c r="LM66" s="15" t="s">
        <v>188</v>
      </c>
      <c r="LO66" s="16"/>
      <c r="LP66" s="15" t="s">
        <v>188</v>
      </c>
      <c r="LR66" s="25">
        <f>IF(Regn2!$T66&gt;1,Regn2!NV66,"")</f>
        <v>0</v>
      </c>
      <c r="LS66" s="15" t="s">
        <v>188</v>
      </c>
      <c r="LU66" s="16"/>
      <c r="LV66" s="15" t="s">
        <v>188</v>
      </c>
      <c r="LX66" s="25">
        <f>IF(Regn2!$T66&gt;1,Regn2!NZ66,"")</f>
        <v>200</v>
      </c>
      <c r="LY66" s="15" t="s">
        <v>188</v>
      </c>
      <c r="MA66" s="16"/>
      <c r="MB66" s="15" t="s">
        <v>188</v>
      </c>
    </row>
    <row r="67" spans="2:340" ht="8.1" customHeight="1" x14ac:dyDescent="0.25"/>
    <row r="68" spans="2:340" x14ac:dyDescent="0.25">
      <c r="B68" s="240" t="s">
        <v>2372</v>
      </c>
      <c r="AG68" s="36">
        <v>5.76</v>
      </c>
      <c r="AH68" s="15" t="s">
        <v>85</v>
      </c>
      <c r="AL68" s="15" t="str">
        <f>IF(Regn2!$R68&lt;=1,"",VLOOKUP(Regn2!$R68,Afgr,2))</f>
        <v>Vårbyg, foder</v>
      </c>
      <c r="AN68" s="32">
        <f>IF(Regn2!$R68&gt;1,Regn2!AE68,"")</f>
        <v>93</v>
      </c>
      <c r="AO68" s="15" t="s">
        <v>82</v>
      </c>
      <c r="AQ68" s="17"/>
      <c r="AR68" s="15" t="s">
        <v>82</v>
      </c>
      <c r="AT68" s="37">
        <v>41</v>
      </c>
      <c r="AU68" s="15" t="s">
        <v>82</v>
      </c>
      <c r="AX68" s="17"/>
      <c r="AY68" s="15" t="s">
        <v>82</v>
      </c>
      <c r="BA68" s="17"/>
      <c r="BB68" s="15" t="s">
        <v>1504</v>
      </c>
      <c r="BD68" s="17"/>
      <c r="BE68" s="15" t="s">
        <v>1793</v>
      </c>
      <c r="BH68" s="17"/>
      <c r="BI68" s="15" t="s">
        <v>82</v>
      </c>
      <c r="BJ68" s="37">
        <v>75</v>
      </c>
      <c r="BK68" s="15" t="s">
        <v>205</v>
      </c>
      <c r="BM68" s="37">
        <v>85</v>
      </c>
      <c r="BN68" s="15" t="s">
        <v>82</v>
      </c>
      <c r="BP68" s="37">
        <v>74.23</v>
      </c>
      <c r="BQ68" s="15" t="s">
        <v>205</v>
      </c>
      <c r="BT68" s="17"/>
      <c r="BU68" s="15" t="s">
        <v>82</v>
      </c>
      <c r="BW68" s="17"/>
      <c r="BX68" s="15" t="s">
        <v>82</v>
      </c>
      <c r="BY68" s="37">
        <v>75</v>
      </c>
      <c r="BZ68" s="15" t="s">
        <v>205</v>
      </c>
      <c r="CB68" s="17">
        <v>18</v>
      </c>
      <c r="CC68" s="15" t="s">
        <v>1504</v>
      </c>
      <c r="CE68" s="17">
        <v>44</v>
      </c>
      <c r="CF68" s="15" t="s">
        <v>1793</v>
      </c>
      <c r="CH68" s="55">
        <f>IF(Regn2!$R68&gt;1,Regn2!AL68,"")</f>
        <v>56</v>
      </c>
      <c r="CI68" s="15" t="str">
        <f>IF(Regn2!AO68&lt;&gt;0,Regn2!AO68,"")</f>
        <v>hkg</v>
      </c>
      <c r="CK68" s="16">
        <v>71</v>
      </c>
      <c r="CL68" s="15" t="str">
        <f>IF(Regn2!AO68&lt;&gt;0,Regn2!AO68,"")</f>
        <v>hkg</v>
      </c>
      <c r="CN68" s="33">
        <f>IF(Regn2!$R68&gt;1,Regn2!DK68,"")</f>
        <v>10.147500000000001</v>
      </c>
      <c r="CO68" s="15" t="s">
        <v>201</v>
      </c>
      <c r="CQ68" s="38">
        <v>11.2</v>
      </c>
      <c r="CR68" s="15" t="s">
        <v>201</v>
      </c>
      <c r="CT68" s="55">
        <f>IF(Regn2!$R68&gt;1,Regn2!AR68,"")</f>
        <v>145</v>
      </c>
      <c r="CU68" s="15" t="s">
        <v>188</v>
      </c>
      <c r="CW68" s="124"/>
      <c r="CX68" s="15" t="s">
        <v>188</v>
      </c>
      <c r="CZ68" s="25">
        <f>IF(Regn2!$R68&gt;1,Regn2!AW68,"")</f>
        <v>0</v>
      </c>
      <c r="DA68" s="15" t="s">
        <v>188</v>
      </c>
      <c r="DC68" s="17"/>
      <c r="DD68" s="15" t="s">
        <v>188</v>
      </c>
      <c r="DF68" s="25">
        <f>IF(Regn2!$R68&gt;1,Regn2!BB68,"")</f>
        <v>3803.5714285714284</v>
      </c>
      <c r="DG68" s="15" t="s">
        <v>192</v>
      </c>
      <c r="DI68" s="16"/>
      <c r="DJ68" s="15" t="s">
        <v>192</v>
      </c>
      <c r="DO68" s="33">
        <f>IF(Regn2!$R68&gt;1,Regn2!BI68,"")</f>
        <v>0.5</v>
      </c>
      <c r="DP68" s="15" t="s">
        <v>188</v>
      </c>
      <c r="DR68" s="38"/>
      <c r="DS68" s="15" t="s">
        <v>188</v>
      </c>
      <c r="DU68" s="15" t="str">
        <f>IF(Regn2!$T68&lt;=1,"",VLOOKUP(Regn2!$T68,Efgr,2))</f>
        <v>Græs E</v>
      </c>
      <c r="DW68" s="25">
        <f>IF(Regn2!$T68&gt;1,Regn2!BN68,"")</f>
        <v>0</v>
      </c>
      <c r="DX68" s="15" t="s">
        <v>82</v>
      </c>
      <c r="DZ68" s="16"/>
      <c r="EA68" s="15" t="s">
        <v>82</v>
      </c>
      <c r="EC68" s="17"/>
      <c r="ED68" s="15" t="s">
        <v>1504</v>
      </c>
      <c r="EF68" s="17"/>
      <c r="EG68" s="15" t="s">
        <v>1793</v>
      </c>
      <c r="EI68" s="16"/>
      <c r="EJ68" s="15" t="s">
        <v>82</v>
      </c>
      <c r="EL68" s="16">
        <v>75</v>
      </c>
      <c r="EM68" s="15" t="s">
        <v>205</v>
      </c>
      <c r="EO68" s="25">
        <f>EI68*EL68*0.01</f>
        <v>0</v>
      </c>
      <c r="EP68" s="15" t="s">
        <v>82</v>
      </c>
      <c r="ER68" s="17"/>
      <c r="ES68" s="15" t="s">
        <v>82</v>
      </c>
      <c r="EV68" s="17"/>
      <c r="EW68" s="15" t="s">
        <v>1504</v>
      </c>
      <c r="EY68" s="17"/>
      <c r="EZ68" s="15" t="s">
        <v>1793</v>
      </c>
      <c r="FB68" s="25">
        <f>IF(Regn2!$T68&gt;1,Regn2!BQ68,"")</f>
        <v>0</v>
      </c>
      <c r="FC68" s="15" t="str">
        <f>IF(Regn2!$T68&gt;1,Regn2!BT68,"")</f>
        <v>FE</v>
      </c>
      <c r="FE68" s="16"/>
      <c r="FF68" s="15" t="str">
        <f>IF(Regn2!$T68&gt;1,Regn2!BT68,"")</f>
        <v>FE</v>
      </c>
      <c r="FL68" s="32">
        <f>IF(Regn2!$R68&gt;1,NniveauDelsaedsk1,"")</f>
        <v>194</v>
      </c>
      <c r="FM68" s="15" t="s">
        <v>82</v>
      </c>
      <c r="FO68" s="17"/>
      <c r="FP68" s="15" t="s">
        <v>82</v>
      </c>
      <c r="FR68" s="32">
        <f>IF(Regn2!$R68&gt;1,Regn2!HU68,"")</f>
        <v>284.76666666666603</v>
      </c>
      <c r="FS68" s="15" t="s">
        <v>531</v>
      </c>
      <c r="FU68" s="17"/>
      <c r="FV68" s="15" t="s">
        <v>531</v>
      </c>
      <c r="FX68" s="32">
        <f>IF(Regn2!$R68&gt;1,Regn2!HR68,"")</f>
        <v>284.76666666666603</v>
      </c>
      <c r="FY68" s="15" t="s">
        <v>531</v>
      </c>
      <c r="GA68" s="17"/>
      <c r="GB68" s="15" t="s">
        <v>531</v>
      </c>
      <c r="GD68" s="15">
        <f>IF(Regn2!$R68&gt;1,RetentionNbal,"")</f>
        <v>65</v>
      </c>
      <c r="GE68" s="15" t="s">
        <v>205</v>
      </c>
      <c r="GF68" s="17"/>
      <c r="GG68" s="15" t="s">
        <v>205</v>
      </c>
      <c r="GI68" s="15" t="str">
        <f>IF(Regn2!$R68&lt;=1,"",VLOOKUP(Regn2!$R68,Afgr,2))</f>
        <v>Vårbyg, foder</v>
      </c>
      <c r="GK68" s="25">
        <f>IF(Regn2!$R68&gt;1,Regn2!IO68,"")</f>
        <v>488</v>
      </c>
      <c r="GL68" s="15" t="s">
        <v>188</v>
      </c>
      <c r="GN68" s="16"/>
      <c r="GO68" s="15" t="s">
        <v>188</v>
      </c>
      <c r="GQ68" s="25">
        <f>IF(Regn2!$R68&gt;1,Regn2!JK68,"")</f>
        <v>346.45</v>
      </c>
      <c r="GR68" s="15" t="s">
        <v>188</v>
      </c>
      <c r="GT68" s="16"/>
      <c r="GU68" s="15" t="s">
        <v>188</v>
      </c>
      <c r="GW68" s="25">
        <f>IF(Regn2!$R68&gt;1,Regn2!JO68,"")</f>
        <v>283</v>
      </c>
      <c r="GX68" s="15" t="s">
        <v>188</v>
      </c>
      <c r="GZ68" s="16"/>
      <c r="HA68" s="15" t="s">
        <v>188</v>
      </c>
      <c r="HC68" s="25">
        <f>IF(Regn2!$R68&gt;1,Regn2!JS68,"")</f>
        <v>0</v>
      </c>
      <c r="HD68" s="15" t="s">
        <v>188</v>
      </c>
      <c r="HF68" s="16"/>
      <c r="HG68" s="15" t="s">
        <v>188</v>
      </c>
      <c r="HI68" s="25">
        <f>IF(Regn2!$R68&gt;1,Regn2!JY68,"")</f>
        <v>600</v>
      </c>
      <c r="HJ68" s="15" t="s">
        <v>362</v>
      </c>
      <c r="HL68" s="16"/>
      <c r="HM68" s="15" t="s">
        <v>188</v>
      </c>
      <c r="HO68" s="25">
        <f>IF(Regn2!$R68&gt;1,Regn2!KL68,"")</f>
        <v>350</v>
      </c>
      <c r="HP68" s="15" t="s">
        <v>188</v>
      </c>
      <c r="HR68" s="16"/>
      <c r="HS68" s="15" t="s">
        <v>188</v>
      </c>
      <c r="HU68" s="25">
        <f>IF(Regn2!$R68&gt;1,Regn2!KP68,"")</f>
        <v>140</v>
      </c>
      <c r="HV68" s="15" t="s">
        <v>188</v>
      </c>
      <c r="HX68" s="16"/>
      <c r="HY68" s="15" t="s">
        <v>188</v>
      </c>
      <c r="IA68" s="25">
        <f>IF(Regn2!$R68&gt;1,Regn2!KT68,"")</f>
        <v>300</v>
      </c>
      <c r="IB68" s="15" t="s">
        <v>188</v>
      </c>
      <c r="ID68" s="16"/>
      <c r="IE68" s="15" t="s">
        <v>188</v>
      </c>
      <c r="IG68" s="25">
        <f>IF(Regn2!$R68&gt;1,Regn2!KX68,"")</f>
        <v>0</v>
      </c>
      <c r="IH68" s="15" t="s">
        <v>531</v>
      </c>
      <c r="IJ68" s="16"/>
      <c r="IK68" s="15" t="s">
        <v>531</v>
      </c>
      <c r="IM68" s="25">
        <f>IF(Regn2!$R68&gt;1,Regn2!KZ68,"")</f>
        <v>0</v>
      </c>
      <c r="IN68" s="15" t="s">
        <v>188</v>
      </c>
      <c r="IP68" s="16"/>
      <c r="IQ68" s="15" t="s">
        <v>188</v>
      </c>
      <c r="IS68" s="25">
        <f>IF(Regn2!$R68&gt;1,Regn2!LG68,"")</f>
        <v>1097.3529411764707</v>
      </c>
      <c r="IT68" s="15" t="s">
        <v>188</v>
      </c>
      <c r="IV68" s="16"/>
      <c r="IW68" s="15" t="s">
        <v>405</v>
      </c>
      <c r="IY68" s="25">
        <f>IF(Regn2!$R68&gt;1,Regn2!LM68,"")</f>
        <v>848.88392857142856</v>
      </c>
      <c r="IZ68" s="15" t="s">
        <v>188</v>
      </c>
      <c r="JB68" s="16"/>
      <c r="JC68" s="15" t="s">
        <v>188</v>
      </c>
      <c r="JH68" s="25">
        <f>IF(Regn2!$R68&gt;1,Regn2!LQ68,"")</f>
        <v>656.04000000000008</v>
      </c>
      <c r="JI68" s="15" t="s">
        <v>188</v>
      </c>
      <c r="JK68" s="16"/>
      <c r="JL68" s="15" t="s">
        <v>188</v>
      </c>
      <c r="JN68" s="15" t="str">
        <f>IF(Regn2!$T68&lt;=1,"",VLOOKUP(Regn2!$T68,Efgr,2))</f>
        <v>Græs E</v>
      </c>
      <c r="JP68" s="25">
        <f>IF(Regn2!$T68&gt;1,Regn2!LU68,"")</f>
        <v>300</v>
      </c>
      <c r="JQ68" s="15" t="s">
        <v>188</v>
      </c>
      <c r="JS68" s="16"/>
      <c r="JT68" s="15" t="s">
        <v>188</v>
      </c>
      <c r="JV68" s="25">
        <f>IF(Regn2!$T68&gt;1,Regn2!MN68,"")</f>
        <v>0</v>
      </c>
      <c r="JW68" s="15" t="s">
        <v>188</v>
      </c>
      <c r="JY68" s="16"/>
      <c r="JZ68" s="15" t="s">
        <v>188</v>
      </c>
      <c r="KB68" s="25">
        <f>IF(Regn2!$T68&gt;1,Regn2!MR68,"")</f>
        <v>0</v>
      </c>
      <c r="KC68" s="15" t="s">
        <v>188</v>
      </c>
      <c r="KE68" s="16"/>
      <c r="KF68" s="15" t="s">
        <v>188</v>
      </c>
      <c r="KH68" s="25">
        <f>IF(Regn2!$T68&gt;1,Regn2!MV68,"")</f>
        <v>0</v>
      </c>
      <c r="KI68" s="15" t="s">
        <v>188</v>
      </c>
      <c r="KK68" s="16"/>
      <c r="KL68" s="15" t="s">
        <v>188</v>
      </c>
      <c r="KN68" s="25">
        <f>IF(Regn2!$T68&gt;1,Regn2!NB68,"")</f>
        <v>55</v>
      </c>
      <c r="KO68" s="15" t="s">
        <v>188</v>
      </c>
      <c r="KQ68" s="16"/>
      <c r="KR68" s="15" t="s">
        <v>188</v>
      </c>
      <c r="KT68" s="25">
        <f>IF(Regn2!$T68&gt;1,Regn2!NF68,"")</f>
        <v>0</v>
      </c>
      <c r="KU68" s="15" t="s">
        <v>188</v>
      </c>
      <c r="KW68" s="16"/>
      <c r="KX68" s="15" t="s">
        <v>188</v>
      </c>
      <c r="KZ68" s="25">
        <f>IF(Regn2!$T68&gt;1,Regn2!NJ68,"")</f>
        <v>0</v>
      </c>
      <c r="LA68" s="15" t="s">
        <v>188</v>
      </c>
      <c r="LC68" s="16"/>
      <c r="LD68" s="15" t="s">
        <v>188</v>
      </c>
      <c r="LF68" s="25">
        <f>IF(Regn2!$T68&gt;1,Regn2!NN68,"")</f>
        <v>0</v>
      </c>
      <c r="LG68" s="15" t="s">
        <v>531</v>
      </c>
      <c r="LI68" s="16"/>
      <c r="LJ68" s="15" t="s">
        <v>531</v>
      </c>
      <c r="LL68" s="25">
        <f>IF(Regn2!$T68&gt;1,Regn2!NP68,"")</f>
        <v>0</v>
      </c>
      <c r="LM68" s="15" t="s">
        <v>188</v>
      </c>
      <c r="LO68" s="16"/>
      <c r="LP68" s="15" t="s">
        <v>188</v>
      </c>
      <c r="LR68" s="25">
        <f>IF(Regn2!$T68&gt;1,Regn2!NV68,"")</f>
        <v>0</v>
      </c>
      <c r="LS68" s="15" t="s">
        <v>188</v>
      </c>
      <c r="LU68" s="16"/>
      <c r="LV68" s="15" t="s">
        <v>188</v>
      </c>
      <c r="LX68" s="25">
        <f>IF(Regn2!$T68&gt;1,Regn2!NZ68,"")</f>
        <v>200</v>
      </c>
      <c r="LY68" s="15" t="s">
        <v>188</v>
      </c>
      <c r="MA68" s="16"/>
      <c r="MB68" s="15" t="s">
        <v>188</v>
      </c>
    </row>
    <row r="69" spans="2:340" ht="8.1" customHeight="1" x14ac:dyDescent="0.25"/>
    <row r="70" spans="2:340" x14ac:dyDescent="0.25">
      <c r="B70" s="240" t="s">
        <v>2373</v>
      </c>
      <c r="AG70" s="36">
        <v>15.41</v>
      </c>
      <c r="AH70" s="15" t="s">
        <v>85</v>
      </c>
      <c r="AL70" s="15" t="str">
        <f>IF(Regn2!$R70&lt;=1,"",VLOOKUP(Regn2!$R70,Afgr,2))</f>
        <v>Vårbyg, foder</v>
      </c>
      <c r="AN70" s="32">
        <f>IF(Regn2!$R70&gt;1,Regn2!AE70,"")</f>
        <v>93</v>
      </c>
      <c r="AO70" s="15" t="s">
        <v>82</v>
      </c>
      <c r="AQ70" s="17"/>
      <c r="AR70" s="15" t="s">
        <v>82</v>
      </c>
      <c r="AT70" s="37">
        <v>41</v>
      </c>
      <c r="AU70" s="15" t="s">
        <v>82</v>
      </c>
      <c r="AX70" s="17"/>
      <c r="AY70" s="15" t="s">
        <v>82</v>
      </c>
      <c r="BA70" s="17"/>
      <c r="BB70" s="15" t="s">
        <v>1504</v>
      </c>
      <c r="BD70" s="17"/>
      <c r="BE70" s="15" t="s">
        <v>1793</v>
      </c>
      <c r="BH70" s="17"/>
      <c r="BI70" s="15" t="s">
        <v>82</v>
      </c>
      <c r="BJ70" s="37">
        <v>75</v>
      </c>
      <c r="BK70" s="15" t="s">
        <v>205</v>
      </c>
      <c r="BM70" s="37"/>
      <c r="BN70" s="15" t="s">
        <v>82</v>
      </c>
      <c r="BP70" s="37">
        <v>74.23</v>
      </c>
      <c r="BQ70" s="15" t="s">
        <v>205</v>
      </c>
      <c r="BT70" s="17"/>
      <c r="BU70" s="15" t="s">
        <v>82</v>
      </c>
      <c r="BW70" s="17"/>
      <c r="BX70" s="15" t="s">
        <v>82</v>
      </c>
      <c r="BY70" s="37">
        <v>75</v>
      </c>
      <c r="BZ70" s="15" t="s">
        <v>205</v>
      </c>
      <c r="CB70" s="17"/>
      <c r="CC70" s="15" t="s">
        <v>1504</v>
      </c>
      <c r="CE70" s="17"/>
      <c r="CF70" s="15" t="s">
        <v>1793</v>
      </c>
      <c r="CH70" s="55">
        <f>IF(Regn2!$R70&gt;1,Regn2!AL70,"")</f>
        <v>56</v>
      </c>
      <c r="CI70" s="15" t="str">
        <f>IF(Regn2!AO70&lt;&gt;0,Regn2!AO70,"")</f>
        <v>hkg</v>
      </c>
      <c r="CK70" s="16">
        <v>75</v>
      </c>
      <c r="CL70" s="15" t="str">
        <f>IF(Regn2!AO70&lt;&gt;0,Regn2!AO70,"")</f>
        <v>hkg</v>
      </c>
      <c r="CN70" s="33">
        <f>IF(Regn2!$R70&gt;1,Regn2!DK70,"")</f>
        <v>10.147500000000001</v>
      </c>
      <c r="CO70" s="15" t="s">
        <v>201</v>
      </c>
      <c r="CQ70" s="38">
        <v>11.2</v>
      </c>
      <c r="CR70" s="15" t="s">
        <v>201</v>
      </c>
      <c r="CT70" s="55">
        <f>IF(Regn2!$R70&gt;1,Regn2!AR70,"")</f>
        <v>145</v>
      </c>
      <c r="CU70" s="15" t="s">
        <v>188</v>
      </c>
      <c r="CW70" s="124"/>
      <c r="CX70" s="15" t="s">
        <v>188</v>
      </c>
      <c r="CZ70" s="25">
        <f>IF(Regn2!$R70&gt;1,Regn2!AW70,"")</f>
        <v>0</v>
      </c>
      <c r="DA70" s="15" t="s">
        <v>188</v>
      </c>
      <c r="DC70" s="17"/>
      <c r="DD70" s="15" t="s">
        <v>188</v>
      </c>
      <c r="DF70" s="25">
        <f>IF(Regn2!$R70&gt;1,Regn2!BB70,"")</f>
        <v>4017.8571428571427</v>
      </c>
      <c r="DG70" s="15" t="s">
        <v>192</v>
      </c>
      <c r="DI70" s="16"/>
      <c r="DJ70" s="15" t="s">
        <v>192</v>
      </c>
      <c r="DO70" s="33">
        <f>IF(Regn2!$R70&gt;1,Regn2!BI70,"")</f>
        <v>0.5</v>
      </c>
      <c r="DP70" s="15" t="s">
        <v>188</v>
      </c>
      <c r="DR70" s="38"/>
      <c r="DS70" s="15" t="s">
        <v>188</v>
      </c>
      <c r="DU70" s="15" t="str">
        <f>IF(Regn2!$T70&lt;=1,"",VLOOKUP(Regn2!$T70,Efgr,2))</f>
        <v>Græs E</v>
      </c>
      <c r="DW70" s="25">
        <f>IF(Regn2!$T70&gt;1,Regn2!BN70,"")</f>
        <v>0</v>
      </c>
      <c r="DX70" s="15" t="s">
        <v>82</v>
      </c>
      <c r="DZ70" s="16"/>
      <c r="EA70" s="15" t="s">
        <v>82</v>
      </c>
      <c r="EC70" s="17"/>
      <c r="ED70" s="15" t="s">
        <v>1504</v>
      </c>
      <c r="EF70" s="17"/>
      <c r="EG70" s="15" t="s">
        <v>1793</v>
      </c>
      <c r="EI70" s="16"/>
      <c r="EJ70" s="15" t="s">
        <v>82</v>
      </c>
      <c r="EL70" s="16">
        <v>75</v>
      </c>
      <c r="EM70" s="15" t="s">
        <v>205</v>
      </c>
      <c r="EO70" s="25">
        <f>EI70*EL70*0.01</f>
        <v>0</v>
      </c>
      <c r="EP70" s="15" t="s">
        <v>82</v>
      </c>
      <c r="ER70" s="17"/>
      <c r="ES70" s="15" t="s">
        <v>82</v>
      </c>
      <c r="EV70" s="17"/>
      <c r="EW70" s="15" t="s">
        <v>1504</v>
      </c>
      <c r="EY70" s="17"/>
      <c r="EZ70" s="15" t="s">
        <v>1793</v>
      </c>
      <c r="FB70" s="25">
        <f>IF(Regn2!$T70&gt;1,Regn2!BQ70,"")</f>
        <v>0</v>
      </c>
      <c r="FC70" s="15" t="str">
        <f>IF(Regn2!$T70&gt;1,Regn2!BT70,"")</f>
        <v>FE</v>
      </c>
      <c r="FE70" s="16"/>
      <c r="FF70" s="15" t="str">
        <f>IF(Regn2!$T70&gt;1,Regn2!BT70,"")</f>
        <v>FE</v>
      </c>
      <c r="FL70" s="32">
        <f>IF(Regn2!$R70&gt;1,NniveauDelsaedsk1,"")</f>
        <v>194</v>
      </c>
      <c r="FM70" s="15" t="s">
        <v>82</v>
      </c>
      <c r="FO70" s="17"/>
      <c r="FP70" s="15" t="s">
        <v>82</v>
      </c>
      <c r="FR70" s="32">
        <f>IF(Regn2!$R70&gt;1,Regn2!HU70,"")</f>
        <v>284.76666666666603</v>
      </c>
      <c r="FS70" s="15" t="s">
        <v>531</v>
      </c>
      <c r="FU70" s="17"/>
      <c r="FV70" s="15" t="s">
        <v>531</v>
      </c>
      <c r="FX70" s="32">
        <f>IF(Regn2!$R70&gt;1,Regn2!HR70,"")</f>
        <v>284.76666666666603</v>
      </c>
      <c r="FY70" s="15" t="s">
        <v>531</v>
      </c>
      <c r="GA70" s="17"/>
      <c r="GB70" s="15" t="s">
        <v>531</v>
      </c>
      <c r="GD70" s="15">
        <f>IF(Regn2!$R70&gt;1,RetentionNbal,"")</f>
        <v>65</v>
      </c>
      <c r="GE70" s="15" t="s">
        <v>205</v>
      </c>
      <c r="GF70" s="17"/>
      <c r="GG70" s="15" t="s">
        <v>205</v>
      </c>
      <c r="GI70" s="15" t="str">
        <f>IF(Regn2!$R70&lt;=1,"",VLOOKUP(Regn2!$R70,Afgr,2))</f>
        <v>Vårbyg, foder</v>
      </c>
      <c r="GK70" s="25">
        <f>IF(Regn2!$R70&gt;1,Regn2!IO70,"")</f>
        <v>488</v>
      </c>
      <c r="GL70" s="15" t="s">
        <v>188</v>
      </c>
      <c r="GN70" s="16"/>
      <c r="GO70" s="15" t="s">
        <v>188</v>
      </c>
      <c r="GQ70" s="25">
        <f>IF(Regn2!$R70&gt;1,Regn2!JK70,"")</f>
        <v>346.45</v>
      </c>
      <c r="GR70" s="15" t="s">
        <v>188</v>
      </c>
      <c r="GT70" s="16"/>
      <c r="GU70" s="15" t="s">
        <v>188</v>
      </c>
      <c r="GW70" s="25">
        <f>IF(Regn2!$R70&gt;1,Regn2!JO70,"")</f>
        <v>283</v>
      </c>
      <c r="GX70" s="15" t="s">
        <v>188</v>
      </c>
      <c r="GZ70" s="16"/>
      <c r="HA70" s="15" t="s">
        <v>188</v>
      </c>
      <c r="HC70" s="25">
        <f>IF(Regn2!$R70&gt;1,Regn2!JS70,"")</f>
        <v>0</v>
      </c>
      <c r="HD70" s="15" t="s">
        <v>188</v>
      </c>
      <c r="HF70" s="16"/>
      <c r="HG70" s="15" t="s">
        <v>188</v>
      </c>
      <c r="HI70" s="25">
        <f>IF(Regn2!$R70&gt;1,Regn2!JY70,"")</f>
        <v>600</v>
      </c>
      <c r="HJ70" s="15" t="s">
        <v>362</v>
      </c>
      <c r="HL70" s="16"/>
      <c r="HM70" s="15" t="s">
        <v>188</v>
      </c>
      <c r="HO70" s="25">
        <f>IF(Regn2!$R70&gt;1,Regn2!KL70,"")</f>
        <v>350</v>
      </c>
      <c r="HP70" s="15" t="s">
        <v>188</v>
      </c>
      <c r="HR70" s="16"/>
      <c r="HS70" s="15" t="s">
        <v>188</v>
      </c>
      <c r="HU70" s="25">
        <f>IF(Regn2!$R70&gt;1,Regn2!KP70,"")</f>
        <v>140</v>
      </c>
      <c r="HV70" s="15" t="s">
        <v>188</v>
      </c>
      <c r="HX70" s="16"/>
      <c r="HY70" s="15" t="s">
        <v>188</v>
      </c>
      <c r="IA70" s="25">
        <f>IF(Regn2!$R70&gt;1,Regn2!KT70,"")</f>
        <v>300</v>
      </c>
      <c r="IB70" s="15" t="s">
        <v>188</v>
      </c>
      <c r="ID70" s="16"/>
      <c r="IE70" s="15" t="s">
        <v>188</v>
      </c>
      <c r="IG70" s="25">
        <f>IF(Regn2!$R70&gt;1,Regn2!KX70,"")</f>
        <v>0</v>
      </c>
      <c r="IH70" s="15" t="s">
        <v>531</v>
      </c>
      <c r="IJ70" s="16"/>
      <c r="IK70" s="15" t="s">
        <v>531</v>
      </c>
      <c r="IM70" s="25">
        <f>IF(Regn2!$R70&gt;1,Regn2!KZ70,"")</f>
        <v>0</v>
      </c>
      <c r="IN70" s="15" t="s">
        <v>188</v>
      </c>
      <c r="IP70" s="16"/>
      <c r="IQ70" s="15" t="s">
        <v>188</v>
      </c>
      <c r="IS70" s="25">
        <f>IF(Regn2!$R70&gt;1,Regn2!LG70,"")</f>
        <v>1133.8235294117646</v>
      </c>
      <c r="IT70" s="15" t="s">
        <v>188</v>
      </c>
      <c r="IV70" s="16"/>
      <c r="IW70" s="15" t="s">
        <v>405</v>
      </c>
      <c r="IY70" s="25">
        <f>IF(Regn2!$R70&gt;1,Regn2!LM70,"")</f>
        <v>881.91964285714289</v>
      </c>
      <c r="IZ70" s="15" t="s">
        <v>188</v>
      </c>
      <c r="JB70" s="16"/>
      <c r="JC70" s="15" t="s">
        <v>188</v>
      </c>
      <c r="JH70" s="25">
        <f>IF(Regn2!$R70&gt;1,Regn2!LQ70,"")</f>
        <v>693</v>
      </c>
      <c r="JI70" s="15" t="s">
        <v>188</v>
      </c>
      <c r="JK70" s="16"/>
      <c r="JL70" s="15" t="s">
        <v>188</v>
      </c>
      <c r="JN70" s="15" t="str">
        <f>IF(Regn2!$T70&lt;=1,"",VLOOKUP(Regn2!$T70,Efgr,2))</f>
        <v>Græs E</v>
      </c>
      <c r="JP70" s="25">
        <f>IF(Regn2!$T70&gt;1,Regn2!LU70,"")</f>
        <v>300</v>
      </c>
      <c r="JQ70" s="15" t="s">
        <v>188</v>
      </c>
      <c r="JS70" s="16"/>
      <c r="JT70" s="15" t="s">
        <v>188</v>
      </c>
      <c r="JV70" s="25">
        <f>IF(Regn2!$T70&gt;1,Regn2!MN70,"")</f>
        <v>0</v>
      </c>
      <c r="JW70" s="15" t="s">
        <v>188</v>
      </c>
      <c r="JY70" s="16"/>
      <c r="JZ70" s="15" t="s">
        <v>188</v>
      </c>
      <c r="KB70" s="25">
        <f>IF(Regn2!$T70&gt;1,Regn2!MR70,"")</f>
        <v>0</v>
      </c>
      <c r="KC70" s="15" t="s">
        <v>188</v>
      </c>
      <c r="KE70" s="16"/>
      <c r="KF70" s="15" t="s">
        <v>188</v>
      </c>
      <c r="KH70" s="25">
        <f>IF(Regn2!$T70&gt;1,Regn2!MV70,"")</f>
        <v>0</v>
      </c>
      <c r="KI70" s="15" t="s">
        <v>188</v>
      </c>
      <c r="KK70" s="16"/>
      <c r="KL70" s="15" t="s">
        <v>188</v>
      </c>
      <c r="KN70" s="25">
        <f>IF(Regn2!$T70&gt;1,Regn2!NB70,"")</f>
        <v>55</v>
      </c>
      <c r="KO70" s="15" t="s">
        <v>188</v>
      </c>
      <c r="KQ70" s="16"/>
      <c r="KR70" s="15" t="s">
        <v>188</v>
      </c>
      <c r="KT70" s="25">
        <f>IF(Regn2!$T70&gt;1,Regn2!NF70,"")</f>
        <v>0</v>
      </c>
      <c r="KU70" s="15" t="s">
        <v>188</v>
      </c>
      <c r="KW70" s="16"/>
      <c r="KX70" s="15" t="s">
        <v>188</v>
      </c>
      <c r="KZ70" s="25">
        <f>IF(Regn2!$T70&gt;1,Regn2!NJ70,"")</f>
        <v>0</v>
      </c>
      <c r="LA70" s="15" t="s">
        <v>188</v>
      </c>
      <c r="LC70" s="16"/>
      <c r="LD70" s="15" t="s">
        <v>188</v>
      </c>
      <c r="LF70" s="25">
        <f>IF(Regn2!$T70&gt;1,Regn2!NN70,"")</f>
        <v>0</v>
      </c>
      <c r="LG70" s="15" t="s">
        <v>531</v>
      </c>
      <c r="LI70" s="16"/>
      <c r="LJ70" s="15" t="s">
        <v>531</v>
      </c>
      <c r="LL70" s="25">
        <f>IF(Regn2!$T70&gt;1,Regn2!NP70,"")</f>
        <v>0</v>
      </c>
      <c r="LM70" s="15" t="s">
        <v>188</v>
      </c>
      <c r="LO70" s="16"/>
      <c r="LP70" s="15" t="s">
        <v>188</v>
      </c>
      <c r="LR70" s="25">
        <f>IF(Regn2!$T70&gt;1,Regn2!NV70,"")</f>
        <v>0</v>
      </c>
      <c r="LS70" s="15" t="s">
        <v>188</v>
      </c>
      <c r="LU70" s="16"/>
      <c r="LV70" s="15" t="s">
        <v>188</v>
      </c>
      <c r="LX70" s="25">
        <f>IF(Regn2!$T70&gt;1,Regn2!NZ70,"")</f>
        <v>200</v>
      </c>
      <c r="LY70" s="15" t="s">
        <v>188</v>
      </c>
      <c r="MA70" s="16"/>
      <c r="MB70" s="15" t="s">
        <v>188</v>
      </c>
    </row>
    <row r="71" spans="2:340" ht="8.1" customHeight="1" x14ac:dyDescent="0.25"/>
    <row r="72" spans="2:340" x14ac:dyDescent="0.25">
      <c r="B72" s="240" t="s">
        <v>2374</v>
      </c>
      <c r="AG72" s="36">
        <v>1.66</v>
      </c>
      <c r="AH72" s="15" t="s">
        <v>85</v>
      </c>
      <c r="AL72" s="15" t="str">
        <f>IF(Regn2!$R72&lt;=1,"",VLOOKUP(Regn2!$R72,Afgr,2))</f>
        <v>Randzone</v>
      </c>
      <c r="AN72" s="32">
        <f>IF(Regn2!$R72&gt;1,Regn2!AE72,"")</f>
        <v>0</v>
      </c>
      <c r="AO72" s="15" t="s">
        <v>82</v>
      </c>
      <c r="AQ72" s="17"/>
      <c r="AR72" s="15" t="s">
        <v>82</v>
      </c>
      <c r="AT72" s="37"/>
      <c r="AU72" s="15" t="s">
        <v>82</v>
      </c>
      <c r="AX72" s="17"/>
      <c r="AY72" s="15" t="s">
        <v>82</v>
      </c>
      <c r="BA72" s="17"/>
      <c r="BB72" s="15" t="s">
        <v>1504</v>
      </c>
      <c r="BD72" s="17"/>
      <c r="BE72" s="15" t="s">
        <v>1793</v>
      </c>
      <c r="BH72" s="17"/>
      <c r="BI72" s="15" t="s">
        <v>82</v>
      </c>
      <c r="BJ72" s="37">
        <v>75</v>
      </c>
      <c r="BK72" s="15" t="s">
        <v>205</v>
      </c>
      <c r="BM72" s="37"/>
      <c r="BN72" s="15" t="s">
        <v>82</v>
      </c>
      <c r="BP72" s="37">
        <v>74.23</v>
      </c>
      <c r="BQ72" s="15" t="s">
        <v>205</v>
      </c>
      <c r="BT72" s="17"/>
      <c r="BU72" s="15" t="s">
        <v>82</v>
      </c>
      <c r="BW72" s="17"/>
      <c r="BX72" s="15" t="s">
        <v>82</v>
      </c>
      <c r="BY72" s="37">
        <v>75</v>
      </c>
      <c r="BZ72" s="15" t="s">
        <v>205</v>
      </c>
      <c r="CB72" s="17"/>
      <c r="CC72" s="15" t="s">
        <v>1504</v>
      </c>
      <c r="CE72" s="17"/>
      <c r="CF72" s="15" t="s">
        <v>1793</v>
      </c>
      <c r="CH72" s="55">
        <f>IF(Regn2!$R72&gt;1,Regn2!AL72,"")</f>
        <v>0</v>
      </c>
      <c r="CI72" s="15" t="str">
        <f>IF(Regn2!AO72&lt;&gt;0,Regn2!AO72,"")</f>
        <v/>
      </c>
      <c r="CK72" s="16"/>
      <c r="CL72" s="15" t="str">
        <f>IF(Regn2!AO72&lt;&gt;0,Regn2!AO72,"")</f>
        <v/>
      </c>
      <c r="CN72" s="33">
        <f>IF(Regn2!$R72&gt;1,Regn2!DK72,"")</f>
        <v>0</v>
      </c>
      <c r="CO72" s="15" t="s">
        <v>201</v>
      </c>
      <c r="CQ72" s="38"/>
      <c r="CR72" s="15" t="s">
        <v>201</v>
      </c>
      <c r="CT72" s="55">
        <f>IF(Regn2!$R72&gt;1,Regn2!AR72,"")</f>
        <v>0</v>
      </c>
      <c r="CU72" s="15" t="s">
        <v>188</v>
      </c>
      <c r="CW72" s="124"/>
      <c r="CX72" s="15" t="s">
        <v>188</v>
      </c>
      <c r="CZ72" s="25">
        <f>IF(Regn2!$R72&gt;1,Regn2!AW72,"")</f>
        <v>2100</v>
      </c>
      <c r="DA72" s="15" t="s">
        <v>188</v>
      </c>
      <c r="DC72" s="17"/>
      <c r="DD72" s="15" t="s">
        <v>188</v>
      </c>
      <c r="DF72" s="25">
        <f>IF(Regn2!$R72&gt;1,Regn2!BB72,"")</f>
        <v>0</v>
      </c>
      <c r="DG72" s="15" t="s">
        <v>192</v>
      </c>
      <c r="DI72" s="16"/>
      <c r="DJ72" s="15" t="s">
        <v>192</v>
      </c>
      <c r="DO72" s="33">
        <f>IF(Regn2!$R72&gt;1,Regn2!BI72,"")</f>
        <v>0</v>
      </c>
      <c r="DP72" s="15" t="s">
        <v>188</v>
      </c>
      <c r="DR72" s="38"/>
      <c r="DS72" s="15" t="s">
        <v>188</v>
      </c>
      <c r="DU72" s="15" t="str">
        <f>IF(Regn2!$T72&lt;=1,"",VLOOKUP(Regn2!$T72,Efgr,2))</f>
        <v/>
      </c>
      <c r="DW72" s="25" t="str">
        <f>IF(Regn2!$T72&gt;1,Regn2!BN72,"")</f>
        <v/>
      </c>
      <c r="DX72" s="15" t="s">
        <v>82</v>
      </c>
      <c r="DZ72" s="16"/>
      <c r="EA72" s="15" t="s">
        <v>82</v>
      </c>
      <c r="EC72" s="17"/>
      <c r="ED72" s="15" t="s">
        <v>1504</v>
      </c>
      <c r="EF72" s="17"/>
      <c r="EG72" s="15" t="s">
        <v>1793</v>
      </c>
      <c r="EI72" s="16"/>
      <c r="EJ72" s="15" t="s">
        <v>82</v>
      </c>
      <c r="EL72" s="16">
        <v>75</v>
      </c>
      <c r="EM72" s="15" t="s">
        <v>205</v>
      </c>
      <c r="EO72" s="25">
        <f>EI72*EL72*0.01</f>
        <v>0</v>
      </c>
      <c r="EP72" s="15" t="s">
        <v>82</v>
      </c>
      <c r="ER72" s="17"/>
      <c r="ES72" s="15" t="s">
        <v>82</v>
      </c>
      <c r="EV72" s="17"/>
      <c r="EW72" s="15" t="s">
        <v>1504</v>
      </c>
      <c r="EY72" s="17"/>
      <c r="EZ72" s="15" t="s">
        <v>1793</v>
      </c>
      <c r="FB72" s="25" t="str">
        <f>IF(Regn2!$T72&gt;1,Regn2!BQ72,"")</f>
        <v/>
      </c>
      <c r="FC72" s="15" t="str">
        <f>IF(Regn2!$T72&gt;1,Regn2!BT72,"")</f>
        <v/>
      </c>
      <c r="FE72" s="16"/>
      <c r="FF72" s="15" t="str">
        <f>IF(Regn2!$T72&gt;1,Regn2!BT72,"")</f>
        <v/>
      </c>
      <c r="FL72" s="32">
        <f>IF(Regn2!$R72&gt;1,NniveauDelsaedsk1,"")</f>
        <v>194</v>
      </c>
      <c r="FM72" s="15" t="s">
        <v>82</v>
      </c>
      <c r="FO72" s="17"/>
      <c r="FP72" s="15" t="s">
        <v>82</v>
      </c>
      <c r="FR72" s="32">
        <f>IF(Regn2!$R72&gt;1,Regn2!HU72,"")</f>
        <v>272.32333333333298</v>
      </c>
      <c r="FS72" s="15" t="s">
        <v>531</v>
      </c>
      <c r="FU72" s="17"/>
      <c r="FV72" s="15" t="s">
        <v>531</v>
      </c>
      <c r="FX72" s="32">
        <f>IF(Regn2!$R72&gt;1,Regn2!HR72,"")</f>
        <v>272.32333333333298</v>
      </c>
      <c r="FY72" s="15" t="s">
        <v>531</v>
      </c>
      <c r="GA72" s="17"/>
      <c r="GB72" s="15" t="s">
        <v>531</v>
      </c>
      <c r="GD72" s="15">
        <f>IF(Regn2!$R72&gt;1,RetentionNbal,"")</f>
        <v>65</v>
      </c>
      <c r="GE72" s="15" t="s">
        <v>205</v>
      </c>
      <c r="GF72" s="17"/>
      <c r="GG72" s="15" t="s">
        <v>205</v>
      </c>
      <c r="GI72" s="15" t="str">
        <f>IF(Regn2!$R72&lt;=1,"",VLOOKUP(Regn2!$R72,Afgr,2))</f>
        <v>Randzone</v>
      </c>
      <c r="GK72" s="25">
        <f>IF(Regn2!$R72&gt;1,Regn2!IO72,"")</f>
        <v>0</v>
      </c>
      <c r="GL72" s="15" t="s">
        <v>188</v>
      </c>
      <c r="GN72" s="16"/>
      <c r="GO72" s="15" t="s">
        <v>188</v>
      </c>
      <c r="GQ72" s="25">
        <f>IF(Regn2!$R72&gt;1,Regn2!JK72,"")</f>
        <v>0</v>
      </c>
      <c r="GR72" s="15" t="s">
        <v>188</v>
      </c>
      <c r="GT72" s="16"/>
      <c r="GU72" s="15" t="s">
        <v>188</v>
      </c>
      <c r="GW72" s="25">
        <f>IF(Regn2!$R72&gt;1,Regn2!JO72,"")</f>
        <v>0</v>
      </c>
      <c r="GX72" s="15" t="s">
        <v>188</v>
      </c>
      <c r="GZ72" s="16"/>
      <c r="HA72" s="15" t="s">
        <v>188</v>
      </c>
      <c r="HC72" s="25">
        <f>IF(Regn2!$R72&gt;1,Regn2!JS72,"")</f>
        <v>0</v>
      </c>
      <c r="HD72" s="15" t="s">
        <v>188</v>
      </c>
      <c r="HF72" s="16"/>
      <c r="HG72" s="15" t="s">
        <v>188</v>
      </c>
      <c r="HI72" s="25">
        <f>IF(Regn2!$R72&gt;1,Regn2!JY72,"")</f>
        <v>0</v>
      </c>
      <c r="HJ72" s="15" t="s">
        <v>362</v>
      </c>
      <c r="HL72" s="16"/>
      <c r="HM72" s="15" t="s">
        <v>188</v>
      </c>
      <c r="HO72" s="25">
        <f>IF(Regn2!$R72&gt;1,Regn2!KL72,"")</f>
        <v>0</v>
      </c>
      <c r="HP72" s="15" t="s">
        <v>188</v>
      </c>
      <c r="HR72" s="16"/>
      <c r="HS72" s="15" t="s">
        <v>188</v>
      </c>
      <c r="HU72" s="25">
        <f>IF(Regn2!$R72&gt;1,Regn2!KP72,"")</f>
        <v>0</v>
      </c>
      <c r="HV72" s="15" t="s">
        <v>188</v>
      </c>
      <c r="HX72" s="16"/>
      <c r="HY72" s="15" t="s">
        <v>188</v>
      </c>
      <c r="IA72" s="25">
        <f>IF(Regn2!$R72&gt;1,Regn2!KT72,"")</f>
        <v>0</v>
      </c>
      <c r="IB72" s="15" t="s">
        <v>188</v>
      </c>
      <c r="ID72" s="16"/>
      <c r="IE72" s="15" t="s">
        <v>188</v>
      </c>
      <c r="IG72" s="25">
        <f>IF(Regn2!$R72&gt;1,Regn2!KX72,"")</f>
        <v>0</v>
      </c>
      <c r="IH72" s="15" t="s">
        <v>531</v>
      </c>
      <c r="IJ72" s="16"/>
      <c r="IK72" s="15" t="s">
        <v>531</v>
      </c>
      <c r="IM72" s="25">
        <f>IF(Regn2!$R72&gt;1,Regn2!KZ72,"")</f>
        <v>0</v>
      </c>
      <c r="IN72" s="15" t="s">
        <v>188</v>
      </c>
      <c r="IP72" s="16"/>
      <c r="IQ72" s="15" t="s">
        <v>188</v>
      </c>
      <c r="IS72" s="25">
        <f>IF(Regn2!$R72&gt;1,Regn2!LG72,"")</f>
        <v>0</v>
      </c>
      <c r="IT72" s="15" t="s">
        <v>188</v>
      </c>
      <c r="IV72" s="16"/>
      <c r="IW72" s="15" t="s">
        <v>405</v>
      </c>
      <c r="IY72" s="25">
        <f>IF(Regn2!$R72&gt;1,Regn2!LM72,"")</f>
        <v>0</v>
      </c>
      <c r="IZ72" s="15" t="s">
        <v>188</v>
      </c>
      <c r="JB72" s="16"/>
      <c r="JC72" s="15" t="s">
        <v>188</v>
      </c>
      <c r="JH72" s="25">
        <f>IF(Regn2!$R72&gt;1,Regn2!LQ72,"")</f>
        <v>0</v>
      </c>
      <c r="JI72" s="15" t="s">
        <v>188</v>
      </c>
      <c r="JK72" s="16"/>
      <c r="JL72" s="15" t="s">
        <v>188</v>
      </c>
      <c r="JN72" s="15" t="str">
        <f>IF(Regn2!$T72&lt;=1,"",VLOOKUP(Regn2!$T72,Efgr,2))</f>
        <v/>
      </c>
      <c r="JP72" s="25" t="str">
        <f>IF(Regn2!$T72&gt;1,Regn2!LU72,"")</f>
        <v/>
      </c>
      <c r="JQ72" s="15" t="s">
        <v>188</v>
      </c>
      <c r="JS72" s="16"/>
      <c r="JT72" s="15" t="s">
        <v>188</v>
      </c>
      <c r="JV72" s="25" t="str">
        <f>IF(Regn2!$T72&gt;1,Regn2!MN72,"")</f>
        <v/>
      </c>
      <c r="JW72" s="15" t="s">
        <v>188</v>
      </c>
      <c r="JY72" s="16"/>
      <c r="JZ72" s="15" t="s">
        <v>188</v>
      </c>
      <c r="KB72" s="25" t="str">
        <f>IF(Regn2!$T72&gt;1,Regn2!MR72,"")</f>
        <v/>
      </c>
      <c r="KC72" s="15" t="s">
        <v>188</v>
      </c>
      <c r="KE72" s="16"/>
      <c r="KF72" s="15" t="s">
        <v>188</v>
      </c>
      <c r="KH72" s="25" t="str">
        <f>IF(Regn2!$T72&gt;1,Regn2!MV72,"")</f>
        <v/>
      </c>
      <c r="KI72" s="15" t="s">
        <v>188</v>
      </c>
      <c r="KK72" s="16"/>
      <c r="KL72" s="15" t="s">
        <v>188</v>
      </c>
      <c r="KN72" s="25" t="str">
        <f>IF(Regn2!$T72&gt;1,Regn2!NB72,"")</f>
        <v/>
      </c>
      <c r="KO72" s="15" t="s">
        <v>188</v>
      </c>
      <c r="KQ72" s="16"/>
      <c r="KR72" s="15" t="s">
        <v>188</v>
      </c>
      <c r="KT72" s="25" t="str">
        <f>IF(Regn2!$T72&gt;1,Regn2!NF72,"")</f>
        <v/>
      </c>
      <c r="KU72" s="15" t="s">
        <v>188</v>
      </c>
      <c r="KW72" s="16"/>
      <c r="KX72" s="15" t="s">
        <v>188</v>
      </c>
      <c r="KZ72" s="25" t="str">
        <f>IF(Regn2!$T72&gt;1,Regn2!NJ72,"")</f>
        <v/>
      </c>
      <c r="LA72" s="15" t="s">
        <v>188</v>
      </c>
      <c r="LC72" s="16"/>
      <c r="LD72" s="15" t="s">
        <v>188</v>
      </c>
      <c r="LF72" s="25" t="str">
        <f>IF(Regn2!$T72&gt;1,Regn2!NN72,"")</f>
        <v/>
      </c>
      <c r="LG72" s="15" t="s">
        <v>531</v>
      </c>
      <c r="LI72" s="16"/>
      <c r="LJ72" s="15" t="s">
        <v>531</v>
      </c>
      <c r="LL72" s="25" t="str">
        <f>IF(Regn2!$T72&gt;1,Regn2!NP72,"")</f>
        <v/>
      </c>
      <c r="LM72" s="15" t="s">
        <v>188</v>
      </c>
      <c r="LO72" s="16"/>
      <c r="LP72" s="15" t="s">
        <v>188</v>
      </c>
      <c r="LR72" s="25" t="str">
        <f>IF(Regn2!$T72&gt;1,Regn2!NV72,"")</f>
        <v/>
      </c>
      <c r="LS72" s="15" t="s">
        <v>188</v>
      </c>
      <c r="LU72" s="16"/>
      <c r="LV72" s="15" t="s">
        <v>188</v>
      </c>
      <c r="LX72" s="25" t="str">
        <f>IF(Regn2!$T72&gt;1,Regn2!NZ72,"")</f>
        <v/>
      </c>
      <c r="LY72" s="15" t="s">
        <v>188</v>
      </c>
      <c r="MA72" s="16"/>
      <c r="MB72" s="15" t="s">
        <v>188</v>
      </c>
    </row>
    <row r="73" spans="2:340" ht="8.1" customHeight="1" x14ac:dyDescent="0.25"/>
    <row r="74" spans="2:340" x14ac:dyDescent="0.25">
      <c r="B74" s="240"/>
      <c r="AG74" s="36"/>
      <c r="AH74" s="15" t="s">
        <v>85</v>
      </c>
      <c r="AL74" s="15" t="str">
        <f>IF(Regn2!$R74&lt;=1,"",VLOOKUP(Regn2!$R74,Afgr,2))</f>
        <v/>
      </c>
      <c r="AN74" s="32" t="str">
        <f>IF(Regn2!$R74&gt;1,Regn2!AE74,"")</f>
        <v/>
      </c>
      <c r="AO74" s="15" t="s">
        <v>82</v>
      </c>
      <c r="AQ74" s="17"/>
      <c r="AR74" s="15" t="s">
        <v>82</v>
      </c>
      <c r="AT74" s="37"/>
      <c r="AU74" s="15" t="s">
        <v>82</v>
      </c>
      <c r="AX74" s="17"/>
      <c r="AY74" s="15" t="s">
        <v>82</v>
      </c>
      <c r="BA74" s="17"/>
      <c r="BB74" s="15" t="s">
        <v>1504</v>
      </c>
      <c r="BD74" s="17"/>
      <c r="BE74" s="15" t="s">
        <v>1793</v>
      </c>
      <c r="BH74" s="17"/>
      <c r="BI74" s="15" t="s">
        <v>82</v>
      </c>
      <c r="BJ74" s="37">
        <v>75</v>
      </c>
      <c r="BK74" s="15" t="s">
        <v>205</v>
      </c>
      <c r="BM74" s="37"/>
      <c r="BN74" s="15" t="s">
        <v>82</v>
      </c>
      <c r="BP74" s="37">
        <v>74.23</v>
      </c>
      <c r="BQ74" s="15" t="s">
        <v>205</v>
      </c>
      <c r="BT74" s="17"/>
      <c r="BU74" s="15" t="s">
        <v>82</v>
      </c>
      <c r="BW74" s="17"/>
      <c r="BX74" s="15" t="s">
        <v>82</v>
      </c>
      <c r="BY74" s="37">
        <v>75</v>
      </c>
      <c r="BZ74" s="15" t="s">
        <v>205</v>
      </c>
      <c r="CB74" s="17"/>
      <c r="CC74" s="15" t="s">
        <v>1504</v>
      </c>
      <c r="CE74" s="17"/>
      <c r="CF74" s="15" t="s">
        <v>1793</v>
      </c>
      <c r="CH74" s="55" t="str">
        <f>IF(Regn2!$R74&gt;1,Regn2!AL74,"")</f>
        <v/>
      </c>
      <c r="CI74" s="15" t="str">
        <f>IF(Regn2!AO74&lt;&gt;0,Regn2!AO74,"")</f>
        <v/>
      </c>
      <c r="CK74" s="16"/>
      <c r="CL74" s="15" t="str">
        <f>IF(Regn2!AO74&lt;&gt;0,Regn2!AO74,"")</f>
        <v/>
      </c>
      <c r="CN74" s="33" t="str">
        <f>IF(Regn2!$R74&gt;1,Regn2!DK74,"")</f>
        <v/>
      </c>
      <c r="CO74" s="15" t="s">
        <v>201</v>
      </c>
      <c r="CQ74" s="38"/>
      <c r="CR74" s="15" t="s">
        <v>201</v>
      </c>
      <c r="CT74" s="55" t="str">
        <f>IF(Regn2!$R74&gt;1,Regn2!AR74,"")</f>
        <v/>
      </c>
      <c r="CU74" s="15" t="s">
        <v>188</v>
      </c>
      <c r="CW74" s="124"/>
      <c r="CX74" s="15" t="s">
        <v>188</v>
      </c>
      <c r="CZ74" s="25" t="str">
        <f>IF(Regn2!$R74&gt;1,Regn2!AW74,"")</f>
        <v/>
      </c>
      <c r="DA74" s="15" t="s">
        <v>188</v>
      </c>
      <c r="DC74" s="17"/>
      <c r="DD74" s="15" t="s">
        <v>188</v>
      </c>
      <c r="DF74" s="25" t="str">
        <f>IF(Regn2!$R74&gt;1,Regn2!BB74,"")</f>
        <v/>
      </c>
      <c r="DG74" s="15" t="s">
        <v>192</v>
      </c>
      <c r="DI74" s="16"/>
      <c r="DJ74" s="15" t="s">
        <v>192</v>
      </c>
      <c r="DO74" s="33" t="str">
        <f>IF(Regn2!$R74&gt;1,Regn2!BI74,"")</f>
        <v/>
      </c>
      <c r="DP74" s="15" t="s">
        <v>188</v>
      </c>
      <c r="DR74" s="38"/>
      <c r="DS74" s="15" t="s">
        <v>188</v>
      </c>
      <c r="DU74" s="15" t="str">
        <f>IF(Regn2!$T74&lt;=1,"",VLOOKUP(Regn2!$T74,Efgr,2))</f>
        <v/>
      </c>
      <c r="DW74" s="25" t="str">
        <f>IF(Regn2!$T74&gt;1,Regn2!BN74,"")</f>
        <v/>
      </c>
      <c r="DX74" s="15" t="s">
        <v>82</v>
      </c>
      <c r="DZ74" s="16"/>
      <c r="EA74" s="15" t="s">
        <v>82</v>
      </c>
      <c r="EC74" s="17"/>
      <c r="ED74" s="15" t="s">
        <v>1504</v>
      </c>
      <c r="EF74" s="17"/>
      <c r="EG74" s="15" t="s">
        <v>1793</v>
      </c>
      <c r="EI74" s="16"/>
      <c r="EJ74" s="15" t="s">
        <v>82</v>
      </c>
      <c r="EL74" s="16">
        <v>75</v>
      </c>
      <c r="EM74" s="15" t="s">
        <v>205</v>
      </c>
      <c r="EO74" s="25">
        <f>EI74*EL74*0.01</f>
        <v>0</v>
      </c>
      <c r="EP74" s="15" t="s">
        <v>82</v>
      </c>
      <c r="ER74" s="17"/>
      <c r="ES74" s="15" t="s">
        <v>82</v>
      </c>
      <c r="EV74" s="17"/>
      <c r="EW74" s="15" t="s">
        <v>1504</v>
      </c>
      <c r="EY74" s="17"/>
      <c r="EZ74" s="15" t="s">
        <v>1793</v>
      </c>
      <c r="FB74" s="25" t="str">
        <f>IF(Regn2!$T74&gt;1,Regn2!BQ74,"")</f>
        <v/>
      </c>
      <c r="FC74" s="15" t="str">
        <f>IF(Regn2!$T74&gt;1,Regn2!BT74,"")</f>
        <v/>
      </c>
      <c r="FE74" s="16"/>
      <c r="FF74" s="15" t="str">
        <f>IF(Regn2!$T74&gt;1,Regn2!BT74,"")</f>
        <v/>
      </c>
      <c r="FL74" s="32" t="str">
        <f>IF(Regn2!$R74&gt;1,NniveauDelsaedsk1,"")</f>
        <v/>
      </c>
      <c r="FM74" s="15" t="s">
        <v>82</v>
      </c>
      <c r="FO74" s="17"/>
      <c r="FP74" s="15" t="s">
        <v>82</v>
      </c>
      <c r="FR74" s="32" t="str">
        <f>IF(Regn2!$R74&gt;1,Regn2!HU74,"")</f>
        <v/>
      </c>
      <c r="FS74" s="15" t="s">
        <v>531</v>
      </c>
      <c r="FU74" s="17"/>
      <c r="FV74" s="15" t="s">
        <v>531</v>
      </c>
      <c r="FX74" s="32" t="str">
        <f>IF(Regn2!$R74&gt;1,Regn2!HR74,"")</f>
        <v/>
      </c>
      <c r="FY74" s="15" t="s">
        <v>531</v>
      </c>
      <c r="GA74" s="17"/>
      <c r="GB74" s="15" t="s">
        <v>531</v>
      </c>
      <c r="GD74" s="15" t="str">
        <f>IF(Regn2!$R74&gt;1,RetentionNbal,"")</f>
        <v/>
      </c>
      <c r="GE74" s="15" t="s">
        <v>205</v>
      </c>
      <c r="GF74" s="17"/>
      <c r="GG74" s="15" t="s">
        <v>205</v>
      </c>
      <c r="GI74" s="15" t="str">
        <f>IF(Regn2!$R74&lt;=1,"",VLOOKUP(Regn2!$R74,Afgr,2))</f>
        <v/>
      </c>
      <c r="GK74" s="25" t="str">
        <f>IF(Regn2!$R74&gt;1,Regn2!IO74,"")</f>
        <v/>
      </c>
      <c r="GL74" s="15" t="s">
        <v>188</v>
      </c>
      <c r="GN74" s="16"/>
      <c r="GO74" s="15" t="s">
        <v>188</v>
      </c>
      <c r="GQ74" s="25" t="str">
        <f>IF(Regn2!$R74&gt;1,Regn2!JK74,"")</f>
        <v/>
      </c>
      <c r="GR74" s="15" t="s">
        <v>188</v>
      </c>
      <c r="GT74" s="16"/>
      <c r="GU74" s="15" t="s">
        <v>188</v>
      </c>
      <c r="GW74" s="25" t="str">
        <f>IF(Regn2!$R74&gt;1,Regn2!JO74,"")</f>
        <v/>
      </c>
      <c r="GX74" s="15" t="s">
        <v>188</v>
      </c>
      <c r="GZ74" s="16"/>
      <c r="HA74" s="15" t="s">
        <v>188</v>
      </c>
      <c r="HC74" s="25" t="str">
        <f>IF(Regn2!$R74&gt;1,Regn2!JS74,"")</f>
        <v/>
      </c>
      <c r="HD74" s="15" t="s">
        <v>188</v>
      </c>
      <c r="HF74" s="16"/>
      <c r="HG74" s="15" t="s">
        <v>188</v>
      </c>
      <c r="HI74" s="25" t="str">
        <f>IF(Regn2!$R74&gt;1,Regn2!JY74,"")</f>
        <v/>
      </c>
      <c r="HJ74" s="15" t="s">
        <v>362</v>
      </c>
      <c r="HL74" s="16"/>
      <c r="HM74" s="15" t="s">
        <v>188</v>
      </c>
      <c r="HO74" s="25" t="str">
        <f>IF(Regn2!$R74&gt;1,Regn2!KL74,"")</f>
        <v/>
      </c>
      <c r="HP74" s="15" t="s">
        <v>188</v>
      </c>
      <c r="HR74" s="16"/>
      <c r="HS74" s="15" t="s">
        <v>188</v>
      </c>
      <c r="HU74" s="25" t="str">
        <f>IF(Regn2!$R74&gt;1,Regn2!KP74,"")</f>
        <v/>
      </c>
      <c r="HV74" s="15" t="s">
        <v>188</v>
      </c>
      <c r="HX74" s="16"/>
      <c r="HY74" s="15" t="s">
        <v>188</v>
      </c>
      <c r="IA74" s="25" t="str">
        <f>IF(Regn2!$R74&gt;1,Regn2!KT74,"")</f>
        <v/>
      </c>
      <c r="IB74" s="15" t="s">
        <v>188</v>
      </c>
      <c r="ID74" s="16"/>
      <c r="IE74" s="15" t="s">
        <v>188</v>
      </c>
      <c r="IG74" s="25" t="str">
        <f>IF(Regn2!$R74&gt;1,Regn2!KX74,"")</f>
        <v/>
      </c>
      <c r="IH74" s="15" t="s">
        <v>531</v>
      </c>
      <c r="IJ74" s="16"/>
      <c r="IK74" s="15" t="s">
        <v>531</v>
      </c>
      <c r="IM74" s="25" t="str">
        <f>IF(Regn2!$R74&gt;1,Regn2!KZ74,"")</f>
        <v/>
      </c>
      <c r="IN74" s="15" t="s">
        <v>188</v>
      </c>
      <c r="IP74" s="16"/>
      <c r="IQ74" s="15" t="s">
        <v>188</v>
      </c>
      <c r="IS74" s="25" t="str">
        <f>IF(Regn2!$R74&gt;1,Regn2!LG74,"")</f>
        <v/>
      </c>
      <c r="IT74" s="15" t="s">
        <v>188</v>
      </c>
      <c r="IV74" s="16"/>
      <c r="IW74" s="15" t="s">
        <v>405</v>
      </c>
      <c r="IY74" s="25" t="str">
        <f>IF(Regn2!$R74&gt;1,Regn2!LM74,"")</f>
        <v/>
      </c>
      <c r="IZ74" s="15" t="s">
        <v>188</v>
      </c>
      <c r="JB74" s="16"/>
      <c r="JC74" s="15" t="s">
        <v>188</v>
      </c>
      <c r="JH74" s="25" t="str">
        <f>IF(Regn2!$R74&gt;1,Regn2!LQ74,"")</f>
        <v/>
      </c>
      <c r="JI74" s="15" t="s">
        <v>188</v>
      </c>
      <c r="JK74" s="16"/>
      <c r="JL74" s="15" t="s">
        <v>188</v>
      </c>
      <c r="JN74" s="15" t="str">
        <f>IF(Regn2!$T74&lt;=1,"",VLOOKUP(Regn2!$T74,Efgr,2))</f>
        <v/>
      </c>
      <c r="JP74" s="25" t="str">
        <f>IF(Regn2!$T74&gt;1,Regn2!LU74,"")</f>
        <v/>
      </c>
      <c r="JQ74" s="15" t="s">
        <v>188</v>
      </c>
      <c r="JS74" s="16"/>
      <c r="JT74" s="15" t="s">
        <v>188</v>
      </c>
      <c r="JV74" s="25" t="str">
        <f>IF(Regn2!$T74&gt;1,Regn2!MN74,"")</f>
        <v/>
      </c>
      <c r="JW74" s="15" t="s">
        <v>188</v>
      </c>
      <c r="JY74" s="16"/>
      <c r="JZ74" s="15" t="s">
        <v>188</v>
      </c>
      <c r="KB74" s="25" t="str">
        <f>IF(Regn2!$T74&gt;1,Regn2!MR74,"")</f>
        <v/>
      </c>
      <c r="KC74" s="15" t="s">
        <v>188</v>
      </c>
      <c r="KE74" s="16"/>
      <c r="KF74" s="15" t="s">
        <v>188</v>
      </c>
      <c r="KH74" s="25" t="str">
        <f>IF(Regn2!$T74&gt;1,Regn2!MV74,"")</f>
        <v/>
      </c>
      <c r="KI74" s="15" t="s">
        <v>188</v>
      </c>
      <c r="KK74" s="16"/>
      <c r="KL74" s="15" t="s">
        <v>188</v>
      </c>
      <c r="KN74" s="25" t="str">
        <f>IF(Regn2!$T74&gt;1,Regn2!NB74,"")</f>
        <v/>
      </c>
      <c r="KO74" s="15" t="s">
        <v>188</v>
      </c>
      <c r="KQ74" s="16"/>
      <c r="KR74" s="15" t="s">
        <v>188</v>
      </c>
      <c r="KT74" s="25" t="str">
        <f>IF(Regn2!$T74&gt;1,Regn2!NF74,"")</f>
        <v/>
      </c>
      <c r="KU74" s="15" t="s">
        <v>188</v>
      </c>
      <c r="KW74" s="16"/>
      <c r="KX74" s="15" t="s">
        <v>188</v>
      </c>
      <c r="KZ74" s="25" t="str">
        <f>IF(Regn2!$T74&gt;1,Regn2!NJ74,"")</f>
        <v/>
      </c>
      <c r="LA74" s="15" t="s">
        <v>188</v>
      </c>
      <c r="LC74" s="16"/>
      <c r="LD74" s="15" t="s">
        <v>188</v>
      </c>
      <c r="LF74" s="25" t="str">
        <f>IF(Regn2!$T74&gt;1,Regn2!NN74,"")</f>
        <v/>
      </c>
      <c r="LG74" s="15" t="s">
        <v>531</v>
      </c>
      <c r="LI74" s="16"/>
      <c r="LJ74" s="15" t="s">
        <v>531</v>
      </c>
      <c r="LL74" s="25" t="str">
        <f>IF(Regn2!$T74&gt;1,Regn2!NP74,"")</f>
        <v/>
      </c>
      <c r="LM74" s="15" t="s">
        <v>188</v>
      </c>
      <c r="LO74" s="16"/>
      <c r="LP74" s="15" t="s">
        <v>188</v>
      </c>
      <c r="LR74" s="25" t="str">
        <f>IF(Regn2!$T74&gt;1,Regn2!NV74,"")</f>
        <v/>
      </c>
      <c r="LS74" s="15" t="s">
        <v>188</v>
      </c>
      <c r="LU74" s="16"/>
      <c r="LV74" s="15" t="s">
        <v>188</v>
      </c>
      <c r="LX74" s="25" t="str">
        <f>IF(Regn2!$T74&gt;1,Regn2!NZ74,"")</f>
        <v/>
      </c>
      <c r="LY74" s="15" t="s">
        <v>188</v>
      </c>
      <c r="MA74" s="16"/>
      <c r="MB74" s="15" t="s">
        <v>188</v>
      </c>
    </row>
    <row r="75" spans="2:340" ht="8.1" customHeight="1" x14ac:dyDescent="0.25"/>
    <row r="76" spans="2:340" x14ac:dyDescent="0.25">
      <c r="B76" s="240"/>
      <c r="AG76" s="36"/>
      <c r="AH76" s="15" t="s">
        <v>85</v>
      </c>
      <c r="AL76" s="15" t="str">
        <f>IF(Regn2!$R76&lt;=1,"",VLOOKUP(Regn2!$R76,Afgr,2))</f>
        <v/>
      </c>
      <c r="AN76" s="32" t="str">
        <f>IF(Regn2!$R76&gt;1,Regn2!AE76,"")</f>
        <v/>
      </c>
      <c r="AO76" s="15" t="s">
        <v>82</v>
      </c>
      <c r="AQ76" s="17"/>
      <c r="AR76" s="15" t="s">
        <v>82</v>
      </c>
      <c r="AT76" s="37"/>
      <c r="AU76" s="15" t="s">
        <v>82</v>
      </c>
      <c r="AX76" s="17"/>
      <c r="AY76" s="15" t="s">
        <v>82</v>
      </c>
      <c r="BA76" s="17"/>
      <c r="BB76" s="15" t="s">
        <v>1504</v>
      </c>
      <c r="BD76" s="17"/>
      <c r="BE76" s="15" t="s">
        <v>1793</v>
      </c>
      <c r="BH76" s="17"/>
      <c r="BI76" s="15" t="s">
        <v>82</v>
      </c>
      <c r="BJ76" s="37">
        <v>75</v>
      </c>
      <c r="BK76" s="15" t="s">
        <v>205</v>
      </c>
      <c r="BM76" s="37"/>
      <c r="BN76" s="15" t="s">
        <v>82</v>
      </c>
      <c r="BP76" s="37">
        <v>74.23</v>
      </c>
      <c r="BQ76" s="15" t="s">
        <v>205</v>
      </c>
      <c r="BT76" s="17"/>
      <c r="BU76" s="15" t="s">
        <v>82</v>
      </c>
      <c r="BW76" s="17"/>
      <c r="BX76" s="15" t="s">
        <v>82</v>
      </c>
      <c r="BY76" s="37">
        <v>75</v>
      </c>
      <c r="BZ76" s="15" t="s">
        <v>205</v>
      </c>
      <c r="CB76" s="17"/>
      <c r="CC76" s="15" t="s">
        <v>1504</v>
      </c>
      <c r="CE76" s="17"/>
      <c r="CF76" s="15" t="s">
        <v>1793</v>
      </c>
      <c r="CH76" s="55" t="str">
        <f>IF(Regn2!$R76&gt;1,Regn2!AL76,"")</f>
        <v/>
      </c>
      <c r="CI76" s="15" t="str">
        <f>IF(Regn2!AO76&lt;&gt;0,Regn2!AO76,"")</f>
        <v/>
      </c>
      <c r="CK76" s="16"/>
      <c r="CL76" s="15" t="str">
        <f>IF(Regn2!AO76&lt;&gt;0,Regn2!AO76,"")</f>
        <v/>
      </c>
      <c r="CN76" s="33" t="str">
        <f>IF(Regn2!$R76&gt;1,Regn2!DK76,"")</f>
        <v/>
      </c>
      <c r="CO76" s="15" t="s">
        <v>201</v>
      </c>
      <c r="CQ76" s="38"/>
      <c r="CR76" s="15" t="s">
        <v>201</v>
      </c>
      <c r="CT76" s="55" t="str">
        <f>IF(Regn2!$R76&gt;1,Regn2!AR76,"")</f>
        <v/>
      </c>
      <c r="CU76" s="15" t="s">
        <v>188</v>
      </c>
      <c r="CW76" s="124"/>
      <c r="CX76" s="15" t="s">
        <v>188</v>
      </c>
      <c r="CZ76" s="25" t="str">
        <f>IF(Regn2!$R76&gt;1,Regn2!AW76,"")</f>
        <v/>
      </c>
      <c r="DA76" s="15" t="s">
        <v>188</v>
      </c>
      <c r="DC76" s="17"/>
      <c r="DD76" s="15" t="s">
        <v>188</v>
      </c>
      <c r="DF76" s="25" t="str">
        <f>IF(Regn2!$R76&gt;1,Regn2!BB76,"")</f>
        <v/>
      </c>
      <c r="DG76" s="15" t="s">
        <v>192</v>
      </c>
      <c r="DI76" s="16"/>
      <c r="DJ76" s="15" t="s">
        <v>192</v>
      </c>
      <c r="DO76" s="33" t="str">
        <f>IF(Regn2!$R76&gt;1,Regn2!BI76,"")</f>
        <v/>
      </c>
      <c r="DP76" s="15" t="s">
        <v>188</v>
      </c>
      <c r="DR76" s="38"/>
      <c r="DS76" s="15" t="s">
        <v>188</v>
      </c>
      <c r="DU76" s="15" t="str">
        <f>IF(Regn2!$T76&lt;=1,"",VLOOKUP(Regn2!$T76,Efgr,2))</f>
        <v/>
      </c>
      <c r="DW76" s="25" t="str">
        <f>IF(Regn2!$T76&gt;1,Regn2!BN76,"")</f>
        <v/>
      </c>
      <c r="DX76" s="15" t="s">
        <v>82</v>
      </c>
      <c r="DZ76" s="16"/>
      <c r="EA76" s="15" t="s">
        <v>82</v>
      </c>
      <c r="EC76" s="17"/>
      <c r="ED76" s="15" t="s">
        <v>1504</v>
      </c>
      <c r="EF76" s="17"/>
      <c r="EG76" s="15" t="s">
        <v>1793</v>
      </c>
      <c r="EI76" s="16"/>
      <c r="EJ76" s="15" t="s">
        <v>82</v>
      </c>
      <c r="EL76" s="16">
        <v>75</v>
      </c>
      <c r="EM76" s="15" t="s">
        <v>205</v>
      </c>
      <c r="EO76" s="25">
        <f>EI76*EL76*0.01</f>
        <v>0</v>
      </c>
      <c r="EP76" s="15" t="s">
        <v>82</v>
      </c>
      <c r="ER76" s="17"/>
      <c r="ES76" s="15" t="s">
        <v>82</v>
      </c>
      <c r="EV76" s="17"/>
      <c r="EW76" s="15" t="s">
        <v>1504</v>
      </c>
      <c r="EY76" s="17"/>
      <c r="EZ76" s="15" t="s">
        <v>1793</v>
      </c>
      <c r="FB76" s="25" t="str">
        <f>IF(Regn2!$T76&gt;1,Regn2!BQ76,"")</f>
        <v/>
      </c>
      <c r="FC76" s="15" t="str">
        <f>IF(Regn2!$T76&gt;1,Regn2!BT76,"")</f>
        <v/>
      </c>
      <c r="FE76" s="16"/>
      <c r="FF76" s="15" t="str">
        <f>IF(Regn2!$T76&gt;1,Regn2!BT76,"")</f>
        <v/>
      </c>
      <c r="FL76" s="32" t="str">
        <f>IF(Regn2!$R76&gt;1,NniveauDelsaedsk1,"")</f>
        <v/>
      </c>
      <c r="FM76" s="15" t="s">
        <v>82</v>
      </c>
      <c r="FO76" s="17"/>
      <c r="FP76" s="15" t="s">
        <v>82</v>
      </c>
      <c r="FR76" s="32" t="str">
        <f>IF(Regn2!$R76&gt;1,Regn2!HU76,"")</f>
        <v/>
      </c>
      <c r="FS76" s="15" t="s">
        <v>531</v>
      </c>
      <c r="FU76" s="17"/>
      <c r="FV76" s="15" t="s">
        <v>531</v>
      </c>
      <c r="FX76" s="32" t="str">
        <f>IF(Regn2!$R76&gt;1,Regn2!HR76,"")</f>
        <v/>
      </c>
      <c r="FY76" s="15" t="s">
        <v>531</v>
      </c>
      <c r="GA76" s="17"/>
      <c r="GB76" s="15" t="s">
        <v>531</v>
      </c>
      <c r="GD76" s="15" t="str">
        <f>IF(Regn2!$R76&gt;1,RetentionNbal,"")</f>
        <v/>
      </c>
      <c r="GE76" s="15" t="s">
        <v>205</v>
      </c>
      <c r="GF76" s="17"/>
      <c r="GG76" s="15" t="s">
        <v>205</v>
      </c>
      <c r="GI76" s="15" t="str">
        <f>IF(Regn2!$R76&lt;=1,"",VLOOKUP(Regn2!$R76,Afgr,2))</f>
        <v/>
      </c>
      <c r="GK76" s="25" t="str">
        <f>IF(Regn2!$R76&gt;1,Regn2!IO76,"")</f>
        <v/>
      </c>
      <c r="GL76" s="15" t="s">
        <v>188</v>
      </c>
      <c r="GN76" s="16"/>
      <c r="GO76" s="15" t="s">
        <v>188</v>
      </c>
      <c r="GQ76" s="25" t="str">
        <f>IF(Regn2!$R76&gt;1,Regn2!JK76,"")</f>
        <v/>
      </c>
      <c r="GR76" s="15" t="s">
        <v>188</v>
      </c>
      <c r="GT76" s="16"/>
      <c r="GU76" s="15" t="s">
        <v>188</v>
      </c>
      <c r="GW76" s="25" t="str">
        <f>IF(Regn2!$R76&gt;1,Regn2!JO76,"")</f>
        <v/>
      </c>
      <c r="GX76" s="15" t="s">
        <v>188</v>
      </c>
      <c r="GZ76" s="16"/>
      <c r="HA76" s="15" t="s">
        <v>188</v>
      </c>
      <c r="HC76" s="25" t="str">
        <f>IF(Regn2!$R76&gt;1,Regn2!JS76,"")</f>
        <v/>
      </c>
      <c r="HD76" s="15" t="s">
        <v>188</v>
      </c>
      <c r="HF76" s="16"/>
      <c r="HG76" s="15" t="s">
        <v>188</v>
      </c>
      <c r="HI76" s="25" t="str">
        <f>IF(Regn2!$R76&gt;1,Regn2!JY76,"")</f>
        <v/>
      </c>
      <c r="HJ76" s="15" t="s">
        <v>362</v>
      </c>
      <c r="HL76" s="16"/>
      <c r="HM76" s="15" t="s">
        <v>188</v>
      </c>
      <c r="HO76" s="25" t="str">
        <f>IF(Regn2!$R76&gt;1,Regn2!KL76,"")</f>
        <v/>
      </c>
      <c r="HP76" s="15" t="s">
        <v>188</v>
      </c>
      <c r="HR76" s="16"/>
      <c r="HS76" s="15" t="s">
        <v>188</v>
      </c>
      <c r="HU76" s="25" t="str">
        <f>IF(Regn2!$R76&gt;1,Regn2!KP76,"")</f>
        <v/>
      </c>
      <c r="HV76" s="15" t="s">
        <v>188</v>
      </c>
      <c r="HX76" s="16"/>
      <c r="HY76" s="15" t="s">
        <v>188</v>
      </c>
      <c r="IA76" s="25" t="str">
        <f>IF(Regn2!$R76&gt;1,Regn2!KT76,"")</f>
        <v/>
      </c>
      <c r="IB76" s="15" t="s">
        <v>188</v>
      </c>
      <c r="ID76" s="16"/>
      <c r="IE76" s="15" t="s">
        <v>188</v>
      </c>
      <c r="IG76" s="25" t="str">
        <f>IF(Regn2!$R76&gt;1,Regn2!KX76,"")</f>
        <v/>
      </c>
      <c r="IH76" s="15" t="s">
        <v>531</v>
      </c>
      <c r="IJ76" s="16"/>
      <c r="IK76" s="15" t="s">
        <v>531</v>
      </c>
      <c r="IM76" s="25" t="str">
        <f>IF(Regn2!$R76&gt;1,Regn2!KZ76,"")</f>
        <v/>
      </c>
      <c r="IN76" s="15" t="s">
        <v>188</v>
      </c>
      <c r="IP76" s="16"/>
      <c r="IQ76" s="15" t="s">
        <v>188</v>
      </c>
      <c r="IS76" s="25" t="str">
        <f>IF(Regn2!$R76&gt;1,Regn2!LG76,"")</f>
        <v/>
      </c>
      <c r="IT76" s="15" t="s">
        <v>188</v>
      </c>
      <c r="IV76" s="16"/>
      <c r="IW76" s="15" t="s">
        <v>405</v>
      </c>
      <c r="IY76" s="25" t="str">
        <f>IF(Regn2!$R76&gt;1,Regn2!LM76,"")</f>
        <v/>
      </c>
      <c r="IZ76" s="15" t="s">
        <v>188</v>
      </c>
      <c r="JB76" s="16"/>
      <c r="JC76" s="15" t="s">
        <v>188</v>
      </c>
      <c r="JH76" s="25" t="str">
        <f>IF(Regn2!$R76&gt;1,Regn2!LQ76,"")</f>
        <v/>
      </c>
      <c r="JI76" s="15" t="s">
        <v>188</v>
      </c>
      <c r="JK76" s="16"/>
      <c r="JL76" s="15" t="s">
        <v>188</v>
      </c>
      <c r="JN76" s="15" t="str">
        <f>IF(Regn2!$T76&lt;=1,"",VLOOKUP(Regn2!$T76,Efgr,2))</f>
        <v/>
      </c>
      <c r="JP76" s="25" t="str">
        <f>IF(Regn2!$T76&gt;1,Regn2!LU76,"")</f>
        <v/>
      </c>
      <c r="JQ76" s="15" t="s">
        <v>188</v>
      </c>
      <c r="JS76" s="16"/>
      <c r="JT76" s="15" t="s">
        <v>188</v>
      </c>
      <c r="JV76" s="25" t="str">
        <f>IF(Regn2!$T76&gt;1,Regn2!MN76,"")</f>
        <v/>
      </c>
      <c r="JW76" s="15" t="s">
        <v>188</v>
      </c>
      <c r="JY76" s="16"/>
      <c r="JZ76" s="15" t="s">
        <v>188</v>
      </c>
      <c r="KB76" s="25" t="str">
        <f>IF(Regn2!$T76&gt;1,Regn2!MR76,"")</f>
        <v/>
      </c>
      <c r="KC76" s="15" t="s">
        <v>188</v>
      </c>
      <c r="KE76" s="16"/>
      <c r="KF76" s="15" t="s">
        <v>188</v>
      </c>
      <c r="KH76" s="25" t="str">
        <f>IF(Regn2!$T76&gt;1,Regn2!MV76,"")</f>
        <v/>
      </c>
      <c r="KI76" s="15" t="s">
        <v>188</v>
      </c>
      <c r="KK76" s="16"/>
      <c r="KL76" s="15" t="s">
        <v>188</v>
      </c>
      <c r="KN76" s="25" t="str">
        <f>IF(Regn2!$T76&gt;1,Regn2!NB76,"")</f>
        <v/>
      </c>
      <c r="KO76" s="15" t="s">
        <v>188</v>
      </c>
      <c r="KQ76" s="16"/>
      <c r="KR76" s="15" t="s">
        <v>188</v>
      </c>
      <c r="KT76" s="25" t="str">
        <f>IF(Regn2!$T76&gt;1,Regn2!NF76,"")</f>
        <v/>
      </c>
      <c r="KU76" s="15" t="s">
        <v>188</v>
      </c>
      <c r="KW76" s="16"/>
      <c r="KX76" s="15" t="s">
        <v>188</v>
      </c>
      <c r="KZ76" s="25" t="str">
        <f>IF(Regn2!$T76&gt;1,Regn2!NJ76,"")</f>
        <v/>
      </c>
      <c r="LA76" s="15" t="s">
        <v>188</v>
      </c>
      <c r="LC76" s="16"/>
      <c r="LD76" s="15" t="s">
        <v>188</v>
      </c>
      <c r="LF76" s="25" t="str">
        <f>IF(Regn2!$T76&gt;1,Regn2!NN76,"")</f>
        <v/>
      </c>
      <c r="LG76" s="15" t="s">
        <v>531</v>
      </c>
      <c r="LI76" s="16"/>
      <c r="LJ76" s="15" t="s">
        <v>531</v>
      </c>
      <c r="LL76" s="25" t="str">
        <f>IF(Regn2!$T76&gt;1,Regn2!NP76,"")</f>
        <v/>
      </c>
      <c r="LM76" s="15" t="s">
        <v>188</v>
      </c>
      <c r="LO76" s="16"/>
      <c r="LP76" s="15" t="s">
        <v>188</v>
      </c>
      <c r="LR76" s="25" t="str">
        <f>IF(Regn2!$T76&gt;1,Regn2!NV76,"")</f>
        <v/>
      </c>
      <c r="LS76" s="15" t="s">
        <v>188</v>
      </c>
      <c r="LU76" s="16"/>
      <c r="LV76" s="15" t="s">
        <v>188</v>
      </c>
      <c r="LX76" s="25" t="str">
        <f>IF(Regn2!$T76&gt;1,Regn2!NZ76,"")</f>
        <v/>
      </c>
      <c r="LY76" s="15" t="s">
        <v>188</v>
      </c>
      <c r="MA76" s="16"/>
      <c r="MB76" s="15" t="s">
        <v>188</v>
      </c>
    </row>
    <row r="77" spans="2:340" ht="8.1" customHeight="1" x14ac:dyDescent="0.25"/>
    <row r="78" spans="2:340" x14ac:dyDescent="0.25">
      <c r="B78" s="240"/>
      <c r="AG78" s="36"/>
      <c r="AH78" s="15" t="s">
        <v>85</v>
      </c>
      <c r="AL78" s="15" t="str">
        <f>IF(Regn2!$R78&lt;=1,"",VLOOKUP(Regn2!$R78,Afgr,2))</f>
        <v/>
      </c>
      <c r="AN78" s="32" t="str">
        <f>IF(Regn2!$R78&gt;1,Regn2!AE78,"")</f>
        <v/>
      </c>
      <c r="AO78" s="15" t="s">
        <v>82</v>
      </c>
      <c r="AQ78" s="17"/>
      <c r="AR78" s="15" t="s">
        <v>82</v>
      </c>
      <c r="AT78" s="37"/>
      <c r="AU78" s="15" t="s">
        <v>82</v>
      </c>
      <c r="AX78" s="17"/>
      <c r="AY78" s="15" t="s">
        <v>82</v>
      </c>
      <c r="BA78" s="17"/>
      <c r="BB78" s="15" t="s">
        <v>1504</v>
      </c>
      <c r="BD78" s="17"/>
      <c r="BE78" s="15" t="s">
        <v>1793</v>
      </c>
      <c r="BH78" s="17"/>
      <c r="BI78" s="15" t="s">
        <v>82</v>
      </c>
      <c r="BJ78" s="37">
        <v>75</v>
      </c>
      <c r="BK78" s="15" t="s">
        <v>205</v>
      </c>
      <c r="BM78" s="37"/>
      <c r="BN78" s="15" t="s">
        <v>82</v>
      </c>
      <c r="BP78" s="37">
        <v>75</v>
      </c>
      <c r="BQ78" s="15" t="s">
        <v>205</v>
      </c>
      <c r="BT78" s="17"/>
      <c r="BU78" s="15" t="s">
        <v>82</v>
      </c>
      <c r="BW78" s="17"/>
      <c r="BX78" s="15" t="s">
        <v>82</v>
      </c>
      <c r="BY78" s="37">
        <v>75</v>
      </c>
      <c r="BZ78" s="15" t="s">
        <v>205</v>
      </c>
      <c r="CB78" s="17"/>
      <c r="CC78" s="15" t="s">
        <v>1504</v>
      </c>
      <c r="CE78" s="17"/>
      <c r="CF78" s="15" t="s">
        <v>1793</v>
      </c>
      <c r="CH78" s="55" t="str">
        <f>IF(Regn2!$R78&gt;1,Regn2!AL78,"")</f>
        <v/>
      </c>
      <c r="CI78" s="15" t="str">
        <f>IF(Regn2!AO78&lt;&gt;0,Regn2!AO78,"")</f>
        <v/>
      </c>
      <c r="CK78" s="16"/>
      <c r="CL78" s="15" t="str">
        <f>IF(Regn2!AO78&lt;&gt;0,Regn2!AO78,"")</f>
        <v/>
      </c>
      <c r="CN78" s="33" t="str">
        <f>IF(Regn2!$R78&gt;1,Regn2!DK78,"")</f>
        <v/>
      </c>
      <c r="CO78" s="15" t="s">
        <v>201</v>
      </c>
      <c r="CQ78" s="38"/>
      <c r="CR78" s="15" t="s">
        <v>201</v>
      </c>
      <c r="CT78" s="55" t="str">
        <f>IF(Regn2!$R78&gt;1,Regn2!AR78,"")</f>
        <v/>
      </c>
      <c r="CU78" s="15" t="s">
        <v>188</v>
      </c>
      <c r="CW78" s="124"/>
      <c r="CX78" s="15" t="s">
        <v>188</v>
      </c>
      <c r="CZ78" s="25" t="str">
        <f>IF(Regn2!$R78&gt;1,Regn2!AW78,"")</f>
        <v/>
      </c>
      <c r="DA78" s="15" t="s">
        <v>188</v>
      </c>
      <c r="DC78" s="17"/>
      <c r="DD78" s="15" t="s">
        <v>188</v>
      </c>
      <c r="DF78" s="25" t="str">
        <f>IF(Regn2!$R78&gt;1,Regn2!BB78,"")</f>
        <v/>
      </c>
      <c r="DG78" s="15" t="s">
        <v>192</v>
      </c>
      <c r="DI78" s="16"/>
      <c r="DJ78" s="15" t="s">
        <v>192</v>
      </c>
      <c r="DO78" s="33" t="str">
        <f>IF(Regn2!$R78&gt;1,Regn2!BI78,"")</f>
        <v/>
      </c>
      <c r="DP78" s="15" t="s">
        <v>188</v>
      </c>
      <c r="DR78" s="38"/>
      <c r="DS78" s="15" t="s">
        <v>188</v>
      </c>
      <c r="DU78" s="15" t="str">
        <f>IF(Regn2!$T78&lt;=1,"",VLOOKUP(Regn2!$T78,Efgr,2))</f>
        <v/>
      </c>
      <c r="DW78" s="25" t="str">
        <f>IF(Regn2!$T78&gt;1,Regn2!BN78,"")</f>
        <v/>
      </c>
      <c r="DX78" s="15" t="s">
        <v>82</v>
      </c>
      <c r="DZ78" s="16"/>
      <c r="EA78" s="15" t="s">
        <v>82</v>
      </c>
      <c r="EC78" s="17"/>
      <c r="ED78" s="15" t="s">
        <v>1504</v>
      </c>
      <c r="EF78" s="17"/>
      <c r="EG78" s="15" t="s">
        <v>1793</v>
      </c>
      <c r="EI78" s="16"/>
      <c r="EJ78" s="15" t="s">
        <v>82</v>
      </c>
      <c r="EL78" s="16">
        <v>75</v>
      </c>
      <c r="EM78" s="15" t="s">
        <v>205</v>
      </c>
      <c r="EO78" s="25">
        <f>EI78*EL78*0.01</f>
        <v>0</v>
      </c>
      <c r="EP78" s="15" t="s">
        <v>82</v>
      </c>
      <c r="ER78" s="17"/>
      <c r="ES78" s="15" t="s">
        <v>82</v>
      </c>
      <c r="EV78" s="17"/>
      <c r="EW78" s="15" t="s">
        <v>1504</v>
      </c>
      <c r="EY78" s="17"/>
      <c r="EZ78" s="15" t="s">
        <v>1793</v>
      </c>
      <c r="FB78" s="25" t="str">
        <f>IF(Regn2!$T78&gt;1,Regn2!BQ78,"")</f>
        <v/>
      </c>
      <c r="FC78" s="15" t="str">
        <f>IF(Regn2!$T78&gt;1,Regn2!BT78,"")</f>
        <v/>
      </c>
      <c r="FE78" s="16"/>
      <c r="FF78" s="15" t="str">
        <f>IF(Regn2!$T78&gt;1,Regn2!BT78,"")</f>
        <v/>
      </c>
      <c r="FL78" s="32" t="str">
        <f>IF(Regn2!$R78&gt;1,NniveauDelsaedsk1,"")</f>
        <v/>
      </c>
      <c r="FM78" s="15" t="s">
        <v>82</v>
      </c>
      <c r="FO78" s="17"/>
      <c r="FP78" s="15" t="s">
        <v>82</v>
      </c>
      <c r="FR78" s="32" t="str">
        <f>IF(Regn2!$R78&gt;1,Regn2!HU78,"")</f>
        <v/>
      </c>
      <c r="FS78" s="15" t="s">
        <v>531</v>
      </c>
      <c r="FU78" s="17"/>
      <c r="FV78" s="15" t="s">
        <v>531</v>
      </c>
      <c r="FX78" s="32" t="str">
        <f>IF(Regn2!$R78&gt;1,Regn2!HR78,"")</f>
        <v/>
      </c>
      <c r="FY78" s="15" t="s">
        <v>531</v>
      </c>
      <c r="GA78" s="17"/>
      <c r="GB78" s="15" t="s">
        <v>531</v>
      </c>
      <c r="GD78" s="15" t="str">
        <f>IF(Regn2!$R78&gt;1,RetentionNbal,"")</f>
        <v/>
      </c>
      <c r="GE78" s="15" t="s">
        <v>205</v>
      </c>
      <c r="GF78" s="17"/>
      <c r="GG78" s="15" t="s">
        <v>205</v>
      </c>
      <c r="GI78" s="15" t="str">
        <f>IF(Regn2!$R78&lt;=1,"",VLOOKUP(Regn2!$R78,Afgr,2))</f>
        <v/>
      </c>
      <c r="GK78" s="25" t="str">
        <f>IF(Regn2!$R78&gt;1,Regn2!IO78,"")</f>
        <v/>
      </c>
      <c r="GL78" s="15" t="s">
        <v>188</v>
      </c>
      <c r="GN78" s="16"/>
      <c r="GO78" s="15" t="s">
        <v>188</v>
      </c>
      <c r="GQ78" s="25" t="str">
        <f>IF(Regn2!$R78&gt;1,Regn2!JK78,"")</f>
        <v/>
      </c>
      <c r="GR78" s="15" t="s">
        <v>188</v>
      </c>
      <c r="GT78" s="16"/>
      <c r="GU78" s="15" t="s">
        <v>188</v>
      </c>
      <c r="GW78" s="25" t="str">
        <f>IF(Regn2!$R78&gt;1,Regn2!JO78,"")</f>
        <v/>
      </c>
      <c r="GX78" s="15" t="s">
        <v>188</v>
      </c>
      <c r="GZ78" s="16"/>
      <c r="HA78" s="15" t="s">
        <v>188</v>
      </c>
      <c r="HC78" s="25" t="str">
        <f>IF(Regn2!$R78&gt;1,Regn2!JS78,"")</f>
        <v/>
      </c>
      <c r="HD78" s="15" t="s">
        <v>188</v>
      </c>
      <c r="HF78" s="16"/>
      <c r="HG78" s="15" t="s">
        <v>188</v>
      </c>
      <c r="HI78" s="25" t="str">
        <f>IF(Regn2!$R78&gt;1,Regn2!JY78,"")</f>
        <v/>
      </c>
      <c r="HJ78" s="15" t="s">
        <v>362</v>
      </c>
      <c r="HL78" s="16"/>
      <c r="HM78" s="15" t="s">
        <v>188</v>
      </c>
      <c r="HO78" s="25" t="str">
        <f>IF(Regn2!$R78&gt;1,Regn2!KL78,"")</f>
        <v/>
      </c>
      <c r="HP78" s="15" t="s">
        <v>188</v>
      </c>
      <c r="HR78" s="16"/>
      <c r="HS78" s="15" t="s">
        <v>188</v>
      </c>
      <c r="HU78" s="25" t="str">
        <f>IF(Regn2!$R78&gt;1,Regn2!KP78,"")</f>
        <v/>
      </c>
      <c r="HV78" s="15" t="s">
        <v>188</v>
      </c>
      <c r="HX78" s="16"/>
      <c r="HY78" s="15" t="s">
        <v>188</v>
      </c>
      <c r="IA78" s="25" t="str">
        <f>IF(Regn2!$R78&gt;1,Regn2!KT78,"")</f>
        <v/>
      </c>
      <c r="IB78" s="15" t="s">
        <v>188</v>
      </c>
      <c r="ID78" s="16"/>
      <c r="IE78" s="15" t="s">
        <v>188</v>
      </c>
      <c r="IG78" s="25" t="str">
        <f>IF(Regn2!$R78&gt;1,Regn2!KX78,"")</f>
        <v/>
      </c>
      <c r="IH78" s="15" t="s">
        <v>531</v>
      </c>
      <c r="IJ78" s="16"/>
      <c r="IK78" s="15" t="s">
        <v>531</v>
      </c>
      <c r="IM78" s="25" t="str">
        <f>IF(Regn2!$R78&gt;1,Regn2!KZ78,"")</f>
        <v/>
      </c>
      <c r="IN78" s="15" t="s">
        <v>188</v>
      </c>
      <c r="IP78" s="16"/>
      <c r="IQ78" s="15" t="s">
        <v>188</v>
      </c>
      <c r="IS78" s="25" t="str">
        <f>IF(Regn2!$R78&gt;1,Regn2!LG78,"")</f>
        <v/>
      </c>
      <c r="IT78" s="15" t="s">
        <v>188</v>
      </c>
      <c r="IV78" s="16"/>
      <c r="IW78" s="15" t="s">
        <v>405</v>
      </c>
      <c r="IY78" s="25" t="str">
        <f>IF(Regn2!$R78&gt;1,Regn2!LM78,"")</f>
        <v/>
      </c>
      <c r="IZ78" s="15" t="s">
        <v>188</v>
      </c>
      <c r="JB78" s="16"/>
      <c r="JC78" s="15" t="s">
        <v>188</v>
      </c>
      <c r="JH78" s="25" t="str">
        <f>IF(Regn2!$R78&gt;1,Regn2!LQ78,"")</f>
        <v/>
      </c>
      <c r="JI78" s="15" t="s">
        <v>188</v>
      </c>
      <c r="JK78" s="16"/>
      <c r="JL78" s="15" t="s">
        <v>188</v>
      </c>
      <c r="JN78" s="15" t="str">
        <f>IF(Regn2!$T78&lt;=1,"",VLOOKUP(Regn2!$T78,Efgr,2))</f>
        <v/>
      </c>
      <c r="JP78" s="25" t="str">
        <f>IF(Regn2!$T78&gt;1,Regn2!LU78,"")</f>
        <v/>
      </c>
      <c r="JQ78" s="15" t="s">
        <v>188</v>
      </c>
      <c r="JS78" s="16"/>
      <c r="JT78" s="15" t="s">
        <v>188</v>
      </c>
      <c r="JV78" s="25" t="str">
        <f>IF(Regn2!$T78&gt;1,Regn2!MN78,"")</f>
        <v/>
      </c>
      <c r="JW78" s="15" t="s">
        <v>188</v>
      </c>
      <c r="JY78" s="16"/>
      <c r="JZ78" s="15" t="s">
        <v>188</v>
      </c>
      <c r="KB78" s="25" t="str">
        <f>IF(Regn2!$T78&gt;1,Regn2!MR78,"")</f>
        <v/>
      </c>
      <c r="KC78" s="15" t="s">
        <v>188</v>
      </c>
      <c r="KE78" s="16"/>
      <c r="KF78" s="15" t="s">
        <v>188</v>
      </c>
      <c r="KH78" s="25" t="str">
        <f>IF(Regn2!$T78&gt;1,Regn2!MV78,"")</f>
        <v/>
      </c>
      <c r="KI78" s="15" t="s">
        <v>188</v>
      </c>
      <c r="KK78" s="16"/>
      <c r="KL78" s="15" t="s">
        <v>188</v>
      </c>
      <c r="KN78" s="25" t="str">
        <f>IF(Regn2!$T78&gt;1,Regn2!NB78,"")</f>
        <v/>
      </c>
      <c r="KO78" s="15" t="s">
        <v>188</v>
      </c>
      <c r="KQ78" s="16"/>
      <c r="KR78" s="15" t="s">
        <v>188</v>
      </c>
      <c r="KT78" s="25" t="str">
        <f>IF(Regn2!$T78&gt;1,Regn2!NF78,"")</f>
        <v/>
      </c>
      <c r="KU78" s="15" t="s">
        <v>188</v>
      </c>
      <c r="KW78" s="16"/>
      <c r="KX78" s="15" t="s">
        <v>188</v>
      </c>
      <c r="KZ78" s="25" t="str">
        <f>IF(Regn2!$T78&gt;1,Regn2!NJ78,"")</f>
        <v/>
      </c>
      <c r="LA78" s="15" t="s">
        <v>188</v>
      </c>
      <c r="LC78" s="16"/>
      <c r="LD78" s="15" t="s">
        <v>188</v>
      </c>
      <c r="LF78" s="25" t="str">
        <f>IF(Regn2!$T78&gt;1,Regn2!NN78,"")</f>
        <v/>
      </c>
      <c r="LG78" s="15" t="s">
        <v>531</v>
      </c>
      <c r="LI78" s="16"/>
      <c r="LJ78" s="15" t="s">
        <v>531</v>
      </c>
      <c r="LL78" s="25" t="str">
        <f>IF(Regn2!$T78&gt;1,Regn2!NP78,"")</f>
        <v/>
      </c>
      <c r="LM78" s="15" t="s">
        <v>188</v>
      </c>
      <c r="LO78" s="16"/>
      <c r="LP78" s="15" t="s">
        <v>188</v>
      </c>
      <c r="LR78" s="25" t="str">
        <f>IF(Regn2!$T78&gt;1,Regn2!NV78,"")</f>
        <v/>
      </c>
      <c r="LS78" s="15" t="s">
        <v>188</v>
      </c>
      <c r="LU78" s="16"/>
      <c r="LV78" s="15" t="s">
        <v>188</v>
      </c>
      <c r="LX78" s="25" t="str">
        <f>IF(Regn2!$T78&gt;1,Regn2!NZ78,"")</f>
        <v/>
      </c>
      <c r="LY78" s="15" t="s">
        <v>188</v>
      </c>
      <c r="MA78" s="16"/>
      <c r="MB78" s="15" t="s">
        <v>188</v>
      </c>
    </row>
    <row r="79" spans="2:340" ht="8.1" customHeight="1" x14ac:dyDescent="0.25"/>
    <row r="80" spans="2:340" x14ac:dyDescent="0.25">
      <c r="B80" s="240"/>
      <c r="AG80" s="36"/>
      <c r="AH80" s="15" t="s">
        <v>85</v>
      </c>
      <c r="AL80" s="15" t="str">
        <f>IF(Regn2!$R80&lt;=1,"",VLOOKUP(Regn2!$R80,Afgr,2))</f>
        <v/>
      </c>
      <c r="AN80" s="32" t="str">
        <f>IF(Regn2!$R80&gt;1,Regn2!AE80,"")</f>
        <v/>
      </c>
      <c r="AO80" s="15" t="s">
        <v>82</v>
      </c>
      <c r="AQ80" s="17"/>
      <c r="AR80" s="15" t="s">
        <v>82</v>
      </c>
      <c r="AT80" s="37"/>
      <c r="AU80" s="15" t="s">
        <v>82</v>
      </c>
      <c r="AX80" s="17"/>
      <c r="AY80" s="15" t="s">
        <v>82</v>
      </c>
      <c r="BA80" s="17"/>
      <c r="BB80" s="15" t="s">
        <v>1504</v>
      </c>
      <c r="BD80" s="17"/>
      <c r="BE80" s="15" t="s">
        <v>1793</v>
      </c>
      <c r="BH80" s="17"/>
      <c r="BI80" s="15" t="s">
        <v>82</v>
      </c>
      <c r="BJ80" s="37">
        <v>75</v>
      </c>
      <c r="BK80" s="15" t="s">
        <v>205</v>
      </c>
      <c r="BM80" s="37"/>
      <c r="BN80" s="15" t="s">
        <v>82</v>
      </c>
      <c r="BP80" s="37">
        <v>75</v>
      </c>
      <c r="BQ80" s="15" t="s">
        <v>205</v>
      </c>
      <c r="BT80" s="17"/>
      <c r="BU80" s="15" t="s">
        <v>82</v>
      </c>
      <c r="BW80" s="17"/>
      <c r="BX80" s="15" t="s">
        <v>82</v>
      </c>
      <c r="BY80" s="37">
        <v>75</v>
      </c>
      <c r="BZ80" s="15" t="s">
        <v>205</v>
      </c>
      <c r="CB80" s="17"/>
      <c r="CC80" s="15" t="s">
        <v>1504</v>
      </c>
      <c r="CE80" s="17"/>
      <c r="CF80" s="15" t="s">
        <v>1793</v>
      </c>
      <c r="CH80" s="55" t="str">
        <f>IF(Regn2!$R80&gt;1,Regn2!AL80,"")</f>
        <v/>
      </c>
      <c r="CI80" s="15" t="str">
        <f>IF(Regn2!AO80&lt;&gt;0,Regn2!AO80,"")</f>
        <v/>
      </c>
      <c r="CK80" s="16"/>
      <c r="CL80" s="15" t="str">
        <f>IF(Regn2!AO80&lt;&gt;0,Regn2!AO80,"")</f>
        <v/>
      </c>
      <c r="CN80" s="33" t="str">
        <f>IF(Regn2!$R80&gt;1,Regn2!DK80,"")</f>
        <v/>
      </c>
      <c r="CO80" s="15" t="s">
        <v>201</v>
      </c>
      <c r="CQ80" s="38"/>
      <c r="CR80" s="15" t="s">
        <v>201</v>
      </c>
      <c r="CT80" s="55" t="str">
        <f>IF(Regn2!$R80&gt;1,Regn2!AR80,"")</f>
        <v/>
      </c>
      <c r="CU80" s="15" t="s">
        <v>188</v>
      </c>
      <c r="CW80" s="124"/>
      <c r="CX80" s="15" t="s">
        <v>188</v>
      </c>
      <c r="CZ80" s="25" t="str">
        <f>IF(Regn2!$R80&gt;1,Regn2!AW80,"")</f>
        <v/>
      </c>
      <c r="DA80" s="15" t="s">
        <v>188</v>
      </c>
      <c r="DC80" s="17"/>
      <c r="DD80" s="15" t="s">
        <v>188</v>
      </c>
      <c r="DF80" s="25" t="str">
        <f>IF(Regn2!$R80&gt;1,Regn2!BB80,"")</f>
        <v/>
      </c>
      <c r="DG80" s="15" t="s">
        <v>192</v>
      </c>
      <c r="DI80" s="16"/>
      <c r="DJ80" s="15" t="s">
        <v>192</v>
      </c>
      <c r="DO80" s="33" t="str">
        <f>IF(Regn2!$R80&gt;1,Regn2!BI80,"")</f>
        <v/>
      </c>
      <c r="DP80" s="15" t="s">
        <v>188</v>
      </c>
      <c r="DR80" s="38"/>
      <c r="DS80" s="15" t="s">
        <v>188</v>
      </c>
      <c r="DU80" s="15" t="str">
        <f>IF(Regn2!$T80&lt;=1,"",VLOOKUP(Regn2!$T80,Efgr,2))</f>
        <v/>
      </c>
      <c r="DW80" s="25" t="str">
        <f>IF(Regn2!$T80&gt;1,Regn2!BN80,"")</f>
        <v/>
      </c>
      <c r="DX80" s="15" t="s">
        <v>82</v>
      </c>
      <c r="DZ80" s="16"/>
      <c r="EA80" s="15" t="s">
        <v>82</v>
      </c>
      <c r="EC80" s="17"/>
      <c r="ED80" s="15" t="s">
        <v>1504</v>
      </c>
      <c r="EF80" s="17"/>
      <c r="EG80" s="15" t="s">
        <v>1793</v>
      </c>
      <c r="EI80" s="16"/>
      <c r="EJ80" s="15" t="s">
        <v>82</v>
      </c>
      <c r="EL80" s="16">
        <v>75</v>
      </c>
      <c r="EM80" s="15" t="s">
        <v>205</v>
      </c>
      <c r="EO80" s="25">
        <f>EI80*EL80*0.01</f>
        <v>0</v>
      </c>
      <c r="EP80" s="15" t="s">
        <v>82</v>
      </c>
      <c r="ER80" s="17"/>
      <c r="ES80" s="15" t="s">
        <v>82</v>
      </c>
      <c r="EV80" s="17"/>
      <c r="EW80" s="15" t="s">
        <v>1504</v>
      </c>
      <c r="EY80" s="17"/>
      <c r="EZ80" s="15" t="s">
        <v>1793</v>
      </c>
      <c r="FB80" s="25" t="str">
        <f>IF(Regn2!$T80&gt;1,Regn2!BQ80,"")</f>
        <v/>
      </c>
      <c r="FC80" s="15" t="str">
        <f>IF(Regn2!$T80&gt;1,Regn2!BT80,"")</f>
        <v/>
      </c>
      <c r="FE80" s="16"/>
      <c r="FF80" s="15" t="str">
        <f>IF(Regn2!$T80&gt;1,Regn2!BT80,"")</f>
        <v/>
      </c>
      <c r="FL80" s="32" t="str">
        <f>IF(Regn2!$R80&gt;1,NniveauDelsaedsk1,"")</f>
        <v/>
      </c>
      <c r="FM80" s="15" t="s">
        <v>82</v>
      </c>
      <c r="FO80" s="17"/>
      <c r="FP80" s="15" t="s">
        <v>82</v>
      </c>
      <c r="FR80" s="32" t="str">
        <f>IF(Regn2!$R80&gt;1,Regn2!HU80,"")</f>
        <v/>
      </c>
      <c r="FS80" s="15" t="s">
        <v>531</v>
      </c>
      <c r="FU80" s="17"/>
      <c r="FV80" s="15" t="s">
        <v>531</v>
      </c>
      <c r="FX80" s="32" t="str">
        <f>IF(Regn2!$R80&gt;1,Regn2!HR80,"")</f>
        <v/>
      </c>
      <c r="FY80" s="15" t="s">
        <v>531</v>
      </c>
      <c r="GA80" s="17"/>
      <c r="GB80" s="15" t="s">
        <v>531</v>
      </c>
      <c r="GD80" s="15" t="str">
        <f>IF(Regn2!$R80&gt;1,RetentionNbal,"")</f>
        <v/>
      </c>
      <c r="GE80" s="15" t="s">
        <v>205</v>
      </c>
      <c r="GF80" s="17"/>
      <c r="GG80" s="15" t="s">
        <v>205</v>
      </c>
      <c r="GI80" s="15" t="str">
        <f>IF(Regn2!$R80&lt;=1,"",VLOOKUP(Regn2!$R80,Afgr,2))</f>
        <v/>
      </c>
      <c r="GK80" s="25" t="str">
        <f>IF(Regn2!$R80&gt;1,Regn2!IO80,"")</f>
        <v/>
      </c>
      <c r="GL80" s="15" t="s">
        <v>188</v>
      </c>
      <c r="GN80" s="16"/>
      <c r="GO80" s="15" t="s">
        <v>188</v>
      </c>
      <c r="GQ80" s="25" t="str">
        <f>IF(Regn2!$R80&gt;1,Regn2!JK80,"")</f>
        <v/>
      </c>
      <c r="GR80" s="15" t="s">
        <v>188</v>
      </c>
      <c r="GT80" s="16"/>
      <c r="GU80" s="15" t="s">
        <v>188</v>
      </c>
      <c r="GW80" s="25" t="str">
        <f>IF(Regn2!$R80&gt;1,Regn2!JO80,"")</f>
        <v/>
      </c>
      <c r="GX80" s="15" t="s">
        <v>188</v>
      </c>
      <c r="GZ80" s="16"/>
      <c r="HA80" s="15" t="s">
        <v>188</v>
      </c>
      <c r="HC80" s="25" t="str">
        <f>IF(Regn2!$R80&gt;1,Regn2!JS80,"")</f>
        <v/>
      </c>
      <c r="HD80" s="15" t="s">
        <v>188</v>
      </c>
      <c r="HF80" s="16"/>
      <c r="HG80" s="15" t="s">
        <v>188</v>
      </c>
      <c r="HI80" s="25" t="str">
        <f>IF(Regn2!$R80&gt;1,Regn2!JY80,"")</f>
        <v/>
      </c>
      <c r="HJ80" s="15" t="s">
        <v>362</v>
      </c>
      <c r="HL80" s="16"/>
      <c r="HM80" s="15" t="s">
        <v>188</v>
      </c>
      <c r="HO80" s="25" t="str">
        <f>IF(Regn2!$R80&gt;1,Regn2!KL80,"")</f>
        <v/>
      </c>
      <c r="HP80" s="15" t="s">
        <v>188</v>
      </c>
      <c r="HR80" s="16"/>
      <c r="HS80" s="15" t="s">
        <v>188</v>
      </c>
      <c r="HU80" s="25" t="str">
        <f>IF(Regn2!$R80&gt;1,Regn2!KP80,"")</f>
        <v/>
      </c>
      <c r="HV80" s="15" t="s">
        <v>188</v>
      </c>
      <c r="HX80" s="16"/>
      <c r="HY80" s="15" t="s">
        <v>188</v>
      </c>
      <c r="IA80" s="25" t="str">
        <f>IF(Regn2!$R80&gt;1,Regn2!KT80,"")</f>
        <v/>
      </c>
      <c r="IB80" s="15" t="s">
        <v>188</v>
      </c>
      <c r="ID80" s="16"/>
      <c r="IE80" s="15" t="s">
        <v>188</v>
      </c>
      <c r="IG80" s="25" t="str">
        <f>IF(Regn2!$R80&gt;1,Regn2!KX80,"")</f>
        <v/>
      </c>
      <c r="IH80" s="15" t="s">
        <v>531</v>
      </c>
      <c r="IJ80" s="16"/>
      <c r="IK80" s="15" t="s">
        <v>531</v>
      </c>
      <c r="IM80" s="25" t="str">
        <f>IF(Regn2!$R80&gt;1,Regn2!KZ80,"")</f>
        <v/>
      </c>
      <c r="IN80" s="15" t="s">
        <v>188</v>
      </c>
      <c r="IP80" s="16"/>
      <c r="IQ80" s="15" t="s">
        <v>188</v>
      </c>
      <c r="IS80" s="25" t="str">
        <f>IF(Regn2!$R80&gt;1,Regn2!LG80,"")</f>
        <v/>
      </c>
      <c r="IT80" s="15" t="s">
        <v>188</v>
      </c>
      <c r="IV80" s="16"/>
      <c r="IW80" s="15" t="s">
        <v>405</v>
      </c>
      <c r="IY80" s="25" t="str">
        <f>IF(Regn2!$R80&gt;1,Regn2!LM80,"")</f>
        <v/>
      </c>
      <c r="IZ80" s="15" t="s">
        <v>188</v>
      </c>
      <c r="JB80" s="16"/>
      <c r="JC80" s="15" t="s">
        <v>188</v>
      </c>
      <c r="JH80" s="25" t="str">
        <f>IF(Regn2!$R80&gt;1,Regn2!LQ80,"")</f>
        <v/>
      </c>
      <c r="JI80" s="15" t="s">
        <v>188</v>
      </c>
      <c r="JK80" s="16"/>
      <c r="JL80" s="15" t="s">
        <v>188</v>
      </c>
      <c r="JN80" s="15" t="str">
        <f>IF(Regn2!$T80&lt;=1,"",VLOOKUP(Regn2!$T80,Efgr,2))</f>
        <v/>
      </c>
      <c r="JP80" s="25" t="str">
        <f>IF(Regn2!$T80&gt;1,Regn2!LU80,"")</f>
        <v/>
      </c>
      <c r="JQ80" s="15" t="s">
        <v>188</v>
      </c>
      <c r="JS80" s="16"/>
      <c r="JT80" s="15" t="s">
        <v>188</v>
      </c>
      <c r="JV80" s="25" t="str">
        <f>IF(Regn2!$T80&gt;1,Regn2!MN80,"")</f>
        <v/>
      </c>
      <c r="JW80" s="15" t="s">
        <v>188</v>
      </c>
      <c r="JY80" s="16"/>
      <c r="JZ80" s="15" t="s">
        <v>188</v>
      </c>
      <c r="KB80" s="25" t="str">
        <f>IF(Regn2!$T80&gt;1,Regn2!MR80,"")</f>
        <v/>
      </c>
      <c r="KC80" s="15" t="s">
        <v>188</v>
      </c>
      <c r="KE80" s="16"/>
      <c r="KF80" s="15" t="s">
        <v>188</v>
      </c>
      <c r="KH80" s="25" t="str">
        <f>IF(Regn2!$T80&gt;1,Regn2!MV80,"")</f>
        <v/>
      </c>
      <c r="KI80" s="15" t="s">
        <v>188</v>
      </c>
      <c r="KK80" s="16"/>
      <c r="KL80" s="15" t="s">
        <v>188</v>
      </c>
      <c r="KN80" s="25" t="str">
        <f>IF(Regn2!$T80&gt;1,Regn2!NB80,"")</f>
        <v/>
      </c>
      <c r="KO80" s="15" t="s">
        <v>188</v>
      </c>
      <c r="KQ80" s="16"/>
      <c r="KR80" s="15" t="s">
        <v>188</v>
      </c>
      <c r="KT80" s="25" t="str">
        <f>IF(Regn2!$T80&gt;1,Regn2!NF80,"")</f>
        <v/>
      </c>
      <c r="KU80" s="15" t="s">
        <v>188</v>
      </c>
      <c r="KW80" s="16"/>
      <c r="KX80" s="15" t="s">
        <v>188</v>
      </c>
      <c r="KZ80" s="25" t="str">
        <f>IF(Regn2!$T80&gt;1,Regn2!NJ80,"")</f>
        <v/>
      </c>
      <c r="LA80" s="15" t="s">
        <v>188</v>
      </c>
      <c r="LC80" s="16"/>
      <c r="LD80" s="15" t="s">
        <v>188</v>
      </c>
      <c r="LF80" s="25" t="str">
        <f>IF(Regn2!$T80&gt;1,Regn2!NN80,"")</f>
        <v/>
      </c>
      <c r="LG80" s="15" t="s">
        <v>531</v>
      </c>
      <c r="LI80" s="16"/>
      <c r="LJ80" s="15" t="s">
        <v>531</v>
      </c>
      <c r="LL80" s="25" t="str">
        <f>IF(Regn2!$T80&gt;1,Regn2!NP80,"")</f>
        <v/>
      </c>
      <c r="LM80" s="15" t="s">
        <v>188</v>
      </c>
      <c r="LO80" s="16"/>
      <c r="LP80" s="15" t="s">
        <v>188</v>
      </c>
      <c r="LR80" s="25" t="str">
        <f>IF(Regn2!$T80&gt;1,Regn2!NV80,"")</f>
        <v/>
      </c>
      <c r="LS80" s="15" t="s">
        <v>188</v>
      </c>
      <c r="LU80" s="16"/>
      <c r="LV80" s="15" t="s">
        <v>188</v>
      </c>
      <c r="LX80" s="25" t="str">
        <f>IF(Regn2!$T80&gt;1,Regn2!NZ80,"")</f>
        <v/>
      </c>
      <c r="LY80" s="15" t="s">
        <v>188</v>
      </c>
      <c r="MA80" s="16"/>
      <c r="MB80" s="15" t="s">
        <v>188</v>
      </c>
    </row>
    <row r="81" spans="2:340" ht="8.1" customHeight="1" x14ac:dyDescent="0.25"/>
    <row r="82" spans="2:340" x14ac:dyDescent="0.25">
      <c r="B82" s="240"/>
      <c r="AG82" s="36"/>
      <c r="AH82" s="15" t="s">
        <v>85</v>
      </c>
      <c r="AL82" s="15" t="str">
        <f>IF(Regn2!$R82&lt;=1,"",VLOOKUP(Regn2!$R82,Afgr,2))</f>
        <v/>
      </c>
      <c r="AN82" s="32" t="str">
        <f>IF(Regn2!$R82&gt;1,Regn2!AE82,"")</f>
        <v/>
      </c>
      <c r="AO82" s="15" t="s">
        <v>82</v>
      </c>
      <c r="AQ82" s="17"/>
      <c r="AR82" s="15" t="s">
        <v>82</v>
      </c>
      <c r="AT82" s="37"/>
      <c r="AU82" s="15" t="s">
        <v>82</v>
      </c>
      <c r="AX82" s="17"/>
      <c r="AY82" s="15" t="s">
        <v>82</v>
      </c>
      <c r="BA82" s="17"/>
      <c r="BB82" s="15" t="s">
        <v>1504</v>
      </c>
      <c r="BD82" s="17"/>
      <c r="BE82" s="15" t="s">
        <v>1793</v>
      </c>
      <c r="BH82" s="17"/>
      <c r="BI82" s="15" t="s">
        <v>82</v>
      </c>
      <c r="BJ82" s="37">
        <v>75</v>
      </c>
      <c r="BK82" s="15" t="s">
        <v>205</v>
      </c>
      <c r="BM82" s="37"/>
      <c r="BN82" s="15" t="s">
        <v>82</v>
      </c>
      <c r="BP82" s="37">
        <v>75</v>
      </c>
      <c r="BQ82" s="15" t="s">
        <v>205</v>
      </c>
      <c r="BT82" s="17"/>
      <c r="BU82" s="15" t="s">
        <v>82</v>
      </c>
      <c r="BW82" s="17"/>
      <c r="BX82" s="15" t="s">
        <v>82</v>
      </c>
      <c r="BY82" s="37">
        <v>75</v>
      </c>
      <c r="BZ82" s="15" t="s">
        <v>205</v>
      </c>
      <c r="CB82" s="17"/>
      <c r="CC82" s="15" t="s">
        <v>1504</v>
      </c>
      <c r="CE82" s="17"/>
      <c r="CF82" s="15" t="s">
        <v>1793</v>
      </c>
      <c r="CH82" s="55" t="str">
        <f>IF(Regn2!$R82&gt;1,Regn2!AL82,"")</f>
        <v/>
      </c>
      <c r="CI82" s="15" t="str">
        <f>IF(Regn2!AO82&lt;&gt;0,Regn2!AO82,"")</f>
        <v/>
      </c>
      <c r="CK82" s="16"/>
      <c r="CL82" s="15" t="str">
        <f>IF(Regn2!AO82&lt;&gt;0,Regn2!AO82,"")</f>
        <v/>
      </c>
      <c r="CN82" s="33" t="str">
        <f>IF(Regn2!$R82&gt;1,Regn2!DK82,"")</f>
        <v/>
      </c>
      <c r="CO82" s="15" t="s">
        <v>201</v>
      </c>
      <c r="CQ82" s="38"/>
      <c r="CR82" s="15" t="s">
        <v>201</v>
      </c>
      <c r="CT82" s="55" t="str">
        <f>IF(Regn2!$R82&gt;1,Regn2!AR82,"")</f>
        <v/>
      </c>
      <c r="CU82" s="15" t="s">
        <v>188</v>
      </c>
      <c r="CW82" s="124"/>
      <c r="CX82" s="15" t="s">
        <v>188</v>
      </c>
      <c r="CZ82" s="25" t="str">
        <f>IF(Regn2!$R82&gt;1,Regn2!AW82,"")</f>
        <v/>
      </c>
      <c r="DA82" s="15" t="s">
        <v>188</v>
      </c>
      <c r="DC82" s="17"/>
      <c r="DD82" s="15" t="s">
        <v>188</v>
      </c>
      <c r="DF82" s="25" t="str">
        <f>IF(Regn2!$R82&gt;1,Regn2!BB82,"")</f>
        <v/>
      </c>
      <c r="DG82" s="15" t="s">
        <v>192</v>
      </c>
      <c r="DI82" s="16"/>
      <c r="DJ82" s="15" t="s">
        <v>192</v>
      </c>
      <c r="DO82" s="33" t="str">
        <f>IF(Regn2!$R82&gt;1,Regn2!BI82,"")</f>
        <v/>
      </c>
      <c r="DP82" s="15" t="s">
        <v>188</v>
      </c>
      <c r="DR82" s="38"/>
      <c r="DS82" s="15" t="s">
        <v>188</v>
      </c>
      <c r="DU82" s="15" t="str">
        <f>IF(Regn2!$T82&lt;=1,"",VLOOKUP(Regn2!$T82,Efgr,2))</f>
        <v/>
      </c>
      <c r="DW82" s="25" t="str">
        <f>IF(Regn2!$T82&gt;1,Regn2!BN82,"")</f>
        <v/>
      </c>
      <c r="DX82" s="15" t="s">
        <v>82</v>
      </c>
      <c r="DZ82" s="16"/>
      <c r="EA82" s="15" t="s">
        <v>82</v>
      </c>
      <c r="EC82" s="17"/>
      <c r="ED82" s="15" t="s">
        <v>1504</v>
      </c>
      <c r="EF82" s="17"/>
      <c r="EG82" s="15" t="s">
        <v>1793</v>
      </c>
      <c r="EI82" s="16"/>
      <c r="EJ82" s="15" t="s">
        <v>82</v>
      </c>
      <c r="EL82" s="16">
        <v>75</v>
      </c>
      <c r="EM82" s="15" t="s">
        <v>205</v>
      </c>
      <c r="EO82" s="25">
        <f>EI82*EL82*0.01</f>
        <v>0</v>
      </c>
      <c r="EP82" s="15" t="s">
        <v>82</v>
      </c>
      <c r="ER82" s="17"/>
      <c r="ES82" s="15" t="s">
        <v>82</v>
      </c>
      <c r="EV82" s="17"/>
      <c r="EW82" s="15" t="s">
        <v>1504</v>
      </c>
      <c r="EY82" s="17"/>
      <c r="EZ82" s="15" t="s">
        <v>1793</v>
      </c>
      <c r="FB82" s="25" t="str">
        <f>IF(Regn2!$T82&gt;1,Regn2!BQ82,"")</f>
        <v/>
      </c>
      <c r="FC82" s="15" t="str">
        <f>IF(Regn2!$T82&gt;1,Regn2!BT82,"")</f>
        <v/>
      </c>
      <c r="FE82" s="16"/>
      <c r="FF82" s="15" t="str">
        <f>IF(Regn2!$T82&gt;1,Regn2!BT82,"")</f>
        <v/>
      </c>
      <c r="FL82" s="32" t="str">
        <f>IF(Regn2!$R82&gt;1,NniveauDelsaedsk1,"")</f>
        <v/>
      </c>
      <c r="FM82" s="15" t="s">
        <v>82</v>
      </c>
      <c r="FO82" s="17"/>
      <c r="FP82" s="15" t="s">
        <v>82</v>
      </c>
      <c r="FR82" s="32" t="str">
        <f>IF(Regn2!$R82&gt;1,Regn2!HU82,"")</f>
        <v/>
      </c>
      <c r="FS82" s="15" t="s">
        <v>531</v>
      </c>
      <c r="FU82" s="17"/>
      <c r="FV82" s="15" t="s">
        <v>531</v>
      </c>
      <c r="FX82" s="32" t="str">
        <f>IF(Regn2!$R82&gt;1,Regn2!HR82,"")</f>
        <v/>
      </c>
      <c r="FY82" s="15" t="s">
        <v>531</v>
      </c>
      <c r="GA82" s="17"/>
      <c r="GB82" s="15" t="s">
        <v>531</v>
      </c>
      <c r="GD82" s="15" t="str">
        <f>IF(Regn2!$R82&gt;1,RetentionNbal,"")</f>
        <v/>
      </c>
      <c r="GE82" s="15" t="s">
        <v>205</v>
      </c>
      <c r="GF82" s="17"/>
      <c r="GG82" s="15" t="s">
        <v>205</v>
      </c>
      <c r="GI82" s="15" t="str">
        <f>IF(Regn2!$R82&lt;=1,"",VLOOKUP(Regn2!$R82,Afgr,2))</f>
        <v/>
      </c>
      <c r="GK82" s="25" t="str">
        <f>IF(Regn2!$R82&gt;1,Regn2!IO82,"")</f>
        <v/>
      </c>
      <c r="GL82" s="15" t="s">
        <v>188</v>
      </c>
      <c r="GN82" s="16"/>
      <c r="GO82" s="15" t="s">
        <v>188</v>
      </c>
      <c r="GQ82" s="25" t="str">
        <f>IF(Regn2!$R82&gt;1,Regn2!JK82,"")</f>
        <v/>
      </c>
      <c r="GR82" s="15" t="s">
        <v>188</v>
      </c>
      <c r="GT82" s="16"/>
      <c r="GU82" s="15" t="s">
        <v>188</v>
      </c>
      <c r="GW82" s="25" t="str">
        <f>IF(Regn2!$R82&gt;1,Regn2!JO82,"")</f>
        <v/>
      </c>
      <c r="GX82" s="15" t="s">
        <v>188</v>
      </c>
      <c r="GZ82" s="16"/>
      <c r="HA82" s="15" t="s">
        <v>188</v>
      </c>
      <c r="HC82" s="25" t="str">
        <f>IF(Regn2!$R82&gt;1,Regn2!JS82,"")</f>
        <v/>
      </c>
      <c r="HD82" s="15" t="s">
        <v>188</v>
      </c>
      <c r="HF82" s="16"/>
      <c r="HG82" s="15" t="s">
        <v>188</v>
      </c>
      <c r="HI82" s="25" t="str">
        <f>IF(Regn2!$R82&gt;1,Regn2!JY82,"")</f>
        <v/>
      </c>
      <c r="HJ82" s="15" t="s">
        <v>362</v>
      </c>
      <c r="HL82" s="16"/>
      <c r="HM82" s="15" t="s">
        <v>188</v>
      </c>
      <c r="HO82" s="25" t="str">
        <f>IF(Regn2!$R82&gt;1,Regn2!KL82,"")</f>
        <v/>
      </c>
      <c r="HP82" s="15" t="s">
        <v>188</v>
      </c>
      <c r="HR82" s="16"/>
      <c r="HS82" s="15" t="s">
        <v>188</v>
      </c>
      <c r="HU82" s="25" t="str">
        <f>IF(Regn2!$R82&gt;1,Regn2!KP82,"")</f>
        <v/>
      </c>
      <c r="HV82" s="15" t="s">
        <v>188</v>
      </c>
      <c r="HX82" s="16"/>
      <c r="HY82" s="15" t="s">
        <v>188</v>
      </c>
      <c r="IA82" s="25" t="str">
        <f>IF(Regn2!$R82&gt;1,Regn2!KT82,"")</f>
        <v/>
      </c>
      <c r="IB82" s="15" t="s">
        <v>188</v>
      </c>
      <c r="ID82" s="16"/>
      <c r="IE82" s="15" t="s">
        <v>188</v>
      </c>
      <c r="IG82" s="25" t="str">
        <f>IF(Regn2!$R82&gt;1,Regn2!KX82,"")</f>
        <v/>
      </c>
      <c r="IH82" s="15" t="s">
        <v>531</v>
      </c>
      <c r="IJ82" s="16"/>
      <c r="IK82" s="15" t="s">
        <v>531</v>
      </c>
      <c r="IM82" s="25" t="str">
        <f>IF(Regn2!$R82&gt;1,Regn2!KZ82,"")</f>
        <v/>
      </c>
      <c r="IN82" s="15" t="s">
        <v>188</v>
      </c>
      <c r="IP82" s="16"/>
      <c r="IQ82" s="15" t="s">
        <v>188</v>
      </c>
      <c r="IS82" s="25" t="str">
        <f>IF(Regn2!$R82&gt;1,Regn2!LG82,"")</f>
        <v/>
      </c>
      <c r="IT82" s="15" t="s">
        <v>188</v>
      </c>
      <c r="IV82" s="16"/>
      <c r="IW82" s="15" t="s">
        <v>405</v>
      </c>
      <c r="IY82" s="25" t="str">
        <f>IF(Regn2!$R82&gt;1,Regn2!LM82,"")</f>
        <v/>
      </c>
      <c r="IZ82" s="15" t="s">
        <v>188</v>
      </c>
      <c r="JB82" s="16"/>
      <c r="JC82" s="15" t="s">
        <v>188</v>
      </c>
      <c r="JH82" s="25" t="str">
        <f>IF(Regn2!$R82&gt;1,Regn2!LQ82,"")</f>
        <v/>
      </c>
      <c r="JI82" s="15" t="s">
        <v>188</v>
      </c>
      <c r="JK82" s="16"/>
      <c r="JL82" s="15" t="s">
        <v>188</v>
      </c>
      <c r="JN82" s="15" t="str">
        <f>IF(Regn2!$T82&lt;=1,"",VLOOKUP(Regn2!$T82,Efgr,2))</f>
        <v/>
      </c>
      <c r="JP82" s="25" t="str">
        <f>IF(Regn2!$T82&gt;1,Regn2!LU82,"")</f>
        <v/>
      </c>
      <c r="JQ82" s="15" t="s">
        <v>188</v>
      </c>
      <c r="JS82" s="16"/>
      <c r="JT82" s="15" t="s">
        <v>188</v>
      </c>
      <c r="JV82" s="25" t="str">
        <f>IF(Regn2!$T82&gt;1,Regn2!MN82,"")</f>
        <v/>
      </c>
      <c r="JW82" s="15" t="s">
        <v>188</v>
      </c>
      <c r="JY82" s="16"/>
      <c r="JZ82" s="15" t="s">
        <v>188</v>
      </c>
      <c r="KB82" s="25" t="str">
        <f>IF(Regn2!$T82&gt;1,Regn2!MR82,"")</f>
        <v/>
      </c>
      <c r="KC82" s="15" t="s">
        <v>188</v>
      </c>
      <c r="KE82" s="16"/>
      <c r="KF82" s="15" t="s">
        <v>188</v>
      </c>
      <c r="KH82" s="25" t="str">
        <f>IF(Regn2!$T82&gt;1,Regn2!MV82,"")</f>
        <v/>
      </c>
      <c r="KI82" s="15" t="s">
        <v>188</v>
      </c>
      <c r="KK82" s="16"/>
      <c r="KL82" s="15" t="s">
        <v>188</v>
      </c>
      <c r="KN82" s="25" t="str">
        <f>IF(Regn2!$T82&gt;1,Regn2!NB82,"")</f>
        <v/>
      </c>
      <c r="KO82" s="15" t="s">
        <v>188</v>
      </c>
      <c r="KQ82" s="16"/>
      <c r="KR82" s="15" t="s">
        <v>188</v>
      </c>
      <c r="KT82" s="25" t="str">
        <f>IF(Regn2!$T82&gt;1,Regn2!NF82,"")</f>
        <v/>
      </c>
      <c r="KU82" s="15" t="s">
        <v>188</v>
      </c>
      <c r="KW82" s="16"/>
      <c r="KX82" s="15" t="s">
        <v>188</v>
      </c>
      <c r="KZ82" s="25" t="str">
        <f>IF(Regn2!$T82&gt;1,Regn2!NJ82,"")</f>
        <v/>
      </c>
      <c r="LA82" s="15" t="s">
        <v>188</v>
      </c>
      <c r="LC82" s="16"/>
      <c r="LD82" s="15" t="s">
        <v>188</v>
      </c>
      <c r="LF82" s="25" t="str">
        <f>IF(Regn2!$T82&gt;1,Regn2!NN82,"")</f>
        <v/>
      </c>
      <c r="LG82" s="15" t="s">
        <v>531</v>
      </c>
      <c r="LI82" s="16"/>
      <c r="LJ82" s="15" t="s">
        <v>531</v>
      </c>
      <c r="LL82" s="25" t="str">
        <f>IF(Regn2!$T82&gt;1,Regn2!NP82,"")</f>
        <v/>
      </c>
      <c r="LM82" s="15" t="s">
        <v>188</v>
      </c>
      <c r="LO82" s="16"/>
      <c r="LP82" s="15" t="s">
        <v>188</v>
      </c>
      <c r="LR82" s="25" t="str">
        <f>IF(Regn2!$T82&gt;1,Regn2!NV82,"")</f>
        <v/>
      </c>
      <c r="LS82" s="15" t="s">
        <v>188</v>
      </c>
      <c r="LU82" s="16"/>
      <c r="LV82" s="15" t="s">
        <v>188</v>
      </c>
      <c r="LX82" s="25" t="str">
        <f>IF(Regn2!$T82&gt;1,Regn2!NZ82,"")</f>
        <v/>
      </c>
      <c r="LY82" s="15" t="s">
        <v>188</v>
      </c>
      <c r="MA82" s="16"/>
      <c r="MB82" s="15" t="s">
        <v>188</v>
      </c>
    </row>
    <row r="83" spans="2:340" ht="8.1" customHeight="1" x14ac:dyDescent="0.25"/>
    <row r="84" spans="2:340" x14ac:dyDescent="0.25">
      <c r="B84" s="240"/>
      <c r="AG84" s="36"/>
      <c r="AH84" s="15" t="s">
        <v>85</v>
      </c>
      <c r="AL84" s="15" t="str">
        <f>IF(Regn2!$R84&lt;=1,"",VLOOKUP(Regn2!$R84,Afgr,2))</f>
        <v/>
      </c>
      <c r="AN84" s="32" t="str">
        <f>IF(Regn2!$R84&gt;1,Regn2!AE84,"")</f>
        <v/>
      </c>
      <c r="AO84" s="15" t="s">
        <v>82</v>
      </c>
      <c r="AQ84" s="17"/>
      <c r="AR84" s="15" t="s">
        <v>82</v>
      </c>
      <c r="AT84" s="37"/>
      <c r="AU84" s="15" t="s">
        <v>82</v>
      </c>
      <c r="AX84" s="17"/>
      <c r="AY84" s="15" t="s">
        <v>82</v>
      </c>
      <c r="BA84" s="17"/>
      <c r="BB84" s="15" t="s">
        <v>1504</v>
      </c>
      <c r="BD84" s="17"/>
      <c r="BE84" s="15" t="s">
        <v>1793</v>
      </c>
      <c r="BH84" s="17"/>
      <c r="BI84" s="15" t="s">
        <v>82</v>
      </c>
      <c r="BJ84" s="37">
        <v>75</v>
      </c>
      <c r="BK84" s="15" t="s">
        <v>205</v>
      </c>
      <c r="BM84" s="37"/>
      <c r="BN84" s="15" t="s">
        <v>82</v>
      </c>
      <c r="BP84" s="37">
        <v>75</v>
      </c>
      <c r="BQ84" s="15" t="s">
        <v>205</v>
      </c>
      <c r="BT84" s="17"/>
      <c r="BU84" s="15" t="s">
        <v>82</v>
      </c>
      <c r="BW84" s="17"/>
      <c r="BX84" s="15" t="s">
        <v>82</v>
      </c>
      <c r="BY84" s="37">
        <v>75</v>
      </c>
      <c r="BZ84" s="15" t="s">
        <v>205</v>
      </c>
      <c r="CB84" s="17"/>
      <c r="CC84" s="15" t="s">
        <v>1504</v>
      </c>
      <c r="CE84" s="17"/>
      <c r="CF84" s="15" t="s">
        <v>1793</v>
      </c>
      <c r="CH84" s="55" t="str">
        <f>IF(Regn2!$R84&gt;1,Regn2!AL84,"")</f>
        <v/>
      </c>
      <c r="CI84" s="15" t="str">
        <f>IF(Regn2!AO84&lt;&gt;0,Regn2!AO84,"")</f>
        <v/>
      </c>
      <c r="CK84" s="16"/>
      <c r="CL84" s="15" t="str">
        <f>IF(Regn2!AO84&lt;&gt;0,Regn2!AO84,"")</f>
        <v/>
      </c>
      <c r="CN84" s="33" t="str">
        <f>IF(Regn2!$R84&gt;1,Regn2!DK84,"")</f>
        <v/>
      </c>
      <c r="CO84" s="15" t="s">
        <v>201</v>
      </c>
      <c r="CQ84" s="38"/>
      <c r="CR84" s="15" t="s">
        <v>201</v>
      </c>
      <c r="CT84" s="55" t="str">
        <f>IF(Regn2!$R84&gt;1,Regn2!AR84,"")</f>
        <v/>
      </c>
      <c r="CU84" s="15" t="s">
        <v>188</v>
      </c>
      <c r="CW84" s="124"/>
      <c r="CX84" s="15" t="s">
        <v>188</v>
      </c>
      <c r="CZ84" s="25" t="str">
        <f>IF(Regn2!$R84&gt;1,Regn2!AW84,"")</f>
        <v/>
      </c>
      <c r="DA84" s="15" t="s">
        <v>188</v>
      </c>
      <c r="DC84" s="17"/>
      <c r="DD84" s="15" t="s">
        <v>188</v>
      </c>
      <c r="DF84" s="25" t="str">
        <f>IF(Regn2!$R84&gt;1,Regn2!BB84,"")</f>
        <v/>
      </c>
      <c r="DG84" s="15" t="s">
        <v>192</v>
      </c>
      <c r="DI84" s="16"/>
      <c r="DJ84" s="15" t="s">
        <v>192</v>
      </c>
      <c r="DO84" s="33" t="str">
        <f>IF(Regn2!$R84&gt;1,Regn2!BI84,"")</f>
        <v/>
      </c>
      <c r="DP84" s="15" t="s">
        <v>188</v>
      </c>
      <c r="DR84" s="38"/>
      <c r="DS84" s="15" t="s">
        <v>188</v>
      </c>
      <c r="DU84" s="15" t="str">
        <f>IF(Regn2!$T84&lt;=1,"",VLOOKUP(Regn2!$T84,Efgr,2))</f>
        <v/>
      </c>
      <c r="DW84" s="25" t="str">
        <f>IF(Regn2!$T84&gt;1,Regn2!BN84,"")</f>
        <v/>
      </c>
      <c r="DX84" s="15" t="s">
        <v>82</v>
      </c>
      <c r="DZ84" s="16"/>
      <c r="EA84" s="15" t="s">
        <v>82</v>
      </c>
      <c r="EC84" s="17"/>
      <c r="ED84" s="15" t="s">
        <v>1504</v>
      </c>
      <c r="EF84" s="17"/>
      <c r="EG84" s="15" t="s">
        <v>1793</v>
      </c>
      <c r="EI84" s="16"/>
      <c r="EJ84" s="15" t="s">
        <v>82</v>
      </c>
      <c r="EL84" s="16">
        <v>75</v>
      </c>
      <c r="EM84" s="15" t="s">
        <v>205</v>
      </c>
      <c r="EO84" s="25">
        <f>EI84*EL84*0.01</f>
        <v>0</v>
      </c>
      <c r="EP84" s="15" t="s">
        <v>82</v>
      </c>
      <c r="ER84" s="17"/>
      <c r="ES84" s="15" t="s">
        <v>82</v>
      </c>
      <c r="EV84" s="17"/>
      <c r="EW84" s="15" t="s">
        <v>1504</v>
      </c>
      <c r="EY84" s="17"/>
      <c r="EZ84" s="15" t="s">
        <v>1793</v>
      </c>
      <c r="FB84" s="25" t="str">
        <f>IF(Regn2!$T84&gt;1,Regn2!BQ84,"")</f>
        <v/>
      </c>
      <c r="FC84" s="15" t="str">
        <f>IF(Regn2!$T84&gt;1,Regn2!BT84,"")</f>
        <v/>
      </c>
      <c r="FE84" s="16"/>
      <c r="FF84" s="15" t="str">
        <f>IF(Regn2!$T84&gt;1,Regn2!BT84,"")</f>
        <v/>
      </c>
      <c r="FL84" s="32" t="str">
        <f>IF(Regn2!$R84&gt;1,NniveauDelsaedsk1,"")</f>
        <v/>
      </c>
      <c r="FM84" s="15" t="s">
        <v>82</v>
      </c>
      <c r="FO84" s="17"/>
      <c r="FP84" s="15" t="s">
        <v>82</v>
      </c>
      <c r="FR84" s="32" t="str">
        <f>IF(Regn2!$R84&gt;1,Regn2!HU84,"")</f>
        <v/>
      </c>
      <c r="FS84" s="15" t="s">
        <v>531</v>
      </c>
      <c r="FU84" s="17"/>
      <c r="FV84" s="15" t="s">
        <v>531</v>
      </c>
      <c r="FX84" s="32" t="str">
        <f>IF(Regn2!$R84&gt;1,Regn2!HR84,"")</f>
        <v/>
      </c>
      <c r="FY84" s="15" t="s">
        <v>531</v>
      </c>
      <c r="GA84" s="17"/>
      <c r="GB84" s="15" t="s">
        <v>531</v>
      </c>
      <c r="GD84" s="15" t="str">
        <f>IF(Regn2!$R84&gt;1,RetentionNbal,"")</f>
        <v/>
      </c>
      <c r="GE84" s="15" t="s">
        <v>205</v>
      </c>
      <c r="GF84" s="17"/>
      <c r="GG84" s="15" t="s">
        <v>205</v>
      </c>
      <c r="GI84" s="15" t="str">
        <f>IF(Regn2!$R84&lt;=1,"",VLOOKUP(Regn2!$R84,Afgr,2))</f>
        <v/>
      </c>
      <c r="GK84" s="25" t="str">
        <f>IF(Regn2!$R84&gt;1,Regn2!IO84,"")</f>
        <v/>
      </c>
      <c r="GL84" s="15" t="s">
        <v>188</v>
      </c>
      <c r="GN84" s="16"/>
      <c r="GO84" s="15" t="s">
        <v>188</v>
      </c>
      <c r="GQ84" s="25" t="str">
        <f>IF(Regn2!$R84&gt;1,Regn2!JK84,"")</f>
        <v/>
      </c>
      <c r="GR84" s="15" t="s">
        <v>188</v>
      </c>
      <c r="GT84" s="16"/>
      <c r="GU84" s="15" t="s">
        <v>188</v>
      </c>
      <c r="GW84" s="25" t="str">
        <f>IF(Regn2!$R84&gt;1,Regn2!JO84,"")</f>
        <v/>
      </c>
      <c r="GX84" s="15" t="s">
        <v>188</v>
      </c>
      <c r="GZ84" s="16"/>
      <c r="HA84" s="15" t="s">
        <v>188</v>
      </c>
      <c r="HC84" s="25" t="str">
        <f>IF(Regn2!$R84&gt;1,Regn2!JS84,"")</f>
        <v/>
      </c>
      <c r="HD84" s="15" t="s">
        <v>188</v>
      </c>
      <c r="HF84" s="16"/>
      <c r="HG84" s="15" t="s">
        <v>188</v>
      </c>
      <c r="HI84" s="25" t="str">
        <f>IF(Regn2!$R84&gt;1,Regn2!JY84,"")</f>
        <v/>
      </c>
      <c r="HJ84" s="15" t="s">
        <v>362</v>
      </c>
      <c r="HL84" s="16"/>
      <c r="HM84" s="15" t="s">
        <v>188</v>
      </c>
      <c r="HO84" s="25" t="str">
        <f>IF(Regn2!$R84&gt;1,Regn2!KL84,"")</f>
        <v/>
      </c>
      <c r="HP84" s="15" t="s">
        <v>188</v>
      </c>
      <c r="HR84" s="16"/>
      <c r="HS84" s="15" t="s">
        <v>188</v>
      </c>
      <c r="HU84" s="25" t="str">
        <f>IF(Regn2!$R84&gt;1,Regn2!KP84,"")</f>
        <v/>
      </c>
      <c r="HV84" s="15" t="s">
        <v>188</v>
      </c>
      <c r="HX84" s="16"/>
      <c r="HY84" s="15" t="s">
        <v>188</v>
      </c>
      <c r="IA84" s="25" t="str">
        <f>IF(Regn2!$R84&gt;1,Regn2!KT84,"")</f>
        <v/>
      </c>
      <c r="IB84" s="15" t="s">
        <v>188</v>
      </c>
      <c r="ID84" s="16"/>
      <c r="IE84" s="15" t="s">
        <v>188</v>
      </c>
      <c r="IG84" s="25" t="str">
        <f>IF(Regn2!$R84&gt;1,Regn2!KX84,"")</f>
        <v/>
      </c>
      <c r="IH84" s="15" t="s">
        <v>531</v>
      </c>
      <c r="IJ84" s="16"/>
      <c r="IK84" s="15" t="s">
        <v>531</v>
      </c>
      <c r="IM84" s="25" t="str">
        <f>IF(Regn2!$R84&gt;1,Regn2!KZ84,"")</f>
        <v/>
      </c>
      <c r="IN84" s="15" t="s">
        <v>188</v>
      </c>
      <c r="IP84" s="16"/>
      <c r="IQ84" s="15" t="s">
        <v>188</v>
      </c>
      <c r="IS84" s="25" t="str">
        <f>IF(Regn2!$R84&gt;1,Regn2!LG84,"")</f>
        <v/>
      </c>
      <c r="IT84" s="15" t="s">
        <v>188</v>
      </c>
      <c r="IV84" s="16"/>
      <c r="IW84" s="15" t="s">
        <v>405</v>
      </c>
      <c r="IY84" s="25" t="str">
        <f>IF(Regn2!$R84&gt;1,Regn2!LM84,"")</f>
        <v/>
      </c>
      <c r="IZ84" s="15" t="s">
        <v>188</v>
      </c>
      <c r="JB84" s="16"/>
      <c r="JC84" s="15" t="s">
        <v>188</v>
      </c>
      <c r="JH84" s="25" t="str">
        <f>IF(Regn2!$R84&gt;1,Regn2!LQ84,"")</f>
        <v/>
      </c>
      <c r="JI84" s="15" t="s">
        <v>188</v>
      </c>
      <c r="JK84" s="16"/>
      <c r="JL84" s="15" t="s">
        <v>188</v>
      </c>
      <c r="JN84" s="15" t="str">
        <f>IF(Regn2!$T84&lt;=1,"",VLOOKUP(Regn2!$T84,Efgr,2))</f>
        <v/>
      </c>
      <c r="JP84" s="25" t="str">
        <f>IF(Regn2!$T84&gt;1,Regn2!LU84,"")</f>
        <v/>
      </c>
      <c r="JQ84" s="15" t="s">
        <v>188</v>
      </c>
      <c r="JS84" s="16"/>
      <c r="JT84" s="15" t="s">
        <v>188</v>
      </c>
      <c r="JV84" s="25" t="str">
        <f>IF(Regn2!$T84&gt;1,Regn2!MN84,"")</f>
        <v/>
      </c>
      <c r="JW84" s="15" t="s">
        <v>188</v>
      </c>
      <c r="JY84" s="16"/>
      <c r="JZ84" s="15" t="s">
        <v>188</v>
      </c>
      <c r="KB84" s="25" t="str">
        <f>IF(Regn2!$T84&gt;1,Regn2!MR84,"")</f>
        <v/>
      </c>
      <c r="KC84" s="15" t="s">
        <v>188</v>
      </c>
      <c r="KE84" s="16"/>
      <c r="KF84" s="15" t="s">
        <v>188</v>
      </c>
      <c r="KH84" s="25" t="str">
        <f>IF(Regn2!$T84&gt;1,Regn2!MV84,"")</f>
        <v/>
      </c>
      <c r="KI84" s="15" t="s">
        <v>188</v>
      </c>
      <c r="KK84" s="16"/>
      <c r="KL84" s="15" t="s">
        <v>188</v>
      </c>
      <c r="KN84" s="25" t="str">
        <f>IF(Regn2!$T84&gt;1,Regn2!NB84,"")</f>
        <v/>
      </c>
      <c r="KO84" s="15" t="s">
        <v>188</v>
      </c>
      <c r="KQ84" s="16"/>
      <c r="KR84" s="15" t="s">
        <v>188</v>
      </c>
      <c r="KT84" s="25" t="str">
        <f>IF(Regn2!$T84&gt;1,Regn2!NF84,"")</f>
        <v/>
      </c>
      <c r="KU84" s="15" t="s">
        <v>188</v>
      </c>
      <c r="KW84" s="16"/>
      <c r="KX84" s="15" t="s">
        <v>188</v>
      </c>
      <c r="KZ84" s="25" t="str">
        <f>IF(Regn2!$T84&gt;1,Regn2!NJ84,"")</f>
        <v/>
      </c>
      <c r="LA84" s="15" t="s">
        <v>188</v>
      </c>
      <c r="LC84" s="16"/>
      <c r="LD84" s="15" t="s">
        <v>188</v>
      </c>
      <c r="LF84" s="25" t="str">
        <f>IF(Regn2!$T84&gt;1,Regn2!NN84,"")</f>
        <v/>
      </c>
      <c r="LG84" s="15" t="s">
        <v>531</v>
      </c>
      <c r="LI84" s="16"/>
      <c r="LJ84" s="15" t="s">
        <v>531</v>
      </c>
      <c r="LL84" s="25" t="str">
        <f>IF(Regn2!$T84&gt;1,Regn2!NP84,"")</f>
        <v/>
      </c>
      <c r="LM84" s="15" t="s">
        <v>188</v>
      </c>
      <c r="LO84" s="16"/>
      <c r="LP84" s="15" t="s">
        <v>188</v>
      </c>
      <c r="LR84" s="25" t="str">
        <f>IF(Regn2!$T84&gt;1,Regn2!NV84,"")</f>
        <v/>
      </c>
      <c r="LS84" s="15" t="s">
        <v>188</v>
      </c>
      <c r="LU84" s="16"/>
      <c r="LV84" s="15" t="s">
        <v>188</v>
      </c>
      <c r="LX84" s="25" t="str">
        <f>IF(Regn2!$T84&gt;1,Regn2!NZ84,"")</f>
        <v/>
      </c>
      <c r="LY84" s="15" t="s">
        <v>188</v>
      </c>
      <c r="MA84" s="16"/>
      <c r="MB84" s="15" t="s">
        <v>188</v>
      </c>
    </row>
    <row r="85" spans="2:340" ht="8.1" customHeight="1" x14ac:dyDescent="0.25"/>
    <row r="86" spans="2:340" x14ac:dyDescent="0.25">
      <c r="B86" s="240"/>
      <c r="AG86" s="36"/>
      <c r="AH86" s="15" t="s">
        <v>85</v>
      </c>
      <c r="AL86" s="15" t="str">
        <f>IF(Regn2!$R86&lt;=1,"",VLOOKUP(Regn2!$R86,Afgr,2))</f>
        <v/>
      </c>
      <c r="AN86" s="32" t="str">
        <f>IF(Regn2!$R86&gt;1,Regn2!AE86,"")</f>
        <v/>
      </c>
      <c r="AO86" s="15" t="s">
        <v>82</v>
      </c>
      <c r="AQ86" s="17"/>
      <c r="AR86" s="15" t="s">
        <v>82</v>
      </c>
      <c r="AT86" s="37"/>
      <c r="AU86" s="15" t="s">
        <v>82</v>
      </c>
      <c r="AX86" s="17"/>
      <c r="AY86" s="15" t="s">
        <v>82</v>
      </c>
      <c r="BA86" s="17"/>
      <c r="BB86" s="15" t="s">
        <v>1504</v>
      </c>
      <c r="BD86" s="17"/>
      <c r="BE86" s="15" t="s">
        <v>1793</v>
      </c>
      <c r="BH86" s="17"/>
      <c r="BI86" s="15" t="s">
        <v>82</v>
      </c>
      <c r="BJ86" s="37">
        <v>75</v>
      </c>
      <c r="BK86" s="15" t="s">
        <v>205</v>
      </c>
      <c r="BM86" s="37"/>
      <c r="BN86" s="15" t="s">
        <v>82</v>
      </c>
      <c r="BP86" s="37">
        <v>75</v>
      </c>
      <c r="BQ86" s="15" t="s">
        <v>205</v>
      </c>
      <c r="BT86" s="17"/>
      <c r="BU86" s="15" t="s">
        <v>82</v>
      </c>
      <c r="BW86" s="17"/>
      <c r="BX86" s="15" t="s">
        <v>82</v>
      </c>
      <c r="BY86" s="37">
        <v>75</v>
      </c>
      <c r="BZ86" s="15" t="s">
        <v>205</v>
      </c>
      <c r="CB86" s="17"/>
      <c r="CC86" s="15" t="s">
        <v>1504</v>
      </c>
      <c r="CE86" s="17"/>
      <c r="CF86" s="15" t="s">
        <v>1793</v>
      </c>
      <c r="CH86" s="55" t="str">
        <f>IF(Regn2!$R86&gt;1,Regn2!AL86,"")</f>
        <v/>
      </c>
      <c r="CI86" s="15" t="str">
        <f>IF(Regn2!AO86&lt;&gt;0,Regn2!AO86,"")</f>
        <v/>
      </c>
      <c r="CK86" s="16"/>
      <c r="CL86" s="15" t="str">
        <f>IF(Regn2!AO86&lt;&gt;0,Regn2!AO86,"")</f>
        <v/>
      </c>
      <c r="CN86" s="33" t="str">
        <f>IF(Regn2!$R86&gt;1,Regn2!DK86,"")</f>
        <v/>
      </c>
      <c r="CO86" s="15" t="s">
        <v>201</v>
      </c>
      <c r="CQ86" s="38"/>
      <c r="CR86" s="15" t="s">
        <v>201</v>
      </c>
      <c r="CT86" s="55" t="str">
        <f>IF(Regn2!$R86&gt;1,Regn2!AR86,"")</f>
        <v/>
      </c>
      <c r="CU86" s="15" t="s">
        <v>188</v>
      </c>
      <c r="CW86" s="124"/>
      <c r="CX86" s="15" t="s">
        <v>188</v>
      </c>
      <c r="CZ86" s="25" t="str">
        <f>IF(Regn2!$R86&gt;1,Regn2!AW86,"")</f>
        <v/>
      </c>
      <c r="DA86" s="15" t="s">
        <v>188</v>
      </c>
      <c r="DC86" s="17"/>
      <c r="DD86" s="15" t="s">
        <v>188</v>
      </c>
      <c r="DF86" s="25" t="str">
        <f>IF(Regn2!$R86&gt;1,Regn2!BB86,"")</f>
        <v/>
      </c>
      <c r="DG86" s="15" t="s">
        <v>192</v>
      </c>
      <c r="DI86" s="16"/>
      <c r="DJ86" s="15" t="s">
        <v>192</v>
      </c>
      <c r="DO86" s="33" t="str">
        <f>IF(Regn2!$R86&gt;1,Regn2!BI86,"")</f>
        <v/>
      </c>
      <c r="DP86" s="15" t="s">
        <v>188</v>
      </c>
      <c r="DR86" s="38"/>
      <c r="DS86" s="15" t="s">
        <v>188</v>
      </c>
      <c r="DU86" s="15" t="str">
        <f>IF(Regn2!$T86&lt;=1,"",VLOOKUP(Regn2!$T86,Efgr,2))</f>
        <v/>
      </c>
      <c r="DW86" s="25" t="str">
        <f>IF(Regn2!$T86&gt;1,Regn2!BN86,"")</f>
        <v/>
      </c>
      <c r="DX86" s="15" t="s">
        <v>82</v>
      </c>
      <c r="DZ86" s="16"/>
      <c r="EA86" s="15" t="s">
        <v>82</v>
      </c>
      <c r="EC86" s="17"/>
      <c r="ED86" s="15" t="s">
        <v>1504</v>
      </c>
      <c r="EF86" s="17"/>
      <c r="EG86" s="15" t="s">
        <v>1793</v>
      </c>
      <c r="EI86" s="16"/>
      <c r="EJ86" s="15" t="s">
        <v>82</v>
      </c>
      <c r="EL86" s="16">
        <v>75</v>
      </c>
      <c r="EM86" s="15" t="s">
        <v>205</v>
      </c>
      <c r="EO86" s="25">
        <f>EI86*EL86*0.01</f>
        <v>0</v>
      </c>
      <c r="EP86" s="15" t="s">
        <v>82</v>
      </c>
      <c r="ER86" s="17"/>
      <c r="ES86" s="15" t="s">
        <v>82</v>
      </c>
      <c r="EV86" s="17"/>
      <c r="EW86" s="15" t="s">
        <v>1504</v>
      </c>
      <c r="EY86" s="17"/>
      <c r="EZ86" s="15" t="s">
        <v>1793</v>
      </c>
      <c r="FB86" s="25" t="str">
        <f>IF(Regn2!$T86&gt;1,Regn2!BQ86,"")</f>
        <v/>
      </c>
      <c r="FC86" s="15" t="str">
        <f>IF(Regn2!$T86&gt;1,Regn2!BT86,"")</f>
        <v/>
      </c>
      <c r="FE86" s="16"/>
      <c r="FF86" s="15" t="str">
        <f>IF(Regn2!$T86&gt;1,Regn2!BT86,"")</f>
        <v/>
      </c>
      <c r="FL86" s="32" t="str">
        <f>IF(Regn2!$R86&gt;1,NniveauDelsaedsk1,"")</f>
        <v/>
      </c>
      <c r="FM86" s="15" t="s">
        <v>82</v>
      </c>
      <c r="FO86" s="17"/>
      <c r="FP86" s="15" t="s">
        <v>82</v>
      </c>
      <c r="FR86" s="32" t="str">
        <f>IF(Regn2!$R86&gt;1,Regn2!HU86,"")</f>
        <v/>
      </c>
      <c r="FS86" s="15" t="s">
        <v>531</v>
      </c>
      <c r="FU86" s="17"/>
      <c r="FV86" s="15" t="s">
        <v>531</v>
      </c>
      <c r="FX86" s="32" t="str">
        <f>IF(Regn2!$R86&gt;1,Regn2!HR86,"")</f>
        <v/>
      </c>
      <c r="FY86" s="15" t="s">
        <v>531</v>
      </c>
      <c r="GA86" s="17"/>
      <c r="GB86" s="15" t="s">
        <v>531</v>
      </c>
      <c r="GD86" s="15" t="str">
        <f>IF(Regn2!$R86&gt;1,RetentionNbal,"")</f>
        <v/>
      </c>
      <c r="GE86" s="15" t="s">
        <v>205</v>
      </c>
      <c r="GF86" s="17"/>
      <c r="GG86" s="15" t="s">
        <v>205</v>
      </c>
      <c r="GI86" s="15" t="str">
        <f>IF(Regn2!$R86&lt;=1,"",VLOOKUP(Regn2!$R86,Afgr,2))</f>
        <v/>
      </c>
      <c r="GK86" s="25" t="str">
        <f>IF(Regn2!$R86&gt;1,Regn2!IO86,"")</f>
        <v/>
      </c>
      <c r="GL86" s="15" t="s">
        <v>188</v>
      </c>
      <c r="GN86" s="16"/>
      <c r="GO86" s="15" t="s">
        <v>188</v>
      </c>
      <c r="GQ86" s="25" t="str">
        <f>IF(Regn2!$R86&gt;1,Regn2!JK86,"")</f>
        <v/>
      </c>
      <c r="GR86" s="15" t="s">
        <v>188</v>
      </c>
      <c r="GT86" s="16"/>
      <c r="GU86" s="15" t="s">
        <v>188</v>
      </c>
      <c r="GW86" s="25" t="str">
        <f>IF(Regn2!$R86&gt;1,Regn2!JO86,"")</f>
        <v/>
      </c>
      <c r="GX86" s="15" t="s">
        <v>188</v>
      </c>
      <c r="GZ86" s="16"/>
      <c r="HA86" s="15" t="s">
        <v>188</v>
      </c>
      <c r="HC86" s="25" t="str">
        <f>IF(Regn2!$R86&gt;1,Regn2!JS86,"")</f>
        <v/>
      </c>
      <c r="HD86" s="15" t="s">
        <v>188</v>
      </c>
      <c r="HF86" s="16"/>
      <c r="HG86" s="15" t="s">
        <v>188</v>
      </c>
      <c r="HI86" s="25" t="str">
        <f>IF(Regn2!$R86&gt;1,Regn2!JY86,"")</f>
        <v/>
      </c>
      <c r="HJ86" s="15" t="s">
        <v>362</v>
      </c>
      <c r="HL86" s="16"/>
      <c r="HM86" s="15" t="s">
        <v>188</v>
      </c>
      <c r="HO86" s="25" t="str">
        <f>IF(Regn2!$R86&gt;1,Regn2!KL86,"")</f>
        <v/>
      </c>
      <c r="HP86" s="15" t="s">
        <v>188</v>
      </c>
      <c r="HR86" s="16"/>
      <c r="HS86" s="15" t="s">
        <v>188</v>
      </c>
      <c r="HU86" s="25" t="str">
        <f>IF(Regn2!$R86&gt;1,Regn2!KP86,"")</f>
        <v/>
      </c>
      <c r="HV86" s="15" t="s">
        <v>188</v>
      </c>
      <c r="HX86" s="16"/>
      <c r="HY86" s="15" t="s">
        <v>188</v>
      </c>
      <c r="IA86" s="25" t="str">
        <f>IF(Regn2!$R86&gt;1,Regn2!KT86,"")</f>
        <v/>
      </c>
      <c r="IB86" s="15" t="s">
        <v>188</v>
      </c>
      <c r="ID86" s="16"/>
      <c r="IE86" s="15" t="s">
        <v>188</v>
      </c>
      <c r="IG86" s="25" t="str">
        <f>IF(Regn2!$R86&gt;1,Regn2!KX86,"")</f>
        <v/>
      </c>
      <c r="IH86" s="15" t="s">
        <v>531</v>
      </c>
      <c r="IJ86" s="16"/>
      <c r="IK86" s="15" t="s">
        <v>531</v>
      </c>
      <c r="IM86" s="25" t="str">
        <f>IF(Regn2!$R86&gt;1,Regn2!KZ86,"")</f>
        <v/>
      </c>
      <c r="IN86" s="15" t="s">
        <v>188</v>
      </c>
      <c r="IP86" s="16"/>
      <c r="IQ86" s="15" t="s">
        <v>188</v>
      </c>
      <c r="IS86" s="25" t="str">
        <f>IF(Regn2!$R86&gt;1,Regn2!LG86,"")</f>
        <v/>
      </c>
      <c r="IT86" s="15" t="s">
        <v>188</v>
      </c>
      <c r="IV86" s="16"/>
      <c r="IW86" s="15" t="s">
        <v>405</v>
      </c>
      <c r="IY86" s="25" t="str">
        <f>IF(Regn2!$R86&gt;1,Regn2!LM86,"")</f>
        <v/>
      </c>
      <c r="IZ86" s="15" t="s">
        <v>188</v>
      </c>
      <c r="JB86" s="16"/>
      <c r="JC86" s="15" t="s">
        <v>188</v>
      </c>
      <c r="JH86" s="25" t="str">
        <f>IF(Regn2!$R86&gt;1,Regn2!LQ86,"")</f>
        <v/>
      </c>
      <c r="JI86" s="15" t="s">
        <v>188</v>
      </c>
      <c r="JK86" s="16"/>
      <c r="JL86" s="15" t="s">
        <v>188</v>
      </c>
      <c r="JN86" s="15" t="str">
        <f>IF(Regn2!$T86&lt;=1,"",VLOOKUP(Regn2!$T86,Efgr,2))</f>
        <v/>
      </c>
      <c r="JP86" s="25" t="str">
        <f>IF(Regn2!$T86&gt;1,Regn2!LU86,"")</f>
        <v/>
      </c>
      <c r="JQ86" s="15" t="s">
        <v>188</v>
      </c>
      <c r="JS86" s="16"/>
      <c r="JT86" s="15" t="s">
        <v>188</v>
      </c>
      <c r="JV86" s="25" t="str">
        <f>IF(Regn2!$T86&gt;1,Regn2!MN86,"")</f>
        <v/>
      </c>
      <c r="JW86" s="15" t="s">
        <v>188</v>
      </c>
      <c r="JY86" s="16"/>
      <c r="JZ86" s="15" t="s">
        <v>188</v>
      </c>
      <c r="KB86" s="25" t="str">
        <f>IF(Regn2!$T86&gt;1,Regn2!MR86,"")</f>
        <v/>
      </c>
      <c r="KC86" s="15" t="s">
        <v>188</v>
      </c>
      <c r="KE86" s="16"/>
      <c r="KF86" s="15" t="s">
        <v>188</v>
      </c>
      <c r="KH86" s="25" t="str">
        <f>IF(Regn2!$T86&gt;1,Regn2!MV86,"")</f>
        <v/>
      </c>
      <c r="KI86" s="15" t="s">
        <v>188</v>
      </c>
      <c r="KK86" s="16"/>
      <c r="KL86" s="15" t="s">
        <v>188</v>
      </c>
      <c r="KN86" s="25" t="str">
        <f>IF(Regn2!$T86&gt;1,Regn2!NB86,"")</f>
        <v/>
      </c>
      <c r="KO86" s="15" t="s">
        <v>188</v>
      </c>
      <c r="KQ86" s="16"/>
      <c r="KR86" s="15" t="s">
        <v>188</v>
      </c>
      <c r="KT86" s="25" t="str">
        <f>IF(Regn2!$T86&gt;1,Regn2!NF86,"")</f>
        <v/>
      </c>
      <c r="KU86" s="15" t="s">
        <v>188</v>
      </c>
      <c r="KW86" s="16"/>
      <c r="KX86" s="15" t="s">
        <v>188</v>
      </c>
      <c r="KZ86" s="25" t="str">
        <f>IF(Regn2!$T86&gt;1,Regn2!NJ86,"")</f>
        <v/>
      </c>
      <c r="LA86" s="15" t="s">
        <v>188</v>
      </c>
      <c r="LC86" s="16"/>
      <c r="LD86" s="15" t="s">
        <v>188</v>
      </c>
      <c r="LF86" s="25" t="str">
        <f>IF(Regn2!$T86&gt;1,Regn2!NN86,"")</f>
        <v/>
      </c>
      <c r="LG86" s="15" t="s">
        <v>531</v>
      </c>
      <c r="LI86" s="16"/>
      <c r="LJ86" s="15" t="s">
        <v>531</v>
      </c>
      <c r="LL86" s="25" t="str">
        <f>IF(Regn2!$T86&gt;1,Regn2!NP86,"")</f>
        <v/>
      </c>
      <c r="LM86" s="15" t="s">
        <v>188</v>
      </c>
      <c r="LO86" s="16"/>
      <c r="LP86" s="15" t="s">
        <v>188</v>
      </c>
      <c r="LR86" s="25" t="str">
        <f>IF(Regn2!$T86&gt;1,Regn2!NV86,"")</f>
        <v/>
      </c>
      <c r="LS86" s="15" t="s">
        <v>188</v>
      </c>
      <c r="LU86" s="16"/>
      <c r="LV86" s="15" t="s">
        <v>188</v>
      </c>
      <c r="LX86" s="25" t="str">
        <f>IF(Regn2!$T86&gt;1,Regn2!NZ86,"")</f>
        <v/>
      </c>
      <c r="LY86" s="15" t="s">
        <v>188</v>
      </c>
      <c r="MA86" s="16"/>
      <c r="MB86" s="15" t="s">
        <v>188</v>
      </c>
    </row>
    <row r="87" spans="2:340" ht="8.1" customHeight="1" x14ac:dyDescent="0.25"/>
    <row r="88" spans="2:340" x14ac:dyDescent="0.25">
      <c r="B88" s="240"/>
      <c r="AG88" s="36"/>
      <c r="AH88" s="15" t="s">
        <v>85</v>
      </c>
      <c r="AL88" s="15" t="str">
        <f>IF(Regn2!$R88&lt;=1,"",VLOOKUP(Regn2!$R88,Afgr,2))</f>
        <v/>
      </c>
      <c r="AN88" s="32" t="str">
        <f>IF(Regn2!$R88&gt;1,Regn2!AE88,"")</f>
        <v/>
      </c>
      <c r="AO88" s="15" t="s">
        <v>82</v>
      </c>
      <c r="AQ88" s="17"/>
      <c r="AR88" s="15" t="s">
        <v>82</v>
      </c>
      <c r="AT88" s="37"/>
      <c r="AU88" s="15" t="s">
        <v>82</v>
      </c>
      <c r="AX88" s="17"/>
      <c r="AY88" s="15" t="s">
        <v>82</v>
      </c>
      <c r="BA88" s="17"/>
      <c r="BB88" s="15" t="s">
        <v>1504</v>
      </c>
      <c r="BD88" s="17"/>
      <c r="BE88" s="15" t="s">
        <v>1793</v>
      </c>
      <c r="BH88" s="17"/>
      <c r="BI88" s="15" t="s">
        <v>82</v>
      </c>
      <c r="BJ88" s="37">
        <v>75</v>
      </c>
      <c r="BK88" s="15" t="s">
        <v>205</v>
      </c>
      <c r="BM88" s="37"/>
      <c r="BN88" s="15" t="s">
        <v>82</v>
      </c>
      <c r="BP88" s="37">
        <v>75</v>
      </c>
      <c r="BQ88" s="15" t="s">
        <v>205</v>
      </c>
      <c r="BT88" s="17"/>
      <c r="BU88" s="15" t="s">
        <v>82</v>
      </c>
      <c r="BW88" s="17"/>
      <c r="BX88" s="15" t="s">
        <v>82</v>
      </c>
      <c r="BY88" s="37">
        <v>75</v>
      </c>
      <c r="BZ88" s="15" t="s">
        <v>205</v>
      </c>
      <c r="CB88" s="17"/>
      <c r="CC88" s="15" t="s">
        <v>1504</v>
      </c>
      <c r="CE88" s="17"/>
      <c r="CF88" s="15" t="s">
        <v>1793</v>
      </c>
      <c r="CH88" s="55" t="str">
        <f>IF(Regn2!$R88&gt;1,Regn2!AL88,"")</f>
        <v/>
      </c>
      <c r="CI88" s="15" t="str">
        <f>IF(Regn2!AO88&lt;&gt;0,Regn2!AO88,"")</f>
        <v/>
      </c>
      <c r="CK88" s="16"/>
      <c r="CL88" s="15" t="str">
        <f>IF(Regn2!AO88&lt;&gt;0,Regn2!AO88,"")</f>
        <v/>
      </c>
      <c r="CN88" s="33" t="str">
        <f>IF(Regn2!$R88&gt;1,Regn2!DK88,"")</f>
        <v/>
      </c>
      <c r="CO88" s="15" t="s">
        <v>201</v>
      </c>
      <c r="CQ88" s="38"/>
      <c r="CR88" s="15" t="s">
        <v>201</v>
      </c>
      <c r="CT88" s="55" t="str">
        <f>IF(Regn2!$R88&gt;1,Regn2!AR88,"")</f>
        <v/>
      </c>
      <c r="CU88" s="15" t="s">
        <v>188</v>
      </c>
      <c r="CW88" s="124"/>
      <c r="CX88" s="15" t="s">
        <v>188</v>
      </c>
      <c r="CZ88" s="25" t="str">
        <f>IF(Regn2!$R88&gt;1,Regn2!AW88,"")</f>
        <v/>
      </c>
      <c r="DA88" s="15" t="s">
        <v>188</v>
      </c>
      <c r="DC88" s="17"/>
      <c r="DD88" s="15" t="s">
        <v>188</v>
      </c>
      <c r="DF88" s="25" t="str">
        <f>IF(Regn2!$R88&gt;1,Regn2!BB88,"")</f>
        <v/>
      </c>
      <c r="DG88" s="15" t="s">
        <v>192</v>
      </c>
      <c r="DI88" s="16"/>
      <c r="DJ88" s="15" t="s">
        <v>192</v>
      </c>
      <c r="DO88" s="33" t="str">
        <f>IF(Regn2!$R88&gt;1,Regn2!BI88,"")</f>
        <v/>
      </c>
      <c r="DP88" s="15" t="s">
        <v>188</v>
      </c>
      <c r="DR88" s="38"/>
      <c r="DS88" s="15" t="s">
        <v>188</v>
      </c>
      <c r="DU88" s="15" t="str">
        <f>IF(Regn2!$T88&lt;=1,"",VLOOKUP(Regn2!$T88,Efgr,2))</f>
        <v/>
      </c>
      <c r="DW88" s="25" t="str">
        <f>IF(Regn2!$T88&gt;1,Regn2!BN88,"")</f>
        <v/>
      </c>
      <c r="DX88" s="15" t="s">
        <v>82</v>
      </c>
      <c r="DZ88" s="16"/>
      <c r="EA88" s="15" t="s">
        <v>82</v>
      </c>
      <c r="EC88" s="17"/>
      <c r="ED88" s="15" t="s">
        <v>1504</v>
      </c>
      <c r="EF88" s="17"/>
      <c r="EG88" s="15" t="s">
        <v>1793</v>
      </c>
      <c r="EI88" s="16"/>
      <c r="EJ88" s="15" t="s">
        <v>82</v>
      </c>
      <c r="EL88" s="16">
        <v>75</v>
      </c>
      <c r="EM88" s="15" t="s">
        <v>205</v>
      </c>
      <c r="EO88" s="25">
        <f>EI88*EL88*0.01</f>
        <v>0</v>
      </c>
      <c r="EP88" s="15" t="s">
        <v>82</v>
      </c>
      <c r="ER88" s="17"/>
      <c r="ES88" s="15" t="s">
        <v>82</v>
      </c>
      <c r="EV88" s="17"/>
      <c r="EW88" s="15" t="s">
        <v>1504</v>
      </c>
      <c r="EY88" s="17"/>
      <c r="EZ88" s="15" t="s">
        <v>1793</v>
      </c>
      <c r="FB88" s="25" t="str">
        <f>IF(Regn2!$T88&gt;1,Regn2!BQ88,"")</f>
        <v/>
      </c>
      <c r="FC88" s="15" t="str">
        <f>IF(Regn2!$T88&gt;1,Regn2!BT88,"")</f>
        <v/>
      </c>
      <c r="FE88" s="16"/>
      <c r="FF88" s="15" t="str">
        <f>IF(Regn2!$T88&gt;1,Regn2!BT88,"")</f>
        <v/>
      </c>
      <c r="FL88" s="32" t="str">
        <f>IF(Regn2!$R88&gt;1,NniveauDelsaedsk1,"")</f>
        <v/>
      </c>
      <c r="FM88" s="15" t="s">
        <v>82</v>
      </c>
      <c r="FO88" s="17"/>
      <c r="FP88" s="15" t="s">
        <v>82</v>
      </c>
      <c r="FR88" s="32" t="str">
        <f>IF(Regn2!$R88&gt;1,Regn2!HU88,"")</f>
        <v/>
      </c>
      <c r="FS88" s="15" t="s">
        <v>531</v>
      </c>
      <c r="FU88" s="17"/>
      <c r="FV88" s="15" t="s">
        <v>531</v>
      </c>
      <c r="FX88" s="32" t="str">
        <f>IF(Regn2!$R88&gt;1,Regn2!HR88,"")</f>
        <v/>
      </c>
      <c r="FY88" s="15" t="s">
        <v>531</v>
      </c>
      <c r="GA88" s="17"/>
      <c r="GB88" s="15" t="s">
        <v>531</v>
      </c>
      <c r="GD88" s="15" t="str">
        <f>IF(Regn2!$R88&gt;1,RetentionNbal,"")</f>
        <v/>
      </c>
      <c r="GE88" s="15" t="s">
        <v>205</v>
      </c>
      <c r="GF88" s="17"/>
      <c r="GG88" s="15" t="s">
        <v>205</v>
      </c>
      <c r="GI88" s="15" t="str">
        <f>IF(Regn2!$R88&lt;=1,"",VLOOKUP(Regn2!$R88,Afgr,2))</f>
        <v/>
      </c>
      <c r="GK88" s="25" t="str">
        <f>IF(Regn2!$R88&gt;1,Regn2!IO88,"")</f>
        <v/>
      </c>
      <c r="GL88" s="15" t="s">
        <v>188</v>
      </c>
      <c r="GN88" s="16"/>
      <c r="GO88" s="15" t="s">
        <v>188</v>
      </c>
      <c r="GQ88" s="25" t="str">
        <f>IF(Regn2!$R88&gt;1,Regn2!JK88,"")</f>
        <v/>
      </c>
      <c r="GR88" s="15" t="s">
        <v>188</v>
      </c>
      <c r="GT88" s="16"/>
      <c r="GU88" s="15" t="s">
        <v>188</v>
      </c>
      <c r="GW88" s="25" t="str">
        <f>IF(Regn2!$R88&gt;1,Regn2!JO88,"")</f>
        <v/>
      </c>
      <c r="GX88" s="15" t="s">
        <v>188</v>
      </c>
      <c r="GZ88" s="16"/>
      <c r="HA88" s="15" t="s">
        <v>188</v>
      </c>
      <c r="HC88" s="25" t="str">
        <f>IF(Regn2!$R88&gt;1,Regn2!JS88,"")</f>
        <v/>
      </c>
      <c r="HD88" s="15" t="s">
        <v>188</v>
      </c>
      <c r="HF88" s="16"/>
      <c r="HG88" s="15" t="s">
        <v>188</v>
      </c>
      <c r="HI88" s="25" t="str">
        <f>IF(Regn2!$R88&gt;1,Regn2!JY88,"")</f>
        <v/>
      </c>
      <c r="HJ88" s="15" t="s">
        <v>362</v>
      </c>
      <c r="HL88" s="16"/>
      <c r="HM88" s="15" t="s">
        <v>188</v>
      </c>
      <c r="HO88" s="25" t="str">
        <f>IF(Regn2!$R88&gt;1,Regn2!KL88,"")</f>
        <v/>
      </c>
      <c r="HP88" s="15" t="s">
        <v>188</v>
      </c>
      <c r="HR88" s="16"/>
      <c r="HS88" s="15" t="s">
        <v>188</v>
      </c>
      <c r="HU88" s="25" t="str">
        <f>IF(Regn2!$R88&gt;1,Regn2!KP88,"")</f>
        <v/>
      </c>
      <c r="HV88" s="15" t="s">
        <v>188</v>
      </c>
      <c r="HX88" s="16"/>
      <c r="HY88" s="15" t="s">
        <v>188</v>
      </c>
      <c r="IA88" s="25" t="str">
        <f>IF(Regn2!$R88&gt;1,Regn2!KT88,"")</f>
        <v/>
      </c>
      <c r="IB88" s="15" t="s">
        <v>188</v>
      </c>
      <c r="ID88" s="16"/>
      <c r="IE88" s="15" t="s">
        <v>188</v>
      </c>
      <c r="IG88" s="25" t="str">
        <f>IF(Regn2!$R88&gt;1,Regn2!KX88,"")</f>
        <v/>
      </c>
      <c r="IH88" s="15" t="s">
        <v>531</v>
      </c>
      <c r="IJ88" s="16"/>
      <c r="IK88" s="15" t="s">
        <v>531</v>
      </c>
      <c r="IM88" s="25" t="str">
        <f>IF(Regn2!$R88&gt;1,Regn2!KZ88,"")</f>
        <v/>
      </c>
      <c r="IN88" s="15" t="s">
        <v>188</v>
      </c>
      <c r="IP88" s="16"/>
      <c r="IQ88" s="15" t="s">
        <v>188</v>
      </c>
      <c r="IS88" s="25" t="str">
        <f>IF(Regn2!$R88&gt;1,Regn2!LG88,"")</f>
        <v/>
      </c>
      <c r="IT88" s="15" t="s">
        <v>188</v>
      </c>
      <c r="IV88" s="16"/>
      <c r="IW88" s="15" t="s">
        <v>405</v>
      </c>
      <c r="IY88" s="25" t="str">
        <f>IF(Regn2!$R88&gt;1,Regn2!LM88,"")</f>
        <v/>
      </c>
      <c r="IZ88" s="15" t="s">
        <v>188</v>
      </c>
      <c r="JB88" s="16"/>
      <c r="JC88" s="15" t="s">
        <v>188</v>
      </c>
      <c r="JH88" s="25" t="str">
        <f>IF(Regn2!$R88&gt;1,Regn2!LQ88,"")</f>
        <v/>
      </c>
      <c r="JI88" s="15" t="s">
        <v>188</v>
      </c>
      <c r="JK88" s="16"/>
      <c r="JL88" s="15" t="s">
        <v>188</v>
      </c>
      <c r="JN88" s="15" t="str">
        <f>IF(Regn2!$T88&lt;=1,"",VLOOKUP(Regn2!$T88,Efgr,2))</f>
        <v/>
      </c>
      <c r="JP88" s="25" t="str">
        <f>IF(Regn2!$T88&gt;1,Regn2!LU88,"")</f>
        <v/>
      </c>
      <c r="JQ88" s="15" t="s">
        <v>188</v>
      </c>
      <c r="JS88" s="16"/>
      <c r="JT88" s="15" t="s">
        <v>188</v>
      </c>
      <c r="JV88" s="25" t="str">
        <f>IF(Regn2!$T88&gt;1,Regn2!MN88,"")</f>
        <v/>
      </c>
      <c r="JW88" s="15" t="s">
        <v>188</v>
      </c>
      <c r="JY88" s="16"/>
      <c r="JZ88" s="15" t="s">
        <v>188</v>
      </c>
      <c r="KB88" s="25" t="str">
        <f>IF(Regn2!$T88&gt;1,Regn2!MR88,"")</f>
        <v/>
      </c>
      <c r="KC88" s="15" t="s">
        <v>188</v>
      </c>
      <c r="KE88" s="16"/>
      <c r="KF88" s="15" t="s">
        <v>188</v>
      </c>
      <c r="KH88" s="25" t="str">
        <f>IF(Regn2!$T88&gt;1,Regn2!MV88,"")</f>
        <v/>
      </c>
      <c r="KI88" s="15" t="s">
        <v>188</v>
      </c>
      <c r="KK88" s="16"/>
      <c r="KL88" s="15" t="s">
        <v>188</v>
      </c>
      <c r="KN88" s="25" t="str">
        <f>IF(Regn2!$T88&gt;1,Regn2!NB88,"")</f>
        <v/>
      </c>
      <c r="KO88" s="15" t="s">
        <v>188</v>
      </c>
      <c r="KQ88" s="16"/>
      <c r="KR88" s="15" t="s">
        <v>188</v>
      </c>
      <c r="KT88" s="25" t="str">
        <f>IF(Regn2!$T88&gt;1,Regn2!NF88,"")</f>
        <v/>
      </c>
      <c r="KU88" s="15" t="s">
        <v>188</v>
      </c>
      <c r="KW88" s="16"/>
      <c r="KX88" s="15" t="s">
        <v>188</v>
      </c>
      <c r="KZ88" s="25" t="str">
        <f>IF(Regn2!$T88&gt;1,Regn2!NJ88,"")</f>
        <v/>
      </c>
      <c r="LA88" s="15" t="s">
        <v>188</v>
      </c>
      <c r="LC88" s="16"/>
      <c r="LD88" s="15" t="s">
        <v>188</v>
      </c>
      <c r="LF88" s="25" t="str">
        <f>IF(Regn2!$T88&gt;1,Regn2!NN88,"")</f>
        <v/>
      </c>
      <c r="LG88" s="15" t="s">
        <v>531</v>
      </c>
      <c r="LI88" s="16"/>
      <c r="LJ88" s="15" t="s">
        <v>531</v>
      </c>
      <c r="LL88" s="25" t="str">
        <f>IF(Regn2!$T88&gt;1,Regn2!NP88,"")</f>
        <v/>
      </c>
      <c r="LM88" s="15" t="s">
        <v>188</v>
      </c>
      <c r="LO88" s="16"/>
      <c r="LP88" s="15" t="s">
        <v>188</v>
      </c>
      <c r="LR88" s="25" t="str">
        <f>IF(Regn2!$T88&gt;1,Regn2!NV88,"")</f>
        <v/>
      </c>
      <c r="LS88" s="15" t="s">
        <v>188</v>
      </c>
      <c r="LU88" s="16"/>
      <c r="LV88" s="15" t="s">
        <v>188</v>
      </c>
      <c r="LX88" s="25" t="str">
        <f>IF(Regn2!$T88&gt;1,Regn2!NZ88,"")</f>
        <v/>
      </c>
      <c r="LY88" s="15" t="s">
        <v>188</v>
      </c>
      <c r="MA88" s="16"/>
      <c r="MB88" s="15" t="s">
        <v>188</v>
      </c>
    </row>
    <row r="89" spans="2:340" ht="8.1" customHeight="1" x14ac:dyDescent="0.25"/>
    <row r="90" spans="2:340" x14ac:dyDescent="0.25">
      <c r="B90" s="240"/>
      <c r="AG90" s="36"/>
      <c r="AH90" s="15" t="s">
        <v>85</v>
      </c>
      <c r="AL90" s="15" t="str">
        <f>IF(Regn2!$R90&lt;=1,"",VLOOKUP(Regn2!$R90,Afgr,2))</f>
        <v/>
      </c>
      <c r="AN90" s="32" t="str">
        <f>IF(Regn2!$R90&gt;1,Regn2!AE90,"")</f>
        <v/>
      </c>
      <c r="AO90" s="15" t="s">
        <v>82</v>
      </c>
      <c r="AQ90" s="17"/>
      <c r="AR90" s="15" t="s">
        <v>82</v>
      </c>
      <c r="AT90" s="37"/>
      <c r="AU90" s="15" t="s">
        <v>82</v>
      </c>
      <c r="AX90" s="17"/>
      <c r="AY90" s="15" t="s">
        <v>82</v>
      </c>
      <c r="BA90" s="17"/>
      <c r="BB90" s="15" t="s">
        <v>1504</v>
      </c>
      <c r="BD90" s="17"/>
      <c r="BE90" s="15" t="s">
        <v>1793</v>
      </c>
      <c r="BH90" s="17"/>
      <c r="BI90" s="15" t="s">
        <v>82</v>
      </c>
      <c r="BJ90" s="37">
        <v>75</v>
      </c>
      <c r="BK90" s="15" t="s">
        <v>205</v>
      </c>
      <c r="BM90" s="37"/>
      <c r="BN90" s="15" t="s">
        <v>82</v>
      </c>
      <c r="BP90" s="37">
        <v>75</v>
      </c>
      <c r="BQ90" s="15" t="s">
        <v>205</v>
      </c>
      <c r="BT90" s="17"/>
      <c r="BU90" s="15" t="s">
        <v>82</v>
      </c>
      <c r="BW90" s="17"/>
      <c r="BX90" s="15" t="s">
        <v>82</v>
      </c>
      <c r="BY90" s="37">
        <v>75</v>
      </c>
      <c r="BZ90" s="15" t="s">
        <v>205</v>
      </c>
      <c r="CB90" s="17"/>
      <c r="CC90" s="15" t="s">
        <v>1504</v>
      </c>
      <c r="CE90" s="17"/>
      <c r="CF90" s="15" t="s">
        <v>1793</v>
      </c>
      <c r="CH90" s="55" t="str">
        <f>IF(Regn2!$R90&gt;1,Regn2!AL90,"")</f>
        <v/>
      </c>
      <c r="CI90" s="15" t="str">
        <f>IF(Regn2!AO90&lt;&gt;0,Regn2!AO90,"")</f>
        <v/>
      </c>
      <c r="CK90" s="16"/>
      <c r="CL90" s="15" t="str">
        <f>IF(Regn2!AO90&lt;&gt;0,Regn2!AO90,"")</f>
        <v/>
      </c>
      <c r="CN90" s="33" t="str">
        <f>IF(Regn2!$R90&gt;1,Regn2!DK90,"")</f>
        <v/>
      </c>
      <c r="CO90" s="15" t="s">
        <v>201</v>
      </c>
      <c r="CQ90" s="38"/>
      <c r="CR90" s="15" t="s">
        <v>201</v>
      </c>
      <c r="CT90" s="55" t="str">
        <f>IF(Regn2!$R90&gt;1,Regn2!AR90,"")</f>
        <v/>
      </c>
      <c r="CU90" s="15" t="s">
        <v>188</v>
      </c>
      <c r="CW90" s="124"/>
      <c r="CX90" s="15" t="s">
        <v>188</v>
      </c>
      <c r="CZ90" s="25" t="str">
        <f>IF(Regn2!$R90&gt;1,Regn2!AW90,"")</f>
        <v/>
      </c>
      <c r="DA90" s="15" t="s">
        <v>188</v>
      </c>
      <c r="DC90" s="17"/>
      <c r="DD90" s="15" t="s">
        <v>188</v>
      </c>
      <c r="DF90" s="25" t="str">
        <f>IF(Regn2!$R90&gt;1,Regn2!BB90,"")</f>
        <v/>
      </c>
      <c r="DG90" s="15" t="s">
        <v>192</v>
      </c>
      <c r="DI90" s="16"/>
      <c r="DJ90" s="15" t="s">
        <v>192</v>
      </c>
      <c r="DO90" s="33" t="str">
        <f>IF(Regn2!$R90&gt;1,Regn2!BI90,"")</f>
        <v/>
      </c>
      <c r="DP90" s="15" t="s">
        <v>188</v>
      </c>
      <c r="DR90" s="38"/>
      <c r="DS90" s="15" t="s">
        <v>188</v>
      </c>
      <c r="DU90" s="15" t="str">
        <f>IF(Regn2!$T90&lt;=1,"",VLOOKUP(Regn2!$T90,Efgr,2))</f>
        <v/>
      </c>
      <c r="DW90" s="25" t="str">
        <f>IF(Regn2!$T90&gt;1,Regn2!BN90,"")</f>
        <v/>
      </c>
      <c r="DX90" s="15" t="s">
        <v>82</v>
      </c>
      <c r="DZ90" s="16"/>
      <c r="EA90" s="15" t="s">
        <v>82</v>
      </c>
      <c r="EC90" s="17"/>
      <c r="ED90" s="15" t="s">
        <v>1504</v>
      </c>
      <c r="EF90" s="17"/>
      <c r="EG90" s="15" t="s">
        <v>1793</v>
      </c>
      <c r="EI90" s="16"/>
      <c r="EJ90" s="15" t="s">
        <v>82</v>
      </c>
      <c r="EL90" s="16">
        <v>75</v>
      </c>
      <c r="EM90" s="15" t="s">
        <v>205</v>
      </c>
      <c r="EO90" s="25">
        <f>EI90*EL90*0.01</f>
        <v>0</v>
      </c>
      <c r="EP90" s="15" t="s">
        <v>82</v>
      </c>
      <c r="ER90" s="17"/>
      <c r="ES90" s="15" t="s">
        <v>82</v>
      </c>
      <c r="EV90" s="17"/>
      <c r="EW90" s="15" t="s">
        <v>1504</v>
      </c>
      <c r="EY90" s="17"/>
      <c r="EZ90" s="15" t="s">
        <v>1793</v>
      </c>
      <c r="FB90" s="25" t="str">
        <f>IF(Regn2!$T90&gt;1,Regn2!BQ90,"")</f>
        <v/>
      </c>
      <c r="FC90" s="15" t="str">
        <f>IF(Regn2!$T90&gt;1,Regn2!BT90,"")</f>
        <v/>
      </c>
      <c r="FE90" s="16"/>
      <c r="FF90" s="15" t="str">
        <f>IF(Regn2!$T90&gt;1,Regn2!BT90,"")</f>
        <v/>
      </c>
      <c r="FL90" s="32" t="str">
        <f>IF(Regn2!$R90&gt;1,NniveauDelsaedsk1,"")</f>
        <v/>
      </c>
      <c r="FM90" s="15" t="s">
        <v>82</v>
      </c>
      <c r="FO90" s="17"/>
      <c r="FP90" s="15" t="s">
        <v>82</v>
      </c>
      <c r="FR90" s="32" t="str">
        <f>IF(Regn2!$R90&gt;1,Regn2!HU90,"")</f>
        <v/>
      </c>
      <c r="FS90" s="15" t="s">
        <v>531</v>
      </c>
      <c r="FU90" s="17"/>
      <c r="FV90" s="15" t="s">
        <v>531</v>
      </c>
      <c r="FX90" s="32" t="str">
        <f>IF(Regn2!$R90&gt;1,Regn2!HR90,"")</f>
        <v/>
      </c>
      <c r="FY90" s="15" t="s">
        <v>531</v>
      </c>
      <c r="GA90" s="17"/>
      <c r="GB90" s="15" t="s">
        <v>531</v>
      </c>
      <c r="GD90" s="15" t="str">
        <f>IF(Regn2!$R90&gt;1,RetentionNbal,"")</f>
        <v/>
      </c>
      <c r="GE90" s="15" t="s">
        <v>205</v>
      </c>
      <c r="GF90" s="17"/>
      <c r="GG90" s="15" t="s">
        <v>205</v>
      </c>
      <c r="GI90" s="15" t="str">
        <f>IF(Regn2!$R90&lt;=1,"",VLOOKUP(Regn2!$R90,Afgr,2))</f>
        <v/>
      </c>
      <c r="GK90" s="25" t="str">
        <f>IF(Regn2!$R90&gt;1,Regn2!IO90,"")</f>
        <v/>
      </c>
      <c r="GL90" s="15" t="s">
        <v>188</v>
      </c>
      <c r="GN90" s="16"/>
      <c r="GO90" s="15" t="s">
        <v>188</v>
      </c>
      <c r="GQ90" s="25" t="str">
        <f>IF(Regn2!$R90&gt;1,Regn2!JK90,"")</f>
        <v/>
      </c>
      <c r="GR90" s="15" t="s">
        <v>188</v>
      </c>
      <c r="GT90" s="16"/>
      <c r="GU90" s="15" t="s">
        <v>188</v>
      </c>
      <c r="GW90" s="25" t="str">
        <f>IF(Regn2!$R90&gt;1,Regn2!JO90,"")</f>
        <v/>
      </c>
      <c r="GX90" s="15" t="s">
        <v>188</v>
      </c>
      <c r="GZ90" s="16"/>
      <c r="HA90" s="15" t="s">
        <v>188</v>
      </c>
      <c r="HC90" s="25" t="str">
        <f>IF(Regn2!$R90&gt;1,Regn2!JS90,"")</f>
        <v/>
      </c>
      <c r="HD90" s="15" t="s">
        <v>188</v>
      </c>
      <c r="HF90" s="16"/>
      <c r="HG90" s="15" t="s">
        <v>188</v>
      </c>
      <c r="HI90" s="25" t="str">
        <f>IF(Regn2!$R90&gt;1,Regn2!JY90,"")</f>
        <v/>
      </c>
      <c r="HJ90" s="15" t="s">
        <v>362</v>
      </c>
      <c r="HL90" s="16"/>
      <c r="HM90" s="15" t="s">
        <v>188</v>
      </c>
      <c r="HO90" s="25" t="str">
        <f>IF(Regn2!$R90&gt;1,Regn2!KL90,"")</f>
        <v/>
      </c>
      <c r="HP90" s="15" t="s">
        <v>188</v>
      </c>
      <c r="HR90" s="16"/>
      <c r="HS90" s="15" t="s">
        <v>188</v>
      </c>
      <c r="HU90" s="25" t="str">
        <f>IF(Regn2!$R90&gt;1,Regn2!KP90,"")</f>
        <v/>
      </c>
      <c r="HV90" s="15" t="s">
        <v>188</v>
      </c>
      <c r="HX90" s="16"/>
      <c r="HY90" s="15" t="s">
        <v>188</v>
      </c>
      <c r="IA90" s="25" t="str">
        <f>IF(Regn2!$R90&gt;1,Regn2!KT90,"")</f>
        <v/>
      </c>
      <c r="IB90" s="15" t="s">
        <v>188</v>
      </c>
      <c r="ID90" s="16"/>
      <c r="IE90" s="15" t="s">
        <v>188</v>
      </c>
      <c r="IG90" s="25" t="str">
        <f>IF(Regn2!$R90&gt;1,Regn2!KX90,"")</f>
        <v/>
      </c>
      <c r="IH90" s="15" t="s">
        <v>531</v>
      </c>
      <c r="IJ90" s="16"/>
      <c r="IK90" s="15" t="s">
        <v>531</v>
      </c>
      <c r="IM90" s="25" t="str">
        <f>IF(Regn2!$R90&gt;1,Regn2!KZ90,"")</f>
        <v/>
      </c>
      <c r="IN90" s="15" t="s">
        <v>188</v>
      </c>
      <c r="IP90" s="16"/>
      <c r="IQ90" s="15" t="s">
        <v>188</v>
      </c>
      <c r="IS90" s="25" t="str">
        <f>IF(Regn2!$R90&gt;1,Regn2!LG90,"")</f>
        <v/>
      </c>
      <c r="IT90" s="15" t="s">
        <v>188</v>
      </c>
      <c r="IV90" s="16"/>
      <c r="IW90" s="15" t="s">
        <v>405</v>
      </c>
      <c r="IY90" s="25" t="str">
        <f>IF(Regn2!$R90&gt;1,Regn2!LM90,"")</f>
        <v/>
      </c>
      <c r="IZ90" s="15" t="s">
        <v>188</v>
      </c>
      <c r="JB90" s="16"/>
      <c r="JC90" s="15" t="s">
        <v>188</v>
      </c>
      <c r="JH90" s="25" t="str">
        <f>IF(Regn2!$R90&gt;1,Regn2!LQ90,"")</f>
        <v/>
      </c>
      <c r="JI90" s="15" t="s">
        <v>188</v>
      </c>
      <c r="JK90" s="16"/>
      <c r="JL90" s="15" t="s">
        <v>188</v>
      </c>
      <c r="JN90" s="15" t="str">
        <f>IF(Regn2!$T90&lt;=1,"",VLOOKUP(Regn2!$T90,Efgr,2))</f>
        <v/>
      </c>
      <c r="JP90" s="25" t="str">
        <f>IF(Regn2!$T90&gt;1,Regn2!LU90,"")</f>
        <v/>
      </c>
      <c r="JQ90" s="15" t="s">
        <v>188</v>
      </c>
      <c r="JS90" s="16"/>
      <c r="JT90" s="15" t="s">
        <v>188</v>
      </c>
      <c r="JV90" s="25" t="str">
        <f>IF(Regn2!$T90&gt;1,Regn2!MN90,"")</f>
        <v/>
      </c>
      <c r="JW90" s="15" t="s">
        <v>188</v>
      </c>
      <c r="JY90" s="16"/>
      <c r="JZ90" s="15" t="s">
        <v>188</v>
      </c>
      <c r="KB90" s="25" t="str">
        <f>IF(Regn2!$T90&gt;1,Regn2!MR90,"")</f>
        <v/>
      </c>
      <c r="KC90" s="15" t="s">
        <v>188</v>
      </c>
      <c r="KE90" s="16"/>
      <c r="KF90" s="15" t="s">
        <v>188</v>
      </c>
      <c r="KH90" s="25" t="str">
        <f>IF(Regn2!$T90&gt;1,Regn2!MV90,"")</f>
        <v/>
      </c>
      <c r="KI90" s="15" t="s">
        <v>188</v>
      </c>
      <c r="KK90" s="16"/>
      <c r="KL90" s="15" t="s">
        <v>188</v>
      </c>
      <c r="KN90" s="25" t="str">
        <f>IF(Regn2!$T90&gt;1,Regn2!NB90,"")</f>
        <v/>
      </c>
      <c r="KO90" s="15" t="s">
        <v>188</v>
      </c>
      <c r="KQ90" s="16"/>
      <c r="KR90" s="15" t="s">
        <v>188</v>
      </c>
      <c r="KT90" s="25" t="str">
        <f>IF(Regn2!$T90&gt;1,Regn2!NF90,"")</f>
        <v/>
      </c>
      <c r="KU90" s="15" t="s">
        <v>188</v>
      </c>
      <c r="KW90" s="16"/>
      <c r="KX90" s="15" t="s">
        <v>188</v>
      </c>
      <c r="KZ90" s="25" t="str">
        <f>IF(Regn2!$T90&gt;1,Regn2!NJ90,"")</f>
        <v/>
      </c>
      <c r="LA90" s="15" t="s">
        <v>188</v>
      </c>
      <c r="LC90" s="16"/>
      <c r="LD90" s="15" t="s">
        <v>188</v>
      </c>
      <c r="LF90" s="25" t="str">
        <f>IF(Regn2!$T90&gt;1,Regn2!NN90,"")</f>
        <v/>
      </c>
      <c r="LG90" s="15" t="s">
        <v>531</v>
      </c>
      <c r="LI90" s="16"/>
      <c r="LJ90" s="15" t="s">
        <v>531</v>
      </c>
      <c r="LL90" s="25" t="str">
        <f>IF(Regn2!$T90&gt;1,Regn2!NP90,"")</f>
        <v/>
      </c>
      <c r="LM90" s="15" t="s">
        <v>188</v>
      </c>
      <c r="LO90" s="16"/>
      <c r="LP90" s="15" t="s">
        <v>188</v>
      </c>
      <c r="LR90" s="25" t="str">
        <f>IF(Regn2!$T90&gt;1,Regn2!NV90,"")</f>
        <v/>
      </c>
      <c r="LS90" s="15" t="s">
        <v>188</v>
      </c>
      <c r="LU90" s="16"/>
      <c r="LV90" s="15" t="s">
        <v>188</v>
      </c>
      <c r="LX90" s="25" t="str">
        <f>IF(Regn2!$T90&gt;1,Regn2!NZ90,"")</f>
        <v/>
      </c>
      <c r="LY90" s="15" t="s">
        <v>188</v>
      </c>
      <c r="MA90" s="16"/>
      <c r="MB90" s="15" t="s">
        <v>188</v>
      </c>
    </row>
    <row r="91" spans="2:340" ht="8.1" customHeight="1" x14ac:dyDescent="0.25"/>
    <row r="92" spans="2:340" x14ac:dyDescent="0.25">
      <c r="B92" s="240"/>
      <c r="AG92" s="36"/>
      <c r="AH92" s="15" t="s">
        <v>85</v>
      </c>
      <c r="AL92" s="15" t="str">
        <f>IF(Regn2!$R92&lt;=1,"",VLOOKUP(Regn2!$R92,Afgr,2))</f>
        <v/>
      </c>
      <c r="AN92" s="32" t="str">
        <f>IF(Regn2!$R92&gt;1,Regn2!AE92,"")</f>
        <v/>
      </c>
      <c r="AO92" s="15" t="s">
        <v>82</v>
      </c>
      <c r="AQ92" s="17"/>
      <c r="AR92" s="15" t="s">
        <v>82</v>
      </c>
      <c r="AT92" s="37"/>
      <c r="AU92" s="15" t="s">
        <v>82</v>
      </c>
      <c r="AX92" s="17"/>
      <c r="AY92" s="15" t="s">
        <v>82</v>
      </c>
      <c r="BA92" s="17"/>
      <c r="BB92" s="15" t="s">
        <v>1504</v>
      </c>
      <c r="BD92" s="17"/>
      <c r="BE92" s="15" t="s">
        <v>1793</v>
      </c>
      <c r="BH92" s="17"/>
      <c r="BI92" s="15" t="s">
        <v>82</v>
      </c>
      <c r="BJ92" s="37">
        <v>75</v>
      </c>
      <c r="BK92" s="15" t="s">
        <v>205</v>
      </c>
      <c r="BM92" s="37"/>
      <c r="BN92" s="15" t="s">
        <v>82</v>
      </c>
      <c r="BP92" s="37">
        <v>75</v>
      </c>
      <c r="BQ92" s="15" t="s">
        <v>205</v>
      </c>
      <c r="BT92" s="17"/>
      <c r="BU92" s="15" t="s">
        <v>82</v>
      </c>
      <c r="BW92" s="17"/>
      <c r="BX92" s="15" t="s">
        <v>82</v>
      </c>
      <c r="BY92" s="37">
        <v>75</v>
      </c>
      <c r="BZ92" s="15" t="s">
        <v>205</v>
      </c>
      <c r="CB92" s="17"/>
      <c r="CC92" s="15" t="s">
        <v>1504</v>
      </c>
      <c r="CE92" s="17"/>
      <c r="CF92" s="15" t="s">
        <v>1793</v>
      </c>
      <c r="CH92" s="55" t="str">
        <f>IF(Regn2!$R92&gt;1,Regn2!AL92,"")</f>
        <v/>
      </c>
      <c r="CI92" s="15" t="str">
        <f>IF(Regn2!AO92&lt;&gt;0,Regn2!AO92,"")</f>
        <v/>
      </c>
      <c r="CK92" s="16"/>
      <c r="CL92" s="15" t="str">
        <f>IF(Regn2!AO92&lt;&gt;0,Regn2!AO92,"")</f>
        <v/>
      </c>
      <c r="CN92" s="33" t="str">
        <f>IF(Regn2!$R92&gt;1,Regn2!DK92,"")</f>
        <v/>
      </c>
      <c r="CO92" s="15" t="s">
        <v>201</v>
      </c>
      <c r="CQ92" s="38"/>
      <c r="CR92" s="15" t="s">
        <v>201</v>
      </c>
      <c r="CT92" s="55" t="str">
        <f>IF(Regn2!$R92&gt;1,Regn2!AR92,"")</f>
        <v/>
      </c>
      <c r="CU92" s="15" t="s">
        <v>188</v>
      </c>
      <c r="CW92" s="124"/>
      <c r="CX92" s="15" t="s">
        <v>188</v>
      </c>
      <c r="CZ92" s="25" t="str">
        <f>IF(Regn2!$R92&gt;1,Regn2!AW92,"")</f>
        <v/>
      </c>
      <c r="DA92" s="15" t="s">
        <v>188</v>
      </c>
      <c r="DC92" s="17"/>
      <c r="DD92" s="15" t="s">
        <v>188</v>
      </c>
      <c r="DF92" s="25" t="str">
        <f>IF(Regn2!$R92&gt;1,Regn2!BB92,"")</f>
        <v/>
      </c>
      <c r="DG92" s="15" t="s">
        <v>192</v>
      </c>
      <c r="DI92" s="16"/>
      <c r="DJ92" s="15" t="s">
        <v>192</v>
      </c>
      <c r="DO92" s="33" t="str">
        <f>IF(Regn2!$R92&gt;1,Regn2!BI92,"")</f>
        <v/>
      </c>
      <c r="DP92" s="15" t="s">
        <v>188</v>
      </c>
      <c r="DR92" s="38"/>
      <c r="DS92" s="15" t="s">
        <v>188</v>
      </c>
      <c r="DU92" s="15" t="str">
        <f>IF(Regn2!$T92&lt;=1,"",VLOOKUP(Regn2!$T92,Efgr,2))</f>
        <v/>
      </c>
      <c r="DW92" s="25" t="str">
        <f>IF(Regn2!$T92&gt;1,Regn2!BN92,"")</f>
        <v/>
      </c>
      <c r="DX92" s="15" t="s">
        <v>82</v>
      </c>
      <c r="DZ92" s="16"/>
      <c r="EA92" s="15" t="s">
        <v>82</v>
      </c>
      <c r="EC92" s="17"/>
      <c r="ED92" s="15" t="s">
        <v>1504</v>
      </c>
      <c r="EF92" s="17"/>
      <c r="EG92" s="15" t="s">
        <v>1793</v>
      </c>
      <c r="EI92" s="16"/>
      <c r="EJ92" s="15" t="s">
        <v>82</v>
      </c>
      <c r="EL92" s="16">
        <v>75</v>
      </c>
      <c r="EM92" s="15" t="s">
        <v>205</v>
      </c>
      <c r="EO92" s="25">
        <f>EI92*EL92*0.01</f>
        <v>0</v>
      </c>
      <c r="EP92" s="15" t="s">
        <v>82</v>
      </c>
      <c r="ER92" s="17"/>
      <c r="ES92" s="15" t="s">
        <v>82</v>
      </c>
      <c r="EV92" s="17"/>
      <c r="EW92" s="15" t="s">
        <v>1504</v>
      </c>
      <c r="EY92" s="17"/>
      <c r="EZ92" s="15" t="s">
        <v>1793</v>
      </c>
      <c r="FB92" s="25" t="str">
        <f>IF(Regn2!$T92&gt;1,Regn2!BQ92,"")</f>
        <v/>
      </c>
      <c r="FC92" s="15" t="str">
        <f>IF(Regn2!$T92&gt;1,Regn2!BT92,"")</f>
        <v/>
      </c>
      <c r="FE92" s="16"/>
      <c r="FF92" s="15" t="str">
        <f>IF(Regn2!$T92&gt;1,Regn2!BT92,"")</f>
        <v/>
      </c>
      <c r="FL92" s="32" t="str">
        <f>IF(Regn2!$R92&gt;1,NniveauDelsaedsk1,"")</f>
        <v/>
      </c>
      <c r="FM92" s="15" t="s">
        <v>82</v>
      </c>
      <c r="FO92" s="17"/>
      <c r="FP92" s="15" t="s">
        <v>82</v>
      </c>
      <c r="FR92" s="32" t="str">
        <f>IF(Regn2!$R92&gt;1,Regn2!HU92,"")</f>
        <v/>
      </c>
      <c r="FS92" s="15" t="s">
        <v>531</v>
      </c>
      <c r="FU92" s="17"/>
      <c r="FV92" s="15" t="s">
        <v>531</v>
      </c>
      <c r="FX92" s="32" t="str">
        <f>IF(Regn2!$R92&gt;1,Regn2!HR92,"")</f>
        <v/>
      </c>
      <c r="FY92" s="15" t="s">
        <v>531</v>
      </c>
      <c r="GA92" s="17"/>
      <c r="GB92" s="15" t="s">
        <v>531</v>
      </c>
      <c r="GD92" s="15" t="str">
        <f>IF(Regn2!$R92&gt;1,RetentionNbal,"")</f>
        <v/>
      </c>
      <c r="GE92" s="15" t="s">
        <v>205</v>
      </c>
      <c r="GF92" s="17"/>
      <c r="GG92" s="15" t="s">
        <v>205</v>
      </c>
      <c r="GI92" s="15" t="str">
        <f>IF(Regn2!$R92&lt;=1,"",VLOOKUP(Regn2!$R92,Afgr,2))</f>
        <v/>
      </c>
      <c r="GK92" s="25" t="str">
        <f>IF(Regn2!$R92&gt;1,Regn2!IO92,"")</f>
        <v/>
      </c>
      <c r="GL92" s="15" t="s">
        <v>188</v>
      </c>
      <c r="GN92" s="16"/>
      <c r="GO92" s="15" t="s">
        <v>188</v>
      </c>
      <c r="GQ92" s="25" t="str">
        <f>IF(Regn2!$R92&gt;1,Regn2!JK92,"")</f>
        <v/>
      </c>
      <c r="GR92" s="15" t="s">
        <v>188</v>
      </c>
      <c r="GT92" s="16"/>
      <c r="GU92" s="15" t="s">
        <v>188</v>
      </c>
      <c r="GW92" s="25" t="str">
        <f>IF(Regn2!$R92&gt;1,Regn2!JO92,"")</f>
        <v/>
      </c>
      <c r="GX92" s="15" t="s">
        <v>188</v>
      </c>
      <c r="GZ92" s="16"/>
      <c r="HA92" s="15" t="s">
        <v>188</v>
      </c>
      <c r="HC92" s="25" t="str">
        <f>IF(Regn2!$R92&gt;1,Regn2!JS92,"")</f>
        <v/>
      </c>
      <c r="HD92" s="15" t="s">
        <v>188</v>
      </c>
      <c r="HF92" s="16"/>
      <c r="HG92" s="15" t="s">
        <v>188</v>
      </c>
      <c r="HI92" s="25" t="str">
        <f>IF(Regn2!$R92&gt;1,Regn2!JY92,"")</f>
        <v/>
      </c>
      <c r="HJ92" s="15" t="s">
        <v>362</v>
      </c>
      <c r="HL92" s="16"/>
      <c r="HM92" s="15" t="s">
        <v>188</v>
      </c>
      <c r="HO92" s="25" t="str">
        <f>IF(Regn2!$R92&gt;1,Regn2!KL92,"")</f>
        <v/>
      </c>
      <c r="HP92" s="15" t="s">
        <v>188</v>
      </c>
      <c r="HR92" s="16"/>
      <c r="HS92" s="15" t="s">
        <v>188</v>
      </c>
      <c r="HU92" s="25" t="str">
        <f>IF(Regn2!$R92&gt;1,Regn2!KP92,"")</f>
        <v/>
      </c>
      <c r="HV92" s="15" t="s">
        <v>188</v>
      </c>
      <c r="HX92" s="16"/>
      <c r="HY92" s="15" t="s">
        <v>188</v>
      </c>
      <c r="IA92" s="25" t="str">
        <f>IF(Regn2!$R92&gt;1,Regn2!KT92,"")</f>
        <v/>
      </c>
      <c r="IB92" s="15" t="s">
        <v>188</v>
      </c>
      <c r="ID92" s="16"/>
      <c r="IE92" s="15" t="s">
        <v>188</v>
      </c>
      <c r="IG92" s="25" t="str">
        <f>IF(Regn2!$R92&gt;1,Regn2!KX92,"")</f>
        <v/>
      </c>
      <c r="IH92" s="15" t="s">
        <v>531</v>
      </c>
      <c r="IJ92" s="16"/>
      <c r="IK92" s="15" t="s">
        <v>531</v>
      </c>
      <c r="IM92" s="25" t="str">
        <f>IF(Regn2!$R92&gt;1,Regn2!KZ92,"")</f>
        <v/>
      </c>
      <c r="IN92" s="15" t="s">
        <v>188</v>
      </c>
      <c r="IP92" s="16"/>
      <c r="IQ92" s="15" t="s">
        <v>188</v>
      </c>
      <c r="IS92" s="25" t="str">
        <f>IF(Regn2!$R92&gt;1,Regn2!LG92,"")</f>
        <v/>
      </c>
      <c r="IT92" s="15" t="s">
        <v>188</v>
      </c>
      <c r="IV92" s="16"/>
      <c r="IW92" s="15" t="s">
        <v>405</v>
      </c>
      <c r="IY92" s="25" t="str">
        <f>IF(Regn2!$R92&gt;1,Regn2!LM92,"")</f>
        <v/>
      </c>
      <c r="IZ92" s="15" t="s">
        <v>188</v>
      </c>
      <c r="JB92" s="16"/>
      <c r="JC92" s="15" t="s">
        <v>188</v>
      </c>
      <c r="JH92" s="25" t="str">
        <f>IF(Regn2!$R92&gt;1,Regn2!LQ92,"")</f>
        <v/>
      </c>
      <c r="JI92" s="15" t="s">
        <v>188</v>
      </c>
      <c r="JK92" s="16"/>
      <c r="JL92" s="15" t="s">
        <v>188</v>
      </c>
      <c r="JN92" s="15" t="str">
        <f>IF(Regn2!$T92&lt;=1,"",VLOOKUP(Regn2!$T92,Efgr,2))</f>
        <v/>
      </c>
      <c r="JP92" s="25" t="str">
        <f>IF(Regn2!$T92&gt;1,Regn2!LU92,"")</f>
        <v/>
      </c>
      <c r="JQ92" s="15" t="s">
        <v>188</v>
      </c>
      <c r="JS92" s="16"/>
      <c r="JT92" s="15" t="s">
        <v>188</v>
      </c>
      <c r="JV92" s="25" t="str">
        <f>IF(Regn2!$T92&gt;1,Regn2!MN92,"")</f>
        <v/>
      </c>
      <c r="JW92" s="15" t="s">
        <v>188</v>
      </c>
      <c r="JY92" s="16"/>
      <c r="JZ92" s="15" t="s">
        <v>188</v>
      </c>
      <c r="KB92" s="25" t="str">
        <f>IF(Regn2!$T92&gt;1,Regn2!MR92,"")</f>
        <v/>
      </c>
      <c r="KC92" s="15" t="s">
        <v>188</v>
      </c>
      <c r="KE92" s="16"/>
      <c r="KF92" s="15" t="s">
        <v>188</v>
      </c>
      <c r="KH92" s="25" t="str">
        <f>IF(Regn2!$T92&gt;1,Regn2!MV92,"")</f>
        <v/>
      </c>
      <c r="KI92" s="15" t="s">
        <v>188</v>
      </c>
      <c r="KK92" s="16"/>
      <c r="KL92" s="15" t="s">
        <v>188</v>
      </c>
      <c r="KN92" s="25" t="str">
        <f>IF(Regn2!$T92&gt;1,Regn2!NB92,"")</f>
        <v/>
      </c>
      <c r="KO92" s="15" t="s">
        <v>188</v>
      </c>
      <c r="KQ92" s="16"/>
      <c r="KR92" s="15" t="s">
        <v>188</v>
      </c>
      <c r="KT92" s="25" t="str">
        <f>IF(Regn2!$T92&gt;1,Regn2!NF92,"")</f>
        <v/>
      </c>
      <c r="KU92" s="15" t="s">
        <v>188</v>
      </c>
      <c r="KW92" s="16"/>
      <c r="KX92" s="15" t="s">
        <v>188</v>
      </c>
      <c r="KZ92" s="25" t="str">
        <f>IF(Regn2!$T92&gt;1,Regn2!NJ92,"")</f>
        <v/>
      </c>
      <c r="LA92" s="15" t="s">
        <v>188</v>
      </c>
      <c r="LC92" s="16"/>
      <c r="LD92" s="15" t="s">
        <v>188</v>
      </c>
      <c r="LF92" s="25" t="str">
        <f>IF(Regn2!$T92&gt;1,Regn2!NN92,"")</f>
        <v/>
      </c>
      <c r="LG92" s="15" t="s">
        <v>531</v>
      </c>
      <c r="LI92" s="16"/>
      <c r="LJ92" s="15" t="s">
        <v>531</v>
      </c>
      <c r="LL92" s="25" t="str">
        <f>IF(Regn2!$T92&gt;1,Regn2!NP92,"")</f>
        <v/>
      </c>
      <c r="LM92" s="15" t="s">
        <v>188</v>
      </c>
      <c r="LO92" s="16"/>
      <c r="LP92" s="15" t="s">
        <v>188</v>
      </c>
      <c r="LR92" s="25" t="str">
        <f>IF(Regn2!$T92&gt;1,Regn2!NV92,"")</f>
        <v/>
      </c>
      <c r="LS92" s="15" t="s">
        <v>188</v>
      </c>
      <c r="LU92" s="16"/>
      <c r="LV92" s="15" t="s">
        <v>188</v>
      </c>
      <c r="LX92" s="25" t="str">
        <f>IF(Regn2!$T92&gt;1,Regn2!NZ92,"")</f>
        <v/>
      </c>
      <c r="LY92" s="15" t="s">
        <v>188</v>
      </c>
      <c r="MA92" s="16"/>
      <c r="MB92" s="15" t="s">
        <v>188</v>
      </c>
    </row>
    <row r="93" spans="2:340" ht="8.1" customHeight="1" x14ac:dyDescent="0.25"/>
    <row r="94" spans="2:340" x14ac:dyDescent="0.25">
      <c r="B94" s="240"/>
      <c r="AG94" s="36"/>
      <c r="AH94" s="15" t="s">
        <v>85</v>
      </c>
      <c r="AL94" s="15" t="str">
        <f>IF(Regn2!$R94&lt;=1,"",VLOOKUP(Regn2!$R94,Afgr,2))</f>
        <v/>
      </c>
      <c r="AN94" s="32" t="str">
        <f>IF(Regn2!$R94&gt;1,Regn2!AE94,"")</f>
        <v/>
      </c>
      <c r="AO94" s="15" t="s">
        <v>82</v>
      </c>
      <c r="AQ94" s="17"/>
      <c r="AR94" s="15" t="s">
        <v>82</v>
      </c>
      <c r="AT94" s="37"/>
      <c r="AU94" s="15" t="s">
        <v>82</v>
      </c>
      <c r="AX94" s="17"/>
      <c r="AY94" s="15" t="s">
        <v>82</v>
      </c>
      <c r="BA94" s="17"/>
      <c r="BB94" s="15" t="s">
        <v>1504</v>
      </c>
      <c r="BD94" s="17"/>
      <c r="BE94" s="15" t="s">
        <v>1793</v>
      </c>
      <c r="BH94" s="17"/>
      <c r="BI94" s="15" t="s">
        <v>82</v>
      </c>
      <c r="BJ94" s="37">
        <v>75</v>
      </c>
      <c r="BK94" s="15" t="s">
        <v>205</v>
      </c>
      <c r="BM94" s="37"/>
      <c r="BN94" s="15" t="s">
        <v>82</v>
      </c>
      <c r="BP94" s="37">
        <v>75</v>
      </c>
      <c r="BQ94" s="15" t="s">
        <v>205</v>
      </c>
      <c r="BT94" s="17"/>
      <c r="BU94" s="15" t="s">
        <v>82</v>
      </c>
      <c r="BW94" s="17"/>
      <c r="BX94" s="15" t="s">
        <v>82</v>
      </c>
      <c r="BY94" s="37">
        <v>75</v>
      </c>
      <c r="BZ94" s="15" t="s">
        <v>205</v>
      </c>
      <c r="CB94" s="17"/>
      <c r="CC94" s="15" t="s">
        <v>1504</v>
      </c>
      <c r="CE94" s="17"/>
      <c r="CF94" s="15" t="s">
        <v>1793</v>
      </c>
      <c r="CH94" s="55" t="str">
        <f>IF(Regn2!$R94&gt;1,Regn2!AL94,"")</f>
        <v/>
      </c>
      <c r="CI94" s="15" t="str">
        <f>IF(Regn2!AO94&lt;&gt;0,Regn2!AO94,"")</f>
        <v/>
      </c>
      <c r="CK94" s="16"/>
      <c r="CL94" s="15" t="str">
        <f>IF(Regn2!AO94&lt;&gt;0,Regn2!AO94,"")</f>
        <v/>
      </c>
      <c r="CN94" s="33" t="str">
        <f>IF(Regn2!$R94&gt;1,Regn2!DK94,"")</f>
        <v/>
      </c>
      <c r="CO94" s="15" t="s">
        <v>201</v>
      </c>
      <c r="CQ94" s="38"/>
      <c r="CR94" s="15" t="s">
        <v>201</v>
      </c>
      <c r="CT94" s="55" t="str">
        <f>IF(Regn2!$R94&gt;1,Regn2!AR94,"")</f>
        <v/>
      </c>
      <c r="CU94" s="15" t="s">
        <v>188</v>
      </c>
      <c r="CW94" s="124"/>
      <c r="CX94" s="15" t="s">
        <v>188</v>
      </c>
      <c r="CZ94" s="25" t="str">
        <f>IF(Regn2!$R94&gt;1,Regn2!AW94,"")</f>
        <v/>
      </c>
      <c r="DA94" s="15" t="s">
        <v>188</v>
      </c>
      <c r="DC94" s="17"/>
      <c r="DD94" s="15" t="s">
        <v>188</v>
      </c>
      <c r="DF94" s="25" t="str">
        <f>IF(Regn2!$R94&gt;1,Regn2!BB94,"")</f>
        <v/>
      </c>
      <c r="DG94" s="15" t="s">
        <v>192</v>
      </c>
      <c r="DI94" s="16"/>
      <c r="DJ94" s="15" t="s">
        <v>192</v>
      </c>
      <c r="DO94" s="33" t="str">
        <f>IF(Regn2!$R94&gt;1,Regn2!BI94,"")</f>
        <v/>
      </c>
      <c r="DP94" s="15" t="s">
        <v>188</v>
      </c>
      <c r="DR94" s="38"/>
      <c r="DS94" s="15" t="s">
        <v>188</v>
      </c>
      <c r="DU94" s="15" t="str">
        <f>IF(Regn2!$T94&lt;=1,"",VLOOKUP(Regn2!$T94,Efgr,2))</f>
        <v/>
      </c>
      <c r="DW94" s="25" t="str">
        <f>IF(Regn2!$T94&gt;1,Regn2!BN94,"")</f>
        <v/>
      </c>
      <c r="DX94" s="15" t="s">
        <v>82</v>
      </c>
      <c r="DZ94" s="16"/>
      <c r="EA94" s="15" t="s">
        <v>82</v>
      </c>
      <c r="EC94" s="17"/>
      <c r="ED94" s="15" t="s">
        <v>1504</v>
      </c>
      <c r="EF94" s="17"/>
      <c r="EG94" s="15" t="s">
        <v>1793</v>
      </c>
      <c r="EI94" s="16"/>
      <c r="EJ94" s="15" t="s">
        <v>82</v>
      </c>
      <c r="EL94" s="16">
        <v>75</v>
      </c>
      <c r="EM94" s="15" t="s">
        <v>205</v>
      </c>
      <c r="EO94" s="25">
        <f>EI94*EL94*0.01</f>
        <v>0</v>
      </c>
      <c r="EP94" s="15" t="s">
        <v>82</v>
      </c>
      <c r="ER94" s="17"/>
      <c r="ES94" s="15" t="s">
        <v>82</v>
      </c>
      <c r="EV94" s="17"/>
      <c r="EW94" s="15" t="s">
        <v>1504</v>
      </c>
      <c r="EY94" s="17"/>
      <c r="EZ94" s="15" t="s">
        <v>1793</v>
      </c>
      <c r="FB94" s="25" t="str">
        <f>IF(Regn2!$T94&gt;1,Regn2!BQ94,"")</f>
        <v/>
      </c>
      <c r="FC94" s="15" t="str">
        <f>IF(Regn2!$T94&gt;1,Regn2!BT94,"")</f>
        <v/>
      </c>
      <c r="FE94" s="16"/>
      <c r="FF94" s="15" t="str">
        <f>IF(Regn2!$T94&gt;1,Regn2!BT94,"")</f>
        <v/>
      </c>
      <c r="FL94" s="32" t="str">
        <f>IF(Regn2!$R94&gt;1,NniveauDelsaedsk1,"")</f>
        <v/>
      </c>
      <c r="FM94" s="15" t="s">
        <v>82</v>
      </c>
      <c r="FO94" s="17"/>
      <c r="FP94" s="15" t="s">
        <v>82</v>
      </c>
      <c r="FR94" s="32" t="str">
        <f>IF(Regn2!$R94&gt;1,Regn2!HU94,"")</f>
        <v/>
      </c>
      <c r="FS94" s="15" t="s">
        <v>531</v>
      </c>
      <c r="FU94" s="17"/>
      <c r="FV94" s="15" t="s">
        <v>531</v>
      </c>
      <c r="FX94" s="32" t="str">
        <f>IF(Regn2!$R94&gt;1,Regn2!HR94,"")</f>
        <v/>
      </c>
      <c r="FY94" s="15" t="s">
        <v>531</v>
      </c>
      <c r="GA94" s="17"/>
      <c r="GB94" s="15" t="s">
        <v>531</v>
      </c>
      <c r="GD94" s="15" t="str">
        <f>IF(Regn2!$R94&gt;1,RetentionNbal,"")</f>
        <v/>
      </c>
      <c r="GE94" s="15" t="s">
        <v>205</v>
      </c>
      <c r="GF94" s="17"/>
      <c r="GG94" s="15" t="s">
        <v>205</v>
      </c>
      <c r="GI94" s="15" t="str">
        <f>IF(Regn2!$R94&lt;=1,"",VLOOKUP(Regn2!$R94,Afgr,2))</f>
        <v/>
      </c>
      <c r="GK94" s="25" t="str">
        <f>IF(Regn2!$R94&gt;1,Regn2!IO94,"")</f>
        <v/>
      </c>
      <c r="GL94" s="15" t="s">
        <v>188</v>
      </c>
      <c r="GN94" s="16"/>
      <c r="GO94" s="15" t="s">
        <v>188</v>
      </c>
      <c r="GQ94" s="25" t="str">
        <f>IF(Regn2!$R94&gt;1,Regn2!JK94,"")</f>
        <v/>
      </c>
      <c r="GR94" s="15" t="s">
        <v>188</v>
      </c>
      <c r="GT94" s="16"/>
      <c r="GU94" s="15" t="s">
        <v>188</v>
      </c>
      <c r="GW94" s="25" t="str">
        <f>IF(Regn2!$R94&gt;1,Regn2!JO94,"")</f>
        <v/>
      </c>
      <c r="GX94" s="15" t="s">
        <v>188</v>
      </c>
      <c r="GZ94" s="16"/>
      <c r="HA94" s="15" t="s">
        <v>188</v>
      </c>
      <c r="HC94" s="25" t="str">
        <f>IF(Regn2!$R94&gt;1,Regn2!JS94,"")</f>
        <v/>
      </c>
      <c r="HD94" s="15" t="s">
        <v>188</v>
      </c>
      <c r="HF94" s="16"/>
      <c r="HG94" s="15" t="s">
        <v>188</v>
      </c>
      <c r="HI94" s="25" t="str">
        <f>IF(Regn2!$R94&gt;1,Regn2!JY94,"")</f>
        <v/>
      </c>
      <c r="HJ94" s="15" t="s">
        <v>362</v>
      </c>
      <c r="HL94" s="16"/>
      <c r="HM94" s="15" t="s">
        <v>188</v>
      </c>
      <c r="HO94" s="25" t="str">
        <f>IF(Regn2!$R94&gt;1,Regn2!KL94,"")</f>
        <v/>
      </c>
      <c r="HP94" s="15" t="s">
        <v>188</v>
      </c>
      <c r="HR94" s="16"/>
      <c r="HS94" s="15" t="s">
        <v>188</v>
      </c>
      <c r="HU94" s="25" t="str">
        <f>IF(Regn2!$R94&gt;1,Regn2!KP94,"")</f>
        <v/>
      </c>
      <c r="HV94" s="15" t="s">
        <v>188</v>
      </c>
      <c r="HX94" s="16"/>
      <c r="HY94" s="15" t="s">
        <v>188</v>
      </c>
      <c r="IA94" s="25" t="str">
        <f>IF(Regn2!$R94&gt;1,Regn2!KT94,"")</f>
        <v/>
      </c>
      <c r="IB94" s="15" t="s">
        <v>188</v>
      </c>
      <c r="ID94" s="16"/>
      <c r="IE94" s="15" t="s">
        <v>188</v>
      </c>
      <c r="IG94" s="25" t="str">
        <f>IF(Regn2!$R94&gt;1,Regn2!KX94,"")</f>
        <v/>
      </c>
      <c r="IH94" s="15" t="s">
        <v>531</v>
      </c>
      <c r="IJ94" s="16"/>
      <c r="IK94" s="15" t="s">
        <v>531</v>
      </c>
      <c r="IM94" s="25" t="str">
        <f>IF(Regn2!$R94&gt;1,Regn2!KZ94,"")</f>
        <v/>
      </c>
      <c r="IN94" s="15" t="s">
        <v>188</v>
      </c>
      <c r="IP94" s="16"/>
      <c r="IQ94" s="15" t="s">
        <v>188</v>
      </c>
      <c r="IS94" s="25" t="str">
        <f>IF(Regn2!$R94&gt;1,Regn2!LG94,"")</f>
        <v/>
      </c>
      <c r="IT94" s="15" t="s">
        <v>188</v>
      </c>
      <c r="IV94" s="16"/>
      <c r="IW94" s="15" t="s">
        <v>405</v>
      </c>
      <c r="IY94" s="25" t="str">
        <f>IF(Regn2!$R94&gt;1,Regn2!LM94,"")</f>
        <v/>
      </c>
      <c r="IZ94" s="15" t="s">
        <v>188</v>
      </c>
      <c r="JB94" s="16"/>
      <c r="JC94" s="15" t="s">
        <v>188</v>
      </c>
      <c r="JH94" s="25" t="str">
        <f>IF(Regn2!$R94&gt;1,Regn2!LQ94,"")</f>
        <v/>
      </c>
      <c r="JI94" s="15" t="s">
        <v>188</v>
      </c>
      <c r="JK94" s="16"/>
      <c r="JL94" s="15" t="s">
        <v>188</v>
      </c>
      <c r="JN94" s="15" t="str">
        <f>IF(Regn2!$T94&lt;=1,"",VLOOKUP(Regn2!$T94,Efgr,2))</f>
        <v/>
      </c>
      <c r="JP94" s="25" t="str">
        <f>IF(Regn2!$T94&gt;1,Regn2!LU94,"")</f>
        <v/>
      </c>
      <c r="JQ94" s="15" t="s">
        <v>188</v>
      </c>
      <c r="JS94" s="16"/>
      <c r="JT94" s="15" t="s">
        <v>188</v>
      </c>
      <c r="JV94" s="25" t="str">
        <f>IF(Regn2!$T94&gt;1,Regn2!MN94,"")</f>
        <v/>
      </c>
      <c r="JW94" s="15" t="s">
        <v>188</v>
      </c>
      <c r="JY94" s="16"/>
      <c r="JZ94" s="15" t="s">
        <v>188</v>
      </c>
      <c r="KB94" s="25" t="str">
        <f>IF(Regn2!$T94&gt;1,Regn2!MR94,"")</f>
        <v/>
      </c>
      <c r="KC94" s="15" t="s">
        <v>188</v>
      </c>
      <c r="KE94" s="16"/>
      <c r="KF94" s="15" t="s">
        <v>188</v>
      </c>
      <c r="KH94" s="25" t="str">
        <f>IF(Regn2!$T94&gt;1,Regn2!MV94,"")</f>
        <v/>
      </c>
      <c r="KI94" s="15" t="s">
        <v>188</v>
      </c>
      <c r="KK94" s="16"/>
      <c r="KL94" s="15" t="s">
        <v>188</v>
      </c>
      <c r="KN94" s="25" t="str">
        <f>IF(Regn2!$T94&gt;1,Regn2!NB94,"")</f>
        <v/>
      </c>
      <c r="KO94" s="15" t="s">
        <v>188</v>
      </c>
      <c r="KQ94" s="16"/>
      <c r="KR94" s="15" t="s">
        <v>188</v>
      </c>
      <c r="KT94" s="25" t="str">
        <f>IF(Regn2!$T94&gt;1,Regn2!NF94,"")</f>
        <v/>
      </c>
      <c r="KU94" s="15" t="s">
        <v>188</v>
      </c>
      <c r="KW94" s="16"/>
      <c r="KX94" s="15" t="s">
        <v>188</v>
      </c>
      <c r="KZ94" s="25" t="str">
        <f>IF(Regn2!$T94&gt;1,Regn2!NJ94,"")</f>
        <v/>
      </c>
      <c r="LA94" s="15" t="s">
        <v>188</v>
      </c>
      <c r="LC94" s="16"/>
      <c r="LD94" s="15" t="s">
        <v>188</v>
      </c>
      <c r="LF94" s="25" t="str">
        <f>IF(Regn2!$T94&gt;1,Regn2!NN94,"")</f>
        <v/>
      </c>
      <c r="LG94" s="15" t="s">
        <v>531</v>
      </c>
      <c r="LI94" s="16"/>
      <c r="LJ94" s="15" t="s">
        <v>531</v>
      </c>
      <c r="LL94" s="25" t="str">
        <f>IF(Regn2!$T94&gt;1,Regn2!NP94,"")</f>
        <v/>
      </c>
      <c r="LM94" s="15" t="s">
        <v>188</v>
      </c>
      <c r="LO94" s="16"/>
      <c r="LP94" s="15" t="s">
        <v>188</v>
      </c>
      <c r="LR94" s="25" t="str">
        <f>IF(Regn2!$T94&gt;1,Regn2!NV94,"")</f>
        <v/>
      </c>
      <c r="LS94" s="15" t="s">
        <v>188</v>
      </c>
      <c r="LU94" s="16"/>
      <c r="LV94" s="15" t="s">
        <v>188</v>
      </c>
      <c r="LX94" s="25" t="str">
        <f>IF(Regn2!$T94&gt;1,Regn2!NZ94,"")</f>
        <v/>
      </c>
      <c r="LY94" s="15" t="s">
        <v>188</v>
      </c>
      <c r="MA94" s="16"/>
      <c r="MB94" s="15" t="s">
        <v>188</v>
      </c>
    </row>
    <row r="95" spans="2:340" ht="8.1" customHeight="1" x14ac:dyDescent="0.25"/>
    <row r="96" spans="2:340" x14ac:dyDescent="0.25">
      <c r="B96" s="240"/>
      <c r="AG96" s="36"/>
      <c r="AH96" s="15" t="s">
        <v>85</v>
      </c>
      <c r="AL96" s="15" t="str">
        <f>IF(Regn2!$R96&lt;=1,"",VLOOKUP(Regn2!$R96,Afgr,2))</f>
        <v/>
      </c>
      <c r="AN96" s="32" t="str">
        <f>IF(Regn2!$R96&gt;1,Regn2!AE96,"")</f>
        <v/>
      </c>
      <c r="AO96" s="15" t="s">
        <v>82</v>
      </c>
      <c r="AQ96" s="17"/>
      <c r="AR96" s="15" t="s">
        <v>82</v>
      </c>
      <c r="AT96" s="37"/>
      <c r="AU96" s="15" t="s">
        <v>82</v>
      </c>
      <c r="AX96" s="17"/>
      <c r="AY96" s="15" t="s">
        <v>82</v>
      </c>
      <c r="BA96" s="17"/>
      <c r="BB96" s="15" t="s">
        <v>1504</v>
      </c>
      <c r="BD96" s="17"/>
      <c r="BE96" s="15" t="s">
        <v>1793</v>
      </c>
      <c r="BH96" s="17"/>
      <c r="BI96" s="15" t="s">
        <v>82</v>
      </c>
      <c r="BJ96" s="37">
        <v>75</v>
      </c>
      <c r="BK96" s="15" t="s">
        <v>205</v>
      </c>
      <c r="BM96" s="37"/>
      <c r="BN96" s="15" t="s">
        <v>82</v>
      </c>
      <c r="BP96" s="37">
        <v>75</v>
      </c>
      <c r="BQ96" s="15" t="s">
        <v>205</v>
      </c>
      <c r="BT96" s="17"/>
      <c r="BU96" s="15" t="s">
        <v>82</v>
      </c>
      <c r="BW96" s="17"/>
      <c r="BX96" s="15" t="s">
        <v>82</v>
      </c>
      <c r="BY96" s="37">
        <v>75</v>
      </c>
      <c r="BZ96" s="15" t="s">
        <v>205</v>
      </c>
      <c r="CB96" s="17"/>
      <c r="CC96" s="15" t="s">
        <v>1504</v>
      </c>
      <c r="CE96" s="17"/>
      <c r="CF96" s="15" t="s">
        <v>1793</v>
      </c>
      <c r="CH96" s="55" t="str">
        <f>IF(Regn2!$R96&gt;1,Regn2!AL96,"")</f>
        <v/>
      </c>
      <c r="CI96" s="15" t="str">
        <f>IF(Regn2!AO96&lt;&gt;0,Regn2!AO96,"")</f>
        <v/>
      </c>
      <c r="CK96" s="16"/>
      <c r="CL96" s="15" t="str">
        <f>IF(Regn2!AO96&lt;&gt;0,Regn2!AO96,"")</f>
        <v/>
      </c>
      <c r="CN96" s="33" t="str">
        <f>IF(Regn2!$R96&gt;1,Regn2!DK96,"")</f>
        <v/>
      </c>
      <c r="CO96" s="15" t="s">
        <v>201</v>
      </c>
      <c r="CQ96" s="38"/>
      <c r="CR96" s="15" t="s">
        <v>201</v>
      </c>
      <c r="CT96" s="55" t="str">
        <f>IF(Regn2!$R96&gt;1,Regn2!AR96,"")</f>
        <v/>
      </c>
      <c r="CU96" s="15" t="s">
        <v>188</v>
      </c>
      <c r="CW96" s="124"/>
      <c r="CX96" s="15" t="s">
        <v>188</v>
      </c>
      <c r="CZ96" s="25" t="str">
        <f>IF(Regn2!$R96&gt;1,Regn2!AW96,"")</f>
        <v/>
      </c>
      <c r="DA96" s="15" t="s">
        <v>188</v>
      </c>
      <c r="DC96" s="17"/>
      <c r="DD96" s="15" t="s">
        <v>188</v>
      </c>
      <c r="DF96" s="25" t="str">
        <f>IF(Regn2!$R96&gt;1,Regn2!BB96,"")</f>
        <v/>
      </c>
      <c r="DG96" s="15" t="s">
        <v>192</v>
      </c>
      <c r="DI96" s="16"/>
      <c r="DJ96" s="15" t="s">
        <v>192</v>
      </c>
      <c r="DO96" s="33" t="str">
        <f>IF(Regn2!$R96&gt;1,Regn2!BI96,"")</f>
        <v/>
      </c>
      <c r="DP96" s="15" t="s">
        <v>188</v>
      </c>
      <c r="DR96" s="38"/>
      <c r="DS96" s="15" t="s">
        <v>188</v>
      </c>
      <c r="DU96" s="15" t="str">
        <f>IF(Regn2!$T96&lt;=1,"",VLOOKUP(Regn2!$T96,Efgr,2))</f>
        <v/>
      </c>
      <c r="DW96" s="25" t="str">
        <f>IF(Regn2!$T96&gt;1,Regn2!BN96,"")</f>
        <v/>
      </c>
      <c r="DX96" s="15" t="s">
        <v>82</v>
      </c>
      <c r="DZ96" s="16"/>
      <c r="EA96" s="15" t="s">
        <v>82</v>
      </c>
      <c r="EC96" s="17"/>
      <c r="ED96" s="15" t="s">
        <v>1504</v>
      </c>
      <c r="EF96" s="17"/>
      <c r="EG96" s="15" t="s">
        <v>1793</v>
      </c>
      <c r="EI96" s="16"/>
      <c r="EJ96" s="15" t="s">
        <v>82</v>
      </c>
      <c r="EL96" s="16">
        <v>75</v>
      </c>
      <c r="EM96" s="15" t="s">
        <v>205</v>
      </c>
      <c r="EO96" s="25">
        <f>EI96*EL96*0.01</f>
        <v>0</v>
      </c>
      <c r="EP96" s="15" t="s">
        <v>82</v>
      </c>
      <c r="ER96" s="17"/>
      <c r="ES96" s="15" t="s">
        <v>82</v>
      </c>
      <c r="EV96" s="17"/>
      <c r="EW96" s="15" t="s">
        <v>1504</v>
      </c>
      <c r="EY96" s="17"/>
      <c r="EZ96" s="15" t="s">
        <v>1793</v>
      </c>
      <c r="FB96" s="25" t="str">
        <f>IF(Regn2!$T96&gt;1,Regn2!BQ96,"")</f>
        <v/>
      </c>
      <c r="FC96" s="15" t="str">
        <f>IF(Regn2!$T96&gt;1,Regn2!BT96,"")</f>
        <v/>
      </c>
      <c r="FE96" s="16"/>
      <c r="FF96" s="15" t="str">
        <f>IF(Regn2!$T96&gt;1,Regn2!BT96,"")</f>
        <v/>
      </c>
      <c r="FL96" s="32" t="str">
        <f>IF(Regn2!$R96&gt;1,NniveauDelsaedsk1,"")</f>
        <v/>
      </c>
      <c r="FM96" s="15" t="s">
        <v>82</v>
      </c>
      <c r="FO96" s="17"/>
      <c r="FP96" s="15" t="s">
        <v>82</v>
      </c>
      <c r="FR96" s="32" t="str">
        <f>IF(Regn2!$R96&gt;1,Regn2!HU96,"")</f>
        <v/>
      </c>
      <c r="FS96" s="15" t="s">
        <v>531</v>
      </c>
      <c r="FU96" s="17"/>
      <c r="FV96" s="15" t="s">
        <v>531</v>
      </c>
      <c r="FX96" s="32" t="str">
        <f>IF(Regn2!$R96&gt;1,Regn2!HR96,"")</f>
        <v/>
      </c>
      <c r="FY96" s="15" t="s">
        <v>531</v>
      </c>
      <c r="GA96" s="17"/>
      <c r="GB96" s="15" t="s">
        <v>531</v>
      </c>
      <c r="GD96" s="15" t="str">
        <f>IF(Regn2!$R96&gt;1,RetentionNbal,"")</f>
        <v/>
      </c>
      <c r="GE96" s="15" t="s">
        <v>205</v>
      </c>
      <c r="GF96" s="17"/>
      <c r="GG96" s="15" t="s">
        <v>205</v>
      </c>
      <c r="GI96" s="15" t="str">
        <f>IF(Regn2!$R96&lt;=1,"",VLOOKUP(Regn2!$R96,Afgr,2))</f>
        <v/>
      </c>
      <c r="GK96" s="25" t="str">
        <f>IF(Regn2!$R96&gt;1,Regn2!IO96,"")</f>
        <v/>
      </c>
      <c r="GL96" s="15" t="s">
        <v>188</v>
      </c>
      <c r="GN96" s="16"/>
      <c r="GO96" s="15" t="s">
        <v>188</v>
      </c>
      <c r="GQ96" s="25" t="str">
        <f>IF(Regn2!$R96&gt;1,Regn2!JK96,"")</f>
        <v/>
      </c>
      <c r="GR96" s="15" t="s">
        <v>188</v>
      </c>
      <c r="GT96" s="16"/>
      <c r="GU96" s="15" t="s">
        <v>188</v>
      </c>
      <c r="GW96" s="25" t="str">
        <f>IF(Regn2!$R96&gt;1,Regn2!JO96,"")</f>
        <v/>
      </c>
      <c r="GX96" s="15" t="s">
        <v>188</v>
      </c>
      <c r="GZ96" s="16"/>
      <c r="HA96" s="15" t="s">
        <v>188</v>
      </c>
      <c r="HC96" s="25" t="str">
        <f>IF(Regn2!$R96&gt;1,Regn2!JS96,"")</f>
        <v/>
      </c>
      <c r="HD96" s="15" t="s">
        <v>188</v>
      </c>
      <c r="HF96" s="16"/>
      <c r="HG96" s="15" t="s">
        <v>188</v>
      </c>
      <c r="HI96" s="25" t="str">
        <f>IF(Regn2!$R96&gt;1,Regn2!JY96,"")</f>
        <v/>
      </c>
      <c r="HJ96" s="15" t="s">
        <v>362</v>
      </c>
      <c r="HL96" s="16"/>
      <c r="HM96" s="15" t="s">
        <v>188</v>
      </c>
      <c r="HO96" s="25" t="str">
        <f>IF(Regn2!$R96&gt;1,Regn2!KL96,"")</f>
        <v/>
      </c>
      <c r="HP96" s="15" t="s">
        <v>188</v>
      </c>
      <c r="HR96" s="16"/>
      <c r="HS96" s="15" t="s">
        <v>188</v>
      </c>
      <c r="HU96" s="25" t="str">
        <f>IF(Regn2!$R96&gt;1,Regn2!KP96,"")</f>
        <v/>
      </c>
      <c r="HV96" s="15" t="s">
        <v>188</v>
      </c>
      <c r="HX96" s="16"/>
      <c r="HY96" s="15" t="s">
        <v>188</v>
      </c>
      <c r="IA96" s="25" t="str">
        <f>IF(Regn2!$R96&gt;1,Regn2!KT96,"")</f>
        <v/>
      </c>
      <c r="IB96" s="15" t="s">
        <v>188</v>
      </c>
      <c r="ID96" s="16"/>
      <c r="IE96" s="15" t="s">
        <v>188</v>
      </c>
      <c r="IG96" s="25" t="str">
        <f>IF(Regn2!$R96&gt;1,Regn2!KX96,"")</f>
        <v/>
      </c>
      <c r="IH96" s="15" t="s">
        <v>531</v>
      </c>
      <c r="IJ96" s="16"/>
      <c r="IK96" s="15" t="s">
        <v>531</v>
      </c>
      <c r="IM96" s="25" t="str">
        <f>IF(Regn2!$R96&gt;1,Regn2!KZ96,"")</f>
        <v/>
      </c>
      <c r="IN96" s="15" t="s">
        <v>188</v>
      </c>
      <c r="IP96" s="16"/>
      <c r="IQ96" s="15" t="s">
        <v>188</v>
      </c>
      <c r="IS96" s="25" t="str">
        <f>IF(Regn2!$R96&gt;1,Regn2!LG96,"")</f>
        <v/>
      </c>
      <c r="IT96" s="15" t="s">
        <v>188</v>
      </c>
      <c r="IV96" s="16"/>
      <c r="IW96" s="15" t="s">
        <v>405</v>
      </c>
      <c r="IY96" s="25" t="str">
        <f>IF(Regn2!$R96&gt;1,Regn2!LM96,"")</f>
        <v/>
      </c>
      <c r="IZ96" s="15" t="s">
        <v>188</v>
      </c>
      <c r="JB96" s="16"/>
      <c r="JC96" s="15" t="s">
        <v>188</v>
      </c>
      <c r="JH96" s="25" t="str">
        <f>IF(Regn2!$R96&gt;1,Regn2!LQ96,"")</f>
        <v/>
      </c>
      <c r="JI96" s="15" t="s">
        <v>188</v>
      </c>
      <c r="JK96" s="16"/>
      <c r="JL96" s="15" t="s">
        <v>188</v>
      </c>
      <c r="JN96" s="15" t="str">
        <f>IF(Regn2!$T96&lt;=1,"",VLOOKUP(Regn2!$T96,Efgr,2))</f>
        <v/>
      </c>
      <c r="JP96" s="25" t="str">
        <f>IF(Regn2!$T96&gt;1,Regn2!LU96,"")</f>
        <v/>
      </c>
      <c r="JQ96" s="15" t="s">
        <v>188</v>
      </c>
      <c r="JS96" s="16"/>
      <c r="JT96" s="15" t="s">
        <v>188</v>
      </c>
      <c r="JV96" s="25" t="str">
        <f>IF(Regn2!$T96&gt;1,Regn2!MN96,"")</f>
        <v/>
      </c>
      <c r="JW96" s="15" t="s">
        <v>188</v>
      </c>
      <c r="JY96" s="16"/>
      <c r="JZ96" s="15" t="s">
        <v>188</v>
      </c>
      <c r="KB96" s="25" t="str">
        <f>IF(Regn2!$T96&gt;1,Regn2!MR96,"")</f>
        <v/>
      </c>
      <c r="KC96" s="15" t="s">
        <v>188</v>
      </c>
      <c r="KE96" s="16"/>
      <c r="KF96" s="15" t="s">
        <v>188</v>
      </c>
      <c r="KH96" s="25" t="str">
        <f>IF(Regn2!$T96&gt;1,Regn2!MV96,"")</f>
        <v/>
      </c>
      <c r="KI96" s="15" t="s">
        <v>188</v>
      </c>
      <c r="KK96" s="16"/>
      <c r="KL96" s="15" t="s">
        <v>188</v>
      </c>
      <c r="KN96" s="25" t="str">
        <f>IF(Regn2!$T96&gt;1,Regn2!NB96,"")</f>
        <v/>
      </c>
      <c r="KO96" s="15" t="s">
        <v>188</v>
      </c>
      <c r="KQ96" s="16"/>
      <c r="KR96" s="15" t="s">
        <v>188</v>
      </c>
      <c r="KT96" s="25" t="str">
        <f>IF(Regn2!$T96&gt;1,Regn2!NF96,"")</f>
        <v/>
      </c>
      <c r="KU96" s="15" t="s">
        <v>188</v>
      </c>
      <c r="KW96" s="16"/>
      <c r="KX96" s="15" t="s">
        <v>188</v>
      </c>
      <c r="KZ96" s="25" t="str">
        <f>IF(Regn2!$T96&gt;1,Regn2!NJ96,"")</f>
        <v/>
      </c>
      <c r="LA96" s="15" t="s">
        <v>188</v>
      </c>
      <c r="LC96" s="16"/>
      <c r="LD96" s="15" t="s">
        <v>188</v>
      </c>
      <c r="LF96" s="25" t="str">
        <f>IF(Regn2!$T96&gt;1,Regn2!NN96,"")</f>
        <v/>
      </c>
      <c r="LG96" s="15" t="s">
        <v>531</v>
      </c>
      <c r="LI96" s="16"/>
      <c r="LJ96" s="15" t="s">
        <v>531</v>
      </c>
      <c r="LL96" s="25" t="str">
        <f>IF(Regn2!$T96&gt;1,Regn2!NP96,"")</f>
        <v/>
      </c>
      <c r="LM96" s="15" t="s">
        <v>188</v>
      </c>
      <c r="LO96" s="16"/>
      <c r="LP96" s="15" t="s">
        <v>188</v>
      </c>
      <c r="LR96" s="25" t="str">
        <f>IF(Regn2!$T96&gt;1,Regn2!NV96,"")</f>
        <v/>
      </c>
      <c r="LS96" s="15" t="s">
        <v>188</v>
      </c>
      <c r="LU96" s="16"/>
      <c r="LV96" s="15" t="s">
        <v>188</v>
      </c>
      <c r="LX96" s="25" t="str">
        <f>IF(Regn2!$T96&gt;1,Regn2!NZ96,"")</f>
        <v/>
      </c>
      <c r="LY96" s="15" t="s">
        <v>188</v>
      </c>
      <c r="MA96" s="16"/>
      <c r="MB96" s="15" t="s">
        <v>188</v>
      </c>
    </row>
    <row r="97" spans="2:340" ht="8.1" customHeight="1" x14ac:dyDescent="0.25"/>
    <row r="98" spans="2:340" x14ac:dyDescent="0.25">
      <c r="B98" s="240"/>
      <c r="AG98" s="36"/>
      <c r="AH98" s="15" t="s">
        <v>85</v>
      </c>
      <c r="AL98" s="15" t="str">
        <f>IF(Regn2!$R98&lt;=1,"",VLOOKUP(Regn2!$R98,Afgr,2))</f>
        <v/>
      </c>
      <c r="AN98" s="32" t="str">
        <f>IF(Regn2!$R98&gt;1,Regn2!AE98,"")</f>
        <v/>
      </c>
      <c r="AO98" s="15" t="s">
        <v>82</v>
      </c>
      <c r="AQ98" s="17"/>
      <c r="AR98" s="15" t="s">
        <v>82</v>
      </c>
      <c r="AT98" s="37"/>
      <c r="AU98" s="15" t="s">
        <v>82</v>
      </c>
      <c r="AX98" s="17"/>
      <c r="AY98" s="15" t="s">
        <v>82</v>
      </c>
      <c r="BA98" s="17"/>
      <c r="BB98" s="15" t="s">
        <v>1504</v>
      </c>
      <c r="BD98" s="17"/>
      <c r="BE98" s="15" t="s">
        <v>1793</v>
      </c>
      <c r="BH98" s="17"/>
      <c r="BI98" s="15" t="s">
        <v>82</v>
      </c>
      <c r="BJ98" s="37">
        <v>75</v>
      </c>
      <c r="BK98" s="15" t="s">
        <v>205</v>
      </c>
      <c r="BM98" s="37"/>
      <c r="BN98" s="15" t="s">
        <v>82</v>
      </c>
      <c r="BP98" s="37">
        <v>75</v>
      </c>
      <c r="BQ98" s="15" t="s">
        <v>205</v>
      </c>
      <c r="BT98" s="17"/>
      <c r="BU98" s="15" t="s">
        <v>82</v>
      </c>
      <c r="BW98" s="17"/>
      <c r="BX98" s="15" t="s">
        <v>82</v>
      </c>
      <c r="BY98" s="37">
        <v>75</v>
      </c>
      <c r="BZ98" s="15" t="s">
        <v>205</v>
      </c>
      <c r="CB98" s="17"/>
      <c r="CC98" s="15" t="s">
        <v>1504</v>
      </c>
      <c r="CE98" s="17"/>
      <c r="CF98" s="15" t="s">
        <v>1793</v>
      </c>
      <c r="CH98" s="55" t="str">
        <f>IF(Regn2!$R98&gt;1,Regn2!AL98,"")</f>
        <v/>
      </c>
      <c r="CI98" s="15" t="str">
        <f>IF(Regn2!AO98&lt;&gt;0,Regn2!AO98,"")</f>
        <v/>
      </c>
      <c r="CK98" s="16"/>
      <c r="CL98" s="15" t="str">
        <f>IF(Regn2!AO98&lt;&gt;0,Regn2!AO98,"")</f>
        <v/>
      </c>
      <c r="CN98" s="33" t="str">
        <f>IF(Regn2!$R98&gt;1,Regn2!DK98,"")</f>
        <v/>
      </c>
      <c r="CO98" s="15" t="s">
        <v>201</v>
      </c>
      <c r="CQ98" s="38"/>
      <c r="CR98" s="15" t="s">
        <v>201</v>
      </c>
      <c r="CT98" s="55" t="str">
        <f>IF(Regn2!$R98&gt;1,Regn2!AR98,"")</f>
        <v/>
      </c>
      <c r="CU98" s="15" t="s">
        <v>188</v>
      </c>
      <c r="CW98" s="124"/>
      <c r="CX98" s="15" t="s">
        <v>188</v>
      </c>
      <c r="CZ98" s="25" t="str">
        <f>IF(Regn2!$R98&gt;1,Regn2!AW98,"")</f>
        <v/>
      </c>
      <c r="DA98" s="15" t="s">
        <v>188</v>
      </c>
      <c r="DC98" s="17"/>
      <c r="DD98" s="15" t="s">
        <v>188</v>
      </c>
      <c r="DF98" s="25" t="str">
        <f>IF(Regn2!$R98&gt;1,Regn2!BB98,"")</f>
        <v/>
      </c>
      <c r="DG98" s="15" t="s">
        <v>192</v>
      </c>
      <c r="DI98" s="16"/>
      <c r="DJ98" s="15" t="s">
        <v>192</v>
      </c>
      <c r="DO98" s="33" t="str">
        <f>IF(Regn2!$R98&gt;1,Regn2!BI98,"")</f>
        <v/>
      </c>
      <c r="DP98" s="15" t="s">
        <v>188</v>
      </c>
      <c r="DR98" s="38"/>
      <c r="DS98" s="15" t="s">
        <v>188</v>
      </c>
      <c r="DU98" s="15" t="str">
        <f>IF(Regn2!$T98&lt;=1,"",VLOOKUP(Regn2!$T98,Efgr,2))</f>
        <v/>
      </c>
      <c r="DW98" s="25" t="str">
        <f>IF(Regn2!$T98&gt;1,Regn2!BN98,"")</f>
        <v/>
      </c>
      <c r="DX98" s="15" t="s">
        <v>82</v>
      </c>
      <c r="DZ98" s="16"/>
      <c r="EA98" s="15" t="s">
        <v>82</v>
      </c>
      <c r="EC98" s="17"/>
      <c r="ED98" s="15" t="s">
        <v>1504</v>
      </c>
      <c r="EF98" s="17"/>
      <c r="EG98" s="15" t="s">
        <v>1793</v>
      </c>
      <c r="EI98" s="16"/>
      <c r="EJ98" s="15" t="s">
        <v>82</v>
      </c>
      <c r="EL98" s="16">
        <v>75</v>
      </c>
      <c r="EM98" s="15" t="s">
        <v>205</v>
      </c>
      <c r="EO98" s="25">
        <f>EI98*EL98*0.01</f>
        <v>0</v>
      </c>
      <c r="EP98" s="15" t="s">
        <v>82</v>
      </c>
      <c r="ER98" s="17"/>
      <c r="ES98" s="15" t="s">
        <v>82</v>
      </c>
      <c r="EV98" s="17"/>
      <c r="EW98" s="15" t="s">
        <v>1504</v>
      </c>
      <c r="EY98" s="17"/>
      <c r="EZ98" s="15" t="s">
        <v>1793</v>
      </c>
      <c r="FB98" s="25" t="str">
        <f>IF(Regn2!$T98&gt;1,Regn2!BQ98,"")</f>
        <v/>
      </c>
      <c r="FC98" s="15" t="str">
        <f>IF(Regn2!$T98&gt;1,Regn2!BT98,"")</f>
        <v/>
      </c>
      <c r="FE98" s="16"/>
      <c r="FF98" s="15" t="str">
        <f>IF(Regn2!$T98&gt;1,Regn2!BT98,"")</f>
        <v/>
      </c>
      <c r="FL98" s="32" t="str">
        <f>IF(Regn2!$R98&gt;1,NniveauDelsaedsk1,"")</f>
        <v/>
      </c>
      <c r="FM98" s="15" t="s">
        <v>82</v>
      </c>
      <c r="FO98" s="17"/>
      <c r="FP98" s="15" t="s">
        <v>82</v>
      </c>
      <c r="FR98" s="32" t="str">
        <f>IF(Regn2!$R98&gt;1,Regn2!HU98,"")</f>
        <v/>
      </c>
      <c r="FS98" s="15" t="s">
        <v>531</v>
      </c>
      <c r="FU98" s="17"/>
      <c r="FV98" s="15" t="s">
        <v>531</v>
      </c>
      <c r="FX98" s="32" t="str">
        <f>IF(Regn2!$R98&gt;1,Regn2!HR98,"")</f>
        <v/>
      </c>
      <c r="FY98" s="15" t="s">
        <v>531</v>
      </c>
      <c r="GA98" s="17"/>
      <c r="GB98" s="15" t="s">
        <v>531</v>
      </c>
      <c r="GD98" s="15" t="str">
        <f>IF(Regn2!$R98&gt;1,RetentionNbal,"")</f>
        <v/>
      </c>
      <c r="GE98" s="15" t="s">
        <v>205</v>
      </c>
      <c r="GF98" s="17"/>
      <c r="GG98" s="15" t="s">
        <v>205</v>
      </c>
      <c r="GI98" s="15" t="str">
        <f>IF(Regn2!$R98&lt;=1,"",VLOOKUP(Regn2!$R98,Afgr,2))</f>
        <v/>
      </c>
      <c r="GK98" s="25" t="str">
        <f>IF(Regn2!$R98&gt;1,Regn2!IO98,"")</f>
        <v/>
      </c>
      <c r="GL98" s="15" t="s">
        <v>188</v>
      </c>
      <c r="GN98" s="16"/>
      <c r="GO98" s="15" t="s">
        <v>188</v>
      </c>
      <c r="GQ98" s="25" t="str">
        <f>IF(Regn2!$R98&gt;1,Regn2!JK98,"")</f>
        <v/>
      </c>
      <c r="GR98" s="15" t="s">
        <v>188</v>
      </c>
      <c r="GT98" s="16"/>
      <c r="GU98" s="15" t="s">
        <v>188</v>
      </c>
      <c r="GW98" s="25" t="str">
        <f>IF(Regn2!$R98&gt;1,Regn2!JO98,"")</f>
        <v/>
      </c>
      <c r="GX98" s="15" t="s">
        <v>188</v>
      </c>
      <c r="GZ98" s="16"/>
      <c r="HA98" s="15" t="s">
        <v>188</v>
      </c>
      <c r="HC98" s="25" t="str">
        <f>IF(Regn2!$R98&gt;1,Regn2!JS98,"")</f>
        <v/>
      </c>
      <c r="HD98" s="15" t="s">
        <v>188</v>
      </c>
      <c r="HF98" s="16"/>
      <c r="HG98" s="15" t="s">
        <v>188</v>
      </c>
      <c r="HI98" s="25" t="str">
        <f>IF(Regn2!$R98&gt;1,Regn2!JY98,"")</f>
        <v/>
      </c>
      <c r="HJ98" s="15" t="s">
        <v>362</v>
      </c>
      <c r="HL98" s="16"/>
      <c r="HM98" s="15" t="s">
        <v>188</v>
      </c>
      <c r="HO98" s="25" t="str">
        <f>IF(Regn2!$R98&gt;1,Regn2!KL98,"")</f>
        <v/>
      </c>
      <c r="HP98" s="15" t="s">
        <v>188</v>
      </c>
      <c r="HR98" s="16"/>
      <c r="HS98" s="15" t="s">
        <v>188</v>
      </c>
      <c r="HU98" s="25" t="str">
        <f>IF(Regn2!$R98&gt;1,Regn2!KP98,"")</f>
        <v/>
      </c>
      <c r="HV98" s="15" t="s">
        <v>188</v>
      </c>
      <c r="HX98" s="16"/>
      <c r="HY98" s="15" t="s">
        <v>188</v>
      </c>
      <c r="IA98" s="25" t="str">
        <f>IF(Regn2!$R98&gt;1,Regn2!KT98,"")</f>
        <v/>
      </c>
      <c r="IB98" s="15" t="s">
        <v>188</v>
      </c>
      <c r="ID98" s="16"/>
      <c r="IE98" s="15" t="s">
        <v>188</v>
      </c>
      <c r="IG98" s="25" t="str">
        <f>IF(Regn2!$R98&gt;1,Regn2!KX98,"")</f>
        <v/>
      </c>
      <c r="IH98" s="15" t="s">
        <v>531</v>
      </c>
      <c r="IJ98" s="16"/>
      <c r="IK98" s="15" t="s">
        <v>531</v>
      </c>
      <c r="IM98" s="25" t="str">
        <f>IF(Regn2!$R98&gt;1,Regn2!KZ98,"")</f>
        <v/>
      </c>
      <c r="IN98" s="15" t="s">
        <v>188</v>
      </c>
      <c r="IP98" s="16"/>
      <c r="IQ98" s="15" t="s">
        <v>188</v>
      </c>
      <c r="IS98" s="25" t="str">
        <f>IF(Regn2!$R98&gt;1,Regn2!LG98,"")</f>
        <v/>
      </c>
      <c r="IT98" s="15" t="s">
        <v>188</v>
      </c>
      <c r="IV98" s="16"/>
      <c r="IW98" s="15" t="s">
        <v>405</v>
      </c>
      <c r="IY98" s="25" t="str">
        <f>IF(Regn2!$R98&gt;1,Regn2!LM98,"")</f>
        <v/>
      </c>
      <c r="IZ98" s="15" t="s">
        <v>188</v>
      </c>
      <c r="JB98" s="16"/>
      <c r="JC98" s="15" t="s">
        <v>188</v>
      </c>
      <c r="JH98" s="25" t="str">
        <f>IF(Regn2!$R98&gt;1,Regn2!LQ98,"")</f>
        <v/>
      </c>
      <c r="JI98" s="15" t="s">
        <v>188</v>
      </c>
      <c r="JK98" s="16"/>
      <c r="JL98" s="15" t="s">
        <v>188</v>
      </c>
      <c r="JN98" s="15" t="str">
        <f>IF(Regn2!$T98&lt;=1,"",VLOOKUP(Regn2!$T98,Efgr,2))</f>
        <v/>
      </c>
      <c r="JP98" s="25" t="str">
        <f>IF(Regn2!$T98&gt;1,Regn2!LU98,"")</f>
        <v/>
      </c>
      <c r="JQ98" s="15" t="s">
        <v>188</v>
      </c>
      <c r="JS98" s="16"/>
      <c r="JT98" s="15" t="s">
        <v>188</v>
      </c>
      <c r="JV98" s="25" t="str">
        <f>IF(Regn2!$T98&gt;1,Regn2!MN98,"")</f>
        <v/>
      </c>
      <c r="JW98" s="15" t="s">
        <v>188</v>
      </c>
      <c r="JY98" s="16"/>
      <c r="JZ98" s="15" t="s">
        <v>188</v>
      </c>
      <c r="KB98" s="25" t="str">
        <f>IF(Regn2!$T98&gt;1,Regn2!MR98,"")</f>
        <v/>
      </c>
      <c r="KC98" s="15" t="s">
        <v>188</v>
      </c>
      <c r="KE98" s="16"/>
      <c r="KF98" s="15" t="s">
        <v>188</v>
      </c>
      <c r="KH98" s="25" t="str">
        <f>IF(Regn2!$T98&gt;1,Regn2!MV98,"")</f>
        <v/>
      </c>
      <c r="KI98" s="15" t="s">
        <v>188</v>
      </c>
      <c r="KK98" s="16"/>
      <c r="KL98" s="15" t="s">
        <v>188</v>
      </c>
      <c r="KN98" s="25" t="str">
        <f>IF(Regn2!$T98&gt;1,Regn2!NB98,"")</f>
        <v/>
      </c>
      <c r="KO98" s="15" t="s">
        <v>188</v>
      </c>
      <c r="KQ98" s="16"/>
      <c r="KR98" s="15" t="s">
        <v>188</v>
      </c>
      <c r="KT98" s="25" t="str">
        <f>IF(Regn2!$T98&gt;1,Regn2!NF98,"")</f>
        <v/>
      </c>
      <c r="KU98" s="15" t="s">
        <v>188</v>
      </c>
      <c r="KW98" s="16"/>
      <c r="KX98" s="15" t="s">
        <v>188</v>
      </c>
      <c r="KZ98" s="25" t="str">
        <f>IF(Regn2!$T98&gt;1,Regn2!NJ98,"")</f>
        <v/>
      </c>
      <c r="LA98" s="15" t="s">
        <v>188</v>
      </c>
      <c r="LC98" s="16"/>
      <c r="LD98" s="15" t="s">
        <v>188</v>
      </c>
      <c r="LF98" s="25" t="str">
        <f>IF(Regn2!$T98&gt;1,Regn2!NN98,"")</f>
        <v/>
      </c>
      <c r="LG98" s="15" t="s">
        <v>531</v>
      </c>
      <c r="LI98" s="16"/>
      <c r="LJ98" s="15" t="s">
        <v>531</v>
      </c>
      <c r="LL98" s="25" t="str">
        <f>IF(Regn2!$T98&gt;1,Regn2!NP98,"")</f>
        <v/>
      </c>
      <c r="LM98" s="15" t="s">
        <v>188</v>
      </c>
      <c r="LO98" s="16"/>
      <c r="LP98" s="15" t="s">
        <v>188</v>
      </c>
      <c r="LR98" s="25" t="str">
        <f>IF(Regn2!$T98&gt;1,Regn2!NV98,"")</f>
        <v/>
      </c>
      <c r="LS98" s="15" t="s">
        <v>188</v>
      </c>
      <c r="LU98" s="16"/>
      <c r="LV98" s="15" t="s">
        <v>188</v>
      </c>
      <c r="LX98" s="25" t="str">
        <f>IF(Regn2!$T98&gt;1,Regn2!NZ98,"")</f>
        <v/>
      </c>
      <c r="LY98" s="15" t="s">
        <v>188</v>
      </c>
      <c r="MA98" s="16"/>
      <c r="MB98" s="15" t="s">
        <v>188</v>
      </c>
    </row>
    <row r="99" spans="2:340" ht="8.1" customHeight="1" x14ac:dyDescent="0.25"/>
    <row r="100" spans="2:340" x14ac:dyDescent="0.25">
      <c r="B100" s="240"/>
      <c r="AG100" s="36"/>
      <c r="AH100" s="15" t="s">
        <v>85</v>
      </c>
      <c r="AL100" s="15" t="str">
        <f>IF(Regn2!$R100&lt;=1,"",VLOOKUP(Regn2!$R100,Afgr,2))</f>
        <v/>
      </c>
      <c r="AN100" s="32" t="str">
        <f>IF(Regn2!$R100&gt;1,Regn2!AE100,"")</f>
        <v/>
      </c>
      <c r="AO100" s="15" t="s">
        <v>82</v>
      </c>
      <c r="AQ100" s="17"/>
      <c r="AR100" s="15" t="s">
        <v>82</v>
      </c>
      <c r="AT100" s="37"/>
      <c r="AU100" s="15" t="s">
        <v>82</v>
      </c>
      <c r="AX100" s="17"/>
      <c r="AY100" s="15" t="s">
        <v>82</v>
      </c>
      <c r="BA100" s="17"/>
      <c r="BB100" s="15" t="s">
        <v>1504</v>
      </c>
      <c r="BD100" s="17"/>
      <c r="BE100" s="15" t="s">
        <v>1793</v>
      </c>
      <c r="BH100" s="17"/>
      <c r="BI100" s="15" t="s">
        <v>82</v>
      </c>
      <c r="BJ100" s="37">
        <v>75</v>
      </c>
      <c r="BK100" s="15" t="s">
        <v>205</v>
      </c>
      <c r="BM100" s="37"/>
      <c r="BN100" s="15" t="s">
        <v>82</v>
      </c>
      <c r="BP100" s="37">
        <v>75</v>
      </c>
      <c r="BQ100" s="15" t="s">
        <v>205</v>
      </c>
      <c r="BT100" s="17"/>
      <c r="BU100" s="15" t="s">
        <v>82</v>
      </c>
      <c r="BW100" s="17"/>
      <c r="BX100" s="15" t="s">
        <v>82</v>
      </c>
      <c r="BY100" s="37">
        <v>75</v>
      </c>
      <c r="BZ100" s="15" t="s">
        <v>205</v>
      </c>
      <c r="CB100" s="17"/>
      <c r="CC100" s="15" t="s">
        <v>1504</v>
      </c>
      <c r="CE100" s="17"/>
      <c r="CF100" s="15" t="s">
        <v>1793</v>
      </c>
      <c r="CH100" s="55" t="str">
        <f>IF(Regn2!$R100&gt;1,Regn2!AL100,"")</f>
        <v/>
      </c>
      <c r="CI100" s="15" t="str">
        <f>IF(Regn2!AO100&lt;&gt;0,Regn2!AO100,"")</f>
        <v/>
      </c>
      <c r="CK100" s="16"/>
      <c r="CL100" s="15" t="str">
        <f>IF(Regn2!AO100&lt;&gt;0,Regn2!AO100,"")</f>
        <v/>
      </c>
      <c r="CN100" s="33" t="str">
        <f>IF(Regn2!$R100&gt;1,Regn2!DK100,"")</f>
        <v/>
      </c>
      <c r="CO100" s="15" t="s">
        <v>201</v>
      </c>
      <c r="CQ100" s="38"/>
      <c r="CR100" s="15" t="s">
        <v>201</v>
      </c>
      <c r="CT100" s="55" t="str">
        <f>IF(Regn2!$R100&gt;1,Regn2!AR100,"")</f>
        <v/>
      </c>
      <c r="CU100" s="15" t="s">
        <v>188</v>
      </c>
      <c r="CW100" s="124"/>
      <c r="CX100" s="15" t="s">
        <v>188</v>
      </c>
      <c r="CZ100" s="25" t="str">
        <f>IF(Regn2!$R100&gt;1,Regn2!AW100,"")</f>
        <v/>
      </c>
      <c r="DA100" s="15" t="s">
        <v>188</v>
      </c>
      <c r="DC100" s="17"/>
      <c r="DD100" s="15" t="s">
        <v>188</v>
      </c>
      <c r="DF100" s="25" t="str">
        <f>IF(Regn2!$R100&gt;1,Regn2!BB100,"")</f>
        <v/>
      </c>
      <c r="DG100" s="15" t="s">
        <v>192</v>
      </c>
      <c r="DI100" s="16"/>
      <c r="DJ100" s="15" t="s">
        <v>192</v>
      </c>
      <c r="DO100" s="33" t="str">
        <f>IF(Regn2!$R100&gt;1,Regn2!BI100,"")</f>
        <v/>
      </c>
      <c r="DP100" s="15" t="s">
        <v>188</v>
      </c>
      <c r="DR100" s="38"/>
      <c r="DS100" s="15" t="s">
        <v>188</v>
      </c>
      <c r="DU100" s="15" t="str">
        <f>IF(Regn2!$T100&lt;=1,"",VLOOKUP(Regn2!$T100,Efgr,2))</f>
        <v/>
      </c>
      <c r="DW100" s="25" t="str">
        <f>IF(Regn2!$T100&gt;1,Regn2!BN100,"")</f>
        <v/>
      </c>
      <c r="DX100" s="15" t="s">
        <v>82</v>
      </c>
      <c r="DZ100" s="16"/>
      <c r="EA100" s="15" t="s">
        <v>82</v>
      </c>
      <c r="EC100" s="17"/>
      <c r="ED100" s="15" t="s">
        <v>1504</v>
      </c>
      <c r="EF100" s="17"/>
      <c r="EG100" s="15" t="s">
        <v>1793</v>
      </c>
      <c r="EI100" s="16"/>
      <c r="EJ100" s="15" t="s">
        <v>82</v>
      </c>
      <c r="EL100" s="16">
        <v>75</v>
      </c>
      <c r="EM100" s="15" t="s">
        <v>205</v>
      </c>
      <c r="EO100" s="25">
        <f>EI100*EL100*0.01</f>
        <v>0</v>
      </c>
      <c r="EP100" s="15" t="s">
        <v>82</v>
      </c>
      <c r="ER100" s="17"/>
      <c r="ES100" s="15" t="s">
        <v>82</v>
      </c>
      <c r="EV100" s="17"/>
      <c r="EW100" s="15" t="s">
        <v>1504</v>
      </c>
      <c r="EY100" s="17"/>
      <c r="EZ100" s="15" t="s">
        <v>1793</v>
      </c>
      <c r="FB100" s="25" t="str">
        <f>IF(Regn2!$T100&gt;1,Regn2!BQ100,"")</f>
        <v/>
      </c>
      <c r="FC100" s="15" t="str">
        <f>IF(Regn2!$T100&gt;1,Regn2!BT100,"")</f>
        <v/>
      </c>
      <c r="FE100" s="16"/>
      <c r="FF100" s="15" t="str">
        <f>IF(Regn2!$T100&gt;1,Regn2!BT100,"")</f>
        <v/>
      </c>
      <c r="FL100" s="32" t="str">
        <f>IF(Regn2!$R100&gt;1,NniveauDelsaedsk1,"")</f>
        <v/>
      </c>
      <c r="FM100" s="15" t="s">
        <v>82</v>
      </c>
      <c r="FO100" s="17"/>
      <c r="FP100" s="15" t="s">
        <v>82</v>
      </c>
      <c r="FR100" s="32" t="str">
        <f>IF(Regn2!$R100&gt;1,Regn2!HU100,"")</f>
        <v/>
      </c>
      <c r="FS100" s="15" t="s">
        <v>531</v>
      </c>
      <c r="FU100" s="17"/>
      <c r="FV100" s="15" t="s">
        <v>531</v>
      </c>
      <c r="FX100" s="32" t="str">
        <f>IF(Regn2!$R100&gt;1,Regn2!HR100,"")</f>
        <v/>
      </c>
      <c r="FY100" s="15" t="s">
        <v>531</v>
      </c>
      <c r="GA100" s="17"/>
      <c r="GB100" s="15" t="s">
        <v>531</v>
      </c>
      <c r="GD100" s="15" t="str">
        <f>IF(Regn2!$R100&gt;1,RetentionNbal,"")</f>
        <v/>
      </c>
      <c r="GE100" s="15" t="s">
        <v>205</v>
      </c>
      <c r="GF100" s="17"/>
      <c r="GG100" s="15" t="s">
        <v>205</v>
      </c>
      <c r="GI100" s="15" t="str">
        <f>IF(Regn2!$R100&lt;=1,"",VLOOKUP(Regn2!$R100,Afgr,2))</f>
        <v/>
      </c>
      <c r="GK100" s="25" t="str">
        <f>IF(Regn2!$R100&gt;1,Regn2!IO100,"")</f>
        <v/>
      </c>
      <c r="GL100" s="15" t="s">
        <v>188</v>
      </c>
      <c r="GN100" s="16"/>
      <c r="GO100" s="15" t="s">
        <v>188</v>
      </c>
      <c r="GQ100" s="25" t="str">
        <f>IF(Regn2!$R100&gt;1,Regn2!JK100,"")</f>
        <v/>
      </c>
      <c r="GR100" s="15" t="s">
        <v>188</v>
      </c>
      <c r="GT100" s="16"/>
      <c r="GU100" s="15" t="s">
        <v>188</v>
      </c>
      <c r="GW100" s="25" t="str">
        <f>IF(Regn2!$R100&gt;1,Regn2!JO100,"")</f>
        <v/>
      </c>
      <c r="GX100" s="15" t="s">
        <v>188</v>
      </c>
      <c r="GZ100" s="16"/>
      <c r="HA100" s="15" t="s">
        <v>188</v>
      </c>
      <c r="HC100" s="25" t="str">
        <f>IF(Regn2!$R100&gt;1,Regn2!JS100,"")</f>
        <v/>
      </c>
      <c r="HD100" s="15" t="s">
        <v>188</v>
      </c>
      <c r="HF100" s="16"/>
      <c r="HG100" s="15" t="s">
        <v>188</v>
      </c>
      <c r="HI100" s="25" t="str">
        <f>IF(Regn2!$R100&gt;1,Regn2!JY100,"")</f>
        <v/>
      </c>
      <c r="HJ100" s="15" t="s">
        <v>362</v>
      </c>
      <c r="HL100" s="16"/>
      <c r="HM100" s="15" t="s">
        <v>188</v>
      </c>
      <c r="HO100" s="25" t="str">
        <f>IF(Regn2!$R100&gt;1,Regn2!KL100,"")</f>
        <v/>
      </c>
      <c r="HP100" s="15" t="s">
        <v>188</v>
      </c>
      <c r="HR100" s="16"/>
      <c r="HS100" s="15" t="s">
        <v>188</v>
      </c>
      <c r="HU100" s="25" t="str">
        <f>IF(Regn2!$R100&gt;1,Regn2!KP100,"")</f>
        <v/>
      </c>
      <c r="HV100" s="15" t="s">
        <v>188</v>
      </c>
      <c r="HX100" s="16"/>
      <c r="HY100" s="15" t="s">
        <v>188</v>
      </c>
      <c r="IA100" s="25" t="str">
        <f>IF(Regn2!$R100&gt;1,Regn2!KT100,"")</f>
        <v/>
      </c>
      <c r="IB100" s="15" t="s">
        <v>188</v>
      </c>
      <c r="ID100" s="16"/>
      <c r="IE100" s="15" t="s">
        <v>188</v>
      </c>
      <c r="IG100" s="25" t="str">
        <f>IF(Regn2!$R100&gt;1,Regn2!KX100,"")</f>
        <v/>
      </c>
      <c r="IH100" s="15" t="s">
        <v>531</v>
      </c>
      <c r="IJ100" s="16"/>
      <c r="IK100" s="15" t="s">
        <v>531</v>
      </c>
      <c r="IM100" s="25" t="str">
        <f>IF(Regn2!$R100&gt;1,Regn2!KZ100,"")</f>
        <v/>
      </c>
      <c r="IN100" s="15" t="s">
        <v>188</v>
      </c>
      <c r="IP100" s="16"/>
      <c r="IQ100" s="15" t="s">
        <v>188</v>
      </c>
      <c r="IS100" s="25" t="str">
        <f>IF(Regn2!$R100&gt;1,Regn2!LG100,"")</f>
        <v/>
      </c>
      <c r="IT100" s="15" t="s">
        <v>188</v>
      </c>
      <c r="IV100" s="16"/>
      <c r="IW100" s="15" t="s">
        <v>405</v>
      </c>
      <c r="IY100" s="25" t="str">
        <f>IF(Regn2!$R100&gt;1,Regn2!LM100,"")</f>
        <v/>
      </c>
      <c r="IZ100" s="15" t="s">
        <v>188</v>
      </c>
      <c r="JB100" s="16"/>
      <c r="JC100" s="15" t="s">
        <v>188</v>
      </c>
      <c r="JH100" s="25" t="str">
        <f>IF(Regn2!$R100&gt;1,Regn2!LQ100,"")</f>
        <v/>
      </c>
      <c r="JI100" s="15" t="s">
        <v>188</v>
      </c>
      <c r="JK100" s="16"/>
      <c r="JL100" s="15" t="s">
        <v>188</v>
      </c>
      <c r="JN100" s="15" t="str">
        <f>IF(Regn2!$T100&lt;=1,"",VLOOKUP(Regn2!$T100,Efgr,2))</f>
        <v/>
      </c>
      <c r="JP100" s="25" t="str">
        <f>IF(Regn2!$T100&gt;1,Regn2!LU100,"")</f>
        <v/>
      </c>
      <c r="JQ100" s="15" t="s">
        <v>188</v>
      </c>
      <c r="JS100" s="16"/>
      <c r="JT100" s="15" t="s">
        <v>188</v>
      </c>
      <c r="JV100" s="25" t="str">
        <f>IF(Regn2!$T100&gt;1,Regn2!MN100,"")</f>
        <v/>
      </c>
      <c r="JW100" s="15" t="s">
        <v>188</v>
      </c>
      <c r="JY100" s="16"/>
      <c r="JZ100" s="15" t="s">
        <v>188</v>
      </c>
      <c r="KB100" s="25" t="str">
        <f>IF(Regn2!$T100&gt;1,Regn2!MR100,"")</f>
        <v/>
      </c>
      <c r="KC100" s="15" t="s">
        <v>188</v>
      </c>
      <c r="KE100" s="16"/>
      <c r="KF100" s="15" t="s">
        <v>188</v>
      </c>
      <c r="KH100" s="25" t="str">
        <f>IF(Regn2!$T100&gt;1,Regn2!MV100,"")</f>
        <v/>
      </c>
      <c r="KI100" s="15" t="s">
        <v>188</v>
      </c>
      <c r="KK100" s="16"/>
      <c r="KL100" s="15" t="s">
        <v>188</v>
      </c>
      <c r="KN100" s="25" t="str">
        <f>IF(Regn2!$T100&gt;1,Regn2!NB100,"")</f>
        <v/>
      </c>
      <c r="KO100" s="15" t="s">
        <v>188</v>
      </c>
      <c r="KQ100" s="16"/>
      <c r="KR100" s="15" t="s">
        <v>188</v>
      </c>
      <c r="KT100" s="25" t="str">
        <f>IF(Regn2!$T100&gt;1,Regn2!NF100,"")</f>
        <v/>
      </c>
      <c r="KU100" s="15" t="s">
        <v>188</v>
      </c>
      <c r="KW100" s="16"/>
      <c r="KX100" s="15" t="s">
        <v>188</v>
      </c>
      <c r="KZ100" s="25" t="str">
        <f>IF(Regn2!$T100&gt;1,Regn2!NJ100,"")</f>
        <v/>
      </c>
      <c r="LA100" s="15" t="s">
        <v>188</v>
      </c>
      <c r="LC100" s="16"/>
      <c r="LD100" s="15" t="s">
        <v>188</v>
      </c>
      <c r="LF100" s="25" t="str">
        <f>IF(Regn2!$T100&gt;1,Regn2!NN100,"")</f>
        <v/>
      </c>
      <c r="LG100" s="15" t="s">
        <v>531</v>
      </c>
      <c r="LI100" s="16"/>
      <c r="LJ100" s="15" t="s">
        <v>531</v>
      </c>
      <c r="LL100" s="25" t="str">
        <f>IF(Regn2!$T100&gt;1,Regn2!NP100,"")</f>
        <v/>
      </c>
      <c r="LM100" s="15" t="s">
        <v>188</v>
      </c>
      <c r="LO100" s="16"/>
      <c r="LP100" s="15" t="s">
        <v>188</v>
      </c>
      <c r="LR100" s="25" t="str">
        <f>IF(Regn2!$T100&gt;1,Regn2!NV100,"")</f>
        <v/>
      </c>
      <c r="LS100" s="15" t="s">
        <v>188</v>
      </c>
      <c r="LU100" s="16"/>
      <c r="LV100" s="15" t="s">
        <v>188</v>
      </c>
      <c r="LX100" s="25" t="str">
        <f>IF(Regn2!$T100&gt;1,Regn2!NZ100,"")</f>
        <v/>
      </c>
      <c r="LY100" s="15" t="s">
        <v>188</v>
      </c>
      <c r="MA100" s="16"/>
      <c r="MB100" s="15" t="s">
        <v>188</v>
      </c>
    </row>
  </sheetData>
  <sheetProtection sheet="1" objects="1" scenarios="1"/>
  <mergeCells count="41">
    <mergeCell ref="D5:H5"/>
    <mergeCell ref="L5:O5"/>
    <mergeCell ref="J16:M16"/>
    <mergeCell ref="N16:Q16"/>
    <mergeCell ref="T16:W16"/>
    <mergeCell ref="X16:AA16"/>
    <mergeCell ref="AB16:AE16"/>
    <mergeCell ref="IY16:JC16"/>
    <mergeCell ref="LR16:LV16"/>
    <mergeCell ref="LX16:MB16"/>
    <mergeCell ref="BP16:BQ16"/>
    <mergeCell ref="FH16:FJ16"/>
    <mergeCell ref="EI16:EK16"/>
    <mergeCell ref="EL16:EM16"/>
    <mergeCell ref="EC16:ED16"/>
    <mergeCell ref="EF16:EG16"/>
    <mergeCell ref="ER15:ET16"/>
    <mergeCell ref="BY16:BZ16"/>
    <mergeCell ref="FL16:FO16"/>
    <mergeCell ref="FR16:FV16"/>
    <mergeCell ref="FX16:GB16"/>
    <mergeCell ref="AN16:AO16"/>
    <mergeCell ref="AT16:AU16"/>
    <mergeCell ref="AQ16:AR16"/>
    <mergeCell ref="BJ16:BK16"/>
    <mergeCell ref="DZ16:EA16"/>
    <mergeCell ref="BH15:BI16"/>
    <mergeCell ref="BM15:BN16"/>
    <mergeCell ref="BS15:BU16"/>
    <mergeCell ref="BW15:BX16"/>
    <mergeCell ref="BA16:BB16"/>
    <mergeCell ref="BD16:BE16"/>
    <mergeCell ref="AX16:AY16"/>
    <mergeCell ref="CB16:CC16"/>
    <mergeCell ref="CE16:CF16"/>
    <mergeCell ref="EO16:EP16"/>
    <mergeCell ref="HC16:HG16"/>
    <mergeCell ref="IS16:IW16"/>
    <mergeCell ref="DL16:DM16"/>
    <mergeCell ref="EV16:EW16"/>
    <mergeCell ref="EY16:EZ16"/>
  </mergeCells>
  <conditionalFormatting sqref="AP18:AQ18">
    <cfRule type="expression" dxfId="339" priority="1406" stopIfTrue="1">
      <formula>AU18&lt;&gt;""</formula>
    </cfRule>
  </conditionalFormatting>
  <conditionalFormatting sqref="CI18">
    <cfRule type="expression" dxfId="338" priority="1405" stopIfTrue="1">
      <formula>CK18&lt;&gt;""</formula>
    </cfRule>
  </conditionalFormatting>
  <conditionalFormatting sqref="CT18">
    <cfRule type="expression" dxfId="337" priority="1404" stopIfTrue="1">
      <formula>CW18&lt;&gt;""</formula>
    </cfRule>
  </conditionalFormatting>
  <conditionalFormatting sqref="CU18">
    <cfRule type="expression" dxfId="336" priority="1403" stopIfTrue="1">
      <formula>CW18&lt;&gt;""</formula>
    </cfRule>
  </conditionalFormatting>
  <conditionalFormatting sqref="DF18">
    <cfRule type="expression" dxfId="335" priority="1402" stopIfTrue="1">
      <formula>DI18&lt;&gt;""</formula>
    </cfRule>
  </conditionalFormatting>
  <conditionalFormatting sqref="DG18">
    <cfRule type="expression" dxfId="334" priority="1401" stopIfTrue="1">
      <formula>DI18&lt;&gt;""</formula>
    </cfRule>
  </conditionalFormatting>
  <conditionalFormatting sqref="DO18">
    <cfRule type="expression" dxfId="333" priority="1400" stopIfTrue="1">
      <formula>DR18&lt;&gt;""</formula>
    </cfRule>
  </conditionalFormatting>
  <conditionalFormatting sqref="DP18">
    <cfRule type="expression" dxfId="332" priority="1399" stopIfTrue="1">
      <formula>DR18&lt;&gt;""</formula>
    </cfRule>
  </conditionalFormatting>
  <conditionalFormatting sqref="CN18">
    <cfRule type="expression" dxfId="331" priority="1398" stopIfTrue="1">
      <formula>CQ18&lt;&gt;""</formula>
    </cfRule>
  </conditionalFormatting>
  <conditionalFormatting sqref="CO18">
    <cfRule type="expression" dxfId="330" priority="1397" stopIfTrue="1">
      <formula>CQ18&lt;&gt;""</formula>
    </cfRule>
  </conditionalFormatting>
  <conditionalFormatting sqref="FB18">
    <cfRule type="expression" dxfId="329" priority="1396" stopIfTrue="1">
      <formula>FE18&lt;&gt;""</formula>
    </cfRule>
  </conditionalFormatting>
  <conditionalFormatting sqref="FC18">
    <cfRule type="expression" dxfId="328" priority="1395" stopIfTrue="1">
      <formula>FE18&lt;&gt;""</formula>
    </cfRule>
  </conditionalFormatting>
  <conditionalFormatting sqref="GK18">
    <cfRule type="expression" dxfId="327" priority="1394" stopIfTrue="1">
      <formula>GN18&lt;&gt;""</formula>
    </cfRule>
  </conditionalFormatting>
  <conditionalFormatting sqref="GL18">
    <cfRule type="expression" dxfId="326" priority="1393" stopIfTrue="1">
      <formula>GN18&lt;&gt;""</formula>
    </cfRule>
  </conditionalFormatting>
  <conditionalFormatting sqref="GW18">
    <cfRule type="expression" dxfId="325" priority="1392" stopIfTrue="1">
      <formula>GZ18&lt;&gt;""</formula>
    </cfRule>
  </conditionalFormatting>
  <conditionalFormatting sqref="GX18">
    <cfRule type="expression" dxfId="324" priority="1391" stopIfTrue="1">
      <formula>GZ18&lt;&gt;""</formula>
    </cfRule>
  </conditionalFormatting>
  <conditionalFormatting sqref="HC18">
    <cfRule type="expression" dxfId="323" priority="1390" stopIfTrue="1">
      <formula>HF18&lt;&gt;""</formula>
    </cfRule>
  </conditionalFormatting>
  <conditionalFormatting sqref="HD18">
    <cfRule type="expression" dxfId="322" priority="1389" stopIfTrue="1">
      <formula>HF18&lt;&gt;""</formula>
    </cfRule>
  </conditionalFormatting>
  <conditionalFormatting sqref="JP18">
    <cfRule type="expression" dxfId="321" priority="1388" stopIfTrue="1">
      <formula>JS18&lt;&gt;""</formula>
    </cfRule>
  </conditionalFormatting>
  <conditionalFormatting sqref="JQ18">
    <cfRule type="expression" dxfId="320" priority="1387" stopIfTrue="1">
      <formula>JS18&lt;&gt;""</formula>
    </cfRule>
  </conditionalFormatting>
  <conditionalFormatting sqref="DW18">
    <cfRule type="expression" dxfId="319" priority="1386" stopIfTrue="1">
      <formula>DZ18&lt;&gt;""</formula>
    </cfRule>
  </conditionalFormatting>
  <conditionalFormatting sqref="DX18">
    <cfRule type="expression" dxfId="318" priority="1385" stopIfTrue="1">
      <formula>DZ18&lt;&gt;""</formula>
    </cfRule>
  </conditionalFormatting>
  <conditionalFormatting sqref="FB18">
    <cfRule type="expression" dxfId="317" priority="1382" stopIfTrue="1">
      <formula>FE18&lt;&gt;""</formula>
    </cfRule>
  </conditionalFormatting>
  <conditionalFormatting sqref="FC18">
    <cfRule type="expression" dxfId="316" priority="1381" stopIfTrue="1">
      <formula>FE18&lt;&gt;""</formula>
    </cfRule>
  </conditionalFormatting>
  <conditionalFormatting sqref="GK18 GQ18 GW18 HC18 HI18 HO18 HU18 IA18 IG18 IM18 IS18 IY18 JH18 JP18 JV18 KB18 KH18 KN18 KT18 KZ18 LF18 LL18 LR18 LX18">
    <cfRule type="expression" dxfId="315" priority="1380" stopIfTrue="1">
      <formula>GN18&lt;&gt;""</formula>
    </cfRule>
  </conditionalFormatting>
  <conditionalFormatting sqref="GL18 GR18 GX18 HD18 HJ18 HP18 HV18 IB18 IH18 IN18 IT18 IZ18 JI18 JQ18 JW18 KC18 KI18 KO18 KU18 LA18 LG18 LM18 LS18 LY18">
    <cfRule type="expression" dxfId="314" priority="1379" stopIfTrue="1">
      <formula>GN18&lt;&gt;""</formula>
    </cfRule>
  </conditionalFormatting>
  <conditionalFormatting sqref="CZ18">
    <cfRule type="expression" dxfId="313" priority="1378" stopIfTrue="1">
      <formula>DC18&lt;&gt;""</formula>
    </cfRule>
  </conditionalFormatting>
  <conditionalFormatting sqref="DA18">
    <cfRule type="expression" dxfId="312" priority="1377" stopIfTrue="1">
      <formula>DC18&lt;&gt;""</formula>
    </cfRule>
  </conditionalFormatting>
  <conditionalFormatting sqref="S5">
    <cfRule type="expression" dxfId="311" priority="310">
      <formula>IF(Postnr="",TRUE,FALSE)</formula>
    </cfRule>
  </conditionalFormatting>
  <conditionalFormatting sqref="CH18">
    <cfRule type="expression" dxfId="310" priority="301">
      <formula>IF(CI18="FE",TRUE,FALSE)</formula>
    </cfRule>
    <cfRule type="expression" dxfId="309" priority="302" stopIfTrue="1">
      <formula>CK18&lt;&gt;""</formula>
    </cfRule>
  </conditionalFormatting>
  <conditionalFormatting sqref="AP20:AQ20">
    <cfRule type="expression" dxfId="308" priority="300" stopIfTrue="1">
      <formula>AU20&lt;&gt;""</formula>
    </cfRule>
  </conditionalFormatting>
  <conditionalFormatting sqref="CI20">
    <cfRule type="expression" dxfId="307" priority="299" stopIfTrue="1">
      <formula>CK20&lt;&gt;""</formula>
    </cfRule>
  </conditionalFormatting>
  <conditionalFormatting sqref="CT20">
    <cfRule type="expression" dxfId="306" priority="298" stopIfTrue="1">
      <formula>CW20&lt;&gt;""</formula>
    </cfRule>
  </conditionalFormatting>
  <conditionalFormatting sqref="CU20">
    <cfRule type="expression" dxfId="305" priority="297" stopIfTrue="1">
      <formula>CW20&lt;&gt;""</formula>
    </cfRule>
  </conditionalFormatting>
  <conditionalFormatting sqref="DF20">
    <cfRule type="expression" dxfId="304" priority="296" stopIfTrue="1">
      <formula>DI20&lt;&gt;""</formula>
    </cfRule>
  </conditionalFormatting>
  <conditionalFormatting sqref="DG20">
    <cfRule type="expression" dxfId="303" priority="295" stopIfTrue="1">
      <formula>DI20&lt;&gt;""</formula>
    </cfRule>
  </conditionalFormatting>
  <conditionalFormatting sqref="DO20">
    <cfRule type="expression" dxfId="302" priority="294" stopIfTrue="1">
      <formula>DR20&lt;&gt;""</formula>
    </cfRule>
  </conditionalFormatting>
  <conditionalFormatting sqref="DP20">
    <cfRule type="expression" dxfId="301" priority="293" stopIfTrue="1">
      <formula>DR20&lt;&gt;""</formula>
    </cfRule>
  </conditionalFormatting>
  <conditionalFormatting sqref="CN20">
    <cfRule type="expression" dxfId="300" priority="292" stopIfTrue="1">
      <formula>CQ20&lt;&gt;""</formula>
    </cfRule>
  </conditionalFormatting>
  <conditionalFormatting sqref="CO20">
    <cfRule type="expression" dxfId="299" priority="291" stopIfTrue="1">
      <formula>CQ20&lt;&gt;""</formula>
    </cfRule>
  </conditionalFormatting>
  <conditionalFormatting sqref="FB20">
    <cfRule type="expression" dxfId="298" priority="290" stopIfTrue="1">
      <formula>FE20&lt;&gt;""</formula>
    </cfRule>
  </conditionalFormatting>
  <conditionalFormatting sqref="FC20">
    <cfRule type="expression" dxfId="297" priority="289" stopIfTrue="1">
      <formula>FE20&lt;&gt;""</formula>
    </cfRule>
  </conditionalFormatting>
  <conditionalFormatting sqref="GK20">
    <cfRule type="expression" dxfId="296" priority="288" stopIfTrue="1">
      <formula>GN20&lt;&gt;""</formula>
    </cfRule>
  </conditionalFormatting>
  <conditionalFormatting sqref="GL20">
    <cfRule type="expression" dxfId="295" priority="287" stopIfTrue="1">
      <formula>GN20&lt;&gt;""</formula>
    </cfRule>
  </conditionalFormatting>
  <conditionalFormatting sqref="GW20">
    <cfRule type="expression" dxfId="294" priority="286" stopIfTrue="1">
      <formula>GZ20&lt;&gt;""</formula>
    </cfRule>
  </conditionalFormatting>
  <conditionalFormatting sqref="GX20">
    <cfRule type="expression" dxfId="293" priority="285" stopIfTrue="1">
      <formula>GZ20&lt;&gt;""</formula>
    </cfRule>
  </conditionalFormatting>
  <conditionalFormatting sqref="HC20">
    <cfRule type="expression" dxfId="292" priority="284" stopIfTrue="1">
      <formula>HF20&lt;&gt;""</formula>
    </cfRule>
  </conditionalFormatting>
  <conditionalFormatting sqref="HD20">
    <cfRule type="expression" dxfId="291" priority="283" stopIfTrue="1">
      <formula>HF20&lt;&gt;""</formula>
    </cfRule>
  </conditionalFormatting>
  <conditionalFormatting sqref="JP20">
    <cfRule type="expression" dxfId="290" priority="282" stopIfTrue="1">
      <formula>JS20&lt;&gt;""</formula>
    </cfRule>
  </conditionalFormatting>
  <conditionalFormatting sqref="JQ20">
    <cfRule type="expression" dxfId="289" priority="281" stopIfTrue="1">
      <formula>JS20&lt;&gt;""</formula>
    </cfRule>
  </conditionalFormatting>
  <conditionalFormatting sqref="DW20">
    <cfRule type="expression" dxfId="288" priority="280" stopIfTrue="1">
      <formula>DZ20&lt;&gt;""</formula>
    </cfRule>
  </conditionalFormatting>
  <conditionalFormatting sqref="DX20">
    <cfRule type="expression" dxfId="287" priority="279" stopIfTrue="1">
      <formula>DZ20&lt;&gt;""</formula>
    </cfRule>
  </conditionalFormatting>
  <conditionalFormatting sqref="FB20">
    <cfRule type="expression" dxfId="286" priority="278" stopIfTrue="1">
      <formula>FE20&lt;&gt;""</formula>
    </cfRule>
  </conditionalFormatting>
  <conditionalFormatting sqref="FC20">
    <cfRule type="expression" dxfId="285" priority="277" stopIfTrue="1">
      <formula>FE20&lt;&gt;""</formula>
    </cfRule>
  </conditionalFormatting>
  <conditionalFormatting sqref="GK20 GQ20 GW20 HC20 HI20 HO20 HU20 IA20 IG20 IM20 IS20 IY20 JH20 JP20 JV20 KB20 KH20 KN20 KT20 KZ20 LF20 LL20 LR20 LX20">
    <cfRule type="expression" dxfId="284" priority="276" stopIfTrue="1">
      <formula>GN20&lt;&gt;""</formula>
    </cfRule>
  </conditionalFormatting>
  <conditionalFormatting sqref="GL20 GR20 GX20 HD20 HJ20 HP20 HV20 IB20 IH20 IN20 IT20 IZ20 JI20 JQ20 JW20 KC20 KI20 KO20 KU20 LA20 LG20 LM20 LS20 LY20">
    <cfRule type="expression" dxfId="283" priority="275" stopIfTrue="1">
      <formula>GN20&lt;&gt;""</formula>
    </cfRule>
  </conditionalFormatting>
  <conditionalFormatting sqref="CZ20">
    <cfRule type="expression" dxfId="282" priority="274" stopIfTrue="1">
      <formula>DC20&lt;&gt;""</formula>
    </cfRule>
  </conditionalFormatting>
  <conditionalFormatting sqref="DA20">
    <cfRule type="expression" dxfId="281" priority="273" stopIfTrue="1">
      <formula>DC20&lt;&gt;""</formula>
    </cfRule>
  </conditionalFormatting>
  <conditionalFormatting sqref="CH20">
    <cfRule type="expression" dxfId="280" priority="271">
      <formula>IF(CI20="FE",TRUE,FALSE)</formula>
    </cfRule>
    <cfRule type="expression" dxfId="279" priority="272" stopIfTrue="1">
      <formula>CK20&lt;&gt;""</formula>
    </cfRule>
  </conditionalFormatting>
  <conditionalFormatting sqref="AP22:AQ22">
    <cfRule type="expression" dxfId="278" priority="270" stopIfTrue="1">
      <formula>AU22&lt;&gt;""</formula>
    </cfRule>
  </conditionalFormatting>
  <conditionalFormatting sqref="CI22">
    <cfRule type="expression" dxfId="277" priority="269" stopIfTrue="1">
      <formula>CK22&lt;&gt;""</formula>
    </cfRule>
  </conditionalFormatting>
  <conditionalFormatting sqref="CT22">
    <cfRule type="expression" dxfId="276" priority="268" stopIfTrue="1">
      <formula>CW22&lt;&gt;""</formula>
    </cfRule>
  </conditionalFormatting>
  <conditionalFormatting sqref="CU22">
    <cfRule type="expression" dxfId="275" priority="267" stopIfTrue="1">
      <formula>CW22&lt;&gt;""</formula>
    </cfRule>
  </conditionalFormatting>
  <conditionalFormatting sqref="DF22">
    <cfRule type="expression" dxfId="274" priority="266" stopIfTrue="1">
      <formula>DI22&lt;&gt;""</formula>
    </cfRule>
  </conditionalFormatting>
  <conditionalFormatting sqref="DG22">
    <cfRule type="expression" dxfId="273" priority="265" stopIfTrue="1">
      <formula>DI22&lt;&gt;""</formula>
    </cfRule>
  </conditionalFormatting>
  <conditionalFormatting sqref="DO22">
    <cfRule type="expression" dxfId="272" priority="264" stopIfTrue="1">
      <formula>DR22&lt;&gt;""</formula>
    </cfRule>
  </conditionalFormatting>
  <conditionalFormatting sqref="DP22">
    <cfRule type="expression" dxfId="271" priority="263" stopIfTrue="1">
      <formula>DR22&lt;&gt;""</formula>
    </cfRule>
  </conditionalFormatting>
  <conditionalFormatting sqref="CN22">
    <cfRule type="expression" dxfId="270" priority="262" stopIfTrue="1">
      <formula>CQ22&lt;&gt;""</formula>
    </cfRule>
  </conditionalFormatting>
  <conditionalFormatting sqref="CO22">
    <cfRule type="expression" dxfId="269" priority="261" stopIfTrue="1">
      <formula>CQ22&lt;&gt;""</formula>
    </cfRule>
  </conditionalFormatting>
  <conditionalFormatting sqref="FB22">
    <cfRule type="expression" dxfId="268" priority="260" stopIfTrue="1">
      <formula>FE22&lt;&gt;""</formula>
    </cfRule>
  </conditionalFormatting>
  <conditionalFormatting sqref="FC22">
    <cfRule type="expression" dxfId="267" priority="259" stopIfTrue="1">
      <formula>FE22&lt;&gt;""</formula>
    </cfRule>
  </conditionalFormatting>
  <conditionalFormatting sqref="GK22">
    <cfRule type="expression" dxfId="266" priority="258" stopIfTrue="1">
      <formula>GN22&lt;&gt;""</formula>
    </cfRule>
  </conditionalFormatting>
  <conditionalFormatting sqref="GL22">
    <cfRule type="expression" dxfId="265" priority="257" stopIfTrue="1">
      <formula>GN22&lt;&gt;""</formula>
    </cfRule>
  </conditionalFormatting>
  <conditionalFormatting sqref="GW22">
    <cfRule type="expression" dxfId="264" priority="256" stopIfTrue="1">
      <formula>GZ22&lt;&gt;""</formula>
    </cfRule>
  </conditionalFormatting>
  <conditionalFormatting sqref="GX22">
    <cfRule type="expression" dxfId="263" priority="255" stopIfTrue="1">
      <formula>GZ22&lt;&gt;""</formula>
    </cfRule>
  </conditionalFormatting>
  <conditionalFormatting sqref="HC22">
    <cfRule type="expression" dxfId="262" priority="254" stopIfTrue="1">
      <formula>HF22&lt;&gt;""</formula>
    </cfRule>
  </conditionalFormatting>
  <conditionalFormatting sqref="HD22">
    <cfRule type="expression" dxfId="261" priority="253" stopIfTrue="1">
      <formula>HF22&lt;&gt;""</formula>
    </cfRule>
  </conditionalFormatting>
  <conditionalFormatting sqref="JP22">
    <cfRule type="expression" dxfId="260" priority="252" stopIfTrue="1">
      <formula>JS22&lt;&gt;""</formula>
    </cfRule>
  </conditionalFormatting>
  <conditionalFormatting sqref="JQ22">
    <cfRule type="expression" dxfId="259" priority="251" stopIfTrue="1">
      <formula>JS22&lt;&gt;""</formula>
    </cfRule>
  </conditionalFormatting>
  <conditionalFormatting sqref="DW22">
    <cfRule type="expression" dxfId="258" priority="250" stopIfTrue="1">
      <formula>DZ22&lt;&gt;""</formula>
    </cfRule>
  </conditionalFormatting>
  <conditionalFormatting sqref="DX22">
    <cfRule type="expression" dxfId="257" priority="249" stopIfTrue="1">
      <formula>DZ22&lt;&gt;""</formula>
    </cfRule>
  </conditionalFormatting>
  <conditionalFormatting sqref="FB22">
    <cfRule type="expression" dxfId="256" priority="248" stopIfTrue="1">
      <formula>FE22&lt;&gt;""</formula>
    </cfRule>
  </conditionalFormatting>
  <conditionalFormatting sqref="FC22">
    <cfRule type="expression" dxfId="255" priority="247" stopIfTrue="1">
      <formula>FE22&lt;&gt;""</formula>
    </cfRule>
  </conditionalFormatting>
  <conditionalFormatting sqref="GK22 GQ22 GW22 HC22 HI22 HO22 HU22 IA22 IG22 IM22 IS22 IY22 JH22 JP22 JV22 KB22 KH22 KN22 KT22 KZ22 LF22 LL22 LR22 LX22">
    <cfRule type="expression" dxfId="254" priority="246" stopIfTrue="1">
      <formula>GN22&lt;&gt;""</formula>
    </cfRule>
  </conditionalFormatting>
  <conditionalFormatting sqref="GL22 GR22 GX22 HD22 HJ22 HP22 HV22 IB22 IH22 IN22 IT22 IZ22 JI22 JQ22 JW22 KC22 KI22 KO22 KU22 LA22 LG22 LM22 LS22 LY22">
    <cfRule type="expression" dxfId="253" priority="245" stopIfTrue="1">
      <formula>GN22&lt;&gt;""</formula>
    </cfRule>
  </conditionalFormatting>
  <conditionalFormatting sqref="CZ22">
    <cfRule type="expression" dxfId="252" priority="244" stopIfTrue="1">
      <formula>DC22&lt;&gt;""</formula>
    </cfRule>
  </conditionalFormatting>
  <conditionalFormatting sqref="DA22">
    <cfRule type="expression" dxfId="251" priority="243" stopIfTrue="1">
      <formula>DC22&lt;&gt;""</formula>
    </cfRule>
  </conditionalFormatting>
  <conditionalFormatting sqref="CH22">
    <cfRule type="expression" dxfId="250" priority="241">
      <formula>IF(CI22="FE",TRUE,FALSE)</formula>
    </cfRule>
    <cfRule type="expression" dxfId="249" priority="242" stopIfTrue="1">
      <formula>CK22&lt;&gt;""</formula>
    </cfRule>
  </conditionalFormatting>
  <conditionalFormatting sqref="AP24:AQ24">
    <cfRule type="expression" dxfId="248" priority="240" stopIfTrue="1">
      <formula>AU24&lt;&gt;""</formula>
    </cfRule>
  </conditionalFormatting>
  <conditionalFormatting sqref="CI24">
    <cfRule type="expression" dxfId="247" priority="239" stopIfTrue="1">
      <formula>CK24&lt;&gt;""</formula>
    </cfRule>
  </conditionalFormatting>
  <conditionalFormatting sqref="CT24">
    <cfRule type="expression" dxfId="246" priority="238" stopIfTrue="1">
      <formula>CW24&lt;&gt;""</formula>
    </cfRule>
  </conditionalFormatting>
  <conditionalFormatting sqref="CU24">
    <cfRule type="expression" dxfId="245" priority="237" stopIfTrue="1">
      <formula>CW24&lt;&gt;""</formula>
    </cfRule>
  </conditionalFormatting>
  <conditionalFormatting sqref="DF24">
    <cfRule type="expression" dxfId="244" priority="236" stopIfTrue="1">
      <formula>DI24&lt;&gt;""</formula>
    </cfRule>
  </conditionalFormatting>
  <conditionalFormatting sqref="DG24">
    <cfRule type="expression" dxfId="243" priority="235" stopIfTrue="1">
      <formula>DI24&lt;&gt;""</formula>
    </cfRule>
  </conditionalFormatting>
  <conditionalFormatting sqref="DO24">
    <cfRule type="expression" dxfId="242" priority="234" stopIfTrue="1">
      <formula>DR24&lt;&gt;""</formula>
    </cfRule>
  </conditionalFormatting>
  <conditionalFormatting sqref="DP24">
    <cfRule type="expression" dxfId="241" priority="233" stopIfTrue="1">
      <formula>DR24&lt;&gt;""</formula>
    </cfRule>
  </conditionalFormatting>
  <conditionalFormatting sqref="CN24">
    <cfRule type="expression" dxfId="240" priority="232" stopIfTrue="1">
      <formula>CQ24&lt;&gt;""</formula>
    </cfRule>
  </conditionalFormatting>
  <conditionalFormatting sqref="CO24">
    <cfRule type="expression" dxfId="239" priority="231" stopIfTrue="1">
      <formula>CQ24&lt;&gt;""</formula>
    </cfRule>
  </conditionalFormatting>
  <conditionalFormatting sqref="FB24">
    <cfRule type="expression" dxfId="238" priority="230" stopIfTrue="1">
      <formula>FE24&lt;&gt;""</formula>
    </cfRule>
  </conditionalFormatting>
  <conditionalFormatting sqref="FC24">
    <cfRule type="expression" dxfId="237" priority="229" stopIfTrue="1">
      <formula>FE24&lt;&gt;""</formula>
    </cfRule>
  </conditionalFormatting>
  <conditionalFormatting sqref="GK24">
    <cfRule type="expression" dxfId="236" priority="228" stopIfTrue="1">
      <formula>GN24&lt;&gt;""</formula>
    </cfRule>
  </conditionalFormatting>
  <conditionalFormatting sqref="GL24">
    <cfRule type="expression" dxfId="235" priority="227" stopIfTrue="1">
      <formula>GN24&lt;&gt;""</formula>
    </cfRule>
  </conditionalFormatting>
  <conditionalFormatting sqref="GW24">
    <cfRule type="expression" dxfId="234" priority="226" stopIfTrue="1">
      <formula>GZ24&lt;&gt;""</formula>
    </cfRule>
  </conditionalFormatting>
  <conditionalFormatting sqref="GX24">
    <cfRule type="expression" dxfId="233" priority="225" stopIfTrue="1">
      <formula>GZ24&lt;&gt;""</formula>
    </cfRule>
  </conditionalFormatting>
  <conditionalFormatting sqref="HC24">
    <cfRule type="expression" dxfId="232" priority="224" stopIfTrue="1">
      <formula>HF24&lt;&gt;""</formula>
    </cfRule>
  </conditionalFormatting>
  <conditionalFormatting sqref="HD24">
    <cfRule type="expression" dxfId="231" priority="223" stopIfTrue="1">
      <formula>HF24&lt;&gt;""</formula>
    </cfRule>
  </conditionalFormatting>
  <conditionalFormatting sqref="JP24">
    <cfRule type="expression" dxfId="230" priority="222" stopIfTrue="1">
      <formula>JS24&lt;&gt;""</formula>
    </cfRule>
  </conditionalFormatting>
  <conditionalFormatting sqref="JQ24">
    <cfRule type="expression" dxfId="229" priority="221" stopIfTrue="1">
      <formula>JS24&lt;&gt;""</formula>
    </cfRule>
  </conditionalFormatting>
  <conditionalFormatting sqref="DW24">
    <cfRule type="expression" dxfId="228" priority="220" stopIfTrue="1">
      <formula>DZ24&lt;&gt;""</formula>
    </cfRule>
  </conditionalFormatting>
  <conditionalFormatting sqref="DX24">
    <cfRule type="expression" dxfId="227" priority="219" stopIfTrue="1">
      <formula>DZ24&lt;&gt;""</formula>
    </cfRule>
  </conditionalFormatting>
  <conditionalFormatting sqref="FB24">
    <cfRule type="expression" dxfId="226" priority="218" stopIfTrue="1">
      <formula>FE24&lt;&gt;""</formula>
    </cfRule>
  </conditionalFormatting>
  <conditionalFormatting sqref="FC24">
    <cfRule type="expression" dxfId="225" priority="217" stopIfTrue="1">
      <formula>FE24&lt;&gt;""</formula>
    </cfRule>
  </conditionalFormatting>
  <conditionalFormatting sqref="GK24 GQ24 GW24 HC24 HI24 HO24 HU24 IA24 IG24 IM24 IS24 IY24 JH24 JP24 JV24 KB24 KH24 KN24 KT24 KZ24 LF24 LL24 LR24 LX24">
    <cfRule type="expression" dxfId="224" priority="216" stopIfTrue="1">
      <formula>GN24&lt;&gt;""</formula>
    </cfRule>
  </conditionalFormatting>
  <conditionalFormatting sqref="GL24 GR24 GX24 HD24 HJ24 HP24 HV24 IB24 IH24 IN24 IT24 IZ24 JI24 JQ24 JW24 KC24 KI24 KO24 KU24 LA24 LG24 LM24 LS24 LY24">
    <cfRule type="expression" dxfId="223" priority="215" stopIfTrue="1">
      <formula>GN24&lt;&gt;""</formula>
    </cfRule>
  </conditionalFormatting>
  <conditionalFormatting sqref="CZ24">
    <cfRule type="expression" dxfId="222" priority="214" stopIfTrue="1">
      <formula>DC24&lt;&gt;""</formula>
    </cfRule>
  </conditionalFormatting>
  <conditionalFormatting sqref="DA24">
    <cfRule type="expression" dxfId="221" priority="213" stopIfTrue="1">
      <formula>DC24&lt;&gt;""</formula>
    </cfRule>
  </conditionalFormatting>
  <conditionalFormatting sqref="CH24">
    <cfRule type="expression" dxfId="220" priority="211">
      <formula>IF(CI24="FE",TRUE,FALSE)</formula>
    </cfRule>
    <cfRule type="expression" dxfId="219" priority="212" stopIfTrue="1">
      <formula>CK24&lt;&gt;""</formula>
    </cfRule>
  </conditionalFormatting>
  <conditionalFormatting sqref="AP26:AQ26">
    <cfRule type="expression" dxfId="218" priority="210" stopIfTrue="1">
      <formula>AU26&lt;&gt;""</formula>
    </cfRule>
  </conditionalFormatting>
  <conditionalFormatting sqref="CI26">
    <cfRule type="expression" dxfId="217" priority="209" stopIfTrue="1">
      <formula>CK26&lt;&gt;""</formula>
    </cfRule>
  </conditionalFormatting>
  <conditionalFormatting sqref="CT26">
    <cfRule type="expression" dxfId="216" priority="208" stopIfTrue="1">
      <formula>CW26&lt;&gt;""</formula>
    </cfRule>
  </conditionalFormatting>
  <conditionalFormatting sqref="CU26">
    <cfRule type="expression" dxfId="215" priority="207" stopIfTrue="1">
      <formula>CW26&lt;&gt;""</formula>
    </cfRule>
  </conditionalFormatting>
  <conditionalFormatting sqref="DF26">
    <cfRule type="expression" dxfId="214" priority="206" stopIfTrue="1">
      <formula>DI26&lt;&gt;""</formula>
    </cfRule>
  </conditionalFormatting>
  <conditionalFormatting sqref="DG26">
    <cfRule type="expression" dxfId="213" priority="205" stopIfTrue="1">
      <formula>DI26&lt;&gt;""</formula>
    </cfRule>
  </conditionalFormatting>
  <conditionalFormatting sqref="DO26">
    <cfRule type="expression" dxfId="212" priority="204" stopIfTrue="1">
      <formula>DR26&lt;&gt;""</formula>
    </cfRule>
  </conditionalFormatting>
  <conditionalFormatting sqref="DP26">
    <cfRule type="expression" dxfId="211" priority="203" stopIfTrue="1">
      <formula>DR26&lt;&gt;""</formula>
    </cfRule>
  </conditionalFormatting>
  <conditionalFormatting sqref="CN26">
    <cfRule type="expression" dxfId="210" priority="202" stopIfTrue="1">
      <formula>CQ26&lt;&gt;""</formula>
    </cfRule>
  </conditionalFormatting>
  <conditionalFormatting sqref="CO26">
    <cfRule type="expression" dxfId="209" priority="201" stopIfTrue="1">
      <formula>CQ26&lt;&gt;""</formula>
    </cfRule>
  </conditionalFormatting>
  <conditionalFormatting sqref="FB26">
    <cfRule type="expression" dxfId="208" priority="200" stopIfTrue="1">
      <formula>FE26&lt;&gt;""</formula>
    </cfRule>
  </conditionalFormatting>
  <conditionalFormatting sqref="FC26">
    <cfRule type="expression" dxfId="207" priority="199" stopIfTrue="1">
      <formula>FE26&lt;&gt;""</formula>
    </cfRule>
  </conditionalFormatting>
  <conditionalFormatting sqref="GK26">
    <cfRule type="expression" dxfId="206" priority="198" stopIfTrue="1">
      <formula>GN26&lt;&gt;""</formula>
    </cfRule>
  </conditionalFormatting>
  <conditionalFormatting sqref="GL26">
    <cfRule type="expression" dxfId="205" priority="197" stopIfTrue="1">
      <formula>GN26&lt;&gt;""</formula>
    </cfRule>
  </conditionalFormatting>
  <conditionalFormatting sqref="GW26">
    <cfRule type="expression" dxfId="204" priority="196" stopIfTrue="1">
      <formula>GZ26&lt;&gt;""</formula>
    </cfRule>
  </conditionalFormatting>
  <conditionalFormatting sqref="GX26">
    <cfRule type="expression" dxfId="203" priority="195" stopIfTrue="1">
      <formula>GZ26&lt;&gt;""</formula>
    </cfRule>
  </conditionalFormatting>
  <conditionalFormatting sqref="HC26">
    <cfRule type="expression" dxfId="202" priority="194" stopIfTrue="1">
      <formula>HF26&lt;&gt;""</formula>
    </cfRule>
  </conditionalFormatting>
  <conditionalFormatting sqref="HD26">
    <cfRule type="expression" dxfId="201" priority="193" stopIfTrue="1">
      <formula>HF26&lt;&gt;""</formula>
    </cfRule>
  </conditionalFormatting>
  <conditionalFormatting sqref="JP26">
    <cfRule type="expression" dxfId="200" priority="192" stopIfTrue="1">
      <formula>JS26&lt;&gt;""</formula>
    </cfRule>
  </conditionalFormatting>
  <conditionalFormatting sqref="JQ26">
    <cfRule type="expression" dxfId="199" priority="191" stopIfTrue="1">
      <formula>JS26&lt;&gt;""</formula>
    </cfRule>
  </conditionalFormatting>
  <conditionalFormatting sqref="DW26">
    <cfRule type="expression" dxfId="198" priority="190" stopIfTrue="1">
      <formula>DZ26&lt;&gt;""</formula>
    </cfRule>
  </conditionalFormatting>
  <conditionalFormatting sqref="DX26">
    <cfRule type="expression" dxfId="197" priority="189" stopIfTrue="1">
      <formula>DZ26&lt;&gt;""</formula>
    </cfRule>
  </conditionalFormatting>
  <conditionalFormatting sqref="FB26">
    <cfRule type="expression" dxfId="196" priority="188" stopIfTrue="1">
      <formula>FE26&lt;&gt;""</formula>
    </cfRule>
  </conditionalFormatting>
  <conditionalFormatting sqref="FC26">
    <cfRule type="expression" dxfId="195" priority="187" stopIfTrue="1">
      <formula>FE26&lt;&gt;""</formula>
    </cfRule>
  </conditionalFormatting>
  <conditionalFormatting sqref="GK26 GQ26 GW26 HC26 HI26 HO26 HU26 IA26 IG26 IM26 IS26 IY26 JH26 JP26 JV26 KB26 KH26 KN26 KT26 KZ26 LF26 LL26 LR26 LX26">
    <cfRule type="expression" dxfId="194" priority="186" stopIfTrue="1">
      <formula>GN26&lt;&gt;""</formula>
    </cfRule>
  </conditionalFormatting>
  <conditionalFormatting sqref="GL26 GR26 GX26 HD26 HJ26 HP26 HV26 IB26 IH26 IN26 IT26 IZ26 JI26 JQ26 JW26 KC26 KI26 KO26 KU26 LA26 LG26 LM26 LS26 LY26">
    <cfRule type="expression" dxfId="193" priority="185" stopIfTrue="1">
      <formula>GN26&lt;&gt;""</formula>
    </cfRule>
  </conditionalFormatting>
  <conditionalFormatting sqref="CZ26">
    <cfRule type="expression" dxfId="192" priority="184" stopIfTrue="1">
      <formula>DC26&lt;&gt;""</formula>
    </cfRule>
  </conditionalFormatting>
  <conditionalFormatting sqref="DA26">
    <cfRule type="expression" dxfId="191" priority="183" stopIfTrue="1">
      <formula>DC26&lt;&gt;""</formula>
    </cfRule>
  </conditionalFormatting>
  <conditionalFormatting sqref="CH26">
    <cfRule type="expression" dxfId="190" priority="181">
      <formula>IF(CI26="FE",TRUE,FALSE)</formula>
    </cfRule>
    <cfRule type="expression" dxfId="189" priority="182" stopIfTrue="1">
      <formula>CK26&lt;&gt;""</formula>
    </cfRule>
  </conditionalFormatting>
  <conditionalFormatting sqref="AP28:AQ28">
    <cfRule type="expression" dxfId="188" priority="180" stopIfTrue="1">
      <formula>AU28&lt;&gt;""</formula>
    </cfRule>
  </conditionalFormatting>
  <conditionalFormatting sqref="CI28">
    <cfRule type="expression" dxfId="187" priority="179" stopIfTrue="1">
      <formula>CK28&lt;&gt;""</formula>
    </cfRule>
  </conditionalFormatting>
  <conditionalFormatting sqref="CT28">
    <cfRule type="expression" dxfId="186" priority="178" stopIfTrue="1">
      <formula>CW28&lt;&gt;""</formula>
    </cfRule>
  </conditionalFormatting>
  <conditionalFormatting sqref="CU28">
    <cfRule type="expression" dxfId="185" priority="177" stopIfTrue="1">
      <formula>CW28&lt;&gt;""</formula>
    </cfRule>
  </conditionalFormatting>
  <conditionalFormatting sqref="DF28">
    <cfRule type="expression" dxfId="184" priority="176" stopIfTrue="1">
      <formula>DI28&lt;&gt;""</formula>
    </cfRule>
  </conditionalFormatting>
  <conditionalFormatting sqref="DG28">
    <cfRule type="expression" dxfId="183" priority="175" stopIfTrue="1">
      <formula>DI28&lt;&gt;""</formula>
    </cfRule>
  </conditionalFormatting>
  <conditionalFormatting sqref="DO28">
    <cfRule type="expression" dxfId="182" priority="174" stopIfTrue="1">
      <formula>DR28&lt;&gt;""</formula>
    </cfRule>
  </conditionalFormatting>
  <conditionalFormatting sqref="DP28">
    <cfRule type="expression" dxfId="181" priority="173" stopIfTrue="1">
      <formula>DR28&lt;&gt;""</formula>
    </cfRule>
  </conditionalFormatting>
  <conditionalFormatting sqref="CN28">
    <cfRule type="expression" dxfId="180" priority="172" stopIfTrue="1">
      <formula>CQ28&lt;&gt;""</formula>
    </cfRule>
  </conditionalFormatting>
  <conditionalFormatting sqref="CO28">
    <cfRule type="expression" dxfId="179" priority="171" stopIfTrue="1">
      <formula>CQ28&lt;&gt;""</formula>
    </cfRule>
  </conditionalFormatting>
  <conditionalFormatting sqref="FB28">
    <cfRule type="expression" dxfId="178" priority="170" stopIfTrue="1">
      <formula>FE28&lt;&gt;""</formula>
    </cfRule>
  </conditionalFormatting>
  <conditionalFormatting sqref="FC28">
    <cfRule type="expression" dxfId="177" priority="169" stopIfTrue="1">
      <formula>FE28&lt;&gt;""</formula>
    </cfRule>
  </conditionalFormatting>
  <conditionalFormatting sqref="GK28">
    <cfRule type="expression" dxfId="176" priority="168" stopIfTrue="1">
      <formula>GN28&lt;&gt;""</formula>
    </cfRule>
  </conditionalFormatting>
  <conditionalFormatting sqref="GL28">
    <cfRule type="expression" dxfId="175" priority="167" stopIfTrue="1">
      <formula>GN28&lt;&gt;""</formula>
    </cfRule>
  </conditionalFormatting>
  <conditionalFormatting sqref="GW28">
    <cfRule type="expression" dxfId="174" priority="166" stopIfTrue="1">
      <formula>GZ28&lt;&gt;""</formula>
    </cfRule>
  </conditionalFormatting>
  <conditionalFormatting sqref="GX28">
    <cfRule type="expression" dxfId="173" priority="165" stopIfTrue="1">
      <formula>GZ28&lt;&gt;""</formula>
    </cfRule>
  </conditionalFormatting>
  <conditionalFormatting sqref="HC28">
    <cfRule type="expression" dxfId="172" priority="164" stopIfTrue="1">
      <formula>HF28&lt;&gt;""</formula>
    </cfRule>
  </conditionalFormatting>
  <conditionalFormatting sqref="HD28">
    <cfRule type="expression" dxfId="171" priority="163" stopIfTrue="1">
      <formula>HF28&lt;&gt;""</formula>
    </cfRule>
  </conditionalFormatting>
  <conditionalFormatting sqref="JP28">
    <cfRule type="expression" dxfId="170" priority="162" stopIfTrue="1">
      <formula>JS28&lt;&gt;""</formula>
    </cfRule>
  </conditionalFormatting>
  <conditionalFormatting sqref="JQ28">
    <cfRule type="expression" dxfId="169" priority="161" stopIfTrue="1">
      <formula>JS28&lt;&gt;""</formula>
    </cfRule>
  </conditionalFormatting>
  <conditionalFormatting sqref="DW28">
    <cfRule type="expression" dxfId="168" priority="160" stopIfTrue="1">
      <formula>DZ28&lt;&gt;""</formula>
    </cfRule>
  </conditionalFormatting>
  <conditionalFormatting sqref="DX28">
    <cfRule type="expression" dxfId="167" priority="159" stopIfTrue="1">
      <formula>DZ28&lt;&gt;""</formula>
    </cfRule>
  </conditionalFormatting>
  <conditionalFormatting sqref="FB28">
    <cfRule type="expression" dxfId="166" priority="158" stopIfTrue="1">
      <formula>FE28&lt;&gt;""</formula>
    </cfRule>
  </conditionalFormatting>
  <conditionalFormatting sqref="FC28">
    <cfRule type="expression" dxfId="165" priority="157" stopIfTrue="1">
      <formula>FE28&lt;&gt;""</formula>
    </cfRule>
  </conditionalFormatting>
  <conditionalFormatting sqref="GK28 GQ28 GW28 HC28 HI28 HO28 HU28 IA28 IG28 IM28 IS28 IY28 JH28 JP28 JV28 KB28 KH28 KN28 KT28 KZ28 LF28 LL28 LR28 LX28">
    <cfRule type="expression" dxfId="164" priority="156" stopIfTrue="1">
      <formula>GN28&lt;&gt;""</formula>
    </cfRule>
  </conditionalFormatting>
  <conditionalFormatting sqref="GL28 GR28 GX28 HD28 HJ28 HP28 HV28 IB28 IH28 IN28 IT28 IZ28 JI28 JQ28 JW28 KC28 KI28 KO28 KU28 LA28 LG28 LM28 LS28 LY28">
    <cfRule type="expression" dxfId="163" priority="155" stopIfTrue="1">
      <formula>GN28&lt;&gt;""</formula>
    </cfRule>
  </conditionalFormatting>
  <conditionalFormatting sqref="CZ28">
    <cfRule type="expression" dxfId="162" priority="154" stopIfTrue="1">
      <formula>DC28&lt;&gt;""</formula>
    </cfRule>
  </conditionalFormatting>
  <conditionalFormatting sqref="DA28">
    <cfRule type="expression" dxfId="161" priority="153" stopIfTrue="1">
      <formula>DC28&lt;&gt;""</formula>
    </cfRule>
  </conditionalFormatting>
  <conditionalFormatting sqref="CH28">
    <cfRule type="expression" dxfId="160" priority="151">
      <formula>IF(CI28="FE",TRUE,FALSE)</formula>
    </cfRule>
    <cfRule type="expression" dxfId="159" priority="152" stopIfTrue="1">
      <formula>CK28&lt;&gt;""</formula>
    </cfRule>
  </conditionalFormatting>
  <conditionalFormatting sqref="AP30:AQ30">
    <cfRule type="expression" dxfId="158" priority="150" stopIfTrue="1">
      <formula>AU30&lt;&gt;""</formula>
    </cfRule>
  </conditionalFormatting>
  <conditionalFormatting sqref="CI30">
    <cfRule type="expression" dxfId="157" priority="149" stopIfTrue="1">
      <formula>CK30&lt;&gt;""</formula>
    </cfRule>
  </conditionalFormatting>
  <conditionalFormatting sqref="CT30">
    <cfRule type="expression" dxfId="156" priority="148" stopIfTrue="1">
      <formula>CW30&lt;&gt;""</formula>
    </cfRule>
  </conditionalFormatting>
  <conditionalFormatting sqref="CU30">
    <cfRule type="expression" dxfId="155" priority="147" stopIfTrue="1">
      <formula>CW30&lt;&gt;""</formula>
    </cfRule>
  </conditionalFormatting>
  <conditionalFormatting sqref="DF30">
    <cfRule type="expression" dxfId="154" priority="146" stopIfTrue="1">
      <formula>DI30&lt;&gt;""</formula>
    </cfRule>
  </conditionalFormatting>
  <conditionalFormatting sqref="DG30">
    <cfRule type="expression" dxfId="153" priority="145" stopIfTrue="1">
      <formula>DI30&lt;&gt;""</formula>
    </cfRule>
  </conditionalFormatting>
  <conditionalFormatting sqref="DO30">
    <cfRule type="expression" dxfId="152" priority="144" stopIfTrue="1">
      <formula>DR30&lt;&gt;""</formula>
    </cfRule>
  </conditionalFormatting>
  <conditionalFormatting sqref="DP30">
    <cfRule type="expression" dxfId="151" priority="143" stopIfTrue="1">
      <formula>DR30&lt;&gt;""</formula>
    </cfRule>
  </conditionalFormatting>
  <conditionalFormatting sqref="CN30">
    <cfRule type="expression" dxfId="150" priority="142" stopIfTrue="1">
      <formula>CQ30&lt;&gt;""</formula>
    </cfRule>
  </conditionalFormatting>
  <conditionalFormatting sqref="CO30">
    <cfRule type="expression" dxfId="149" priority="141" stopIfTrue="1">
      <formula>CQ30&lt;&gt;""</formula>
    </cfRule>
  </conditionalFormatting>
  <conditionalFormatting sqref="FB30">
    <cfRule type="expression" dxfId="148" priority="140" stopIfTrue="1">
      <formula>FE30&lt;&gt;""</formula>
    </cfRule>
  </conditionalFormatting>
  <conditionalFormatting sqref="FC30">
    <cfRule type="expression" dxfId="147" priority="139" stopIfTrue="1">
      <formula>FE30&lt;&gt;""</formula>
    </cfRule>
  </conditionalFormatting>
  <conditionalFormatting sqref="GK30">
    <cfRule type="expression" dxfId="146" priority="138" stopIfTrue="1">
      <formula>GN30&lt;&gt;""</formula>
    </cfRule>
  </conditionalFormatting>
  <conditionalFormatting sqref="GL30">
    <cfRule type="expression" dxfId="145" priority="137" stopIfTrue="1">
      <formula>GN30&lt;&gt;""</formula>
    </cfRule>
  </conditionalFormatting>
  <conditionalFormatting sqref="GW30">
    <cfRule type="expression" dxfId="144" priority="136" stopIfTrue="1">
      <formula>GZ30&lt;&gt;""</formula>
    </cfRule>
  </conditionalFormatting>
  <conditionalFormatting sqref="GX30">
    <cfRule type="expression" dxfId="143" priority="135" stopIfTrue="1">
      <formula>GZ30&lt;&gt;""</formula>
    </cfRule>
  </conditionalFormatting>
  <conditionalFormatting sqref="HC30">
    <cfRule type="expression" dxfId="142" priority="134" stopIfTrue="1">
      <formula>HF30&lt;&gt;""</formula>
    </cfRule>
  </conditionalFormatting>
  <conditionalFormatting sqref="HD30">
    <cfRule type="expression" dxfId="141" priority="133" stopIfTrue="1">
      <formula>HF30&lt;&gt;""</formula>
    </cfRule>
  </conditionalFormatting>
  <conditionalFormatting sqref="JP30">
    <cfRule type="expression" dxfId="140" priority="132" stopIfTrue="1">
      <formula>JS30&lt;&gt;""</formula>
    </cfRule>
  </conditionalFormatting>
  <conditionalFormatting sqref="JQ30">
    <cfRule type="expression" dxfId="139" priority="131" stopIfTrue="1">
      <formula>JS30&lt;&gt;""</formula>
    </cfRule>
  </conditionalFormatting>
  <conditionalFormatting sqref="DW30">
    <cfRule type="expression" dxfId="138" priority="130" stopIfTrue="1">
      <formula>DZ30&lt;&gt;""</formula>
    </cfRule>
  </conditionalFormatting>
  <conditionalFormatting sqref="DX30">
    <cfRule type="expression" dxfId="137" priority="129" stopIfTrue="1">
      <formula>DZ30&lt;&gt;""</formula>
    </cfRule>
  </conditionalFormatting>
  <conditionalFormatting sqref="FB30">
    <cfRule type="expression" dxfId="136" priority="128" stopIfTrue="1">
      <formula>FE30&lt;&gt;""</formula>
    </cfRule>
  </conditionalFormatting>
  <conditionalFormatting sqref="FC30">
    <cfRule type="expression" dxfId="135" priority="127" stopIfTrue="1">
      <formula>FE30&lt;&gt;""</formula>
    </cfRule>
  </conditionalFormatting>
  <conditionalFormatting sqref="GK30 GQ30 GW30 HC30 HI30 HO30 HU30 IA30 IG30 IM30 IS30 IY30 JH30 JP30 JV30 KB30 KH30 KN30 KT30 KZ30 LF30 LL30 LR30 LX30">
    <cfRule type="expression" dxfId="134" priority="126" stopIfTrue="1">
      <formula>GN30&lt;&gt;""</formula>
    </cfRule>
  </conditionalFormatting>
  <conditionalFormatting sqref="GL30 GR30 GX30 HD30 HJ30 HP30 HV30 IB30 IH30 IN30 IT30 IZ30 JI30 JQ30 JW30 KC30 KI30 KO30 KU30 LA30 LG30 LM30 LS30 LY30">
    <cfRule type="expression" dxfId="133" priority="125" stopIfTrue="1">
      <formula>GN30&lt;&gt;""</formula>
    </cfRule>
  </conditionalFormatting>
  <conditionalFormatting sqref="CZ30">
    <cfRule type="expression" dxfId="132" priority="124" stopIfTrue="1">
      <formula>DC30&lt;&gt;""</formula>
    </cfRule>
  </conditionalFormatting>
  <conditionalFormatting sqref="DA30">
    <cfRule type="expression" dxfId="131" priority="123" stopIfTrue="1">
      <formula>DC30&lt;&gt;""</formula>
    </cfRule>
  </conditionalFormatting>
  <conditionalFormatting sqref="CH30">
    <cfRule type="expression" dxfId="130" priority="121">
      <formula>IF(CI30="FE",TRUE,FALSE)</formula>
    </cfRule>
    <cfRule type="expression" dxfId="129" priority="122" stopIfTrue="1">
      <formula>CK30&lt;&gt;""</formula>
    </cfRule>
  </conditionalFormatting>
  <conditionalFormatting sqref="AP32:AQ32">
    <cfRule type="expression" dxfId="128" priority="120" stopIfTrue="1">
      <formula>AU32&lt;&gt;""</formula>
    </cfRule>
  </conditionalFormatting>
  <conditionalFormatting sqref="CI32">
    <cfRule type="expression" dxfId="127" priority="119" stopIfTrue="1">
      <formula>CK32&lt;&gt;""</formula>
    </cfRule>
  </conditionalFormatting>
  <conditionalFormatting sqref="CT32">
    <cfRule type="expression" dxfId="126" priority="118" stopIfTrue="1">
      <formula>CW32&lt;&gt;""</formula>
    </cfRule>
  </conditionalFormatting>
  <conditionalFormatting sqref="CU32">
    <cfRule type="expression" dxfId="125" priority="117" stopIfTrue="1">
      <formula>CW32&lt;&gt;""</formula>
    </cfRule>
  </conditionalFormatting>
  <conditionalFormatting sqref="DF32">
    <cfRule type="expression" dxfId="124" priority="116" stopIfTrue="1">
      <formula>DI32&lt;&gt;""</formula>
    </cfRule>
  </conditionalFormatting>
  <conditionalFormatting sqref="DG32">
    <cfRule type="expression" dxfId="123" priority="115" stopIfTrue="1">
      <formula>DI32&lt;&gt;""</formula>
    </cfRule>
  </conditionalFormatting>
  <conditionalFormatting sqref="DO32">
    <cfRule type="expression" dxfId="122" priority="114" stopIfTrue="1">
      <formula>DR32&lt;&gt;""</formula>
    </cfRule>
  </conditionalFormatting>
  <conditionalFormatting sqref="DP32">
    <cfRule type="expression" dxfId="121" priority="113" stopIfTrue="1">
      <formula>DR32&lt;&gt;""</formula>
    </cfRule>
  </conditionalFormatting>
  <conditionalFormatting sqref="CN32">
    <cfRule type="expression" dxfId="120" priority="112" stopIfTrue="1">
      <formula>CQ32&lt;&gt;""</formula>
    </cfRule>
  </conditionalFormatting>
  <conditionalFormatting sqref="CO32">
    <cfRule type="expression" dxfId="119" priority="111" stopIfTrue="1">
      <formula>CQ32&lt;&gt;""</formula>
    </cfRule>
  </conditionalFormatting>
  <conditionalFormatting sqref="FB32">
    <cfRule type="expression" dxfId="118" priority="110" stopIfTrue="1">
      <formula>FE32&lt;&gt;""</formula>
    </cfRule>
  </conditionalFormatting>
  <conditionalFormatting sqref="FC32">
    <cfRule type="expression" dxfId="117" priority="109" stopIfTrue="1">
      <formula>FE32&lt;&gt;""</formula>
    </cfRule>
  </conditionalFormatting>
  <conditionalFormatting sqref="GK32">
    <cfRule type="expression" dxfId="116" priority="108" stopIfTrue="1">
      <formula>GN32&lt;&gt;""</formula>
    </cfRule>
  </conditionalFormatting>
  <conditionalFormatting sqref="GL32">
    <cfRule type="expression" dxfId="115" priority="107" stopIfTrue="1">
      <formula>GN32&lt;&gt;""</formula>
    </cfRule>
  </conditionalFormatting>
  <conditionalFormatting sqref="GW32">
    <cfRule type="expression" dxfId="114" priority="106" stopIfTrue="1">
      <formula>GZ32&lt;&gt;""</formula>
    </cfRule>
  </conditionalFormatting>
  <conditionalFormatting sqref="GX32">
    <cfRule type="expression" dxfId="113" priority="105" stopIfTrue="1">
      <formula>GZ32&lt;&gt;""</formula>
    </cfRule>
  </conditionalFormatting>
  <conditionalFormatting sqref="HC32">
    <cfRule type="expression" dxfId="112" priority="104" stopIfTrue="1">
      <formula>HF32&lt;&gt;""</formula>
    </cfRule>
  </conditionalFormatting>
  <conditionalFormatting sqref="HD32">
    <cfRule type="expression" dxfId="111" priority="103" stopIfTrue="1">
      <formula>HF32&lt;&gt;""</formula>
    </cfRule>
  </conditionalFormatting>
  <conditionalFormatting sqref="JP32">
    <cfRule type="expression" dxfId="110" priority="102" stopIfTrue="1">
      <formula>JS32&lt;&gt;""</formula>
    </cfRule>
  </conditionalFormatting>
  <conditionalFormatting sqref="JQ32">
    <cfRule type="expression" dxfId="109" priority="101" stopIfTrue="1">
      <formula>JS32&lt;&gt;""</formula>
    </cfRule>
  </conditionalFormatting>
  <conditionalFormatting sqref="DW32">
    <cfRule type="expression" dxfId="108" priority="100" stopIfTrue="1">
      <formula>DZ32&lt;&gt;""</formula>
    </cfRule>
  </conditionalFormatting>
  <conditionalFormatting sqref="DX32">
    <cfRule type="expression" dxfId="107" priority="99" stopIfTrue="1">
      <formula>DZ32&lt;&gt;""</formula>
    </cfRule>
  </conditionalFormatting>
  <conditionalFormatting sqref="FB32">
    <cfRule type="expression" dxfId="106" priority="98" stopIfTrue="1">
      <formula>FE32&lt;&gt;""</formula>
    </cfRule>
  </conditionalFormatting>
  <conditionalFormatting sqref="FC32">
    <cfRule type="expression" dxfId="105" priority="97" stopIfTrue="1">
      <formula>FE32&lt;&gt;""</formula>
    </cfRule>
  </conditionalFormatting>
  <conditionalFormatting sqref="GK32 GQ32 GW32 HC32 HI32 HO32 HU32 IA32 IG32 IM32 IS32 IY32 JH32 JP32 JV32 KB32 KH32 KN32 KT32 KZ32 LF32 LL32 LR32 LX32">
    <cfRule type="expression" dxfId="104" priority="96" stopIfTrue="1">
      <formula>GN32&lt;&gt;""</formula>
    </cfRule>
  </conditionalFormatting>
  <conditionalFormatting sqref="GL32 GR32 GX32 HD32 HJ32 HP32 HV32 IB32 IH32 IN32 IT32 IZ32 JI32 JQ32 JW32 KC32 KI32 KO32 KU32 LA32 LG32 LM32 LS32 LY32">
    <cfRule type="expression" dxfId="103" priority="95" stopIfTrue="1">
      <formula>GN32&lt;&gt;""</formula>
    </cfRule>
  </conditionalFormatting>
  <conditionalFormatting sqref="CZ32">
    <cfRule type="expression" dxfId="102" priority="94" stopIfTrue="1">
      <formula>DC32&lt;&gt;""</formula>
    </cfRule>
  </conditionalFormatting>
  <conditionalFormatting sqref="DA32">
    <cfRule type="expression" dxfId="101" priority="93" stopIfTrue="1">
      <formula>DC32&lt;&gt;""</formula>
    </cfRule>
  </conditionalFormatting>
  <conditionalFormatting sqref="CH32">
    <cfRule type="expression" dxfId="100" priority="91">
      <formula>IF(CI32="FE",TRUE,FALSE)</formula>
    </cfRule>
    <cfRule type="expression" dxfId="99" priority="92" stopIfTrue="1">
      <formula>CK32&lt;&gt;""</formula>
    </cfRule>
  </conditionalFormatting>
  <conditionalFormatting sqref="AP34:AQ34">
    <cfRule type="expression" dxfId="98" priority="90" stopIfTrue="1">
      <formula>AU34&lt;&gt;""</formula>
    </cfRule>
  </conditionalFormatting>
  <conditionalFormatting sqref="CI34">
    <cfRule type="expression" dxfId="97" priority="89" stopIfTrue="1">
      <formula>CK34&lt;&gt;""</formula>
    </cfRule>
  </conditionalFormatting>
  <conditionalFormatting sqref="CT34">
    <cfRule type="expression" dxfId="96" priority="88" stopIfTrue="1">
      <formula>CW34&lt;&gt;""</formula>
    </cfRule>
  </conditionalFormatting>
  <conditionalFormatting sqref="CU34">
    <cfRule type="expression" dxfId="95" priority="87" stopIfTrue="1">
      <formula>CW34&lt;&gt;""</formula>
    </cfRule>
  </conditionalFormatting>
  <conditionalFormatting sqref="DF34">
    <cfRule type="expression" dxfId="94" priority="86" stopIfTrue="1">
      <formula>DI34&lt;&gt;""</formula>
    </cfRule>
  </conditionalFormatting>
  <conditionalFormatting sqref="DG34">
    <cfRule type="expression" dxfId="93" priority="85" stopIfTrue="1">
      <formula>DI34&lt;&gt;""</formula>
    </cfRule>
  </conditionalFormatting>
  <conditionalFormatting sqref="DO34">
    <cfRule type="expression" dxfId="92" priority="84" stopIfTrue="1">
      <formula>DR34&lt;&gt;""</formula>
    </cfRule>
  </conditionalFormatting>
  <conditionalFormatting sqref="DP34">
    <cfRule type="expression" dxfId="91" priority="83" stopIfTrue="1">
      <formula>DR34&lt;&gt;""</formula>
    </cfRule>
  </conditionalFormatting>
  <conditionalFormatting sqref="CN34">
    <cfRule type="expression" dxfId="90" priority="82" stopIfTrue="1">
      <formula>CQ34&lt;&gt;""</formula>
    </cfRule>
  </conditionalFormatting>
  <conditionalFormatting sqref="CO34">
    <cfRule type="expression" dxfId="89" priority="81" stopIfTrue="1">
      <formula>CQ34&lt;&gt;""</formula>
    </cfRule>
  </conditionalFormatting>
  <conditionalFormatting sqref="FB34">
    <cfRule type="expression" dxfId="88" priority="80" stopIfTrue="1">
      <formula>FE34&lt;&gt;""</formula>
    </cfRule>
  </conditionalFormatting>
  <conditionalFormatting sqref="FC34">
    <cfRule type="expression" dxfId="87" priority="79" stopIfTrue="1">
      <formula>FE34&lt;&gt;""</formula>
    </cfRule>
  </conditionalFormatting>
  <conditionalFormatting sqref="GK34">
    <cfRule type="expression" dxfId="86" priority="78" stopIfTrue="1">
      <formula>GN34&lt;&gt;""</formula>
    </cfRule>
  </conditionalFormatting>
  <conditionalFormatting sqref="GL34">
    <cfRule type="expression" dxfId="85" priority="77" stopIfTrue="1">
      <formula>GN34&lt;&gt;""</formula>
    </cfRule>
  </conditionalFormatting>
  <conditionalFormatting sqref="GW34">
    <cfRule type="expression" dxfId="84" priority="76" stopIfTrue="1">
      <formula>GZ34&lt;&gt;""</formula>
    </cfRule>
  </conditionalFormatting>
  <conditionalFormatting sqref="GX34">
    <cfRule type="expression" dxfId="83" priority="75" stopIfTrue="1">
      <formula>GZ34&lt;&gt;""</formula>
    </cfRule>
  </conditionalFormatting>
  <conditionalFormatting sqref="HC34">
    <cfRule type="expression" dxfId="82" priority="74" stopIfTrue="1">
      <formula>HF34&lt;&gt;""</formula>
    </cfRule>
  </conditionalFormatting>
  <conditionalFormatting sqref="HD34">
    <cfRule type="expression" dxfId="81" priority="73" stopIfTrue="1">
      <formula>HF34&lt;&gt;""</formula>
    </cfRule>
  </conditionalFormatting>
  <conditionalFormatting sqref="JP34">
    <cfRule type="expression" dxfId="80" priority="72" stopIfTrue="1">
      <formula>JS34&lt;&gt;""</formula>
    </cfRule>
  </conditionalFormatting>
  <conditionalFormatting sqref="JQ34">
    <cfRule type="expression" dxfId="79" priority="71" stopIfTrue="1">
      <formula>JS34&lt;&gt;""</formula>
    </cfRule>
  </conditionalFormatting>
  <conditionalFormatting sqref="DW34">
    <cfRule type="expression" dxfId="78" priority="70" stopIfTrue="1">
      <formula>DZ34&lt;&gt;""</formula>
    </cfRule>
  </conditionalFormatting>
  <conditionalFormatting sqref="DX34">
    <cfRule type="expression" dxfId="77" priority="69" stopIfTrue="1">
      <formula>DZ34&lt;&gt;""</formula>
    </cfRule>
  </conditionalFormatting>
  <conditionalFormatting sqref="FB34">
    <cfRule type="expression" dxfId="76" priority="68" stopIfTrue="1">
      <formula>FE34&lt;&gt;""</formula>
    </cfRule>
  </conditionalFormatting>
  <conditionalFormatting sqref="FC34">
    <cfRule type="expression" dxfId="75" priority="67" stopIfTrue="1">
      <formula>FE34&lt;&gt;""</formula>
    </cfRule>
  </conditionalFormatting>
  <conditionalFormatting sqref="GK34 GQ34 GW34 HC34 HI34 HO34 HU34 IA34 IG34 IM34 IS34 IY34 JH34 JP34 JV34 KB34 KH34 KN34 KT34 KZ34 LF34 LL34 LR34 LX34">
    <cfRule type="expression" dxfId="74" priority="66" stopIfTrue="1">
      <formula>GN34&lt;&gt;""</formula>
    </cfRule>
  </conditionalFormatting>
  <conditionalFormatting sqref="GL34 GR34 GX34 HD34 HJ34 HP34 HV34 IB34 IH34 IN34 IT34 IZ34 JI34 JQ34 JW34 KC34 KI34 KO34 KU34 LA34 LG34 LM34 LS34 LY34">
    <cfRule type="expression" dxfId="73" priority="65" stopIfTrue="1">
      <formula>GN34&lt;&gt;""</formula>
    </cfRule>
  </conditionalFormatting>
  <conditionalFormatting sqref="CZ34">
    <cfRule type="expression" dxfId="72" priority="64" stopIfTrue="1">
      <formula>DC34&lt;&gt;""</formula>
    </cfRule>
  </conditionalFormatting>
  <conditionalFormatting sqref="DA34">
    <cfRule type="expression" dxfId="71" priority="63" stopIfTrue="1">
      <formula>DC34&lt;&gt;""</formula>
    </cfRule>
  </conditionalFormatting>
  <conditionalFormatting sqref="CH34">
    <cfRule type="expression" dxfId="70" priority="61">
      <formula>IF(CI34="FE",TRUE,FALSE)</formula>
    </cfRule>
    <cfRule type="expression" dxfId="69" priority="62" stopIfTrue="1">
      <formula>CK34&lt;&gt;""</formula>
    </cfRule>
  </conditionalFormatting>
  <conditionalFormatting sqref="AP36:AQ36">
    <cfRule type="expression" dxfId="68" priority="60" stopIfTrue="1">
      <formula>AU36&lt;&gt;""</formula>
    </cfRule>
  </conditionalFormatting>
  <conditionalFormatting sqref="CI36">
    <cfRule type="expression" dxfId="67" priority="59" stopIfTrue="1">
      <formula>CK36&lt;&gt;""</formula>
    </cfRule>
  </conditionalFormatting>
  <conditionalFormatting sqref="CT36">
    <cfRule type="expression" dxfId="66" priority="58" stopIfTrue="1">
      <formula>CW36&lt;&gt;""</formula>
    </cfRule>
  </conditionalFormatting>
  <conditionalFormatting sqref="CU36">
    <cfRule type="expression" dxfId="65" priority="57" stopIfTrue="1">
      <formula>CW36&lt;&gt;""</formula>
    </cfRule>
  </conditionalFormatting>
  <conditionalFormatting sqref="DF36">
    <cfRule type="expression" dxfId="64" priority="56" stopIfTrue="1">
      <formula>DI36&lt;&gt;""</formula>
    </cfRule>
  </conditionalFormatting>
  <conditionalFormatting sqref="DG36">
    <cfRule type="expression" dxfId="63" priority="55" stopIfTrue="1">
      <formula>DI36&lt;&gt;""</formula>
    </cfRule>
  </conditionalFormatting>
  <conditionalFormatting sqref="DO36">
    <cfRule type="expression" dxfId="62" priority="54" stopIfTrue="1">
      <formula>DR36&lt;&gt;""</formula>
    </cfRule>
  </conditionalFormatting>
  <conditionalFormatting sqref="DP36">
    <cfRule type="expression" dxfId="61" priority="53" stopIfTrue="1">
      <formula>DR36&lt;&gt;""</formula>
    </cfRule>
  </conditionalFormatting>
  <conditionalFormatting sqref="CN36">
    <cfRule type="expression" dxfId="60" priority="52" stopIfTrue="1">
      <formula>CQ36&lt;&gt;""</formula>
    </cfRule>
  </conditionalFormatting>
  <conditionalFormatting sqref="CO36">
    <cfRule type="expression" dxfId="59" priority="51" stopIfTrue="1">
      <formula>CQ36&lt;&gt;""</formula>
    </cfRule>
  </conditionalFormatting>
  <conditionalFormatting sqref="FB36">
    <cfRule type="expression" dxfId="58" priority="50" stopIfTrue="1">
      <formula>FE36&lt;&gt;""</formula>
    </cfRule>
  </conditionalFormatting>
  <conditionalFormatting sqref="FC36">
    <cfRule type="expression" dxfId="57" priority="49" stopIfTrue="1">
      <formula>FE36&lt;&gt;""</formula>
    </cfRule>
  </conditionalFormatting>
  <conditionalFormatting sqref="GK36">
    <cfRule type="expression" dxfId="56" priority="48" stopIfTrue="1">
      <formula>GN36&lt;&gt;""</formula>
    </cfRule>
  </conditionalFormatting>
  <conditionalFormatting sqref="GL36">
    <cfRule type="expression" dxfId="55" priority="47" stopIfTrue="1">
      <formula>GN36&lt;&gt;""</formula>
    </cfRule>
  </conditionalFormatting>
  <conditionalFormatting sqref="GW36">
    <cfRule type="expression" dxfId="54" priority="46" stopIfTrue="1">
      <formula>GZ36&lt;&gt;""</formula>
    </cfRule>
  </conditionalFormatting>
  <conditionalFormatting sqref="GX36">
    <cfRule type="expression" dxfId="53" priority="45" stopIfTrue="1">
      <formula>GZ36&lt;&gt;""</formula>
    </cfRule>
  </conditionalFormatting>
  <conditionalFormatting sqref="HC36">
    <cfRule type="expression" dxfId="52" priority="44" stopIfTrue="1">
      <formula>HF36&lt;&gt;""</formula>
    </cfRule>
  </conditionalFormatting>
  <conditionalFormatting sqref="HD36">
    <cfRule type="expression" dxfId="51" priority="43" stopIfTrue="1">
      <formula>HF36&lt;&gt;""</formula>
    </cfRule>
  </conditionalFormatting>
  <conditionalFormatting sqref="JP36">
    <cfRule type="expression" dxfId="50" priority="42" stopIfTrue="1">
      <formula>JS36&lt;&gt;""</formula>
    </cfRule>
  </conditionalFormatting>
  <conditionalFormatting sqref="JQ36">
    <cfRule type="expression" dxfId="49" priority="41" stopIfTrue="1">
      <formula>JS36&lt;&gt;""</formula>
    </cfRule>
  </conditionalFormatting>
  <conditionalFormatting sqref="DW36">
    <cfRule type="expression" dxfId="48" priority="40" stopIfTrue="1">
      <formula>DZ36&lt;&gt;""</formula>
    </cfRule>
  </conditionalFormatting>
  <conditionalFormatting sqref="DX36">
    <cfRule type="expression" dxfId="47" priority="39" stopIfTrue="1">
      <formula>DZ36&lt;&gt;""</formula>
    </cfRule>
  </conditionalFormatting>
  <conditionalFormatting sqref="FB36">
    <cfRule type="expression" dxfId="46" priority="38" stopIfTrue="1">
      <formula>FE36&lt;&gt;""</formula>
    </cfRule>
  </conditionalFormatting>
  <conditionalFormatting sqref="FC36">
    <cfRule type="expression" dxfId="45" priority="37" stopIfTrue="1">
      <formula>FE36&lt;&gt;""</formula>
    </cfRule>
  </conditionalFormatting>
  <conditionalFormatting sqref="GK36 GQ36 GW36 HC36 HI36 HO36 HU36 IA36 IG36 IM36 IS36 IY36 JH36 JP36 JV36 KB36 KH36 KN36 KT36 KZ36 LF36 LL36 LR36 LX36">
    <cfRule type="expression" dxfId="44" priority="36" stopIfTrue="1">
      <formula>GN36&lt;&gt;""</formula>
    </cfRule>
  </conditionalFormatting>
  <conditionalFormatting sqref="GL36 GR36 GX36 HD36 HJ36 HP36 HV36 IB36 IH36 IN36 IT36 IZ36 JI36 JQ36 JW36 KC36 KI36 KO36 KU36 LA36 LG36 LM36 LS36 LY36">
    <cfRule type="expression" dxfId="43" priority="35" stopIfTrue="1">
      <formula>GN36&lt;&gt;""</formula>
    </cfRule>
  </conditionalFormatting>
  <conditionalFormatting sqref="CZ36">
    <cfRule type="expression" dxfId="42" priority="34" stopIfTrue="1">
      <formula>DC36&lt;&gt;""</formula>
    </cfRule>
  </conditionalFormatting>
  <conditionalFormatting sqref="DA36">
    <cfRule type="expression" dxfId="41" priority="33" stopIfTrue="1">
      <formula>DC36&lt;&gt;""</formula>
    </cfRule>
  </conditionalFormatting>
  <conditionalFormatting sqref="CH36">
    <cfRule type="expression" dxfId="40" priority="31">
      <formula>IF(CI36="FE",TRUE,FALSE)</formula>
    </cfRule>
    <cfRule type="expression" dxfId="39" priority="32" stopIfTrue="1">
      <formula>CK36&lt;&gt;""</formula>
    </cfRule>
  </conditionalFormatting>
  <conditionalFormatting sqref="AP100:AQ100 AP98:AQ98 AP96:AQ96 AP94:AQ94 AP92:AQ92 AP90:AQ90 AP88:AQ88 AP86:AQ86 AP84:AQ84 AP82:AQ82 AP80:AQ80 AP78:AQ78 AP76:AQ76 AP74:AQ74 AP72:AQ72 AP70:AQ70 AP68:AQ68 AP66:AQ66 AP64:AQ64 AP62:AQ62 AP60:AQ60 AP58:AQ58 AP56:AQ56 AP54:AQ54 AP52:AQ52 AP50:AQ50 AP48:AQ48 AP46:AQ46 AP44:AQ44 AP42:AQ42 AP40:AQ40 AP38:AQ38">
    <cfRule type="expression" dxfId="38" priority="30" stopIfTrue="1">
      <formula>AU38&lt;&gt;""</formula>
    </cfRule>
  </conditionalFormatting>
  <conditionalFormatting sqref="CI100 CI98 CI96 CI94 CI92 CI90 CI88 CI86 CI84 CI82 CI80 CI78 CI76 CI74 CI72 CI70 CI68 CI66 CI64 CI62 CI60 CI58 CI56 CI54 CI52 CI50 CI48 CI46 CI44 CI42 CI40 CI38">
    <cfRule type="expression" dxfId="37" priority="29" stopIfTrue="1">
      <formula>CK38&lt;&gt;""</formula>
    </cfRule>
  </conditionalFormatting>
  <conditionalFormatting sqref="CT100 CT98 CT96 CT94 CT92 CT90 CT88 CT86 CT84 CT82 CT80 CT78 CT76 CT74 CT72 CT70 CT68 CT66 CT64 CT62 CT60 CT58 CT56 CT54 CT52 CT50 CT48 CT46 CT44 CT42 CT40 CT38">
    <cfRule type="expression" dxfId="36" priority="28" stopIfTrue="1">
      <formula>CW38&lt;&gt;""</formula>
    </cfRule>
  </conditionalFormatting>
  <conditionalFormatting sqref="CU100 CU98 CU96 CU94 CU92 CU90 CU88 CU86 CU84 CU82 CU80 CU78 CU76 CU74 CU72 CU70 CU68 CU66 CU64 CU62 CU60 CU58 CU56 CU54 CU52 CU50 CU48 CU46 CU44 CU42 CU40 CU38">
    <cfRule type="expression" dxfId="35" priority="27" stopIfTrue="1">
      <formula>CW38&lt;&gt;""</formula>
    </cfRule>
  </conditionalFormatting>
  <conditionalFormatting sqref="DF100 DF98 DF96 DF94 DF92 DF90 DF88 DF86 DF84 DF82 DF80 DF78 DF76 DF74 DF72 DF70 DF68 DF66 DF64 DF62 DF60 DF58 DF56 DF54 DF52 DF50 DF48 DF46 DF44 DF42 DF40 DF38">
    <cfRule type="expression" dxfId="34" priority="26" stopIfTrue="1">
      <formula>DI38&lt;&gt;""</formula>
    </cfRule>
  </conditionalFormatting>
  <conditionalFormatting sqref="DG100 DG98 DG96 DG94 DG92 DG90 DG88 DG86 DG84 DG82 DG80 DG78 DG76 DG74 DG72 DG70 DG68 DG66 DG64 DG62 DG60 DG58 DG56 DG54 DG52 DG50 DG48 DG46 DG44 DG42 DG40 DG38">
    <cfRule type="expression" dxfId="33" priority="25" stopIfTrue="1">
      <formula>DI38&lt;&gt;""</formula>
    </cfRule>
  </conditionalFormatting>
  <conditionalFormatting sqref="DO100 DO98 DO96 DO94 DO92 DO90 DO88 DO86 DO84 DO82 DO80 DO78 DO76 DO74 DO72 DO70 DO68 DO66 DO64 DO62 DO60 DO58 DO56 DO54 DO52 DO50 DO48 DO46 DO44 DO42 DO40 DO38">
    <cfRule type="expression" dxfId="32" priority="24" stopIfTrue="1">
      <formula>DR38&lt;&gt;""</formula>
    </cfRule>
  </conditionalFormatting>
  <conditionalFormatting sqref="DP100 DP98 DP96 DP94 DP92 DP90 DP88 DP86 DP84 DP82 DP80 DP78 DP76 DP74 DP72 DP70 DP68 DP66 DP64 DP62 DP60 DP58 DP56 DP54 DP52 DP50 DP48 DP46 DP44 DP42 DP40 DP38">
    <cfRule type="expression" dxfId="31" priority="23" stopIfTrue="1">
      <formula>DR38&lt;&gt;""</formula>
    </cfRule>
  </conditionalFormatting>
  <conditionalFormatting sqref="CN100 CN98 CN96 CN94 CN92 CN90 CN88 CN86 CN84 CN82 CN80 CN78 CN76 CN74 CN72 CN70 CN68 CN66 CN64 CN62 CN60 CN58 CN56 CN54 CN52 CN50 CN48 CN46 CN44 CN42 CN40 CN38">
    <cfRule type="expression" dxfId="30" priority="22" stopIfTrue="1">
      <formula>CQ38&lt;&gt;""</formula>
    </cfRule>
  </conditionalFormatting>
  <conditionalFormatting sqref="CO100 CO98 CO96 CO94 CO92 CO90 CO88 CO86 CO84 CO82 CO80 CO78 CO76 CO74 CO72 CO70 CO68 CO66 CO64 CO62 CO60 CO58 CO56 CO54 CO52 CO50 CO48 CO46 CO44 CO42 CO40 CO38">
    <cfRule type="expression" dxfId="29" priority="21" stopIfTrue="1">
      <formula>CQ38&lt;&gt;""</formula>
    </cfRule>
  </conditionalFormatting>
  <conditionalFormatting sqref="FB100 FB98 FB96 FB94 FB92 FB90 FB88 FB86 FB84 FB82 FB80 FB78 FB76 FB74 FB72 FB70 FB68 FB66 FB64 FB62 FB60 FB58 FB56 FB54 FB52 FB50 FB48 FB46 FB44 FB42 FB40 FB38">
    <cfRule type="expression" dxfId="28" priority="20" stopIfTrue="1">
      <formula>FE38&lt;&gt;""</formula>
    </cfRule>
  </conditionalFormatting>
  <conditionalFormatting sqref="FC100 FC98 FC96 FC94 FC92 FC90 FC88 FC86 FC84 FC82 FC80 FC78 FC76 FC74 FC72 FC70 FC68 FC66 FC64 FC62 FC60 FC58 FC56 FC54 FC52 FC50 FC48 FC46 FC44 FC42 FC40 FC38">
    <cfRule type="expression" dxfId="27" priority="19" stopIfTrue="1">
      <formula>FE38&lt;&gt;""</formula>
    </cfRule>
  </conditionalFormatting>
  <conditionalFormatting sqref="GK100 GK98 GK96 GK94 GK92 GK90 GK88 GK86 GK84 GK82 GK80 GK78 GK76 GK74 GK72 GK70 GK68 GK66 GK64 GK62 GK60 GK58 GK56 GK54 GK52 GK50 GK48 GK46 GK44 GK42 GK40 GK38">
    <cfRule type="expression" dxfId="26" priority="18" stopIfTrue="1">
      <formula>GN38&lt;&gt;""</formula>
    </cfRule>
  </conditionalFormatting>
  <conditionalFormatting sqref="GL100 GL98 GL96 GL94 GL92 GL90 GL88 GL86 GL84 GL82 GL80 GL78 GL76 GL74 GL72 GL70 GL68 GL66 GL64 GL62 GL60 GL58 GL56 GL54 GL52 GL50 GL48 GL46 GL44 GL42 GL40 GL38">
    <cfRule type="expression" dxfId="25" priority="17" stopIfTrue="1">
      <formula>GN38&lt;&gt;""</formula>
    </cfRule>
  </conditionalFormatting>
  <conditionalFormatting sqref="GW100 GW98 GW96 GW94 GW92 GW90 GW88 GW86 GW84 GW82 GW80 GW78 GW76 GW74 GW72 GW70 GW68 GW66 GW64 GW62 GW60 GW58 GW56 GW54 GW52 GW50 GW48 GW46 GW44 GW42 GW40 GW38">
    <cfRule type="expression" dxfId="24" priority="16" stopIfTrue="1">
      <formula>GZ38&lt;&gt;""</formula>
    </cfRule>
  </conditionalFormatting>
  <conditionalFormatting sqref="GX100 GX98 GX96 GX94 GX92 GX90 GX88 GX86 GX84 GX82 GX80 GX78 GX76 GX74 GX72 GX70 GX68 GX66 GX64 GX62 GX60 GX58 GX56 GX54 GX52 GX50 GX48 GX46 GX44 GX42 GX40 GX38">
    <cfRule type="expression" dxfId="23" priority="15" stopIfTrue="1">
      <formula>GZ38&lt;&gt;""</formula>
    </cfRule>
  </conditionalFormatting>
  <conditionalFormatting sqref="HC100 HC98 HC96 HC94 HC92 HC90 HC88 HC86 HC84 HC82 HC80 HC78 HC76 HC74 HC72 HC70 HC68 HC66 HC64 HC62 HC60 HC58 HC56 HC54 HC52 HC50 HC48 HC46 HC44 HC42 HC40 HC38">
    <cfRule type="expression" dxfId="22" priority="14" stopIfTrue="1">
      <formula>HF38&lt;&gt;""</formula>
    </cfRule>
  </conditionalFormatting>
  <conditionalFormatting sqref="HD100 HD98 HD96 HD94 HD92 HD90 HD88 HD86 HD84 HD82 HD80 HD78 HD76 HD74 HD72 HD70 HD68 HD66 HD64 HD62 HD60 HD58 HD56 HD54 HD52 HD50 HD48 HD46 HD44 HD42 HD40 HD38">
    <cfRule type="expression" dxfId="21" priority="13" stopIfTrue="1">
      <formula>HF38&lt;&gt;""</formula>
    </cfRule>
  </conditionalFormatting>
  <conditionalFormatting sqref="JP100 JP98 JP96 JP94 JP92 JP90 JP88 JP86 JP84 JP82 JP80 JP78 JP76 JP74 JP72 JP70 JP68 JP66 JP64 JP62 JP60 JP58 JP56 JP54 JP52 JP50 JP48 JP46 JP44 JP42 JP40 JP38">
    <cfRule type="expression" dxfId="20" priority="12" stopIfTrue="1">
      <formula>JS38&lt;&gt;""</formula>
    </cfRule>
  </conditionalFormatting>
  <conditionalFormatting sqref="JQ100 JQ98 JQ96 JQ94 JQ92 JQ90 JQ88 JQ86 JQ84 JQ82 JQ80 JQ78 JQ76 JQ74 JQ72 JQ70 JQ68 JQ66 JQ64 JQ62 JQ60 JQ58 JQ56 JQ54 JQ52 JQ50 JQ48 JQ46 JQ44 JQ42 JQ40 JQ38">
    <cfRule type="expression" dxfId="19" priority="11" stopIfTrue="1">
      <formula>JS38&lt;&gt;""</formula>
    </cfRule>
  </conditionalFormatting>
  <conditionalFormatting sqref="DW100 DW98 DW96 DW94 DW92 DW90 DW88 DW86 DW84 DW82 DW80 DW78 DW76 DW74 DW72 DW70 DW68 DW66 DW64 DW62 DW60 DW58 DW56 DW54 DW52 DW50 DW48 DW46 DW44 DW42 DW40 DW38">
    <cfRule type="expression" dxfId="18" priority="10" stopIfTrue="1">
      <formula>DZ38&lt;&gt;""</formula>
    </cfRule>
  </conditionalFormatting>
  <conditionalFormatting sqref="DX100 DX98 DX96 DX94 DX92 DX90 DX88 DX86 DX84 DX82 DX80 DX78 DX76 DX74 DX72 DX70 DX68 DX66 DX64 DX62 DX60 DX58 DX56 DX54 DX52 DX50 DX48 DX46 DX44 DX42 DX40 DX38">
    <cfRule type="expression" dxfId="17" priority="9" stopIfTrue="1">
      <formula>DZ38&lt;&gt;""</formula>
    </cfRule>
  </conditionalFormatting>
  <conditionalFormatting sqref="FB100 FB98 FB96 FB94 FB92 FB90 FB88 FB86 FB84 FB82 FB80 FB78 FB76 FB74 FB72 FB70 FB68 FB66 FB64 FB62 FB60 FB58 FB56 FB54 FB52 FB50 FB48 FB46 FB44 FB42 FB40 FB38">
    <cfRule type="expression" dxfId="16" priority="8" stopIfTrue="1">
      <formula>FE38&lt;&gt;""</formula>
    </cfRule>
  </conditionalFormatting>
  <conditionalFormatting sqref="FC100 FC98 FC96 FC94 FC92 FC90 FC88 FC86 FC84 FC82 FC80 FC78 FC76 FC74 FC72 FC70 FC68 FC66 FC64 FC62 FC60 FC58 FC56 FC54 FC52 FC50 FC48 FC46 FC44 FC42 FC40 FC38">
    <cfRule type="expression" dxfId="15" priority="7" stopIfTrue="1">
      <formula>FE38&lt;&gt;""</formula>
    </cfRule>
  </conditionalFormatting>
  <conditionalFormatting sqref="GK100 GQ100 GW100 HC100 HI100 HO100 HU100 IA100 IG100 IM100 IS100 IY100 JH100 JP100 JV100 KB100 KH100 KN100 KT100 KZ100 LF100 LL100 LR100 LX100 GK98 GQ98 GW98 HC98 HI98 HO98 HU98 IA98 IG98 IM98 IS98 IY98 JH98 JP98 JV98 KB98 KH98 KN98 KT98 KZ98 LF98 LL98 LR98 LX98 GK96 GQ96 GW96 HC96 HI96 HO96 HU96 IA96 IG96 IM96 IS96 IY96 JH96 JP96 JV96 KB96 KH96 KN96 KT96 KZ96 LF96 LL96 LR96 LX96 GK94 GQ94 GW94 HC94 HI94 HO94 HU94 IA94 IG94 IM94 IS94 IY94 JH94 JP94 JV94 KB94 KH94 KN94 KT94 KZ94 LF94 LL94 LR94 LX94 GK92 GQ92 GW92 HC92 HI92 HO92 HU92 IA92 IG92 IM92 IS92 IY92 JH92 JP92 JV92 KB92 KH92 KN92 KT92 KZ92 LF92 LL92 LR92 LX92 GK90 GQ90 GW90 HC90 HI90 HO90 HU90 IA90 IG90 IM90 IS90 IY90 JH90 JP90 JV90 KB90 KH90 KN90 KT90 KZ90 LF90 LL90 LR90 LX90 GK88 GQ88 GW88 HC88 HI88 HO88 HU88 IA88 IG88 IM88 IS88 IY88 JH88 JP88 JV88 KB88 KH88 KN88 KT88 KZ88 LF88 LL88 LR88 LX88 GK86 GQ86 GW86 HC86 HI86 HO86 HU86 IA86 IG86 IM86 IS86 IY86 JH86 JP86 JV86 KB86 KH86 KN86 KT86 KZ86 LF86 LL86 LR86 LX86 GK84 GQ84 GW84 HC84 HI84 HO84 HU84 IA84 IG84 IM84 IS84 IY84 JH84 JP84 JV84 KB84 KH84 KN84 KT84 KZ84 LF84 LL84 LR84 LX84 GK82 GQ82 GW82 HC82 HI82 HO82 HU82 IA82 IG82 IM82 IS82 IY82 JH82 JP82 JV82 KB82 KH82 KN82 KT82 KZ82 LF82 LL82 LR82 LX82 GK80 GQ80 GW80 HC80 HI80 HO80 HU80 IA80 IG80 IM80 IS80 IY80 JH80 JP80 JV80 KB80 KH80 KN80 KT80 KZ80 LF80 LL80 LR80 LX80 GK78 GQ78 GW78 HC78 HI78 HO78 HU78 IA78 IG78 IM78 IS78 IY78 JH78 JP78 JV78 KB78 KH78 KN78 KT78 KZ78 LF78 LL78 LR78 LX78 GK76 GQ76 GW76 HC76 HI76 HO76 HU76 IA76 IG76 IM76 IS76 IY76 JH76 JP76 JV76 KB76 KH76 KN76 KT76 KZ76 LF76 LL76 LR76 LX76 GK74 GQ74 GW74 HC74 HI74 HO74 HU74 IA74 IG74 IM74 IS74 IY74 JH74 JP74 JV74 KB74 KH74 KN74 KT74 KZ74 LF74 LL74 LR74 LX74 GK72 GQ72 GW72 HC72 HI72 HO72 HU72 IA72 IG72 IM72 IS72 IY72 JH72 JP72 JV72 KB72 KH72 KN72 KT72 KZ72 LF72 LL72 LR72 LX72 GK70 GQ70 GW70 HC70 HI70 HO70 HU70 IA70 IG70 IM70 IS70 IY70 JH70 JP70 JV70 KB70 KH70 KN70 KT70 KZ70 LF70 LL70 LR70 LX70 GK68 GQ68 GW68 HC68 HI68 HO68 HU68 IA68 IG68 IM68 IS68 IY68 JH68 JP68 JV68 KB68 KH68 KN68 KT68 KZ68 LF68 LL68 LR68 LX68 GK66 GQ66 GW66 HC66 HI66 HO66 HU66 IA66 IG66 IM66 IS66 IY66 JH66 JP66 JV66 KB66 KH66 KN66 KT66 KZ66 LF66 LL66 LR66 LX66 GK64 GQ64 GW64 HC64 HI64 HO64 HU64 IA64 IG64 IM64 IS64 IY64 JH64 JP64 JV64 KB64 KH64 KN64 KT64 KZ64 LF64 LL64 LR64 LX64 GK62 GQ62 GW62 HC62 HI62 HO62 HU62 IA62 IG62 IM62 IS62 IY62 JH62 JP62 JV62 KB62 KH62 KN62 KT62 KZ62 LF62 LL62 LR62 LX62 GK60 GQ60 GW60 HC60 HI60 HO60 HU60 IA60 IG60 IM60 IS60 IY60 JH60 JP60 JV60 KB60 KH60 KN60 KT60 KZ60 LF60 LL60 LR60 LX60 GK58 GQ58 GW58 HC58 HI58 HO58 HU58 IA58 IG58 IM58 IS58 IY58 JH58 JP58 JV58 KB58 KH58 KN58 KT58 KZ58 LF58 LL58 LR58 LX58 GK56 GQ56 GW56 HC56 HI56 HO56 HU56 IA56 IG56 IM56 IS56 IY56 JH56 JP56 JV56 KB56 KH56 KN56 KT56 KZ56 LF56 LL56 LR56 LX56 GK54 GQ54 GW54 HC54 HI54 HO54 HU54 IA54 IG54 IM54 IS54 IY54 JH54 JP54 JV54 KB54 KH54 KN54 KT54 KZ54 LF54 LL54 LR54 LX54 GK52 GQ52 GW52 HC52 HI52 HO52 HU52 IA52 IG52 IM52 IS52 IY52 JH52 JP52 JV52 KB52 KH52 KN52 KT52 KZ52 LF52 LL52 LR52 LX52 GK50 GQ50 GW50 HC50 HI50 HO50 HU50 IA50 IG50 IM50 IS50 IY50 JH50 JP50 JV50 KB50 KH50 KN50 KT50 KZ50 LF50 LL50 LR50 LX50 GK48 GQ48 GW48 HC48 HI48 HO48 HU48 IA48 IG48 IM48 IS48 IY48 JH48 JP48 JV48 KB48 KH48 KN48 KT48 KZ48 LF48 LL48 LR48 LX48 GK46 GQ46 GW46 HC46 HI46 HO46 HU46 IA46 IG46 IM46 IS46 IY46 JH46 JP46 JV46 KB46 KH46 KN46 KT46 KZ46 LF46 LL46 LR46 LX46 GK44 GQ44 GW44 HC44 HI44 HO44 HU44 IA44 IG44 IM44 IS44 IY44 JH44 JP44 JV44 KB44 KH44 KN44 KT44 KZ44 LF44 LL44 LR44 LX44 GK42 GQ42 GW42 HC42 HI42 HO42 HU42 IA42 IG42 IM42 IS42 IY42 JH42 JP42 JV42 KB42 KH42 KN42 KT42 KZ42 LF42 LL42 LR42 LX42 GK40 GQ40 GW40 HC40 HI40 HO40 HU40 IA40 IG40 IM40 IS40 IY40 JH40 JP40 JV40 KB40 KH40 KN40 KT40 KZ40 LF40 LL40 LR40 LX40 GK38 GQ38 GW38 HC38 HI38 HO38 HU38 IA38 IG38 IM38 IS38 IY38 JH38 JP38 JV38 KB38 KH38 KN38 KT38 KZ38 LF38 LL38 LR38 LX38">
    <cfRule type="expression" dxfId="14" priority="6" stopIfTrue="1">
      <formula>GN38&lt;&gt;""</formula>
    </cfRule>
  </conditionalFormatting>
  <conditionalFormatting sqref="GL100 GR100 GX100 HD100 HJ100 HP100 HV100 IB100 IH100 IN100 IT100 IZ100 JI100 JQ100 JW100 KC100 KI100 KO100 KU100 LA100 LG100 LM100 LS100 LY100 GL98 GR98 GX98 HD98 HJ98 HP98 HV98 IB98 IH98 IN98 IT98 IZ98 JI98 JQ98 JW98 KC98 KI98 KO98 KU98 LA98 LG98 LM98 LS98 LY98 GL96 GR96 GX96 HD96 HJ96 HP96 HV96 IB96 IH96 IN96 IT96 IZ96 JI96 JQ96 JW96 KC96 KI96 KO96 KU96 LA96 LG96 LM96 LS96 LY96 GL94 GR94 GX94 HD94 HJ94 HP94 HV94 IB94 IH94 IN94 IT94 IZ94 JI94 JQ94 JW94 KC94 KI94 KO94 KU94 LA94 LG94 LM94 LS94 LY94 GL92 GR92 GX92 HD92 HJ92 HP92 HV92 IB92 IH92 IN92 IT92 IZ92 JI92 JQ92 JW92 KC92 KI92 KO92 KU92 LA92 LG92 LM92 LS92 LY92 GL90 GR90 GX90 HD90 HJ90 HP90 HV90 IB90 IH90 IN90 IT90 IZ90 JI90 JQ90 JW90 KC90 KI90 KO90 KU90 LA90 LG90 LM90 LS90 LY90 GL88 GR88 GX88 HD88 HJ88 HP88 HV88 IB88 IH88 IN88 IT88 IZ88 JI88 JQ88 JW88 KC88 KI88 KO88 KU88 LA88 LG88 LM88 LS88 LY88 GL86 GR86 GX86 HD86 HJ86 HP86 HV86 IB86 IH86 IN86 IT86 IZ86 JI86 JQ86 JW86 KC86 KI86 KO86 KU86 LA86 LG86 LM86 LS86 LY86 GL84 GR84 GX84 HD84 HJ84 HP84 HV84 IB84 IH84 IN84 IT84 IZ84 JI84 JQ84 JW84 KC84 KI84 KO84 KU84 LA84 LG84 LM84 LS84 LY84 GL82 GR82 GX82 HD82 HJ82 HP82 HV82 IB82 IH82 IN82 IT82 IZ82 JI82 JQ82 JW82 KC82 KI82 KO82 KU82 LA82 LG82 LM82 LS82 LY82 GL80 GR80 GX80 HD80 HJ80 HP80 HV80 IB80 IH80 IN80 IT80 IZ80 JI80 JQ80 JW80 KC80 KI80 KO80 KU80 LA80 LG80 LM80 LS80 LY80 GL78 GR78 GX78 HD78 HJ78 HP78 HV78 IB78 IH78 IN78 IT78 IZ78 JI78 JQ78 JW78 KC78 KI78 KO78 KU78 LA78 LG78 LM78 LS78 LY78 GL76 GR76 GX76 HD76 HJ76 HP76 HV76 IB76 IH76 IN76 IT76 IZ76 JI76 JQ76 JW76 KC76 KI76 KO76 KU76 LA76 LG76 LM76 LS76 LY76 GL74 GR74 GX74 HD74 HJ74 HP74 HV74 IB74 IH74 IN74 IT74 IZ74 JI74 JQ74 JW74 KC74 KI74 KO74 KU74 LA74 LG74 LM74 LS74 LY74 GL72 GR72 GX72 HD72 HJ72 HP72 HV72 IB72 IH72 IN72 IT72 IZ72 JI72 JQ72 JW72 KC72 KI72 KO72 KU72 LA72 LG72 LM72 LS72 LY72 GL70 GR70 GX70 HD70 HJ70 HP70 HV70 IB70 IH70 IN70 IT70 IZ70 JI70 JQ70 JW70 KC70 KI70 KO70 KU70 LA70 LG70 LM70 LS70 LY70 GL68 GR68 GX68 HD68 HJ68 HP68 HV68 IB68 IH68 IN68 IT68 IZ68 JI68 JQ68 JW68 KC68 KI68 KO68 KU68 LA68 LG68 LM68 LS68 LY68 GL66 GR66 GX66 HD66 HJ66 HP66 HV66 IB66 IH66 IN66 IT66 IZ66 JI66 JQ66 JW66 KC66 KI66 KO66 KU66 LA66 LG66 LM66 LS66 LY66 GL64 GR64 GX64 HD64 HJ64 HP64 HV64 IB64 IH64 IN64 IT64 IZ64 JI64 JQ64 JW64 KC64 KI64 KO64 KU64 LA64 LG64 LM64 LS64 LY64 GL62 GR62 GX62 HD62 HJ62 HP62 HV62 IB62 IH62 IN62 IT62 IZ62 JI62 JQ62 JW62 KC62 KI62 KO62 KU62 LA62 LG62 LM62 LS62 LY62 GL60 GR60 GX60 HD60 HJ60 HP60 HV60 IB60 IH60 IN60 IT60 IZ60 JI60 JQ60 JW60 KC60 KI60 KO60 KU60 LA60 LG60 LM60 LS60 LY60 GL58 GR58 GX58 HD58 HJ58 HP58 HV58 IB58 IH58 IN58 IT58 IZ58 JI58 JQ58 JW58 KC58 KI58 KO58 KU58 LA58 LG58 LM58 LS58 LY58 GL56 GR56 GX56 HD56 HJ56 HP56 HV56 IB56 IH56 IN56 IT56 IZ56 JI56 JQ56 JW56 KC56 KI56 KO56 KU56 LA56 LG56 LM56 LS56 LY56 GL54 GR54 GX54 HD54 HJ54 HP54 HV54 IB54 IH54 IN54 IT54 IZ54 JI54 JQ54 JW54 KC54 KI54 KO54 KU54 LA54 LG54 LM54 LS54 LY54 GL52 GR52 GX52 HD52 HJ52 HP52 HV52 IB52 IH52 IN52 IT52 IZ52 JI52 JQ52 JW52 KC52 KI52 KO52 KU52 LA52 LG52 LM52 LS52 LY52 GL50 GR50 GX50 HD50 HJ50 HP50 HV50 IB50 IH50 IN50 IT50 IZ50 JI50 JQ50 JW50 KC50 KI50 KO50 KU50 LA50 LG50 LM50 LS50 LY50 GL48 GR48 GX48 HD48 HJ48 HP48 HV48 IB48 IH48 IN48 IT48 IZ48 JI48 JQ48 JW48 KC48 KI48 KO48 KU48 LA48 LG48 LM48 LS48 LY48 GL46 GR46 GX46 HD46 HJ46 HP46 HV46 IB46 IH46 IN46 IT46 IZ46 JI46 JQ46 JW46 KC46 KI46 KO46 KU46 LA46 LG46 LM46 LS46 LY46 GL44 GR44 GX44 HD44 HJ44 HP44 HV44 IB44 IH44 IN44 IT44 IZ44 JI44 JQ44 JW44 KC44 KI44 KO44 KU44 LA44 LG44 LM44 LS44 LY44 GL42 GR42 GX42 HD42 HJ42 HP42 HV42 IB42 IH42 IN42 IT42 IZ42 JI42 JQ42 JW42 KC42 KI42 KO42 KU42 LA42 LG42 LM42 LS42 LY42 GL40 GR40 GX40 HD40 HJ40 HP40 HV40 IB40 IH40 IN40 IT40 IZ40 JI40 JQ40 JW40 KC40 KI40 KO40 KU40 LA40 LG40 LM40 LS40 LY40 GL38 GR38 GX38 HD38 HJ38 HP38 HV38 IB38 IH38 IN38 IT38 IZ38 JI38 JQ38 JW38 KC38 KI38 KO38 KU38 LA38 LG38 LM38 LS38 LY38">
    <cfRule type="expression" dxfId="13" priority="5" stopIfTrue="1">
      <formula>GN38&lt;&gt;""</formula>
    </cfRule>
  </conditionalFormatting>
  <conditionalFormatting sqref="CZ100 CZ98 CZ96 CZ94 CZ92 CZ90 CZ88 CZ86 CZ84 CZ82 CZ80 CZ78 CZ76 CZ74 CZ72 CZ70 CZ68 CZ66 CZ64 CZ62 CZ60 CZ58 CZ56 CZ54 CZ52 CZ50 CZ48 CZ46 CZ44 CZ42 CZ40 CZ38">
    <cfRule type="expression" dxfId="12" priority="4" stopIfTrue="1">
      <formula>DC38&lt;&gt;""</formula>
    </cfRule>
  </conditionalFormatting>
  <conditionalFormatting sqref="DA100 DA98 DA96 DA94 DA92 DA90 DA88 DA86 DA84 DA82 DA80 DA78 DA76 DA74 DA72 DA70 DA68 DA66 DA64 DA62 DA60 DA58 DA56 DA54 DA52 DA50 DA48 DA46 DA44 DA42 DA40 DA38">
    <cfRule type="expression" dxfId="11" priority="3" stopIfTrue="1">
      <formula>DC38&lt;&gt;""</formula>
    </cfRule>
  </conditionalFormatting>
  <conditionalFormatting sqref="CH100 CH98 CH96 CH94 CH92 CH90 CH88 CH86 CH84 CH82 CH80 CH78 CH76 CH74 CH72 CH70 CH68 CH66 CH64 CH62 CH60 CH58 CH56 CH54 CH52 CH50 CH48 CH46 CH44 CH42 CH40 CH38">
    <cfRule type="expression" dxfId="10" priority="1">
      <formula>IF(CI38="FE",TRUE,FALSE)</formula>
    </cfRule>
    <cfRule type="expression" dxfId="9" priority="2" stopIfTrue="1">
      <formula>CK38&lt;&gt;""</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Drop Down 1">
              <controlPr defaultSize="0" autoLine="0" autoPict="0">
                <anchor moveWithCells="1">
                  <from>
                    <xdr:col>9</xdr:col>
                    <xdr:colOff>76200</xdr:colOff>
                    <xdr:row>17</xdr:row>
                    <xdr:rowOff>0</xdr:rowOff>
                  </from>
                  <to>
                    <xdr:col>12</xdr:col>
                    <xdr:colOff>257175</xdr:colOff>
                    <xdr:row>18</xdr:row>
                    <xdr:rowOff>9525</xdr:rowOff>
                  </to>
                </anchor>
              </controlPr>
            </control>
          </mc:Choice>
        </mc:AlternateContent>
        <mc:AlternateContent xmlns:mc="http://schemas.openxmlformats.org/markup-compatibility/2006">
          <mc:Choice Requires="x14">
            <control shapeId="18434" r:id="rId5" name="Drop Down 2">
              <controlPr defaultSize="0" autoLine="0" autoPict="0">
                <anchor moveWithCells="1">
                  <from>
                    <xdr:col>13</xdr:col>
                    <xdr:colOff>0</xdr:colOff>
                    <xdr:row>17</xdr:row>
                    <xdr:rowOff>0</xdr:rowOff>
                  </from>
                  <to>
                    <xdr:col>16</xdr:col>
                    <xdr:colOff>190500</xdr:colOff>
                    <xdr:row>18</xdr:row>
                    <xdr:rowOff>9525</xdr:rowOff>
                  </to>
                </anchor>
              </controlPr>
            </control>
          </mc:Choice>
        </mc:AlternateContent>
        <mc:AlternateContent xmlns:mc="http://schemas.openxmlformats.org/markup-compatibility/2006">
          <mc:Choice Requires="x14">
            <control shapeId="18435" r:id="rId6" name="Drop Down 3">
              <controlPr defaultSize="0" autoLine="0" autoPict="0">
                <anchor moveWithCells="1">
                  <from>
                    <xdr:col>19</xdr:col>
                    <xdr:colOff>0</xdr:colOff>
                    <xdr:row>17</xdr:row>
                    <xdr:rowOff>0</xdr:rowOff>
                  </from>
                  <to>
                    <xdr:col>22</xdr:col>
                    <xdr:colOff>190500</xdr:colOff>
                    <xdr:row>18</xdr:row>
                    <xdr:rowOff>9525</xdr:rowOff>
                  </to>
                </anchor>
              </controlPr>
            </control>
          </mc:Choice>
        </mc:AlternateContent>
        <mc:AlternateContent xmlns:mc="http://schemas.openxmlformats.org/markup-compatibility/2006">
          <mc:Choice Requires="x14">
            <control shapeId="18436" r:id="rId7" name="Drop Down 4">
              <controlPr defaultSize="0" autoLine="0" autoPict="0">
                <anchor moveWithCells="1">
                  <from>
                    <xdr:col>23</xdr:col>
                    <xdr:colOff>0</xdr:colOff>
                    <xdr:row>17</xdr:row>
                    <xdr:rowOff>0</xdr:rowOff>
                  </from>
                  <to>
                    <xdr:col>26</xdr:col>
                    <xdr:colOff>190500</xdr:colOff>
                    <xdr:row>18</xdr:row>
                    <xdr:rowOff>9525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17</xdr:col>
                    <xdr:colOff>38100</xdr:colOff>
                    <xdr:row>17</xdr:row>
                    <xdr:rowOff>0</xdr:rowOff>
                  </from>
                  <to>
                    <xdr:col>17</xdr:col>
                    <xdr:colOff>342900</xdr:colOff>
                    <xdr:row>18</xdr:row>
                    <xdr:rowOff>28575</xdr:rowOff>
                  </to>
                </anchor>
              </controlPr>
            </control>
          </mc:Choice>
        </mc:AlternateContent>
        <mc:AlternateContent xmlns:mc="http://schemas.openxmlformats.org/markup-compatibility/2006">
          <mc:Choice Requires="x14">
            <control shapeId="18438" r:id="rId9" name="Drop Down 6">
              <controlPr defaultSize="0" autoLine="0" autoPict="0">
                <anchor moveWithCells="1">
                  <from>
                    <xdr:col>27</xdr:col>
                    <xdr:colOff>0</xdr:colOff>
                    <xdr:row>17</xdr:row>
                    <xdr:rowOff>0</xdr:rowOff>
                  </from>
                  <to>
                    <xdr:col>30</xdr:col>
                    <xdr:colOff>190500</xdr:colOff>
                    <xdr:row>18</xdr:row>
                    <xdr:rowOff>9525</xdr:rowOff>
                  </to>
                </anchor>
              </controlPr>
            </control>
          </mc:Choice>
        </mc:AlternateContent>
        <mc:AlternateContent xmlns:mc="http://schemas.openxmlformats.org/markup-compatibility/2006">
          <mc:Choice Requires="x14">
            <control shapeId="18441" r:id="rId10" name="Drop Down 9">
              <controlPr defaultSize="0" autoLine="0" autoPict="0">
                <anchor moveWithCells="1">
                  <from>
                    <xdr:col>115</xdr:col>
                    <xdr:colOff>0</xdr:colOff>
                    <xdr:row>17</xdr:row>
                    <xdr:rowOff>0</xdr:rowOff>
                  </from>
                  <to>
                    <xdr:col>117</xdr:col>
                    <xdr:colOff>19050</xdr:colOff>
                    <xdr:row>18</xdr:row>
                    <xdr:rowOff>9525</xdr:rowOff>
                  </to>
                </anchor>
              </controlPr>
            </control>
          </mc:Choice>
        </mc:AlternateContent>
        <mc:AlternateContent xmlns:mc="http://schemas.openxmlformats.org/markup-compatibility/2006">
          <mc:Choice Requires="x14">
            <control shapeId="18442" r:id="rId11" name="Drop Down 10">
              <controlPr defaultSize="0" autoLine="0" autoPict="0">
                <anchor moveWithCells="1">
                  <from>
                    <xdr:col>163</xdr:col>
                    <xdr:colOff>0</xdr:colOff>
                    <xdr:row>17</xdr:row>
                    <xdr:rowOff>0</xdr:rowOff>
                  </from>
                  <to>
                    <xdr:col>165</xdr:col>
                    <xdr:colOff>333375</xdr:colOff>
                    <xdr:row>18</xdr:row>
                    <xdr:rowOff>9525</xdr:rowOff>
                  </to>
                </anchor>
              </controlPr>
            </control>
          </mc:Choice>
        </mc:AlternateContent>
        <mc:AlternateContent xmlns:mc="http://schemas.openxmlformats.org/markup-compatibility/2006">
          <mc:Choice Requires="x14">
            <control shapeId="18443" r:id="rId12" name="Drop Down 11">
              <controlPr defaultSize="0" autoLine="0" autoPict="0">
                <anchor moveWithCells="1">
                  <from>
                    <xdr:col>264</xdr:col>
                    <xdr:colOff>0</xdr:colOff>
                    <xdr:row>17</xdr:row>
                    <xdr:rowOff>0</xdr:rowOff>
                  </from>
                  <to>
                    <xdr:col>266</xdr:col>
                    <xdr:colOff>161925</xdr:colOff>
                    <xdr:row>18</xdr:row>
                    <xdr:rowOff>9525</xdr:rowOff>
                  </to>
                </anchor>
              </controlPr>
            </control>
          </mc:Choice>
        </mc:AlternateContent>
        <mc:AlternateContent xmlns:mc="http://schemas.openxmlformats.org/markup-compatibility/2006">
          <mc:Choice Requires="x14">
            <control shapeId="18862" r:id="rId13" name="Drop Down 430">
              <controlPr defaultSize="0" autoLine="0" autoPict="0">
                <anchor moveWithCells="1">
                  <from>
                    <xdr:col>3</xdr:col>
                    <xdr:colOff>9525</xdr:colOff>
                    <xdr:row>17</xdr:row>
                    <xdr:rowOff>0</xdr:rowOff>
                  </from>
                  <to>
                    <xdr:col>4</xdr:col>
                    <xdr:colOff>190500</xdr:colOff>
                    <xdr:row>18</xdr:row>
                    <xdr:rowOff>9525</xdr:rowOff>
                  </to>
                </anchor>
              </controlPr>
            </control>
          </mc:Choice>
        </mc:AlternateContent>
        <mc:AlternateContent xmlns:mc="http://schemas.openxmlformats.org/markup-compatibility/2006">
          <mc:Choice Requires="x14">
            <control shapeId="18863" r:id="rId14" name="Drop Down 431">
              <controlPr defaultSize="0" autoLine="0" autoPict="0">
                <anchor moveWithCells="1">
                  <from>
                    <xdr:col>5</xdr:col>
                    <xdr:colOff>0</xdr:colOff>
                    <xdr:row>17</xdr:row>
                    <xdr:rowOff>0</xdr:rowOff>
                  </from>
                  <to>
                    <xdr:col>8</xdr:col>
                    <xdr:colOff>9525</xdr:colOff>
                    <xdr:row>18</xdr:row>
                    <xdr:rowOff>9525</xdr:rowOff>
                  </to>
                </anchor>
              </controlPr>
            </control>
          </mc:Choice>
        </mc:AlternateContent>
        <mc:AlternateContent xmlns:mc="http://schemas.openxmlformats.org/markup-compatibility/2006">
          <mc:Choice Requires="x14">
            <control shapeId="18865" r:id="rId15" name="Drop Down 433">
              <controlPr defaultSize="0" autoLine="0" autoPict="0">
                <anchor moveWithCells="1">
                  <from>
                    <xdr:col>35</xdr:col>
                    <xdr:colOff>9525</xdr:colOff>
                    <xdr:row>17</xdr:row>
                    <xdr:rowOff>0</xdr:rowOff>
                  </from>
                  <to>
                    <xdr:col>36</xdr:col>
                    <xdr:colOff>9525</xdr:colOff>
                    <xdr:row>18</xdr:row>
                    <xdr:rowOff>9525</xdr:rowOff>
                  </to>
                </anchor>
              </controlPr>
            </control>
          </mc:Choice>
        </mc:AlternateContent>
        <mc:AlternateContent xmlns:mc="http://schemas.openxmlformats.org/markup-compatibility/2006">
          <mc:Choice Requires="x14">
            <control shapeId="18866" r:id="rId16" name="Drop Down 434">
              <controlPr defaultSize="0" autoLine="0" autoPict="0">
                <anchor moveWithCells="1">
                  <from>
                    <xdr:col>7</xdr:col>
                    <xdr:colOff>19050</xdr:colOff>
                    <xdr:row>6</xdr:row>
                    <xdr:rowOff>0</xdr:rowOff>
                  </from>
                  <to>
                    <xdr:col>9</xdr:col>
                    <xdr:colOff>57150</xdr:colOff>
                    <xdr:row>7</xdr:row>
                    <xdr:rowOff>9525</xdr:rowOff>
                  </to>
                </anchor>
              </controlPr>
            </control>
          </mc:Choice>
        </mc:AlternateContent>
        <mc:AlternateContent xmlns:mc="http://schemas.openxmlformats.org/markup-compatibility/2006">
          <mc:Choice Requires="x14">
            <control shapeId="18868" r:id="rId17" name="Drop Down 436">
              <controlPr defaultSize="0" autoLine="0" autoPict="0">
                <anchor moveWithCells="1">
                  <from>
                    <xdr:col>9</xdr:col>
                    <xdr:colOff>76200</xdr:colOff>
                    <xdr:row>19</xdr:row>
                    <xdr:rowOff>0</xdr:rowOff>
                  </from>
                  <to>
                    <xdr:col>12</xdr:col>
                    <xdr:colOff>257175</xdr:colOff>
                    <xdr:row>20</xdr:row>
                    <xdr:rowOff>9525</xdr:rowOff>
                  </to>
                </anchor>
              </controlPr>
            </control>
          </mc:Choice>
        </mc:AlternateContent>
        <mc:AlternateContent xmlns:mc="http://schemas.openxmlformats.org/markup-compatibility/2006">
          <mc:Choice Requires="x14">
            <control shapeId="18869" r:id="rId18" name="Drop Down 437">
              <controlPr defaultSize="0" autoLine="0" autoPict="0">
                <anchor moveWithCells="1">
                  <from>
                    <xdr:col>13</xdr:col>
                    <xdr:colOff>0</xdr:colOff>
                    <xdr:row>19</xdr:row>
                    <xdr:rowOff>0</xdr:rowOff>
                  </from>
                  <to>
                    <xdr:col>16</xdr:col>
                    <xdr:colOff>190500</xdr:colOff>
                    <xdr:row>20</xdr:row>
                    <xdr:rowOff>9525</xdr:rowOff>
                  </to>
                </anchor>
              </controlPr>
            </control>
          </mc:Choice>
        </mc:AlternateContent>
        <mc:AlternateContent xmlns:mc="http://schemas.openxmlformats.org/markup-compatibility/2006">
          <mc:Choice Requires="x14">
            <control shapeId="18870" r:id="rId19" name="Drop Down 438">
              <controlPr defaultSize="0" autoLine="0" autoPict="0">
                <anchor moveWithCells="1">
                  <from>
                    <xdr:col>19</xdr:col>
                    <xdr:colOff>0</xdr:colOff>
                    <xdr:row>19</xdr:row>
                    <xdr:rowOff>0</xdr:rowOff>
                  </from>
                  <to>
                    <xdr:col>22</xdr:col>
                    <xdr:colOff>190500</xdr:colOff>
                    <xdr:row>20</xdr:row>
                    <xdr:rowOff>9525</xdr:rowOff>
                  </to>
                </anchor>
              </controlPr>
            </control>
          </mc:Choice>
        </mc:AlternateContent>
        <mc:AlternateContent xmlns:mc="http://schemas.openxmlformats.org/markup-compatibility/2006">
          <mc:Choice Requires="x14">
            <control shapeId="18871" r:id="rId20" name="Drop Down 439">
              <controlPr defaultSize="0" autoLine="0" autoPict="0">
                <anchor moveWithCells="1">
                  <from>
                    <xdr:col>23</xdr:col>
                    <xdr:colOff>0</xdr:colOff>
                    <xdr:row>19</xdr:row>
                    <xdr:rowOff>0</xdr:rowOff>
                  </from>
                  <to>
                    <xdr:col>26</xdr:col>
                    <xdr:colOff>190500</xdr:colOff>
                    <xdr:row>20</xdr:row>
                    <xdr:rowOff>9525</xdr:rowOff>
                  </to>
                </anchor>
              </controlPr>
            </control>
          </mc:Choice>
        </mc:AlternateContent>
        <mc:AlternateContent xmlns:mc="http://schemas.openxmlformats.org/markup-compatibility/2006">
          <mc:Choice Requires="x14">
            <control shapeId="18872" r:id="rId21" name="Check Box 440">
              <controlPr defaultSize="0" autoFill="0" autoLine="0" autoPict="0">
                <anchor moveWithCells="1">
                  <from>
                    <xdr:col>17</xdr:col>
                    <xdr:colOff>38100</xdr:colOff>
                    <xdr:row>19</xdr:row>
                    <xdr:rowOff>0</xdr:rowOff>
                  </from>
                  <to>
                    <xdr:col>17</xdr:col>
                    <xdr:colOff>342900</xdr:colOff>
                    <xdr:row>20</xdr:row>
                    <xdr:rowOff>28575</xdr:rowOff>
                  </to>
                </anchor>
              </controlPr>
            </control>
          </mc:Choice>
        </mc:AlternateContent>
        <mc:AlternateContent xmlns:mc="http://schemas.openxmlformats.org/markup-compatibility/2006">
          <mc:Choice Requires="x14">
            <control shapeId="18873" r:id="rId22" name="Drop Down 441">
              <controlPr defaultSize="0" autoLine="0" autoPict="0">
                <anchor moveWithCells="1">
                  <from>
                    <xdr:col>27</xdr:col>
                    <xdr:colOff>0</xdr:colOff>
                    <xdr:row>19</xdr:row>
                    <xdr:rowOff>0</xdr:rowOff>
                  </from>
                  <to>
                    <xdr:col>30</xdr:col>
                    <xdr:colOff>190500</xdr:colOff>
                    <xdr:row>20</xdr:row>
                    <xdr:rowOff>9525</xdr:rowOff>
                  </to>
                </anchor>
              </controlPr>
            </control>
          </mc:Choice>
        </mc:AlternateContent>
        <mc:AlternateContent xmlns:mc="http://schemas.openxmlformats.org/markup-compatibility/2006">
          <mc:Choice Requires="x14">
            <control shapeId="18874" r:id="rId23" name="Drop Down 442">
              <controlPr defaultSize="0" autoLine="0" autoPict="0">
                <anchor moveWithCells="1">
                  <from>
                    <xdr:col>115</xdr:col>
                    <xdr:colOff>0</xdr:colOff>
                    <xdr:row>19</xdr:row>
                    <xdr:rowOff>0</xdr:rowOff>
                  </from>
                  <to>
                    <xdr:col>117</xdr:col>
                    <xdr:colOff>19050</xdr:colOff>
                    <xdr:row>20</xdr:row>
                    <xdr:rowOff>9525</xdr:rowOff>
                  </to>
                </anchor>
              </controlPr>
            </control>
          </mc:Choice>
        </mc:AlternateContent>
        <mc:AlternateContent xmlns:mc="http://schemas.openxmlformats.org/markup-compatibility/2006">
          <mc:Choice Requires="x14">
            <control shapeId="18875" r:id="rId24" name="Drop Down 443">
              <controlPr defaultSize="0" autoLine="0" autoPict="0">
                <anchor moveWithCells="1">
                  <from>
                    <xdr:col>163</xdr:col>
                    <xdr:colOff>0</xdr:colOff>
                    <xdr:row>19</xdr:row>
                    <xdr:rowOff>0</xdr:rowOff>
                  </from>
                  <to>
                    <xdr:col>165</xdr:col>
                    <xdr:colOff>333375</xdr:colOff>
                    <xdr:row>20</xdr:row>
                    <xdr:rowOff>9525</xdr:rowOff>
                  </to>
                </anchor>
              </controlPr>
            </control>
          </mc:Choice>
        </mc:AlternateContent>
        <mc:AlternateContent xmlns:mc="http://schemas.openxmlformats.org/markup-compatibility/2006">
          <mc:Choice Requires="x14">
            <control shapeId="18876" r:id="rId25" name="Drop Down 444">
              <controlPr defaultSize="0" autoLine="0" autoPict="0">
                <anchor moveWithCells="1">
                  <from>
                    <xdr:col>264</xdr:col>
                    <xdr:colOff>0</xdr:colOff>
                    <xdr:row>19</xdr:row>
                    <xdr:rowOff>0</xdr:rowOff>
                  </from>
                  <to>
                    <xdr:col>266</xdr:col>
                    <xdr:colOff>161925</xdr:colOff>
                    <xdr:row>20</xdr:row>
                    <xdr:rowOff>9525</xdr:rowOff>
                  </to>
                </anchor>
              </controlPr>
            </control>
          </mc:Choice>
        </mc:AlternateContent>
        <mc:AlternateContent xmlns:mc="http://schemas.openxmlformats.org/markup-compatibility/2006">
          <mc:Choice Requires="x14">
            <control shapeId="18877" r:id="rId26" name="Drop Down 445">
              <controlPr defaultSize="0" autoLine="0" autoPict="0">
                <anchor moveWithCells="1">
                  <from>
                    <xdr:col>3</xdr:col>
                    <xdr:colOff>9525</xdr:colOff>
                    <xdr:row>19</xdr:row>
                    <xdr:rowOff>0</xdr:rowOff>
                  </from>
                  <to>
                    <xdr:col>4</xdr:col>
                    <xdr:colOff>190500</xdr:colOff>
                    <xdr:row>20</xdr:row>
                    <xdr:rowOff>9525</xdr:rowOff>
                  </to>
                </anchor>
              </controlPr>
            </control>
          </mc:Choice>
        </mc:AlternateContent>
        <mc:AlternateContent xmlns:mc="http://schemas.openxmlformats.org/markup-compatibility/2006">
          <mc:Choice Requires="x14">
            <control shapeId="18878" r:id="rId27" name="Drop Down 446">
              <controlPr defaultSize="0" autoLine="0" autoPict="0">
                <anchor moveWithCells="1">
                  <from>
                    <xdr:col>5</xdr:col>
                    <xdr:colOff>0</xdr:colOff>
                    <xdr:row>19</xdr:row>
                    <xdr:rowOff>0</xdr:rowOff>
                  </from>
                  <to>
                    <xdr:col>8</xdr:col>
                    <xdr:colOff>9525</xdr:colOff>
                    <xdr:row>20</xdr:row>
                    <xdr:rowOff>9525</xdr:rowOff>
                  </to>
                </anchor>
              </controlPr>
            </control>
          </mc:Choice>
        </mc:AlternateContent>
        <mc:AlternateContent xmlns:mc="http://schemas.openxmlformats.org/markup-compatibility/2006">
          <mc:Choice Requires="x14">
            <control shapeId="18879" r:id="rId28" name="Drop Down 447">
              <controlPr defaultSize="0" autoLine="0" autoPict="0">
                <anchor moveWithCells="1">
                  <from>
                    <xdr:col>35</xdr:col>
                    <xdr:colOff>9525</xdr:colOff>
                    <xdr:row>19</xdr:row>
                    <xdr:rowOff>0</xdr:rowOff>
                  </from>
                  <to>
                    <xdr:col>36</xdr:col>
                    <xdr:colOff>9525</xdr:colOff>
                    <xdr:row>20</xdr:row>
                    <xdr:rowOff>9525</xdr:rowOff>
                  </to>
                </anchor>
              </controlPr>
            </control>
          </mc:Choice>
        </mc:AlternateContent>
        <mc:AlternateContent xmlns:mc="http://schemas.openxmlformats.org/markup-compatibility/2006">
          <mc:Choice Requires="x14">
            <control shapeId="18880" r:id="rId29" name="Drop Down 448">
              <controlPr defaultSize="0" autoLine="0" autoPict="0">
                <anchor moveWithCells="1">
                  <from>
                    <xdr:col>9</xdr:col>
                    <xdr:colOff>76200</xdr:colOff>
                    <xdr:row>21</xdr:row>
                    <xdr:rowOff>0</xdr:rowOff>
                  </from>
                  <to>
                    <xdr:col>12</xdr:col>
                    <xdr:colOff>257175</xdr:colOff>
                    <xdr:row>22</xdr:row>
                    <xdr:rowOff>9525</xdr:rowOff>
                  </to>
                </anchor>
              </controlPr>
            </control>
          </mc:Choice>
        </mc:AlternateContent>
        <mc:AlternateContent xmlns:mc="http://schemas.openxmlformats.org/markup-compatibility/2006">
          <mc:Choice Requires="x14">
            <control shapeId="18881" r:id="rId30" name="Drop Down 449">
              <controlPr defaultSize="0" autoLine="0" autoPict="0">
                <anchor moveWithCells="1">
                  <from>
                    <xdr:col>13</xdr:col>
                    <xdr:colOff>0</xdr:colOff>
                    <xdr:row>21</xdr:row>
                    <xdr:rowOff>0</xdr:rowOff>
                  </from>
                  <to>
                    <xdr:col>16</xdr:col>
                    <xdr:colOff>190500</xdr:colOff>
                    <xdr:row>22</xdr:row>
                    <xdr:rowOff>9525</xdr:rowOff>
                  </to>
                </anchor>
              </controlPr>
            </control>
          </mc:Choice>
        </mc:AlternateContent>
        <mc:AlternateContent xmlns:mc="http://schemas.openxmlformats.org/markup-compatibility/2006">
          <mc:Choice Requires="x14">
            <control shapeId="18882" r:id="rId31" name="Drop Down 450">
              <controlPr defaultSize="0" autoLine="0" autoPict="0">
                <anchor moveWithCells="1">
                  <from>
                    <xdr:col>19</xdr:col>
                    <xdr:colOff>0</xdr:colOff>
                    <xdr:row>21</xdr:row>
                    <xdr:rowOff>0</xdr:rowOff>
                  </from>
                  <to>
                    <xdr:col>22</xdr:col>
                    <xdr:colOff>190500</xdr:colOff>
                    <xdr:row>22</xdr:row>
                    <xdr:rowOff>9525</xdr:rowOff>
                  </to>
                </anchor>
              </controlPr>
            </control>
          </mc:Choice>
        </mc:AlternateContent>
        <mc:AlternateContent xmlns:mc="http://schemas.openxmlformats.org/markup-compatibility/2006">
          <mc:Choice Requires="x14">
            <control shapeId="18883" r:id="rId32" name="Drop Down 451">
              <controlPr defaultSize="0" autoLine="0" autoPict="0">
                <anchor moveWithCells="1">
                  <from>
                    <xdr:col>23</xdr:col>
                    <xdr:colOff>0</xdr:colOff>
                    <xdr:row>21</xdr:row>
                    <xdr:rowOff>0</xdr:rowOff>
                  </from>
                  <to>
                    <xdr:col>26</xdr:col>
                    <xdr:colOff>190500</xdr:colOff>
                    <xdr:row>22</xdr:row>
                    <xdr:rowOff>9525</xdr:rowOff>
                  </to>
                </anchor>
              </controlPr>
            </control>
          </mc:Choice>
        </mc:AlternateContent>
        <mc:AlternateContent xmlns:mc="http://schemas.openxmlformats.org/markup-compatibility/2006">
          <mc:Choice Requires="x14">
            <control shapeId="18884" r:id="rId33" name="Check Box 452">
              <controlPr defaultSize="0" autoFill="0" autoLine="0" autoPict="0">
                <anchor moveWithCells="1">
                  <from>
                    <xdr:col>17</xdr:col>
                    <xdr:colOff>38100</xdr:colOff>
                    <xdr:row>21</xdr:row>
                    <xdr:rowOff>0</xdr:rowOff>
                  </from>
                  <to>
                    <xdr:col>17</xdr:col>
                    <xdr:colOff>342900</xdr:colOff>
                    <xdr:row>22</xdr:row>
                    <xdr:rowOff>28575</xdr:rowOff>
                  </to>
                </anchor>
              </controlPr>
            </control>
          </mc:Choice>
        </mc:AlternateContent>
        <mc:AlternateContent xmlns:mc="http://schemas.openxmlformats.org/markup-compatibility/2006">
          <mc:Choice Requires="x14">
            <control shapeId="18885" r:id="rId34" name="Drop Down 453">
              <controlPr defaultSize="0" autoLine="0" autoPict="0">
                <anchor moveWithCells="1">
                  <from>
                    <xdr:col>27</xdr:col>
                    <xdr:colOff>0</xdr:colOff>
                    <xdr:row>21</xdr:row>
                    <xdr:rowOff>0</xdr:rowOff>
                  </from>
                  <to>
                    <xdr:col>30</xdr:col>
                    <xdr:colOff>190500</xdr:colOff>
                    <xdr:row>22</xdr:row>
                    <xdr:rowOff>9525</xdr:rowOff>
                  </to>
                </anchor>
              </controlPr>
            </control>
          </mc:Choice>
        </mc:AlternateContent>
        <mc:AlternateContent xmlns:mc="http://schemas.openxmlformats.org/markup-compatibility/2006">
          <mc:Choice Requires="x14">
            <control shapeId="18886" r:id="rId35" name="Drop Down 454">
              <controlPr defaultSize="0" autoLine="0" autoPict="0">
                <anchor moveWithCells="1">
                  <from>
                    <xdr:col>115</xdr:col>
                    <xdr:colOff>0</xdr:colOff>
                    <xdr:row>21</xdr:row>
                    <xdr:rowOff>0</xdr:rowOff>
                  </from>
                  <to>
                    <xdr:col>117</xdr:col>
                    <xdr:colOff>19050</xdr:colOff>
                    <xdr:row>22</xdr:row>
                    <xdr:rowOff>9525</xdr:rowOff>
                  </to>
                </anchor>
              </controlPr>
            </control>
          </mc:Choice>
        </mc:AlternateContent>
        <mc:AlternateContent xmlns:mc="http://schemas.openxmlformats.org/markup-compatibility/2006">
          <mc:Choice Requires="x14">
            <control shapeId="18887" r:id="rId36" name="Drop Down 455">
              <controlPr defaultSize="0" autoLine="0" autoPict="0">
                <anchor moveWithCells="1">
                  <from>
                    <xdr:col>163</xdr:col>
                    <xdr:colOff>0</xdr:colOff>
                    <xdr:row>21</xdr:row>
                    <xdr:rowOff>0</xdr:rowOff>
                  </from>
                  <to>
                    <xdr:col>165</xdr:col>
                    <xdr:colOff>333375</xdr:colOff>
                    <xdr:row>22</xdr:row>
                    <xdr:rowOff>9525</xdr:rowOff>
                  </to>
                </anchor>
              </controlPr>
            </control>
          </mc:Choice>
        </mc:AlternateContent>
        <mc:AlternateContent xmlns:mc="http://schemas.openxmlformats.org/markup-compatibility/2006">
          <mc:Choice Requires="x14">
            <control shapeId="18888" r:id="rId37" name="Drop Down 456">
              <controlPr defaultSize="0" autoLine="0" autoPict="0">
                <anchor moveWithCells="1">
                  <from>
                    <xdr:col>264</xdr:col>
                    <xdr:colOff>0</xdr:colOff>
                    <xdr:row>21</xdr:row>
                    <xdr:rowOff>0</xdr:rowOff>
                  </from>
                  <to>
                    <xdr:col>266</xdr:col>
                    <xdr:colOff>161925</xdr:colOff>
                    <xdr:row>22</xdr:row>
                    <xdr:rowOff>9525</xdr:rowOff>
                  </to>
                </anchor>
              </controlPr>
            </control>
          </mc:Choice>
        </mc:AlternateContent>
        <mc:AlternateContent xmlns:mc="http://schemas.openxmlformats.org/markup-compatibility/2006">
          <mc:Choice Requires="x14">
            <control shapeId="18889" r:id="rId38" name="Drop Down 457">
              <controlPr defaultSize="0" autoLine="0" autoPict="0">
                <anchor moveWithCells="1">
                  <from>
                    <xdr:col>3</xdr:col>
                    <xdr:colOff>9525</xdr:colOff>
                    <xdr:row>21</xdr:row>
                    <xdr:rowOff>0</xdr:rowOff>
                  </from>
                  <to>
                    <xdr:col>4</xdr:col>
                    <xdr:colOff>190500</xdr:colOff>
                    <xdr:row>22</xdr:row>
                    <xdr:rowOff>9525</xdr:rowOff>
                  </to>
                </anchor>
              </controlPr>
            </control>
          </mc:Choice>
        </mc:AlternateContent>
        <mc:AlternateContent xmlns:mc="http://schemas.openxmlformats.org/markup-compatibility/2006">
          <mc:Choice Requires="x14">
            <control shapeId="18890" r:id="rId39" name="Drop Down 458">
              <controlPr defaultSize="0" autoLine="0" autoPict="0">
                <anchor moveWithCells="1">
                  <from>
                    <xdr:col>5</xdr:col>
                    <xdr:colOff>0</xdr:colOff>
                    <xdr:row>21</xdr:row>
                    <xdr:rowOff>0</xdr:rowOff>
                  </from>
                  <to>
                    <xdr:col>8</xdr:col>
                    <xdr:colOff>9525</xdr:colOff>
                    <xdr:row>22</xdr:row>
                    <xdr:rowOff>9525</xdr:rowOff>
                  </to>
                </anchor>
              </controlPr>
            </control>
          </mc:Choice>
        </mc:AlternateContent>
        <mc:AlternateContent xmlns:mc="http://schemas.openxmlformats.org/markup-compatibility/2006">
          <mc:Choice Requires="x14">
            <control shapeId="18891" r:id="rId40" name="Drop Down 459">
              <controlPr defaultSize="0" autoLine="0" autoPict="0">
                <anchor moveWithCells="1">
                  <from>
                    <xdr:col>35</xdr:col>
                    <xdr:colOff>9525</xdr:colOff>
                    <xdr:row>21</xdr:row>
                    <xdr:rowOff>0</xdr:rowOff>
                  </from>
                  <to>
                    <xdr:col>36</xdr:col>
                    <xdr:colOff>9525</xdr:colOff>
                    <xdr:row>22</xdr:row>
                    <xdr:rowOff>9525</xdr:rowOff>
                  </to>
                </anchor>
              </controlPr>
            </control>
          </mc:Choice>
        </mc:AlternateContent>
        <mc:AlternateContent xmlns:mc="http://schemas.openxmlformats.org/markup-compatibility/2006">
          <mc:Choice Requires="x14">
            <control shapeId="18892" r:id="rId41" name="Drop Down 460">
              <controlPr defaultSize="0" autoLine="0" autoPict="0">
                <anchor moveWithCells="1">
                  <from>
                    <xdr:col>9</xdr:col>
                    <xdr:colOff>76200</xdr:colOff>
                    <xdr:row>23</xdr:row>
                    <xdr:rowOff>0</xdr:rowOff>
                  </from>
                  <to>
                    <xdr:col>12</xdr:col>
                    <xdr:colOff>257175</xdr:colOff>
                    <xdr:row>24</xdr:row>
                    <xdr:rowOff>9525</xdr:rowOff>
                  </to>
                </anchor>
              </controlPr>
            </control>
          </mc:Choice>
        </mc:AlternateContent>
        <mc:AlternateContent xmlns:mc="http://schemas.openxmlformats.org/markup-compatibility/2006">
          <mc:Choice Requires="x14">
            <control shapeId="18893" r:id="rId42" name="Drop Down 461">
              <controlPr defaultSize="0" autoLine="0" autoPict="0">
                <anchor moveWithCells="1">
                  <from>
                    <xdr:col>13</xdr:col>
                    <xdr:colOff>0</xdr:colOff>
                    <xdr:row>23</xdr:row>
                    <xdr:rowOff>0</xdr:rowOff>
                  </from>
                  <to>
                    <xdr:col>16</xdr:col>
                    <xdr:colOff>190500</xdr:colOff>
                    <xdr:row>24</xdr:row>
                    <xdr:rowOff>9525</xdr:rowOff>
                  </to>
                </anchor>
              </controlPr>
            </control>
          </mc:Choice>
        </mc:AlternateContent>
        <mc:AlternateContent xmlns:mc="http://schemas.openxmlformats.org/markup-compatibility/2006">
          <mc:Choice Requires="x14">
            <control shapeId="18894" r:id="rId43" name="Drop Down 462">
              <controlPr defaultSize="0" autoLine="0" autoPict="0">
                <anchor moveWithCells="1">
                  <from>
                    <xdr:col>19</xdr:col>
                    <xdr:colOff>0</xdr:colOff>
                    <xdr:row>23</xdr:row>
                    <xdr:rowOff>0</xdr:rowOff>
                  </from>
                  <to>
                    <xdr:col>22</xdr:col>
                    <xdr:colOff>190500</xdr:colOff>
                    <xdr:row>24</xdr:row>
                    <xdr:rowOff>9525</xdr:rowOff>
                  </to>
                </anchor>
              </controlPr>
            </control>
          </mc:Choice>
        </mc:AlternateContent>
        <mc:AlternateContent xmlns:mc="http://schemas.openxmlformats.org/markup-compatibility/2006">
          <mc:Choice Requires="x14">
            <control shapeId="18895" r:id="rId44" name="Drop Down 463">
              <controlPr defaultSize="0" autoLine="0" autoPict="0">
                <anchor moveWithCells="1">
                  <from>
                    <xdr:col>23</xdr:col>
                    <xdr:colOff>0</xdr:colOff>
                    <xdr:row>23</xdr:row>
                    <xdr:rowOff>0</xdr:rowOff>
                  </from>
                  <to>
                    <xdr:col>26</xdr:col>
                    <xdr:colOff>190500</xdr:colOff>
                    <xdr:row>24</xdr:row>
                    <xdr:rowOff>9525</xdr:rowOff>
                  </to>
                </anchor>
              </controlPr>
            </control>
          </mc:Choice>
        </mc:AlternateContent>
        <mc:AlternateContent xmlns:mc="http://schemas.openxmlformats.org/markup-compatibility/2006">
          <mc:Choice Requires="x14">
            <control shapeId="18896" r:id="rId45" name="Check Box 464">
              <controlPr defaultSize="0" autoFill="0" autoLine="0" autoPict="0">
                <anchor moveWithCells="1">
                  <from>
                    <xdr:col>17</xdr:col>
                    <xdr:colOff>38100</xdr:colOff>
                    <xdr:row>23</xdr:row>
                    <xdr:rowOff>0</xdr:rowOff>
                  </from>
                  <to>
                    <xdr:col>17</xdr:col>
                    <xdr:colOff>342900</xdr:colOff>
                    <xdr:row>24</xdr:row>
                    <xdr:rowOff>28575</xdr:rowOff>
                  </to>
                </anchor>
              </controlPr>
            </control>
          </mc:Choice>
        </mc:AlternateContent>
        <mc:AlternateContent xmlns:mc="http://schemas.openxmlformats.org/markup-compatibility/2006">
          <mc:Choice Requires="x14">
            <control shapeId="18897" r:id="rId46" name="Drop Down 465">
              <controlPr defaultSize="0" autoLine="0" autoPict="0">
                <anchor moveWithCells="1">
                  <from>
                    <xdr:col>27</xdr:col>
                    <xdr:colOff>0</xdr:colOff>
                    <xdr:row>23</xdr:row>
                    <xdr:rowOff>0</xdr:rowOff>
                  </from>
                  <to>
                    <xdr:col>30</xdr:col>
                    <xdr:colOff>190500</xdr:colOff>
                    <xdr:row>24</xdr:row>
                    <xdr:rowOff>9525</xdr:rowOff>
                  </to>
                </anchor>
              </controlPr>
            </control>
          </mc:Choice>
        </mc:AlternateContent>
        <mc:AlternateContent xmlns:mc="http://schemas.openxmlformats.org/markup-compatibility/2006">
          <mc:Choice Requires="x14">
            <control shapeId="18898" r:id="rId47" name="Drop Down 466">
              <controlPr defaultSize="0" autoLine="0" autoPict="0">
                <anchor moveWithCells="1">
                  <from>
                    <xdr:col>115</xdr:col>
                    <xdr:colOff>0</xdr:colOff>
                    <xdr:row>23</xdr:row>
                    <xdr:rowOff>0</xdr:rowOff>
                  </from>
                  <to>
                    <xdr:col>117</xdr:col>
                    <xdr:colOff>19050</xdr:colOff>
                    <xdr:row>24</xdr:row>
                    <xdr:rowOff>9525</xdr:rowOff>
                  </to>
                </anchor>
              </controlPr>
            </control>
          </mc:Choice>
        </mc:AlternateContent>
        <mc:AlternateContent xmlns:mc="http://schemas.openxmlformats.org/markup-compatibility/2006">
          <mc:Choice Requires="x14">
            <control shapeId="18899" r:id="rId48" name="Drop Down 467">
              <controlPr defaultSize="0" autoLine="0" autoPict="0">
                <anchor moveWithCells="1">
                  <from>
                    <xdr:col>163</xdr:col>
                    <xdr:colOff>0</xdr:colOff>
                    <xdr:row>23</xdr:row>
                    <xdr:rowOff>0</xdr:rowOff>
                  </from>
                  <to>
                    <xdr:col>165</xdr:col>
                    <xdr:colOff>333375</xdr:colOff>
                    <xdr:row>24</xdr:row>
                    <xdr:rowOff>9525</xdr:rowOff>
                  </to>
                </anchor>
              </controlPr>
            </control>
          </mc:Choice>
        </mc:AlternateContent>
        <mc:AlternateContent xmlns:mc="http://schemas.openxmlformats.org/markup-compatibility/2006">
          <mc:Choice Requires="x14">
            <control shapeId="18900" r:id="rId49" name="Drop Down 468">
              <controlPr defaultSize="0" autoLine="0" autoPict="0">
                <anchor moveWithCells="1">
                  <from>
                    <xdr:col>264</xdr:col>
                    <xdr:colOff>0</xdr:colOff>
                    <xdr:row>23</xdr:row>
                    <xdr:rowOff>0</xdr:rowOff>
                  </from>
                  <to>
                    <xdr:col>266</xdr:col>
                    <xdr:colOff>161925</xdr:colOff>
                    <xdr:row>24</xdr:row>
                    <xdr:rowOff>9525</xdr:rowOff>
                  </to>
                </anchor>
              </controlPr>
            </control>
          </mc:Choice>
        </mc:AlternateContent>
        <mc:AlternateContent xmlns:mc="http://schemas.openxmlformats.org/markup-compatibility/2006">
          <mc:Choice Requires="x14">
            <control shapeId="18901" r:id="rId50" name="Drop Down 469">
              <controlPr defaultSize="0" autoLine="0" autoPict="0">
                <anchor moveWithCells="1">
                  <from>
                    <xdr:col>3</xdr:col>
                    <xdr:colOff>9525</xdr:colOff>
                    <xdr:row>23</xdr:row>
                    <xdr:rowOff>0</xdr:rowOff>
                  </from>
                  <to>
                    <xdr:col>4</xdr:col>
                    <xdr:colOff>190500</xdr:colOff>
                    <xdr:row>24</xdr:row>
                    <xdr:rowOff>9525</xdr:rowOff>
                  </to>
                </anchor>
              </controlPr>
            </control>
          </mc:Choice>
        </mc:AlternateContent>
        <mc:AlternateContent xmlns:mc="http://schemas.openxmlformats.org/markup-compatibility/2006">
          <mc:Choice Requires="x14">
            <control shapeId="18902" r:id="rId51" name="Drop Down 470">
              <controlPr defaultSize="0" autoLine="0" autoPict="0">
                <anchor moveWithCells="1">
                  <from>
                    <xdr:col>5</xdr:col>
                    <xdr:colOff>0</xdr:colOff>
                    <xdr:row>23</xdr:row>
                    <xdr:rowOff>0</xdr:rowOff>
                  </from>
                  <to>
                    <xdr:col>8</xdr:col>
                    <xdr:colOff>9525</xdr:colOff>
                    <xdr:row>24</xdr:row>
                    <xdr:rowOff>9525</xdr:rowOff>
                  </to>
                </anchor>
              </controlPr>
            </control>
          </mc:Choice>
        </mc:AlternateContent>
        <mc:AlternateContent xmlns:mc="http://schemas.openxmlformats.org/markup-compatibility/2006">
          <mc:Choice Requires="x14">
            <control shapeId="18903" r:id="rId52" name="Drop Down 471">
              <controlPr defaultSize="0" autoLine="0" autoPict="0">
                <anchor moveWithCells="1">
                  <from>
                    <xdr:col>35</xdr:col>
                    <xdr:colOff>9525</xdr:colOff>
                    <xdr:row>23</xdr:row>
                    <xdr:rowOff>0</xdr:rowOff>
                  </from>
                  <to>
                    <xdr:col>36</xdr:col>
                    <xdr:colOff>9525</xdr:colOff>
                    <xdr:row>24</xdr:row>
                    <xdr:rowOff>9525</xdr:rowOff>
                  </to>
                </anchor>
              </controlPr>
            </control>
          </mc:Choice>
        </mc:AlternateContent>
        <mc:AlternateContent xmlns:mc="http://schemas.openxmlformats.org/markup-compatibility/2006">
          <mc:Choice Requires="x14">
            <control shapeId="18904" r:id="rId53" name="Drop Down 472">
              <controlPr defaultSize="0" autoLine="0" autoPict="0">
                <anchor moveWithCells="1">
                  <from>
                    <xdr:col>9</xdr:col>
                    <xdr:colOff>76200</xdr:colOff>
                    <xdr:row>25</xdr:row>
                    <xdr:rowOff>0</xdr:rowOff>
                  </from>
                  <to>
                    <xdr:col>12</xdr:col>
                    <xdr:colOff>257175</xdr:colOff>
                    <xdr:row>26</xdr:row>
                    <xdr:rowOff>9525</xdr:rowOff>
                  </to>
                </anchor>
              </controlPr>
            </control>
          </mc:Choice>
        </mc:AlternateContent>
        <mc:AlternateContent xmlns:mc="http://schemas.openxmlformats.org/markup-compatibility/2006">
          <mc:Choice Requires="x14">
            <control shapeId="18905" r:id="rId54" name="Drop Down 473">
              <controlPr defaultSize="0" autoLine="0" autoPict="0">
                <anchor moveWithCells="1">
                  <from>
                    <xdr:col>13</xdr:col>
                    <xdr:colOff>0</xdr:colOff>
                    <xdr:row>25</xdr:row>
                    <xdr:rowOff>0</xdr:rowOff>
                  </from>
                  <to>
                    <xdr:col>16</xdr:col>
                    <xdr:colOff>190500</xdr:colOff>
                    <xdr:row>26</xdr:row>
                    <xdr:rowOff>9525</xdr:rowOff>
                  </to>
                </anchor>
              </controlPr>
            </control>
          </mc:Choice>
        </mc:AlternateContent>
        <mc:AlternateContent xmlns:mc="http://schemas.openxmlformats.org/markup-compatibility/2006">
          <mc:Choice Requires="x14">
            <control shapeId="18906" r:id="rId55" name="Drop Down 474">
              <controlPr defaultSize="0" autoLine="0" autoPict="0">
                <anchor moveWithCells="1">
                  <from>
                    <xdr:col>19</xdr:col>
                    <xdr:colOff>0</xdr:colOff>
                    <xdr:row>25</xdr:row>
                    <xdr:rowOff>0</xdr:rowOff>
                  </from>
                  <to>
                    <xdr:col>22</xdr:col>
                    <xdr:colOff>190500</xdr:colOff>
                    <xdr:row>26</xdr:row>
                    <xdr:rowOff>9525</xdr:rowOff>
                  </to>
                </anchor>
              </controlPr>
            </control>
          </mc:Choice>
        </mc:AlternateContent>
        <mc:AlternateContent xmlns:mc="http://schemas.openxmlformats.org/markup-compatibility/2006">
          <mc:Choice Requires="x14">
            <control shapeId="18907" r:id="rId56" name="Drop Down 475">
              <controlPr defaultSize="0" autoLine="0" autoPict="0">
                <anchor moveWithCells="1">
                  <from>
                    <xdr:col>23</xdr:col>
                    <xdr:colOff>0</xdr:colOff>
                    <xdr:row>25</xdr:row>
                    <xdr:rowOff>0</xdr:rowOff>
                  </from>
                  <to>
                    <xdr:col>26</xdr:col>
                    <xdr:colOff>190500</xdr:colOff>
                    <xdr:row>26</xdr:row>
                    <xdr:rowOff>9525</xdr:rowOff>
                  </to>
                </anchor>
              </controlPr>
            </control>
          </mc:Choice>
        </mc:AlternateContent>
        <mc:AlternateContent xmlns:mc="http://schemas.openxmlformats.org/markup-compatibility/2006">
          <mc:Choice Requires="x14">
            <control shapeId="18908" r:id="rId57" name="Check Box 476">
              <controlPr defaultSize="0" autoFill="0" autoLine="0" autoPict="0">
                <anchor moveWithCells="1">
                  <from>
                    <xdr:col>17</xdr:col>
                    <xdr:colOff>38100</xdr:colOff>
                    <xdr:row>25</xdr:row>
                    <xdr:rowOff>0</xdr:rowOff>
                  </from>
                  <to>
                    <xdr:col>17</xdr:col>
                    <xdr:colOff>342900</xdr:colOff>
                    <xdr:row>26</xdr:row>
                    <xdr:rowOff>28575</xdr:rowOff>
                  </to>
                </anchor>
              </controlPr>
            </control>
          </mc:Choice>
        </mc:AlternateContent>
        <mc:AlternateContent xmlns:mc="http://schemas.openxmlformats.org/markup-compatibility/2006">
          <mc:Choice Requires="x14">
            <control shapeId="18909" r:id="rId58" name="Drop Down 477">
              <controlPr defaultSize="0" autoLine="0" autoPict="0">
                <anchor moveWithCells="1">
                  <from>
                    <xdr:col>27</xdr:col>
                    <xdr:colOff>0</xdr:colOff>
                    <xdr:row>25</xdr:row>
                    <xdr:rowOff>0</xdr:rowOff>
                  </from>
                  <to>
                    <xdr:col>30</xdr:col>
                    <xdr:colOff>190500</xdr:colOff>
                    <xdr:row>26</xdr:row>
                    <xdr:rowOff>9525</xdr:rowOff>
                  </to>
                </anchor>
              </controlPr>
            </control>
          </mc:Choice>
        </mc:AlternateContent>
        <mc:AlternateContent xmlns:mc="http://schemas.openxmlformats.org/markup-compatibility/2006">
          <mc:Choice Requires="x14">
            <control shapeId="18910" r:id="rId59" name="Drop Down 478">
              <controlPr defaultSize="0" autoLine="0" autoPict="0">
                <anchor moveWithCells="1">
                  <from>
                    <xdr:col>115</xdr:col>
                    <xdr:colOff>0</xdr:colOff>
                    <xdr:row>25</xdr:row>
                    <xdr:rowOff>0</xdr:rowOff>
                  </from>
                  <to>
                    <xdr:col>117</xdr:col>
                    <xdr:colOff>19050</xdr:colOff>
                    <xdr:row>26</xdr:row>
                    <xdr:rowOff>9525</xdr:rowOff>
                  </to>
                </anchor>
              </controlPr>
            </control>
          </mc:Choice>
        </mc:AlternateContent>
        <mc:AlternateContent xmlns:mc="http://schemas.openxmlformats.org/markup-compatibility/2006">
          <mc:Choice Requires="x14">
            <control shapeId="18911" r:id="rId60" name="Drop Down 479">
              <controlPr defaultSize="0" autoLine="0" autoPict="0">
                <anchor moveWithCells="1">
                  <from>
                    <xdr:col>163</xdr:col>
                    <xdr:colOff>0</xdr:colOff>
                    <xdr:row>25</xdr:row>
                    <xdr:rowOff>0</xdr:rowOff>
                  </from>
                  <to>
                    <xdr:col>165</xdr:col>
                    <xdr:colOff>333375</xdr:colOff>
                    <xdr:row>26</xdr:row>
                    <xdr:rowOff>9525</xdr:rowOff>
                  </to>
                </anchor>
              </controlPr>
            </control>
          </mc:Choice>
        </mc:AlternateContent>
        <mc:AlternateContent xmlns:mc="http://schemas.openxmlformats.org/markup-compatibility/2006">
          <mc:Choice Requires="x14">
            <control shapeId="18912" r:id="rId61" name="Drop Down 480">
              <controlPr defaultSize="0" autoLine="0" autoPict="0">
                <anchor moveWithCells="1">
                  <from>
                    <xdr:col>264</xdr:col>
                    <xdr:colOff>0</xdr:colOff>
                    <xdr:row>25</xdr:row>
                    <xdr:rowOff>0</xdr:rowOff>
                  </from>
                  <to>
                    <xdr:col>266</xdr:col>
                    <xdr:colOff>161925</xdr:colOff>
                    <xdr:row>26</xdr:row>
                    <xdr:rowOff>9525</xdr:rowOff>
                  </to>
                </anchor>
              </controlPr>
            </control>
          </mc:Choice>
        </mc:AlternateContent>
        <mc:AlternateContent xmlns:mc="http://schemas.openxmlformats.org/markup-compatibility/2006">
          <mc:Choice Requires="x14">
            <control shapeId="18913" r:id="rId62" name="Drop Down 481">
              <controlPr defaultSize="0" autoLine="0" autoPict="0">
                <anchor moveWithCells="1">
                  <from>
                    <xdr:col>3</xdr:col>
                    <xdr:colOff>9525</xdr:colOff>
                    <xdr:row>25</xdr:row>
                    <xdr:rowOff>0</xdr:rowOff>
                  </from>
                  <to>
                    <xdr:col>4</xdr:col>
                    <xdr:colOff>190500</xdr:colOff>
                    <xdr:row>26</xdr:row>
                    <xdr:rowOff>9525</xdr:rowOff>
                  </to>
                </anchor>
              </controlPr>
            </control>
          </mc:Choice>
        </mc:AlternateContent>
        <mc:AlternateContent xmlns:mc="http://schemas.openxmlformats.org/markup-compatibility/2006">
          <mc:Choice Requires="x14">
            <control shapeId="18914" r:id="rId63" name="Drop Down 482">
              <controlPr defaultSize="0" autoLine="0" autoPict="0">
                <anchor moveWithCells="1">
                  <from>
                    <xdr:col>5</xdr:col>
                    <xdr:colOff>0</xdr:colOff>
                    <xdr:row>25</xdr:row>
                    <xdr:rowOff>0</xdr:rowOff>
                  </from>
                  <to>
                    <xdr:col>8</xdr:col>
                    <xdr:colOff>9525</xdr:colOff>
                    <xdr:row>26</xdr:row>
                    <xdr:rowOff>9525</xdr:rowOff>
                  </to>
                </anchor>
              </controlPr>
            </control>
          </mc:Choice>
        </mc:AlternateContent>
        <mc:AlternateContent xmlns:mc="http://schemas.openxmlformats.org/markup-compatibility/2006">
          <mc:Choice Requires="x14">
            <control shapeId="18915" r:id="rId64" name="Drop Down 483">
              <controlPr defaultSize="0" autoLine="0" autoPict="0">
                <anchor moveWithCells="1">
                  <from>
                    <xdr:col>35</xdr:col>
                    <xdr:colOff>9525</xdr:colOff>
                    <xdr:row>25</xdr:row>
                    <xdr:rowOff>0</xdr:rowOff>
                  </from>
                  <to>
                    <xdr:col>36</xdr:col>
                    <xdr:colOff>9525</xdr:colOff>
                    <xdr:row>26</xdr:row>
                    <xdr:rowOff>9525</xdr:rowOff>
                  </to>
                </anchor>
              </controlPr>
            </control>
          </mc:Choice>
        </mc:AlternateContent>
        <mc:AlternateContent xmlns:mc="http://schemas.openxmlformats.org/markup-compatibility/2006">
          <mc:Choice Requires="x14">
            <control shapeId="18916" r:id="rId65" name="Drop Down 484">
              <controlPr defaultSize="0" autoLine="0" autoPict="0">
                <anchor moveWithCells="1">
                  <from>
                    <xdr:col>9</xdr:col>
                    <xdr:colOff>76200</xdr:colOff>
                    <xdr:row>27</xdr:row>
                    <xdr:rowOff>0</xdr:rowOff>
                  </from>
                  <to>
                    <xdr:col>12</xdr:col>
                    <xdr:colOff>257175</xdr:colOff>
                    <xdr:row>28</xdr:row>
                    <xdr:rowOff>9525</xdr:rowOff>
                  </to>
                </anchor>
              </controlPr>
            </control>
          </mc:Choice>
        </mc:AlternateContent>
        <mc:AlternateContent xmlns:mc="http://schemas.openxmlformats.org/markup-compatibility/2006">
          <mc:Choice Requires="x14">
            <control shapeId="18917" r:id="rId66" name="Drop Down 485">
              <controlPr defaultSize="0" autoLine="0" autoPict="0">
                <anchor moveWithCells="1">
                  <from>
                    <xdr:col>13</xdr:col>
                    <xdr:colOff>0</xdr:colOff>
                    <xdr:row>27</xdr:row>
                    <xdr:rowOff>0</xdr:rowOff>
                  </from>
                  <to>
                    <xdr:col>16</xdr:col>
                    <xdr:colOff>190500</xdr:colOff>
                    <xdr:row>28</xdr:row>
                    <xdr:rowOff>9525</xdr:rowOff>
                  </to>
                </anchor>
              </controlPr>
            </control>
          </mc:Choice>
        </mc:AlternateContent>
        <mc:AlternateContent xmlns:mc="http://schemas.openxmlformats.org/markup-compatibility/2006">
          <mc:Choice Requires="x14">
            <control shapeId="18918" r:id="rId67" name="Drop Down 486">
              <controlPr defaultSize="0" autoLine="0" autoPict="0">
                <anchor moveWithCells="1">
                  <from>
                    <xdr:col>19</xdr:col>
                    <xdr:colOff>0</xdr:colOff>
                    <xdr:row>27</xdr:row>
                    <xdr:rowOff>0</xdr:rowOff>
                  </from>
                  <to>
                    <xdr:col>22</xdr:col>
                    <xdr:colOff>190500</xdr:colOff>
                    <xdr:row>28</xdr:row>
                    <xdr:rowOff>9525</xdr:rowOff>
                  </to>
                </anchor>
              </controlPr>
            </control>
          </mc:Choice>
        </mc:AlternateContent>
        <mc:AlternateContent xmlns:mc="http://schemas.openxmlformats.org/markup-compatibility/2006">
          <mc:Choice Requires="x14">
            <control shapeId="18919" r:id="rId68" name="Drop Down 487">
              <controlPr defaultSize="0" autoLine="0" autoPict="0">
                <anchor moveWithCells="1">
                  <from>
                    <xdr:col>23</xdr:col>
                    <xdr:colOff>0</xdr:colOff>
                    <xdr:row>27</xdr:row>
                    <xdr:rowOff>0</xdr:rowOff>
                  </from>
                  <to>
                    <xdr:col>26</xdr:col>
                    <xdr:colOff>190500</xdr:colOff>
                    <xdr:row>28</xdr:row>
                    <xdr:rowOff>9525</xdr:rowOff>
                  </to>
                </anchor>
              </controlPr>
            </control>
          </mc:Choice>
        </mc:AlternateContent>
        <mc:AlternateContent xmlns:mc="http://schemas.openxmlformats.org/markup-compatibility/2006">
          <mc:Choice Requires="x14">
            <control shapeId="18920" r:id="rId69" name="Check Box 488">
              <controlPr defaultSize="0" autoFill="0" autoLine="0" autoPict="0">
                <anchor moveWithCells="1">
                  <from>
                    <xdr:col>17</xdr:col>
                    <xdr:colOff>38100</xdr:colOff>
                    <xdr:row>27</xdr:row>
                    <xdr:rowOff>0</xdr:rowOff>
                  </from>
                  <to>
                    <xdr:col>17</xdr:col>
                    <xdr:colOff>342900</xdr:colOff>
                    <xdr:row>28</xdr:row>
                    <xdr:rowOff>28575</xdr:rowOff>
                  </to>
                </anchor>
              </controlPr>
            </control>
          </mc:Choice>
        </mc:AlternateContent>
        <mc:AlternateContent xmlns:mc="http://schemas.openxmlformats.org/markup-compatibility/2006">
          <mc:Choice Requires="x14">
            <control shapeId="18921" r:id="rId70" name="Drop Down 489">
              <controlPr defaultSize="0" autoLine="0" autoPict="0">
                <anchor moveWithCells="1">
                  <from>
                    <xdr:col>27</xdr:col>
                    <xdr:colOff>0</xdr:colOff>
                    <xdr:row>27</xdr:row>
                    <xdr:rowOff>0</xdr:rowOff>
                  </from>
                  <to>
                    <xdr:col>30</xdr:col>
                    <xdr:colOff>190500</xdr:colOff>
                    <xdr:row>28</xdr:row>
                    <xdr:rowOff>9525</xdr:rowOff>
                  </to>
                </anchor>
              </controlPr>
            </control>
          </mc:Choice>
        </mc:AlternateContent>
        <mc:AlternateContent xmlns:mc="http://schemas.openxmlformats.org/markup-compatibility/2006">
          <mc:Choice Requires="x14">
            <control shapeId="18922" r:id="rId71" name="Drop Down 490">
              <controlPr defaultSize="0" autoLine="0" autoPict="0">
                <anchor moveWithCells="1">
                  <from>
                    <xdr:col>115</xdr:col>
                    <xdr:colOff>0</xdr:colOff>
                    <xdr:row>27</xdr:row>
                    <xdr:rowOff>0</xdr:rowOff>
                  </from>
                  <to>
                    <xdr:col>117</xdr:col>
                    <xdr:colOff>19050</xdr:colOff>
                    <xdr:row>28</xdr:row>
                    <xdr:rowOff>9525</xdr:rowOff>
                  </to>
                </anchor>
              </controlPr>
            </control>
          </mc:Choice>
        </mc:AlternateContent>
        <mc:AlternateContent xmlns:mc="http://schemas.openxmlformats.org/markup-compatibility/2006">
          <mc:Choice Requires="x14">
            <control shapeId="18923" r:id="rId72" name="Drop Down 491">
              <controlPr defaultSize="0" autoLine="0" autoPict="0">
                <anchor moveWithCells="1">
                  <from>
                    <xdr:col>163</xdr:col>
                    <xdr:colOff>0</xdr:colOff>
                    <xdr:row>27</xdr:row>
                    <xdr:rowOff>0</xdr:rowOff>
                  </from>
                  <to>
                    <xdr:col>165</xdr:col>
                    <xdr:colOff>333375</xdr:colOff>
                    <xdr:row>28</xdr:row>
                    <xdr:rowOff>9525</xdr:rowOff>
                  </to>
                </anchor>
              </controlPr>
            </control>
          </mc:Choice>
        </mc:AlternateContent>
        <mc:AlternateContent xmlns:mc="http://schemas.openxmlformats.org/markup-compatibility/2006">
          <mc:Choice Requires="x14">
            <control shapeId="18924" r:id="rId73" name="Drop Down 492">
              <controlPr defaultSize="0" autoLine="0" autoPict="0">
                <anchor moveWithCells="1">
                  <from>
                    <xdr:col>264</xdr:col>
                    <xdr:colOff>0</xdr:colOff>
                    <xdr:row>27</xdr:row>
                    <xdr:rowOff>0</xdr:rowOff>
                  </from>
                  <to>
                    <xdr:col>266</xdr:col>
                    <xdr:colOff>161925</xdr:colOff>
                    <xdr:row>28</xdr:row>
                    <xdr:rowOff>9525</xdr:rowOff>
                  </to>
                </anchor>
              </controlPr>
            </control>
          </mc:Choice>
        </mc:AlternateContent>
        <mc:AlternateContent xmlns:mc="http://schemas.openxmlformats.org/markup-compatibility/2006">
          <mc:Choice Requires="x14">
            <control shapeId="18925" r:id="rId74" name="Drop Down 493">
              <controlPr defaultSize="0" autoLine="0" autoPict="0">
                <anchor moveWithCells="1">
                  <from>
                    <xdr:col>3</xdr:col>
                    <xdr:colOff>9525</xdr:colOff>
                    <xdr:row>27</xdr:row>
                    <xdr:rowOff>0</xdr:rowOff>
                  </from>
                  <to>
                    <xdr:col>4</xdr:col>
                    <xdr:colOff>190500</xdr:colOff>
                    <xdr:row>28</xdr:row>
                    <xdr:rowOff>9525</xdr:rowOff>
                  </to>
                </anchor>
              </controlPr>
            </control>
          </mc:Choice>
        </mc:AlternateContent>
        <mc:AlternateContent xmlns:mc="http://schemas.openxmlformats.org/markup-compatibility/2006">
          <mc:Choice Requires="x14">
            <control shapeId="18926" r:id="rId75" name="Drop Down 494">
              <controlPr defaultSize="0" autoLine="0" autoPict="0">
                <anchor moveWithCells="1">
                  <from>
                    <xdr:col>5</xdr:col>
                    <xdr:colOff>0</xdr:colOff>
                    <xdr:row>27</xdr:row>
                    <xdr:rowOff>0</xdr:rowOff>
                  </from>
                  <to>
                    <xdr:col>8</xdr:col>
                    <xdr:colOff>9525</xdr:colOff>
                    <xdr:row>28</xdr:row>
                    <xdr:rowOff>9525</xdr:rowOff>
                  </to>
                </anchor>
              </controlPr>
            </control>
          </mc:Choice>
        </mc:AlternateContent>
        <mc:AlternateContent xmlns:mc="http://schemas.openxmlformats.org/markup-compatibility/2006">
          <mc:Choice Requires="x14">
            <control shapeId="18927" r:id="rId76" name="Drop Down 495">
              <controlPr defaultSize="0" autoLine="0" autoPict="0">
                <anchor moveWithCells="1">
                  <from>
                    <xdr:col>35</xdr:col>
                    <xdr:colOff>9525</xdr:colOff>
                    <xdr:row>27</xdr:row>
                    <xdr:rowOff>0</xdr:rowOff>
                  </from>
                  <to>
                    <xdr:col>36</xdr:col>
                    <xdr:colOff>9525</xdr:colOff>
                    <xdr:row>28</xdr:row>
                    <xdr:rowOff>9525</xdr:rowOff>
                  </to>
                </anchor>
              </controlPr>
            </control>
          </mc:Choice>
        </mc:AlternateContent>
        <mc:AlternateContent xmlns:mc="http://schemas.openxmlformats.org/markup-compatibility/2006">
          <mc:Choice Requires="x14">
            <control shapeId="18928" r:id="rId77" name="Drop Down 496">
              <controlPr defaultSize="0" autoLine="0" autoPict="0">
                <anchor moveWithCells="1">
                  <from>
                    <xdr:col>9</xdr:col>
                    <xdr:colOff>76200</xdr:colOff>
                    <xdr:row>29</xdr:row>
                    <xdr:rowOff>0</xdr:rowOff>
                  </from>
                  <to>
                    <xdr:col>12</xdr:col>
                    <xdr:colOff>257175</xdr:colOff>
                    <xdr:row>30</xdr:row>
                    <xdr:rowOff>9525</xdr:rowOff>
                  </to>
                </anchor>
              </controlPr>
            </control>
          </mc:Choice>
        </mc:AlternateContent>
        <mc:AlternateContent xmlns:mc="http://schemas.openxmlformats.org/markup-compatibility/2006">
          <mc:Choice Requires="x14">
            <control shapeId="18929" r:id="rId78" name="Drop Down 497">
              <controlPr defaultSize="0" autoLine="0" autoPict="0">
                <anchor moveWithCells="1">
                  <from>
                    <xdr:col>13</xdr:col>
                    <xdr:colOff>0</xdr:colOff>
                    <xdr:row>29</xdr:row>
                    <xdr:rowOff>0</xdr:rowOff>
                  </from>
                  <to>
                    <xdr:col>16</xdr:col>
                    <xdr:colOff>190500</xdr:colOff>
                    <xdr:row>30</xdr:row>
                    <xdr:rowOff>9525</xdr:rowOff>
                  </to>
                </anchor>
              </controlPr>
            </control>
          </mc:Choice>
        </mc:AlternateContent>
        <mc:AlternateContent xmlns:mc="http://schemas.openxmlformats.org/markup-compatibility/2006">
          <mc:Choice Requires="x14">
            <control shapeId="18930" r:id="rId79" name="Drop Down 498">
              <controlPr defaultSize="0" autoLine="0" autoPict="0">
                <anchor moveWithCells="1">
                  <from>
                    <xdr:col>19</xdr:col>
                    <xdr:colOff>0</xdr:colOff>
                    <xdr:row>29</xdr:row>
                    <xdr:rowOff>0</xdr:rowOff>
                  </from>
                  <to>
                    <xdr:col>22</xdr:col>
                    <xdr:colOff>190500</xdr:colOff>
                    <xdr:row>30</xdr:row>
                    <xdr:rowOff>9525</xdr:rowOff>
                  </to>
                </anchor>
              </controlPr>
            </control>
          </mc:Choice>
        </mc:AlternateContent>
        <mc:AlternateContent xmlns:mc="http://schemas.openxmlformats.org/markup-compatibility/2006">
          <mc:Choice Requires="x14">
            <control shapeId="18931" r:id="rId80" name="Drop Down 499">
              <controlPr defaultSize="0" autoLine="0" autoPict="0">
                <anchor moveWithCells="1">
                  <from>
                    <xdr:col>23</xdr:col>
                    <xdr:colOff>0</xdr:colOff>
                    <xdr:row>29</xdr:row>
                    <xdr:rowOff>0</xdr:rowOff>
                  </from>
                  <to>
                    <xdr:col>26</xdr:col>
                    <xdr:colOff>190500</xdr:colOff>
                    <xdr:row>30</xdr:row>
                    <xdr:rowOff>9525</xdr:rowOff>
                  </to>
                </anchor>
              </controlPr>
            </control>
          </mc:Choice>
        </mc:AlternateContent>
        <mc:AlternateContent xmlns:mc="http://schemas.openxmlformats.org/markup-compatibility/2006">
          <mc:Choice Requires="x14">
            <control shapeId="18932" r:id="rId81" name="Check Box 500">
              <controlPr defaultSize="0" autoFill="0" autoLine="0" autoPict="0">
                <anchor moveWithCells="1">
                  <from>
                    <xdr:col>17</xdr:col>
                    <xdr:colOff>38100</xdr:colOff>
                    <xdr:row>29</xdr:row>
                    <xdr:rowOff>0</xdr:rowOff>
                  </from>
                  <to>
                    <xdr:col>17</xdr:col>
                    <xdr:colOff>342900</xdr:colOff>
                    <xdr:row>30</xdr:row>
                    <xdr:rowOff>28575</xdr:rowOff>
                  </to>
                </anchor>
              </controlPr>
            </control>
          </mc:Choice>
        </mc:AlternateContent>
        <mc:AlternateContent xmlns:mc="http://schemas.openxmlformats.org/markup-compatibility/2006">
          <mc:Choice Requires="x14">
            <control shapeId="18933" r:id="rId82" name="Drop Down 501">
              <controlPr defaultSize="0" autoLine="0" autoPict="0">
                <anchor moveWithCells="1">
                  <from>
                    <xdr:col>27</xdr:col>
                    <xdr:colOff>0</xdr:colOff>
                    <xdr:row>29</xdr:row>
                    <xdr:rowOff>0</xdr:rowOff>
                  </from>
                  <to>
                    <xdr:col>30</xdr:col>
                    <xdr:colOff>190500</xdr:colOff>
                    <xdr:row>30</xdr:row>
                    <xdr:rowOff>9525</xdr:rowOff>
                  </to>
                </anchor>
              </controlPr>
            </control>
          </mc:Choice>
        </mc:AlternateContent>
        <mc:AlternateContent xmlns:mc="http://schemas.openxmlformats.org/markup-compatibility/2006">
          <mc:Choice Requires="x14">
            <control shapeId="18934" r:id="rId83" name="Drop Down 502">
              <controlPr defaultSize="0" autoLine="0" autoPict="0">
                <anchor moveWithCells="1">
                  <from>
                    <xdr:col>115</xdr:col>
                    <xdr:colOff>0</xdr:colOff>
                    <xdr:row>29</xdr:row>
                    <xdr:rowOff>0</xdr:rowOff>
                  </from>
                  <to>
                    <xdr:col>117</xdr:col>
                    <xdr:colOff>19050</xdr:colOff>
                    <xdr:row>30</xdr:row>
                    <xdr:rowOff>9525</xdr:rowOff>
                  </to>
                </anchor>
              </controlPr>
            </control>
          </mc:Choice>
        </mc:AlternateContent>
        <mc:AlternateContent xmlns:mc="http://schemas.openxmlformats.org/markup-compatibility/2006">
          <mc:Choice Requires="x14">
            <control shapeId="18935" r:id="rId84" name="Drop Down 503">
              <controlPr defaultSize="0" autoLine="0" autoPict="0">
                <anchor moveWithCells="1">
                  <from>
                    <xdr:col>163</xdr:col>
                    <xdr:colOff>0</xdr:colOff>
                    <xdr:row>29</xdr:row>
                    <xdr:rowOff>0</xdr:rowOff>
                  </from>
                  <to>
                    <xdr:col>165</xdr:col>
                    <xdr:colOff>333375</xdr:colOff>
                    <xdr:row>30</xdr:row>
                    <xdr:rowOff>9525</xdr:rowOff>
                  </to>
                </anchor>
              </controlPr>
            </control>
          </mc:Choice>
        </mc:AlternateContent>
        <mc:AlternateContent xmlns:mc="http://schemas.openxmlformats.org/markup-compatibility/2006">
          <mc:Choice Requires="x14">
            <control shapeId="18936" r:id="rId85" name="Drop Down 504">
              <controlPr defaultSize="0" autoLine="0" autoPict="0">
                <anchor moveWithCells="1">
                  <from>
                    <xdr:col>264</xdr:col>
                    <xdr:colOff>0</xdr:colOff>
                    <xdr:row>29</xdr:row>
                    <xdr:rowOff>0</xdr:rowOff>
                  </from>
                  <to>
                    <xdr:col>266</xdr:col>
                    <xdr:colOff>161925</xdr:colOff>
                    <xdr:row>30</xdr:row>
                    <xdr:rowOff>9525</xdr:rowOff>
                  </to>
                </anchor>
              </controlPr>
            </control>
          </mc:Choice>
        </mc:AlternateContent>
        <mc:AlternateContent xmlns:mc="http://schemas.openxmlformats.org/markup-compatibility/2006">
          <mc:Choice Requires="x14">
            <control shapeId="18937" r:id="rId86" name="Drop Down 505">
              <controlPr defaultSize="0" autoLine="0" autoPict="0">
                <anchor moveWithCells="1">
                  <from>
                    <xdr:col>3</xdr:col>
                    <xdr:colOff>9525</xdr:colOff>
                    <xdr:row>29</xdr:row>
                    <xdr:rowOff>0</xdr:rowOff>
                  </from>
                  <to>
                    <xdr:col>4</xdr:col>
                    <xdr:colOff>190500</xdr:colOff>
                    <xdr:row>30</xdr:row>
                    <xdr:rowOff>9525</xdr:rowOff>
                  </to>
                </anchor>
              </controlPr>
            </control>
          </mc:Choice>
        </mc:AlternateContent>
        <mc:AlternateContent xmlns:mc="http://schemas.openxmlformats.org/markup-compatibility/2006">
          <mc:Choice Requires="x14">
            <control shapeId="18938" r:id="rId87" name="Drop Down 506">
              <controlPr defaultSize="0" autoLine="0" autoPict="0">
                <anchor moveWithCells="1">
                  <from>
                    <xdr:col>5</xdr:col>
                    <xdr:colOff>0</xdr:colOff>
                    <xdr:row>29</xdr:row>
                    <xdr:rowOff>0</xdr:rowOff>
                  </from>
                  <to>
                    <xdr:col>8</xdr:col>
                    <xdr:colOff>9525</xdr:colOff>
                    <xdr:row>30</xdr:row>
                    <xdr:rowOff>9525</xdr:rowOff>
                  </to>
                </anchor>
              </controlPr>
            </control>
          </mc:Choice>
        </mc:AlternateContent>
        <mc:AlternateContent xmlns:mc="http://schemas.openxmlformats.org/markup-compatibility/2006">
          <mc:Choice Requires="x14">
            <control shapeId="18939" r:id="rId88" name="Drop Down 507">
              <controlPr defaultSize="0" autoLine="0" autoPict="0">
                <anchor moveWithCells="1">
                  <from>
                    <xdr:col>35</xdr:col>
                    <xdr:colOff>9525</xdr:colOff>
                    <xdr:row>29</xdr:row>
                    <xdr:rowOff>0</xdr:rowOff>
                  </from>
                  <to>
                    <xdr:col>36</xdr:col>
                    <xdr:colOff>9525</xdr:colOff>
                    <xdr:row>30</xdr:row>
                    <xdr:rowOff>9525</xdr:rowOff>
                  </to>
                </anchor>
              </controlPr>
            </control>
          </mc:Choice>
        </mc:AlternateContent>
        <mc:AlternateContent xmlns:mc="http://schemas.openxmlformats.org/markup-compatibility/2006">
          <mc:Choice Requires="x14">
            <control shapeId="18940" r:id="rId89" name="Drop Down 508">
              <controlPr defaultSize="0" autoLine="0" autoPict="0">
                <anchor moveWithCells="1">
                  <from>
                    <xdr:col>9</xdr:col>
                    <xdr:colOff>76200</xdr:colOff>
                    <xdr:row>31</xdr:row>
                    <xdr:rowOff>0</xdr:rowOff>
                  </from>
                  <to>
                    <xdr:col>12</xdr:col>
                    <xdr:colOff>257175</xdr:colOff>
                    <xdr:row>32</xdr:row>
                    <xdr:rowOff>9525</xdr:rowOff>
                  </to>
                </anchor>
              </controlPr>
            </control>
          </mc:Choice>
        </mc:AlternateContent>
        <mc:AlternateContent xmlns:mc="http://schemas.openxmlformats.org/markup-compatibility/2006">
          <mc:Choice Requires="x14">
            <control shapeId="18941" r:id="rId90" name="Drop Down 509">
              <controlPr defaultSize="0" autoLine="0" autoPict="0">
                <anchor moveWithCells="1">
                  <from>
                    <xdr:col>13</xdr:col>
                    <xdr:colOff>0</xdr:colOff>
                    <xdr:row>31</xdr:row>
                    <xdr:rowOff>0</xdr:rowOff>
                  </from>
                  <to>
                    <xdr:col>16</xdr:col>
                    <xdr:colOff>190500</xdr:colOff>
                    <xdr:row>32</xdr:row>
                    <xdr:rowOff>9525</xdr:rowOff>
                  </to>
                </anchor>
              </controlPr>
            </control>
          </mc:Choice>
        </mc:AlternateContent>
        <mc:AlternateContent xmlns:mc="http://schemas.openxmlformats.org/markup-compatibility/2006">
          <mc:Choice Requires="x14">
            <control shapeId="18942" r:id="rId91" name="Drop Down 510">
              <controlPr defaultSize="0" autoLine="0" autoPict="0">
                <anchor moveWithCells="1">
                  <from>
                    <xdr:col>19</xdr:col>
                    <xdr:colOff>0</xdr:colOff>
                    <xdr:row>31</xdr:row>
                    <xdr:rowOff>0</xdr:rowOff>
                  </from>
                  <to>
                    <xdr:col>22</xdr:col>
                    <xdr:colOff>190500</xdr:colOff>
                    <xdr:row>32</xdr:row>
                    <xdr:rowOff>9525</xdr:rowOff>
                  </to>
                </anchor>
              </controlPr>
            </control>
          </mc:Choice>
        </mc:AlternateContent>
        <mc:AlternateContent xmlns:mc="http://schemas.openxmlformats.org/markup-compatibility/2006">
          <mc:Choice Requires="x14">
            <control shapeId="18943" r:id="rId92" name="Drop Down 511">
              <controlPr defaultSize="0" autoLine="0" autoPict="0">
                <anchor moveWithCells="1">
                  <from>
                    <xdr:col>23</xdr:col>
                    <xdr:colOff>0</xdr:colOff>
                    <xdr:row>31</xdr:row>
                    <xdr:rowOff>0</xdr:rowOff>
                  </from>
                  <to>
                    <xdr:col>26</xdr:col>
                    <xdr:colOff>190500</xdr:colOff>
                    <xdr:row>32</xdr:row>
                    <xdr:rowOff>9525</xdr:rowOff>
                  </to>
                </anchor>
              </controlPr>
            </control>
          </mc:Choice>
        </mc:AlternateContent>
        <mc:AlternateContent xmlns:mc="http://schemas.openxmlformats.org/markup-compatibility/2006">
          <mc:Choice Requires="x14">
            <control shapeId="18944" r:id="rId93" name="Check Box 512">
              <controlPr defaultSize="0" autoFill="0" autoLine="0" autoPict="0">
                <anchor moveWithCells="1">
                  <from>
                    <xdr:col>17</xdr:col>
                    <xdr:colOff>38100</xdr:colOff>
                    <xdr:row>31</xdr:row>
                    <xdr:rowOff>0</xdr:rowOff>
                  </from>
                  <to>
                    <xdr:col>17</xdr:col>
                    <xdr:colOff>342900</xdr:colOff>
                    <xdr:row>32</xdr:row>
                    <xdr:rowOff>28575</xdr:rowOff>
                  </to>
                </anchor>
              </controlPr>
            </control>
          </mc:Choice>
        </mc:AlternateContent>
        <mc:AlternateContent xmlns:mc="http://schemas.openxmlformats.org/markup-compatibility/2006">
          <mc:Choice Requires="x14">
            <control shapeId="18945" r:id="rId94" name="Drop Down 513">
              <controlPr defaultSize="0" autoLine="0" autoPict="0">
                <anchor moveWithCells="1">
                  <from>
                    <xdr:col>27</xdr:col>
                    <xdr:colOff>0</xdr:colOff>
                    <xdr:row>31</xdr:row>
                    <xdr:rowOff>0</xdr:rowOff>
                  </from>
                  <to>
                    <xdr:col>30</xdr:col>
                    <xdr:colOff>190500</xdr:colOff>
                    <xdr:row>32</xdr:row>
                    <xdr:rowOff>9525</xdr:rowOff>
                  </to>
                </anchor>
              </controlPr>
            </control>
          </mc:Choice>
        </mc:AlternateContent>
        <mc:AlternateContent xmlns:mc="http://schemas.openxmlformats.org/markup-compatibility/2006">
          <mc:Choice Requires="x14">
            <control shapeId="18946" r:id="rId95" name="Drop Down 514">
              <controlPr defaultSize="0" autoLine="0" autoPict="0">
                <anchor moveWithCells="1">
                  <from>
                    <xdr:col>115</xdr:col>
                    <xdr:colOff>0</xdr:colOff>
                    <xdr:row>31</xdr:row>
                    <xdr:rowOff>0</xdr:rowOff>
                  </from>
                  <to>
                    <xdr:col>117</xdr:col>
                    <xdr:colOff>19050</xdr:colOff>
                    <xdr:row>32</xdr:row>
                    <xdr:rowOff>9525</xdr:rowOff>
                  </to>
                </anchor>
              </controlPr>
            </control>
          </mc:Choice>
        </mc:AlternateContent>
        <mc:AlternateContent xmlns:mc="http://schemas.openxmlformats.org/markup-compatibility/2006">
          <mc:Choice Requires="x14">
            <control shapeId="18947" r:id="rId96" name="Drop Down 515">
              <controlPr defaultSize="0" autoLine="0" autoPict="0">
                <anchor moveWithCells="1">
                  <from>
                    <xdr:col>163</xdr:col>
                    <xdr:colOff>0</xdr:colOff>
                    <xdr:row>31</xdr:row>
                    <xdr:rowOff>0</xdr:rowOff>
                  </from>
                  <to>
                    <xdr:col>165</xdr:col>
                    <xdr:colOff>333375</xdr:colOff>
                    <xdr:row>32</xdr:row>
                    <xdr:rowOff>9525</xdr:rowOff>
                  </to>
                </anchor>
              </controlPr>
            </control>
          </mc:Choice>
        </mc:AlternateContent>
        <mc:AlternateContent xmlns:mc="http://schemas.openxmlformats.org/markup-compatibility/2006">
          <mc:Choice Requires="x14">
            <control shapeId="18948" r:id="rId97" name="Drop Down 516">
              <controlPr defaultSize="0" autoLine="0" autoPict="0">
                <anchor moveWithCells="1">
                  <from>
                    <xdr:col>264</xdr:col>
                    <xdr:colOff>0</xdr:colOff>
                    <xdr:row>31</xdr:row>
                    <xdr:rowOff>0</xdr:rowOff>
                  </from>
                  <to>
                    <xdr:col>266</xdr:col>
                    <xdr:colOff>161925</xdr:colOff>
                    <xdr:row>32</xdr:row>
                    <xdr:rowOff>9525</xdr:rowOff>
                  </to>
                </anchor>
              </controlPr>
            </control>
          </mc:Choice>
        </mc:AlternateContent>
        <mc:AlternateContent xmlns:mc="http://schemas.openxmlformats.org/markup-compatibility/2006">
          <mc:Choice Requires="x14">
            <control shapeId="18949" r:id="rId98" name="Drop Down 517">
              <controlPr defaultSize="0" autoLine="0" autoPict="0">
                <anchor moveWithCells="1">
                  <from>
                    <xdr:col>3</xdr:col>
                    <xdr:colOff>9525</xdr:colOff>
                    <xdr:row>31</xdr:row>
                    <xdr:rowOff>0</xdr:rowOff>
                  </from>
                  <to>
                    <xdr:col>4</xdr:col>
                    <xdr:colOff>190500</xdr:colOff>
                    <xdr:row>32</xdr:row>
                    <xdr:rowOff>9525</xdr:rowOff>
                  </to>
                </anchor>
              </controlPr>
            </control>
          </mc:Choice>
        </mc:AlternateContent>
        <mc:AlternateContent xmlns:mc="http://schemas.openxmlformats.org/markup-compatibility/2006">
          <mc:Choice Requires="x14">
            <control shapeId="18950" r:id="rId99" name="Drop Down 518">
              <controlPr defaultSize="0" autoLine="0" autoPict="0">
                <anchor moveWithCells="1">
                  <from>
                    <xdr:col>5</xdr:col>
                    <xdr:colOff>0</xdr:colOff>
                    <xdr:row>31</xdr:row>
                    <xdr:rowOff>0</xdr:rowOff>
                  </from>
                  <to>
                    <xdr:col>8</xdr:col>
                    <xdr:colOff>9525</xdr:colOff>
                    <xdr:row>32</xdr:row>
                    <xdr:rowOff>9525</xdr:rowOff>
                  </to>
                </anchor>
              </controlPr>
            </control>
          </mc:Choice>
        </mc:AlternateContent>
        <mc:AlternateContent xmlns:mc="http://schemas.openxmlformats.org/markup-compatibility/2006">
          <mc:Choice Requires="x14">
            <control shapeId="18951" r:id="rId100" name="Drop Down 519">
              <controlPr defaultSize="0" autoLine="0" autoPict="0">
                <anchor moveWithCells="1">
                  <from>
                    <xdr:col>35</xdr:col>
                    <xdr:colOff>9525</xdr:colOff>
                    <xdr:row>31</xdr:row>
                    <xdr:rowOff>0</xdr:rowOff>
                  </from>
                  <to>
                    <xdr:col>36</xdr:col>
                    <xdr:colOff>9525</xdr:colOff>
                    <xdr:row>32</xdr:row>
                    <xdr:rowOff>9525</xdr:rowOff>
                  </to>
                </anchor>
              </controlPr>
            </control>
          </mc:Choice>
        </mc:AlternateContent>
        <mc:AlternateContent xmlns:mc="http://schemas.openxmlformats.org/markup-compatibility/2006">
          <mc:Choice Requires="x14">
            <control shapeId="18952" r:id="rId101" name="Drop Down 520">
              <controlPr defaultSize="0" autoLine="0" autoPict="0">
                <anchor moveWithCells="1">
                  <from>
                    <xdr:col>9</xdr:col>
                    <xdr:colOff>76200</xdr:colOff>
                    <xdr:row>33</xdr:row>
                    <xdr:rowOff>0</xdr:rowOff>
                  </from>
                  <to>
                    <xdr:col>12</xdr:col>
                    <xdr:colOff>257175</xdr:colOff>
                    <xdr:row>34</xdr:row>
                    <xdr:rowOff>9525</xdr:rowOff>
                  </to>
                </anchor>
              </controlPr>
            </control>
          </mc:Choice>
        </mc:AlternateContent>
        <mc:AlternateContent xmlns:mc="http://schemas.openxmlformats.org/markup-compatibility/2006">
          <mc:Choice Requires="x14">
            <control shapeId="18953" r:id="rId102" name="Drop Down 521">
              <controlPr defaultSize="0" autoLine="0" autoPict="0">
                <anchor moveWithCells="1">
                  <from>
                    <xdr:col>13</xdr:col>
                    <xdr:colOff>0</xdr:colOff>
                    <xdr:row>33</xdr:row>
                    <xdr:rowOff>0</xdr:rowOff>
                  </from>
                  <to>
                    <xdr:col>16</xdr:col>
                    <xdr:colOff>190500</xdr:colOff>
                    <xdr:row>34</xdr:row>
                    <xdr:rowOff>9525</xdr:rowOff>
                  </to>
                </anchor>
              </controlPr>
            </control>
          </mc:Choice>
        </mc:AlternateContent>
        <mc:AlternateContent xmlns:mc="http://schemas.openxmlformats.org/markup-compatibility/2006">
          <mc:Choice Requires="x14">
            <control shapeId="18954" r:id="rId103" name="Drop Down 522">
              <controlPr defaultSize="0" autoLine="0" autoPict="0">
                <anchor moveWithCells="1">
                  <from>
                    <xdr:col>19</xdr:col>
                    <xdr:colOff>0</xdr:colOff>
                    <xdr:row>33</xdr:row>
                    <xdr:rowOff>0</xdr:rowOff>
                  </from>
                  <to>
                    <xdr:col>22</xdr:col>
                    <xdr:colOff>190500</xdr:colOff>
                    <xdr:row>34</xdr:row>
                    <xdr:rowOff>9525</xdr:rowOff>
                  </to>
                </anchor>
              </controlPr>
            </control>
          </mc:Choice>
        </mc:AlternateContent>
        <mc:AlternateContent xmlns:mc="http://schemas.openxmlformats.org/markup-compatibility/2006">
          <mc:Choice Requires="x14">
            <control shapeId="18955" r:id="rId104" name="Drop Down 523">
              <controlPr defaultSize="0" autoLine="0" autoPict="0">
                <anchor moveWithCells="1">
                  <from>
                    <xdr:col>23</xdr:col>
                    <xdr:colOff>0</xdr:colOff>
                    <xdr:row>33</xdr:row>
                    <xdr:rowOff>0</xdr:rowOff>
                  </from>
                  <to>
                    <xdr:col>26</xdr:col>
                    <xdr:colOff>190500</xdr:colOff>
                    <xdr:row>34</xdr:row>
                    <xdr:rowOff>9525</xdr:rowOff>
                  </to>
                </anchor>
              </controlPr>
            </control>
          </mc:Choice>
        </mc:AlternateContent>
        <mc:AlternateContent xmlns:mc="http://schemas.openxmlformats.org/markup-compatibility/2006">
          <mc:Choice Requires="x14">
            <control shapeId="18956" r:id="rId105" name="Check Box 524">
              <controlPr defaultSize="0" autoFill="0" autoLine="0" autoPict="0">
                <anchor moveWithCells="1">
                  <from>
                    <xdr:col>17</xdr:col>
                    <xdr:colOff>38100</xdr:colOff>
                    <xdr:row>33</xdr:row>
                    <xdr:rowOff>0</xdr:rowOff>
                  </from>
                  <to>
                    <xdr:col>17</xdr:col>
                    <xdr:colOff>342900</xdr:colOff>
                    <xdr:row>34</xdr:row>
                    <xdr:rowOff>28575</xdr:rowOff>
                  </to>
                </anchor>
              </controlPr>
            </control>
          </mc:Choice>
        </mc:AlternateContent>
        <mc:AlternateContent xmlns:mc="http://schemas.openxmlformats.org/markup-compatibility/2006">
          <mc:Choice Requires="x14">
            <control shapeId="18957" r:id="rId106" name="Drop Down 525">
              <controlPr defaultSize="0" autoLine="0" autoPict="0">
                <anchor moveWithCells="1">
                  <from>
                    <xdr:col>27</xdr:col>
                    <xdr:colOff>0</xdr:colOff>
                    <xdr:row>33</xdr:row>
                    <xdr:rowOff>0</xdr:rowOff>
                  </from>
                  <to>
                    <xdr:col>30</xdr:col>
                    <xdr:colOff>190500</xdr:colOff>
                    <xdr:row>34</xdr:row>
                    <xdr:rowOff>9525</xdr:rowOff>
                  </to>
                </anchor>
              </controlPr>
            </control>
          </mc:Choice>
        </mc:AlternateContent>
        <mc:AlternateContent xmlns:mc="http://schemas.openxmlformats.org/markup-compatibility/2006">
          <mc:Choice Requires="x14">
            <control shapeId="18958" r:id="rId107" name="Drop Down 526">
              <controlPr defaultSize="0" autoLine="0" autoPict="0">
                <anchor moveWithCells="1">
                  <from>
                    <xdr:col>115</xdr:col>
                    <xdr:colOff>0</xdr:colOff>
                    <xdr:row>33</xdr:row>
                    <xdr:rowOff>0</xdr:rowOff>
                  </from>
                  <to>
                    <xdr:col>117</xdr:col>
                    <xdr:colOff>19050</xdr:colOff>
                    <xdr:row>34</xdr:row>
                    <xdr:rowOff>9525</xdr:rowOff>
                  </to>
                </anchor>
              </controlPr>
            </control>
          </mc:Choice>
        </mc:AlternateContent>
        <mc:AlternateContent xmlns:mc="http://schemas.openxmlformats.org/markup-compatibility/2006">
          <mc:Choice Requires="x14">
            <control shapeId="18959" r:id="rId108" name="Drop Down 527">
              <controlPr defaultSize="0" autoLine="0" autoPict="0">
                <anchor moveWithCells="1">
                  <from>
                    <xdr:col>163</xdr:col>
                    <xdr:colOff>0</xdr:colOff>
                    <xdr:row>33</xdr:row>
                    <xdr:rowOff>0</xdr:rowOff>
                  </from>
                  <to>
                    <xdr:col>165</xdr:col>
                    <xdr:colOff>333375</xdr:colOff>
                    <xdr:row>34</xdr:row>
                    <xdr:rowOff>9525</xdr:rowOff>
                  </to>
                </anchor>
              </controlPr>
            </control>
          </mc:Choice>
        </mc:AlternateContent>
        <mc:AlternateContent xmlns:mc="http://schemas.openxmlformats.org/markup-compatibility/2006">
          <mc:Choice Requires="x14">
            <control shapeId="18960" r:id="rId109" name="Drop Down 528">
              <controlPr defaultSize="0" autoLine="0" autoPict="0">
                <anchor moveWithCells="1">
                  <from>
                    <xdr:col>264</xdr:col>
                    <xdr:colOff>0</xdr:colOff>
                    <xdr:row>33</xdr:row>
                    <xdr:rowOff>0</xdr:rowOff>
                  </from>
                  <to>
                    <xdr:col>266</xdr:col>
                    <xdr:colOff>161925</xdr:colOff>
                    <xdr:row>34</xdr:row>
                    <xdr:rowOff>9525</xdr:rowOff>
                  </to>
                </anchor>
              </controlPr>
            </control>
          </mc:Choice>
        </mc:AlternateContent>
        <mc:AlternateContent xmlns:mc="http://schemas.openxmlformats.org/markup-compatibility/2006">
          <mc:Choice Requires="x14">
            <control shapeId="18961" r:id="rId110" name="Drop Down 529">
              <controlPr defaultSize="0" autoLine="0" autoPict="0">
                <anchor moveWithCells="1">
                  <from>
                    <xdr:col>3</xdr:col>
                    <xdr:colOff>9525</xdr:colOff>
                    <xdr:row>33</xdr:row>
                    <xdr:rowOff>0</xdr:rowOff>
                  </from>
                  <to>
                    <xdr:col>4</xdr:col>
                    <xdr:colOff>190500</xdr:colOff>
                    <xdr:row>34</xdr:row>
                    <xdr:rowOff>9525</xdr:rowOff>
                  </to>
                </anchor>
              </controlPr>
            </control>
          </mc:Choice>
        </mc:AlternateContent>
        <mc:AlternateContent xmlns:mc="http://schemas.openxmlformats.org/markup-compatibility/2006">
          <mc:Choice Requires="x14">
            <control shapeId="18962" r:id="rId111" name="Drop Down 530">
              <controlPr defaultSize="0" autoLine="0" autoPict="0">
                <anchor moveWithCells="1">
                  <from>
                    <xdr:col>5</xdr:col>
                    <xdr:colOff>0</xdr:colOff>
                    <xdr:row>33</xdr:row>
                    <xdr:rowOff>0</xdr:rowOff>
                  </from>
                  <to>
                    <xdr:col>8</xdr:col>
                    <xdr:colOff>9525</xdr:colOff>
                    <xdr:row>34</xdr:row>
                    <xdr:rowOff>9525</xdr:rowOff>
                  </to>
                </anchor>
              </controlPr>
            </control>
          </mc:Choice>
        </mc:AlternateContent>
        <mc:AlternateContent xmlns:mc="http://schemas.openxmlformats.org/markup-compatibility/2006">
          <mc:Choice Requires="x14">
            <control shapeId="18963" r:id="rId112" name="Drop Down 531">
              <controlPr defaultSize="0" autoLine="0" autoPict="0">
                <anchor moveWithCells="1">
                  <from>
                    <xdr:col>35</xdr:col>
                    <xdr:colOff>9525</xdr:colOff>
                    <xdr:row>33</xdr:row>
                    <xdr:rowOff>0</xdr:rowOff>
                  </from>
                  <to>
                    <xdr:col>36</xdr:col>
                    <xdr:colOff>9525</xdr:colOff>
                    <xdr:row>34</xdr:row>
                    <xdr:rowOff>9525</xdr:rowOff>
                  </to>
                </anchor>
              </controlPr>
            </control>
          </mc:Choice>
        </mc:AlternateContent>
        <mc:AlternateContent xmlns:mc="http://schemas.openxmlformats.org/markup-compatibility/2006">
          <mc:Choice Requires="x14">
            <control shapeId="18964" r:id="rId113" name="Drop Down 532">
              <controlPr defaultSize="0" autoLine="0" autoPict="0">
                <anchor moveWithCells="1">
                  <from>
                    <xdr:col>9</xdr:col>
                    <xdr:colOff>76200</xdr:colOff>
                    <xdr:row>35</xdr:row>
                    <xdr:rowOff>0</xdr:rowOff>
                  </from>
                  <to>
                    <xdr:col>12</xdr:col>
                    <xdr:colOff>257175</xdr:colOff>
                    <xdr:row>36</xdr:row>
                    <xdr:rowOff>9525</xdr:rowOff>
                  </to>
                </anchor>
              </controlPr>
            </control>
          </mc:Choice>
        </mc:AlternateContent>
        <mc:AlternateContent xmlns:mc="http://schemas.openxmlformats.org/markup-compatibility/2006">
          <mc:Choice Requires="x14">
            <control shapeId="18965" r:id="rId114" name="Drop Down 533">
              <controlPr defaultSize="0" autoLine="0" autoPict="0">
                <anchor moveWithCells="1">
                  <from>
                    <xdr:col>13</xdr:col>
                    <xdr:colOff>0</xdr:colOff>
                    <xdr:row>35</xdr:row>
                    <xdr:rowOff>0</xdr:rowOff>
                  </from>
                  <to>
                    <xdr:col>16</xdr:col>
                    <xdr:colOff>190500</xdr:colOff>
                    <xdr:row>36</xdr:row>
                    <xdr:rowOff>9525</xdr:rowOff>
                  </to>
                </anchor>
              </controlPr>
            </control>
          </mc:Choice>
        </mc:AlternateContent>
        <mc:AlternateContent xmlns:mc="http://schemas.openxmlformats.org/markup-compatibility/2006">
          <mc:Choice Requires="x14">
            <control shapeId="18966" r:id="rId115" name="Drop Down 534">
              <controlPr defaultSize="0" autoLine="0" autoPict="0">
                <anchor moveWithCells="1">
                  <from>
                    <xdr:col>19</xdr:col>
                    <xdr:colOff>0</xdr:colOff>
                    <xdr:row>35</xdr:row>
                    <xdr:rowOff>0</xdr:rowOff>
                  </from>
                  <to>
                    <xdr:col>22</xdr:col>
                    <xdr:colOff>190500</xdr:colOff>
                    <xdr:row>36</xdr:row>
                    <xdr:rowOff>9525</xdr:rowOff>
                  </to>
                </anchor>
              </controlPr>
            </control>
          </mc:Choice>
        </mc:AlternateContent>
        <mc:AlternateContent xmlns:mc="http://schemas.openxmlformats.org/markup-compatibility/2006">
          <mc:Choice Requires="x14">
            <control shapeId="18967" r:id="rId116" name="Drop Down 535">
              <controlPr defaultSize="0" autoLine="0" autoPict="0">
                <anchor moveWithCells="1">
                  <from>
                    <xdr:col>23</xdr:col>
                    <xdr:colOff>0</xdr:colOff>
                    <xdr:row>35</xdr:row>
                    <xdr:rowOff>0</xdr:rowOff>
                  </from>
                  <to>
                    <xdr:col>26</xdr:col>
                    <xdr:colOff>190500</xdr:colOff>
                    <xdr:row>36</xdr:row>
                    <xdr:rowOff>9525</xdr:rowOff>
                  </to>
                </anchor>
              </controlPr>
            </control>
          </mc:Choice>
        </mc:AlternateContent>
        <mc:AlternateContent xmlns:mc="http://schemas.openxmlformats.org/markup-compatibility/2006">
          <mc:Choice Requires="x14">
            <control shapeId="18968" r:id="rId117" name="Check Box 536">
              <controlPr defaultSize="0" autoFill="0" autoLine="0" autoPict="0">
                <anchor moveWithCells="1">
                  <from>
                    <xdr:col>17</xdr:col>
                    <xdr:colOff>38100</xdr:colOff>
                    <xdr:row>35</xdr:row>
                    <xdr:rowOff>0</xdr:rowOff>
                  </from>
                  <to>
                    <xdr:col>17</xdr:col>
                    <xdr:colOff>342900</xdr:colOff>
                    <xdr:row>36</xdr:row>
                    <xdr:rowOff>28575</xdr:rowOff>
                  </to>
                </anchor>
              </controlPr>
            </control>
          </mc:Choice>
        </mc:AlternateContent>
        <mc:AlternateContent xmlns:mc="http://schemas.openxmlformats.org/markup-compatibility/2006">
          <mc:Choice Requires="x14">
            <control shapeId="18969" r:id="rId118" name="Drop Down 537">
              <controlPr defaultSize="0" autoLine="0" autoPict="0">
                <anchor moveWithCells="1">
                  <from>
                    <xdr:col>27</xdr:col>
                    <xdr:colOff>0</xdr:colOff>
                    <xdr:row>35</xdr:row>
                    <xdr:rowOff>0</xdr:rowOff>
                  </from>
                  <to>
                    <xdr:col>30</xdr:col>
                    <xdr:colOff>190500</xdr:colOff>
                    <xdr:row>36</xdr:row>
                    <xdr:rowOff>9525</xdr:rowOff>
                  </to>
                </anchor>
              </controlPr>
            </control>
          </mc:Choice>
        </mc:AlternateContent>
        <mc:AlternateContent xmlns:mc="http://schemas.openxmlformats.org/markup-compatibility/2006">
          <mc:Choice Requires="x14">
            <control shapeId="18970" r:id="rId119" name="Drop Down 538">
              <controlPr defaultSize="0" autoLine="0" autoPict="0">
                <anchor moveWithCells="1">
                  <from>
                    <xdr:col>115</xdr:col>
                    <xdr:colOff>0</xdr:colOff>
                    <xdr:row>35</xdr:row>
                    <xdr:rowOff>0</xdr:rowOff>
                  </from>
                  <to>
                    <xdr:col>117</xdr:col>
                    <xdr:colOff>19050</xdr:colOff>
                    <xdr:row>36</xdr:row>
                    <xdr:rowOff>9525</xdr:rowOff>
                  </to>
                </anchor>
              </controlPr>
            </control>
          </mc:Choice>
        </mc:AlternateContent>
        <mc:AlternateContent xmlns:mc="http://schemas.openxmlformats.org/markup-compatibility/2006">
          <mc:Choice Requires="x14">
            <control shapeId="18971" r:id="rId120" name="Drop Down 539">
              <controlPr defaultSize="0" autoLine="0" autoPict="0">
                <anchor moveWithCells="1">
                  <from>
                    <xdr:col>163</xdr:col>
                    <xdr:colOff>0</xdr:colOff>
                    <xdr:row>35</xdr:row>
                    <xdr:rowOff>0</xdr:rowOff>
                  </from>
                  <to>
                    <xdr:col>165</xdr:col>
                    <xdr:colOff>333375</xdr:colOff>
                    <xdr:row>36</xdr:row>
                    <xdr:rowOff>9525</xdr:rowOff>
                  </to>
                </anchor>
              </controlPr>
            </control>
          </mc:Choice>
        </mc:AlternateContent>
        <mc:AlternateContent xmlns:mc="http://schemas.openxmlformats.org/markup-compatibility/2006">
          <mc:Choice Requires="x14">
            <control shapeId="18972" r:id="rId121" name="Drop Down 540">
              <controlPr defaultSize="0" autoLine="0" autoPict="0">
                <anchor moveWithCells="1">
                  <from>
                    <xdr:col>264</xdr:col>
                    <xdr:colOff>0</xdr:colOff>
                    <xdr:row>35</xdr:row>
                    <xdr:rowOff>0</xdr:rowOff>
                  </from>
                  <to>
                    <xdr:col>266</xdr:col>
                    <xdr:colOff>161925</xdr:colOff>
                    <xdr:row>36</xdr:row>
                    <xdr:rowOff>9525</xdr:rowOff>
                  </to>
                </anchor>
              </controlPr>
            </control>
          </mc:Choice>
        </mc:AlternateContent>
        <mc:AlternateContent xmlns:mc="http://schemas.openxmlformats.org/markup-compatibility/2006">
          <mc:Choice Requires="x14">
            <control shapeId="18973" r:id="rId122" name="Drop Down 541">
              <controlPr defaultSize="0" autoLine="0" autoPict="0">
                <anchor moveWithCells="1">
                  <from>
                    <xdr:col>3</xdr:col>
                    <xdr:colOff>9525</xdr:colOff>
                    <xdr:row>35</xdr:row>
                    <xdr:rowOff>0</xdr:rowOff>
                  </from>
                  <to>
                    <xdr:col>4</xdr:col>
                    <xdr:colOff>190500</xdr:colOff>
                    <xdr:row>36</xdr:row>
                    <xdr:rowOff>9525</xdr:rowOff>
                  </to>
                </anchor>
              </controlPr>
            </control>
          </mc:Choice>
        </mc:AlternateContent>
        <mc:AlternateContent xmlns:mc="http://schemas.openxmlformats.org/markup-compatibility/2006">
          <mc:Choice Requires="x14">
            <control shapeId="18974" r:id="rId123" name="Drop Down 542">
              <controlPr defaultSize="0" autoLine="0" autoPict="0">
                <anchor moveWithCells="1">
                  <from>
                    <xdr:col>5</xdr:col>
                    <xdr:colOff>0</xdr:colOff>
                    <xdr:row>35</xdr:row>
                    <xdr:rowOff>0</xdr:rowOff>
                  </from>
                  <to>
                    <xdr:col>8</xdr:col>
                    <xdr:colOff>9525</xdr:colOff>
                    <xdr:row>36</xdr:row>
                    <xdr:rowOff>9525</xdr:rowOff>
                  </to>
                </anchor>
              </controlPr>
            </control>
          </mc:Choice>
        </mc:AlternateContent>
        <mc:AlternateContent xmlns:mc="http://schemas.openxmlformats.org/markup-compatibility/2006">
          <mc:Choice Requires="x14">
            <control shapeId="18975" r:id="rId124" name="Drop Down 543">
              <controlPr defaultSize="0" autoLine="0" autoPict="0">
                <anchor moveWithCells="1">
                  <from>
                    <xdr:col>35</xdr:col>
                    <xdr:colOff>9525</xdr:colOff>
                    <xdr:row>35</xdr:row>
                    <xdr:rowOff>0</xdr:rowOff>
                  </from>
                  <to>
                    <xdr:col>36</xdr:col>
                    <xdr:colOff>9525</xdr:colOff>
                    <xdr:row>36</xdr:row>
                    <xdr:rowOff>9525</xdr:rowOff>
                  </to>
                </anchor>
              </controlPr>
            </control>
          </mc:Choice>
        </mc:AlternateContent>
        <mc:AlternateContent xmlns:mc="http://schemas.openxmlformats.org/markup-compatibility/2006">
          <mc:Choice Requires="x14">
            <control shapeId="18976" r:id="rId125" name="Drop Down 544">
              <controlPr defaultSize="0" autoLine="0" autoPict="0">
                <anchor moveWithCells="1">
                  <from>
                    <xdr:col>9</xdr:col>
                    <xdr:colOff>76200</xdr:colOff>
                    <xdr:row>37</xdr:row>
                    <xdr:rowOff>0</xdr:rowOff>
                  </from>
                  <to>
                    <xdr:col>12</xdr:col>
                    <xdr:colOff>257175</xdr:colOff>
                    <xdr:row>38</xdr:row>
                    <xdr:rowOff>9525</xdr:rowOff>
                  </to>
                </anchor>
              </controlPr>
            </control>
          </mc:Choice>
        </mc:AlternateContent>
        <mc:AlternateContent xmlns:mc="http://schemas.openxmlformats.org/markup-compatibility/2006">
          <mc:Choice Requires="x14">
            <control shapeId="18977" r:id="rId126" name="Drop Down 545">
              <controlPr defaultSize="0" autoLine="0" autoPict="0">
                <anchor moveWithCells="1">
                  <from>
                    <xdr:col>13</xdr:col>
                    <xdr:colOff>0</xdr:colOff>
                    <xdr:row>37</xdr:row>
                    <xdr:rowOff>0</xdr:rowOff>
                  </from>
                  <to>
                    <xdr:col>16</xdr:col>
                    <xdr:colOff>190500</xdr:colOff>
                    <xdr:row>38</xdr:row>
                    <xdr:rowOff>9525</xdr:rowOff>
                  </to>
                </anchor>
              </controlPr>
            </control>
          </mc:Choice>
        </mc:AlternateContent>
        <mc:AlternateContent xmlns:mc="http://schemas.openxmlformats.org/markup-compatibility/2006">
          <mc:Choice Requires="x14">
            <control shapeId="18978" r:id="rId127" name="Drop Down 546">
              <controlPr defaultSize="0" autoLine="0" autoPict="0">
                <anchor moveWithCells="1">
                  <from>
                    <xdr:col>19</xdr:col>
                    <xdr:colOff>0</xdr:colOff>
                    <xdr:row>37</xdr:row>
                    <xdr:rowOff>0</xdr:rowOff>
                  </from>
                  <to>
                    <xdr:col>22</xdr:col>
                    <xdr:colOff>190500</xdr:colOff>
                    <xdr:row>38</xdr:row>
                    <xdr:rowOff>9525</xdr:rowOff>
                  </to>
                </anchor>
              </controlPr>
            </control>
          </mc:Choice>
        </mc:AlternateContent>
        <mc:AlternateContent xmlns:mc="http://schemas.openxmlformats.org/markup-compatibility/2006">
          <mc:Choice Requires="x14">
            <control shapeId="18979" r:id="rId128" name="Drop Down 547">
              <controlPr defaultSize="0" autoLine="0" autoPict="0">
                <anchor moveWithCells="1">
                  <from>
                    <xdr:col>23</xdr:col>
                    <xdr:colOff>0</xdr:colOff>
                    <xdr:row>37</xdr:row>
                    <xdr:rowOff>0</xdr:rowOff>
                  </from>
                  <to>
                    <xdr:col>26</xdr:col>
                    <xdr:colOff>190500</xdr:colOff>
                    <xdr:row>38</xdr:row>
                    <xdr:rowOff>9525</xdr:rowOff>
                  </to>
                </anchor>
              </controlPr>
            </control>
          </mc:Choice>
        </mc:AlternateContent>
        <mc:AlternateContent xmlns:mc="http://schemas.openxmlformats.org/markup-compatibility/2006">
          <mc:Choice Requires="x14">
            <control shapeId="18980" r:id="rId129" name="Check Box 548">
              <controlPr defaultSize="0" autoFill="0" autoLine="0" autoPict="0">
                <anchor moveWithCells="1">
                  <from>
                    <xdr:col>17</xdr:col>
                    <xdr:colOff>38100</xdr:colOff>
                    <xdr:row>37</xdr:row>
                    <xdr:rowOff>0</xdr:rowOff>
                  </from>
                  <to>
                    <xdr:col>17</xdr:col>
                    <xdr:colOff>342900</xdr:colOff>
                    <xdr:row>38</xdr:row>
                    <xdr:rowOff>28575</xdr:rowOff>
                  </to>
                </anchor>
              </controlPr>
            </control>
          </mc:Choice>
        </mc:AlternateContent>
        <mc:AlternateContent xmlns:mc="http://schemas.openxmlformats.org/markup-compatibility/2006">
          <mc:Choice Requires="x14">
            <control shapeId="18981" r:id="rId130" name="Drop Down 549">
              <controlPr defaultSize="0" autoLine="0" autoPict="0">
                <anchor moveWithCells="1">
                  <from>
                    <xdr:col>27</xdr:col>
                    <xdr:colOff>0</xdr:colOff>
                    <xdr:row>37</xdr:row>
                    <xdr:rowOff>0</xdr:rowOff>
                  </from>
                  <to>
                    <xdr:col>30</xdr:col>
                    <xdr:colOff>190500</xdr:colOff>
                    <xdr:row>38</xdr:row>
                    <xdr:rowOff>9525</xdr:rowOff>
                  </to>
                </anchor>
              </controlPr>
            </control>
          </mc:Choice>
        </mc:AlternateContent>
        <mc:AlternateContent xmlns:mc="http://schemas.openxmlformats.org/markup-compatibility/2006">
          <mc:Choice Requires="x14">
            <control shapeId="18982" r:id="rId131" name="Drop Down 550">
              <controlPr defaultSize="0" autoLine="0" autoPict="0">
                <anchor moveWithCells="1">
                  <from>
                    <xdr:col>115</xdr:col>
                    <xdr:colOff>0</xdr:colOff>
                    <xdr:row>37</xdr:row>
                    <xdr:rowOff>0</xdr:rowOff>
                  </from>
                  <to>
                    <xdr:col>117</xdr:col>
                    <xdr:colOff>19050</xdr:colOff>
                    <xdr:row>38</xdr:row>
                    <xdr:rowOff>9525</xdr:rowOff>
                  </to>
                </anchor>
              </controlPr>
            </control>
          </mc:Choice>
        </mc:AlternateContent>
        <mc:AlternateContent xmlns:mc="http://schemas.openxmlformats.org/markup-compatibility/2006">
          <mc:Choice Requires="x14">
            <control shapeId="18983" r:id="rId132" name="Drop Down 551">
              <controlPr defaultSize="0" autoLine="0" autoPict="0">
                <anchor moveWithCells="1">
                  <from>
                    <xdr:col>163</xdr:col>
                    <xdr:colOff>0</xdr:colOff>
                    <xdr:row>37</xdr:row>
                    <xdr:rowOff>0</xdr:rowOff>
                  </from>
                  <to>
                    <xdr:col>165</xdr:col>
                    <xdr:colOff>333375</xdr:colOff>
                    <xdr:row>38</xdr:row>
                    <xdr:rowOff>9525</xdr:rowOff>
                  </to>
                </anchor>
              </controlPr>
            </control>
          </mc:Choice>
        </mc:AlternateContent>
        <mc:AlternateContent xmlns:mc="http://schemas.openxmlformats.org/markup-compatibility/2006">
          <mc:Choice Requires="x14">
            <control shapeId="18984" r:id="rId133" name="Drop Down 552">
              <controlPr defaultSize="0" autoLine="0" autoPict="0">
                <anchor moveWithCells="1">
                  <from>
                    <xdr:col>264</xdr:col>
                    <xdr:colOff>0</xdr:colOff>
                    <xdr:row>37</xdr:row>
                    <xdr:rowOff>0</xdr:rowOff>
                  </from>
                  <to>
                    <xdr:col>266</xdr:col>
                    <xdr:colOff>161925</xdr:colOff>
                    <xdr:row>38</xdr:row>
                    <xdr:rowOff>9525</xdr:rowOff>
                  </to>
                </anchor>
              </controlPr>
            </control>
          </mc:Choice>
        </mc:AlternateContent>
        <mc:AlternateContent xmlns:mc="http://schemas.openxmlformats.org/markup-compatibility/2006">
          <mc:Choice Requires="x14">
            <control shapeId="18985" r:id="rId134" name="Drop Down 553">
              <controlPr defaultSize="0" autoLine="0" autoPict="0">
                <anchor moveWithCells="1">
                  <from>
                    <xdr:col>3</xdr:col>
                    <xdr:colOff>9525</xdr:colOff>
                    <xdr:row>37</xdr:row>
                    <xdr:rowOff>0</xdr:rowOff>
                  </from>
                  <to>
                    <xdr:col>4</xdr:col>
                    <xdr:colOff>190500</xdr:colOff>
                    <xdr:row>38</xdr:row>
                    <xdr:rowOff>9525</xdr:rowOff>
                  </to>
                </anchor>
              </controlPr>
            </control>
          </mc:Choice>
        </mc:AlternateContent>
        <mc:AlternateContent xmlns:mc="http://schemas.openxmlformats.org/markup-compatibility/2006">
          <mc:Choice Requires="x14">
            <control shapeId="18986" r:id="rId135" name="Drop Down 554">
              <controlPr defaultSize="0" autoLine="0" autoPict="0">
                <anchor moveWithCells="1">
                  <from>
                    <xdr:col>5</xdr:col>
                    <xdr:colOff>0</xdr:colOff>
                    <xdr:row>37</xdr:row>
                    <xdr:rowOff>0</xdr:rowOff>
                  </from>
                  <to>
                    <xdr:col>8</xdr:col>
                    <xdr:colOff>9525</xdr:colOff>
                    <xdr:row>38</xdr:row>
                    <xdr:rowOff>9525</xdr:rowOff>
                  </to>
                </anchor>
              </controlPr>
            </control>
          </mc:Choice>
        </mc:AlternateContent>
        <mc:AlternateContent xmlns:mc="http://schemas.openxmlformats.org/markup-compatibility/2006">
          <mc:Choice Requires="x14">
            <control shapeId="18987" r:id="rId136" name="Drop Down 555">
              <controlPr defaultSize="0" autoLine="0" autoPict="0">
                <anchor moveWithCells="1">
                  <from>
                    <xdr:col>35</xdr:col>
                    <xdr:colOff>9525</xdr:colOff>
                    <xdr:row>37</xdr:row>
                    <xdr:rowOff>0</xdr:rowOff>
                  </from>
                  <to>
                    <xdr:col>36</xdr:col>
                    <xdr:colOff>9525</xdr:colOff>
                    <xdr:row>38</xdr:row>
                    <xdr:rowOff>9525</xdr:rowOff>
                  </to>
                </anchor>
              </controlPr>
            </control>
          </mc:Choice>
        </mc:AlternateContent>
        <mc:AlternateContent xmlns:mc="http://schemas.openxmlformats.org/markup-compatibility/2006">
          <mc:Choice Requires="x14">
            <control shapeId="18988" r:id="rId137" name="Drop Down 556">
              <controlPr defaultSize="0" autoLine="0" autoPict="0">
                <anchor moveWithCells="1">
                  <from>
                    <xdr:col>9</xdr:col>
                    <xdr:colOff>76200</xdr:colOff>
                    <xdr:row>39</xdr:row>
                    <xdr:rowOff>0</xdr:rowOff>
                  </from>
                  <to>
                    <xdr:col>12</xdr:col>
                    <xdr:colOff>257175</xdr:colOff>
                    <xdr:row>40</xdr:row>
                    <xdr:rowOff>9525</xdr:rowOff>
                  </to>
                </anchor>
              </controlPr>
            </control>
          </mc:Choice>
        </mc:AlternateContent>
        <mc:AlternateContent xmlns:mc="http://schemas.openxmlformats.org/markup-compatibility/2006">
          <mc:Choice Requires="x14">
            <control shapeId="18989" r:id="rId138" name="Drop Down 557">
              <controlPr defaultSize="0" autoLine="0" autoPict="0">
                <anchor moveWithCells="1">
                  <from>
                    <xdr:col>13</xdr:col>
                    <xdr:colOff>0</xdr:colOff>
                    <xdr:row>39</xdr:row>
                    <xdr:rowOff>0</xdr:rowOff>
                  </from>
                  <to>
                    <xdr:col>16</xdr:col>
                    <xdr:colOff>190500</xdr:colOff>
                    <xdr:row>40</xdr:row>
                    <xdr:rowOff>9525</xdr:rowOff>
                  </to>
                </anchor>
              </controlPr>
            </control>
          </mc:Choice>
        </mc:AlternateContent>
        <mc:AlternateContent xmlns:mc="http://schemas.openxmlformats.org/markup-compatibility/2006">
          <mc:Choice Requires="x14">
            <control shapeId="18990" r:id="rId139" name="Drop Down 558">
              <controlPr defaultSize="0" autoLine="0" autoPict="0">
                <anchor moveWithCells="1">
                  <from>
                    <xdr:col>19</xdr:col>
                    <xdr:colOff>0</xdr:colOff>
                    <xdr:row>39</xdr:row>
                    <xdr:rowOff>0</xdr:rowOff>
                  </from>
                  <to>
                    <xdr:col>22</xdr:col>
                    <xdr:colOff>190500</xdr:colOff>
                    <xdr:row>40</xdr:row>
                    <xdr:rowOff>9525</xdr:rowOff>
                  </to>
                </anchor>
              </controlPr>
            </control>
          </mc:Choice>
        </mc:AlternateContent>
        <mc:AlternateContent xmlns:mc="http://schemas.openxmlformats.org/markup-compatibility/2006">
          <mc:Choice Requires="x14">
            <control shapeId="18991" r:id="rId140" name="Drop Down 559">
              <controlPr defaultSize="0" autoLine="0" autoPict="0">
                <anchor moveWithCells="1">
                  <from>
                    <xdr:col>23</xdr:col>
                    <xdr:colOff>0</xdr:colOff>
                    <xdr:row>39</xdr:row>
                    <xdr:rowOff>0</xdr:rowOff>
                  </from>
                  <to>
                    <xdr:col>26</xdr:col>
                    <xdr:colOff>190500</xdr:colOff>
                    <xdr:row>40</xdr:row>
                    <xdr:rowOff>9525</xdr:rowOff>
                  </to>
                </anchor>
              </controlPr>
            </control>
          </mc:Choice>
        </mc:AlternateContent>
        <mc:AlternateContent xmlns:mc="http://schemas.openxmlformats.org/markup-compatibility/2006">
          <mc:Choice Requires="x14">
            <control shapeId="18992" r:id="rId141" name="Check Box 560">
              <controlPr defaultSize="0" autoFill="0" autoLine="0" autoPict="0">
                <anchor moveWithCells="1">
                  <from>
                    <xdr:col>17</xdr:col>
                    <xdr:colOff>38100</xdr:colOff>
                    <xdr:row>39</xdr:row>
                    <xdr:rowOff>0</xdr:rowOff>
                  </from>
                  <to>
                    <xdr:col>17</xdr:col>
                    <xdr:colOff>342900</xdr:colOff>
                    <xdr:row>40</xdr:row>
                    <xdr:rowOff>28575</xdr:rowOff>
                  </to>
                </anchor>
              </controlPr>
            </control>
          </mc:Choice>
        </mc:AlternateContent>
        <mc:AlternateContent xmlns:mc="http://schemas.openxmlformats.org/markup-compatibility/2006">
          <mc:Choice Requires="x14">
            <control shapeId="18993" r:id="rId142" name="Drop Down 561">
              <controlPr defaultSize="0" autoLine="0" autoPict="0">
                <anchor moveWithCells="1">
                  <from>
                    <xdr:col>27</xdr:col>
                    <xdr:colOff>0</xdr:colOff>
                    <xdr:row>39</xdr:row>
                    <xdr:rowOff>0</xdr:rowOff>
                  </from>
                  <to>
                    <xdr:col>30</xdr:col>
                    <xdr:colOff>190500</xdr:colOff>
                    <xdr:row>40</xdr:row>
                    <xdr:rowOff>9525</xdr:rowOff>
                  </to>
                </anchor>
              </controlPr>
            </control>
          </mc:Choice>
        </mc:AlternateContent>
        <mc:AlternateContent xmlns:mc="http://schemas.openxmlformats.org/markup-compatibility/2006">
          <mc:Choice Requires="x14">
            <control shapeId="18994" r:id="rId143" name="Drop Down 562">
              <controlPr defaultSize="0" autoLine="0" autoPict="0">
                <anchor moveWithCells="1">
                  <from>
                    <xdr:col>115</xdr:col>
                    <xdr:colOff>0</xdr:colOff>
                    <xdr:row>39</xdr:row>
                    <xdr:rowOff>0</xdr:rowOff>
                  </from>
                  <to>
                    <xdr:col>117</xdr:col>
                    <xdr:colOff>19050</xdr:colOff>
                    <xdr:row>40</xdr:row>
                    <xdr:rowOff>9525</xdr:rowOff>
                  </to>
                </anchor>
              </controlPr>
            </control>
          </mc:Choice>
        </mc:AlternateContent>
        <mc:AlternateContent xmlns:mc="http://schemas.openxmlformats.org/markup-compatibility/2006">
          <mc:Choice Requires="x14">
            <control shapeId="18995" r:id="rId144" name="Drop Down 563">
              <controlPr defaultSize="0" autoLine="0" autoPict="0">
                <anchor moveWithCells="1">
                  <from>
                    <xdr:col>163</xdr:col>
                    <xdr:colOff>0</xdr:colOff>
                    <xdr:row>39</xdr:row>
                    <xdr:rowOff>0</xdr:rowOff>
                  </from>
                  <to>
                    <xdr:col>165</xdr:col>
                    <xdr:colOff>333375</xdr:colOff>
                    <xdr:row>40</xdr:row>
                    <xdr:rowOff>9525</xdr:rowOff>
                  </to>
                </anchor>
              </controlPr>
            </control>
          </mc:Choice>
        </mc:AlternateContent>
        <mc:AlternateContent xmlns:mc="http://schemas.openxmlformats.org/markup-compatibility/2006">
          <mc:Choice Requires="x14">
            <control shapeId="18996" r:id="rId145" name="Drop Down 564">
              <controlPr defaultSize="0" autoLine="0" autoPict="0">
                <anchor moveWithCells="1">
                  <from>
                    <xdr:col>264</xdr:col>
                    <xdr:colOff>0</xdr:colOff>
                    <xdr:row>39</xdr:row>
                    <xdr:rowOff>0</xdr:rowOff>
                  </from>
                  <to>
                    <xdr:col>266</xdr:col>
                    <xdr:colOff>161925</xdr:colOff>
                    <xdr:row>40</xdr:row>
                    <xdr:rowOff>9525</xdr:rowOff>
                  </to>
                </anchor>
              </controlPr>
            </control>
          </mc:Choice>
        </mc:AlternateContent>
        <mc:AlternateContent xmlns:mc="http://schemas.openxmlformats.org/markup-compatibility/2006">
          <mc:Choice Requires="x14">
            <control shapeId="18997" r:id="rId146" name="Drop Down 565">
              <controlPr defaultSize="0" autoLine="0" autoPict="0">
                <anchor moveWithCells="1">
                  <from>
                    <xdr:col>3</xdr:col>
                    <xdr:colOff>9525</xdr:colOff>
                    <xdr:row>39</xdr:row>
                    <xdr:rowOff>0</xdr:rowOff>
                  </from>
                  <to>
                    <xdr:col>4</xdr:col>
                    <xdr:colOff>190500</xdr:colOff>
                    <xdr:row>40</xdr:row>
                    <xdr:rowOff>9525</xdr:rowOff>
                  </to>
                </anchor>
              </controlPr>
            </control>
          </mc:Choice>
        </mc:AlternateContent>
        <mc:AlternateContent xmlns:mc="http://schemas.openxmlformats.org/markup-compatibility/2006">
          <mc:Choice Requires="x14">
            <control shapeId="18998" r:id="rId147" name="Drop Down 566">
              <controlPr defaultSize="0" autoLine="0" autoPict="0">
                <anchor moveWithCells="1">
                  <from>
                    <xdr:col>5</xdr:col>
                    <xdr:colOff>0</xdr:colOff>
                    <xdr:row>39</xdr:row>
                    <xdr:rowOff>0</xdr:rowOff>
                  </from>
                  <to>
                    <xdr:col>8</xdr:col>
                    <xdr:colOff>9525</xdr:colOff>
                    <xdr:row>40</xdr:row>
                    <xdr:rowOff>9525</xdr:rowOff>
                  </to>
                </anchor>
              </controlPr>
            </control>
          </mc:Choice>
        </mc:AlternateContent>
        <mc:AlternateContent xmlns:mc="http://schemas.openxmlformats.org/markup-compatibility/2006">
          <mc:Choice Requires="x14">
            <control shapeId="18999" r:id="rId148" name="Drop Down 567">
              <controlPr defaultSize="0" autoLine="0" autoPict="0">
                <anchor moveWithCells="1">
                  <from>
                    <xdr:col>35</xdr:col>
                    <xdr:colOff>9525</xdr:colOff>
                    <xdr:row>39</xdr:row>
                    <xdr:rowOff>0</xdr:rowOff>
                  </from>
                  <to>
                    <xdr:col>36</xdr:col>
                    <xdr:colOff>9525</xdr:colOff>
                    <xdr:row>40</xdr:row>
                    <xdr:rowOff>9525</xdr:rowOff>
                  </to>
                </anchor>
              </controlPr>
            </control>
          </mc:Choice>
        </mc:AlternateContent>
        <mc:AlternateContent xmlns:mc="http://schemas.openxmlformats.org/markup-compatibility/2006">
          <mc:Choice Requires="x14">
            <control shapeId="19000" r:id="rId149" name="Drop Down 568">
              <controlPr defaultSize="0" autoLine="0" autoPict="0">
                <anchor moveWithCells="1">
                  <from>
                    <xdr:col>9</xdr:col>
                    <xdr:colOff>76200</xdr:colOff>
                    <xdr:row>41</xdr:row>
                    <xdr:rowOff>0</xdr:rowOff>
                  </from>
                  <to>
                    <xdr:col>12</xdr:col>
                    <xdr:colOff>257175</xdr:colOff>
                    <xdr:row>42</xdr:row>
                    <xdr:rowOff>9525</xdr:rowOff>
                  </to>
                </anchor>
              </controlPr>
            </control>
          </mc:Choice>
        </mc:AlternateContent>
        <mc:AlternateContent xmlns:mc="http://schemas.openxmlformats.org/markup-compatibility/2006">
          <mc:Choice Requires="x14">
            <control shapeId="19001" r:id="rId150" name="Drop Down 569">
              <controlPr defaultSize="0" autoLine="0" autoPict="0">
                <anchor moveWithCells="1">
                  <from>
                    <xdr:col>13</xdr:col>
                    <xdr:colOff>0</xdr:colOff>
                    <xdr:row>41</xdr:row>
                    <xdr:rowOff>0</xdr:rowOff>
                  </from>
                  <to>
                    <xdr:col>16</xdr:col>
                    <xdr:colOff>190500</xdr:colOff>
                    <xdr:row>42</xdr:row>
                    <xdr:rowOff>9525</xdr:rowOff>
                  </to>
                </anchor>
              </controlPr>
            </control>
          </mc:Choice>
        </mc:AlternateContent>
        <mc:AlternateContent xmlns:mc="http://schemas.openxmlformats.org/markup-compatibility/2006">
          <mc:Choice Requires="x14">
            <control shapeId="19002" r:id="rId151" name="Drop Down 570">
              <controlPr defaultSize="0" autoLine="0" autoPict="0">
                <anchor moveWithCells="1">
                  <from>
                    <xdr:col>19</xdr:col>
                    <xdr:colOff>0</xdr:colOff>
                    <xdr:row>41</xdr:row>
                    <xdr:rowOff>0</xdr:rowOff>
                  </from>
                  <to>
                    <xdr:col>22</xdr:col>
                    <xdr:colOff>190500</xdr:colOff>
                    <xdr:row>42</xdr:row>
                    <xdr:rowOff>9525</xdr:rowOff>
                  </to>
                </anchor>
              </controlPr>
            </control>
          </mc:Choice>
        </mc:AlternateContent>
        <mc:AlternateContent xmlns:mc="http://schemas.openxmlformats.org/markup-compatibility/2006">
          <mc:Choice Requires="x14">
            <control shapeId="19003" r:id="rId152" name="Drop Down 571">
              <controlPr defaultSize="0" autoLine="0" autoPict="0">
                <anchor moveWithCells="1">
                  <from>
                    <xdr:col>23</xdr:col>
                    <xdr:colOff>0</xdr:colOff>
                    <xdr:row>41</xdr:row>
                    <xdr:rowOff>0</xdr:rowOff>
                  </from>
                  <to>
                    <xdr:col>26</xdr:col>
                    <xdr:colOff>190500</xdr:colOff>
                    <xdr:row>42</xdr:row>
                    <xdr:rowOff>9525</xdr:rowOff>
                  </to>
                </anchor>
              </controlPr>
            </control>
          </mc:Choice>
        </mc:AlternateContent>
        <mc:AlternateContent xmlns:mc="http://schemas.openxmlformats.org/markup-compatibility/2006">
          <mc:Choice Requires="x14">
            <control shapeId="19004" r:id="rId153" name="Check Box 572">
              <controlPr defaultSize="0" autoFill="0" autoLine="0" autoPict="0">
                <anchor moveWithCells="1">
                  <from>
                    <xdr:col>17</xdr:col>
                    <xdr:colOff>38100</xdr:colOff>
                    <xdr:row>41</xdr:row>
                    <xdr:rowOff>0</xdr:rowOff>
                  </from>
                  <to>
                    <xdr:col>17</xdr:col>
                    <xdr:colOff>342900</xdr:colOff>
                    <xdr:row>42</xdr:row>
                    <xdr:rowOff>28575</xdr:rowOff>
                  </to>
                </anchor>
              </controlPr>
            </control>
          </mc:Choice>
        </mc:AlternateContent>
        <mc:AlternateContent xmlns:mc="http://schemas.openxmlformats.org/markup-compatibility/2006">
          <mc:Choice Requires="x14">
            <control shapeId="19005" r:id="rId154" name="Drop Down 573">
              <controlPr defaultSize="0" autoLine="0" autoPict="0">
                <anchor moveWithCells="1">
                  <from>
                    <xdr:col>27</xdr:col>
                    <xdr:colOff>0</xdr:colOff>
                    <xdr:row>41</xdr:row>
                    <xdr:rowOff>0</xdr:rowOff>
                  </from>
                  <to>
                    <xdr:col>30</xdr:col>
                    <xdr:colOff>190500</xdr:colOff>
                    <xdr:row>42</xdr:row>
                    <xdr:rowOff>9525</xdr:rowOff>
                  </to>
                </anchor>
              </controlPr>
            </control>
          </mc:Choice>
        </mc:AlternateContent>
        <mc:AlternateContent xmlns:mc="http://schemas.openxmlformats.org/markup-compatibility/2006">
          <mc:Choice Requires="x14">
            <control shapeId="19006" r:id="rId155" name="Drop Down 574">
              <controlPr defaultSize="0" autoLine="0" autoPict="0">
                <anchor moveWithCells="1">
                  <from>
                    <xdr:col>115</xdr:col>
                    <xdr:colOff>0</xdr:colOff>
                    <xdr:row>41</xdr:row>
                    <xdr:rowOff>0</xdr:rowOff>
                  </from>
                  <to>
                    <xdr:col>117</xdr:col>
                    <xdr:colOff>19050</xdr:colOff>
                    <xdr:row>42</xdr:row>
                    <xdr:rowOff>9525</xdr:rowOff>
                  </to>
                </anchor>
              </controlPr>
            </control>
          </mc:Choice>
        </mc:AlternateContent>
        <mc:AlternateContent xmlns:mc="http://schemas.openxmlformats.org/markup-compatibility/2006">
          <mc:Choice Requires="x14">
            <control shapeId="19007" r:id="rId156" name="Drop Down 575">
              <controlPr defaultSize="0" autoLine="0" autoPict="0">
                <anchor moveWithCells="1">
                  <from>
                    <xdr:col>163</xdr:col>
                    <xdr:colOff>0</xdr:colOff>
                    <xdr:row>41</xdr:row>
                    <xdr:rowOff>0</xdr:rowOff>
                  </from>
                  <to>
                    <xdr:col>165</xdr:col>
                    <xdr:colOff>333375</xdr:colOff>
                    <xdr:row>42</xdr:row>
                    <xdr:rowOff>9525</xdr:rowOff>
                  </to>
                </anchor>
              </controlPr>
            </control>
          </mc:Choice>
        </mc:AlternateContent>
        <mc:AlternateContent xmlns:mc="http://schemas.openxmlformats.org/markup-compatibility/2006">
          <mc:Choice Requires="x14">
            <control shapeId="19008" r:id="rId157" name="Drop Down 576">
              <controlPr defaultSize="0" autoLine="0" autoPict="0">
                <anchor moveWithCells="1">
                  <from>
                    <xdr:col>264</xdr:col>
                    <xdr:colOff>0</xdr:colOff>
                    <xdr:row>41</xdr:row>
                    <xdr:rowOff>0</xdr:rowOff>
                  </from>
                  <to>
                    <xdr:col>266</xdr:col>
                    <xdr:colOff>161925</xdr:colOff>
                    <xdr:row>42</xdr:row>
                    <xdr:rowOff>9525</xdr:rowOff>
                  </to>
                </anchor>
              </controlPr>
            </control>
          </mc:Choice>
        </mc:AlternateContent>
        <mc:AlternateContent xmlns:mc="http://schemas.openxmlformats.org/markup-compatibility/2006">
          <mc:Choice Requires="x14">
            <control shapeId="19009" r:id="rId158" name="Drop Down 577">
              <controlPr defaultSize="0" autoLine="0" autoPict="0">
                <anchor moveWithCells="1">
                  <from>
                    <xdr:col>3</xdr:col>
                    <xdr:colOff>9525</xdr:colOff>
                    <xdr:row>41</xdr:row>
                    <xdr:rowOff>0</xdr:rowOff>
                  </from>
                  <to>
                    <xdr:col>4</xdr:col>
                    <xdr:colOff>190500</xdr:colOff>
                    <xdr:row>42</xdr:row>
                    <xdr:rowOff>9525</xdr:rowOff>
                  </to>
                </anchor>
              </controlPr>
            </control>
          </mc:Choice>
        </mc:AlternateContent>
        <mc:AlternateContent xmlns:mc="http://schemas.openxmlformats.org/markup-compatibility/2006">
          <mc:Choice Requires="x14">
            <control shapeId="19010" r:id="rId159" name="Drop Down 578">
              <controlPr defaultSize="0" autoLine="0" autoPict="0">
                <anchor moveWithCells="1">
                  <from>
                    <xdr:col>5</xdr:col>
                    <xdr:colOff>0</xdr:colOff>
                    <xdr:row>41</xdr:row>
                    <xdr:rowOff>0</xdr:rowOff>
                  </from>
                  <to>
                    <xdr:col>8</xdr:col>
                    <xdr:colOff>9525</xdr:colOff>
                    <xdr:row>42</xdr:row>
                    <xdr:rowOff>9525</xdr:rowOff>
                  </to>
                </anchor>
              </controlPr>
            </control>
          </mc:Choice>
        </mc:AlternateContent>
        <mc:AlternateContent xmlns:mc="http://schemas.openxmlformats.org/markup-compatibility/2006">
          <mc:Choice Requires="x14">
            <control shapeId="19011" r:id="rId160" name="Drop Down 579">
              <controlPr defaultSize="0" autoLine="0" autoPict="0">
                <anchor moveWithCells="1">
                  <from>
                    <xdr:col>35</xdr:col>
                    <xdr:colOff>9525</xdr:colOff>
                    <xdr:row>41</xdr:row>
                    <xdr:rowOff>0</xdr:rowOff>
                  </from>
                  <to>
                    <xdr:col>36</xdr:col>
                    <xdr:colOff>9525</xdr:colOff>
                    <xdr:row>42</xdr:row>
                    <xdr:rowOff>9525</xdr:rowOff>
                  </to>
                </anchor>
              </controlPr>
            </control>
          </mc:Choice>
        </mc:AlternateContent>
        <mc:AlternateContent xmlns:mc="http://schemas.openxmlformats.org/markup-compatibility/2006">
          <mc:Choice Requires="x14">
            <control shapeId="19012" r:id="rId161" name="Drop Down 580">
              <controlPr defaultSize="0" autoLine="0" autoPict="0">
                <anchor moveWithCells="1">
                  <from>
                    <xdr:col>9</xdr:col>
                    <xdr:colOff>76200</xdr:colOff>
                    <xdr:row>43</xdr:row>
                    <xdr:rowOff>0</xdr:rowOff>
                  </from>
                  <to>
                    <xdr:col>12</xdr:col>
                    <xdr:colOff>257175</xdr:colOff>
                    <xdr:row>44</xdr:row>
                    <xdr:rowOff>9525</xdr:rowOff>
                  </to>
                </anchor>
              </controlPr>
            </control>
          </mc:Choice>
        </mc:AlternateContent>
        <mc:AlternateContent xmlns:mc="http://schemas.openxmlformats.org/markup-compatibility/2006">
          <mc:Choice Requires="x14">
            <control shapeId="19013" r:id="rId162" name="Drop Down 581">
              <controlPr defaultSize="0" autoLine="0" autoPict="0">
                <anchor moveWithCells="1">
                  <from>
                    <xdr:col>13</xdr:col>
                    <xdr:colOff>0</xdr:colOff>
                    <xdr:row>43</xdr:row>
                    <xdr:rowOff>0</xdr:rowOff>
                  </from>
                  <to>
                    <xdr:col>16</xdr:col>
                    <xdr:colOff>190500</xdr:colOff>
                    <xdr:row>44</xdr:row>
                    <xdr:rowOff>9525</xdr:rowOff>
                  </to>
                </anchor>
              </controlPr>
            </control>
          </mc:Choice>
        </mc:AlternateContent>
        <mc:AlternateContent xmlns:mc="http://schemas.openxmlformats.org/markup-compatibility/2006">
          <mc:Choice Requires="x14">
            <control shapeId="19014" r:id="rId163" name="Drop Down 582">
              <controlPr defaultSize="0" autoLine="0" autoPict="0">
                <anchor moveWithCells="1">
                  <from>
                    <xdr:col>19</xdr:col>
                    <xdr:colOff>0</xdr:colOff>
                    <xdr:row>43</xdr:row>
                    <xdr:rowOff>0</xdr:rowOff>
                  </from>
                  <to>
                    <xdr:col>22</xdr:col>
                    <xdr:colOff>190500</xdr:colOff>
                    <xdr:row>44</xdr:row>
                    <xdr:rowOff>9525</xdr:rowOff>
                  </to>
                </anchor>
              </controlPr>
            </control>
          </mc:Choice>
        </mc:AlternateContent>
        <mc:AlternateContent xmlns:mc="http://schemas.openxmlformats.org/markup-compatibility/2006">
          <mc:Choice Requires="x14">
            <control shapeId="19015" r:id="rId164" name="Drop Down 583">
              <controlPr defaultSize="0" autoLine="0" autoPict="0">
                <anchor moveWithCells="1">
                  <from>
                    <xdr:col>23</xdr:col>
                    <xdr:colOff>0</xdr:colOff>
                    <xdr:row>43</xdr:row>
                    <xdr:rowOff>0</xdr:rowOff>
                  </from>
                  <to>
                    <xdr:col>26</xdr:col>
                    <xdr:colOff>190500</xdr:colOff>
                    <xdr:row>44</xdr:row>
                    <xdr:rowOff>9525</xdr:rowOff>
                  </to>
                </anchor>
              </controlPr>
            </control>
          </mc:Choice>
        </mc:AlternateContent>
        <mc:AlternateContent xmlns:mc="http://schemas.openxmlformats.org/markup-compatibility/2006">
          <mc:Choice Requires="x14">
            <control shapeId="19016" r:id="rId165" name="Check Box 584">
              <controlPr defaultSize="0" autoFill="0" autoLine="0" autoPict="0">
                <anchor moveWithCells="1">
                  <from>
                    <xdr:col>17</xdr:col>
                    <xdr:colOff>38100</xdr:colOff>
                    <xdr:row>43</xdr:row>
                    <xdr:rowOff>0</xdr:rowOff>
                  </from>
                  <to>
                    <xdr:col>17</xdr:col>
                    <xdr:colOff>342900</xdr:colOff>
                    <xdr:row>44</xdr:row>
                    <xdr:rowOff>28575</xdr:rowOff>
                  </to>
                </anchor>
              </controlPr>
            </control>
          </mc:Choice>
        </mc:AlternateContent>
        <mc:AlternateContent xmlns:mc="http://schemas.openxmlformats.org/markup-compatibility/2006">
          <mc:Choice Requires="x14">
            <control shapeId="19017" r:id="rId166" name="Drop Down 585">
              <controlPr defaultSize="0" autoLine="0" autoPict="0">
                <anchor moveWithCells="1">
                  <from>
                    <xdr:col>27</xdr:col>
                    <xdr:colOff>0</xdr:colOff>
                    <xdr:row>43</xdr:row>
                    <xdr:rowOff>0</xdr:rowOff>
                  </from>
                  <to>
                    <xdr:col>30</xdr:col>
                    <xdr:colOff>190500</xdr:colOff>
                    <xdr:row>44</xdr:row>
                    <xdr:rowOff>9525</xdr:rowOff>
                  </to>
                </anchor>
              </controlPr>
            </control>
          </mc:Choice>
        </mc:AlternateContent>
        <mc:AlternateContent xmlns:mc="http://schemas.openxmlformats.org/markup-compatibility/2006">
          <mc:Choice Requires="x14">
            <control shapeId="19018" r:id="rId167" name="Drop Down 586">
              <controlPr defaultSize="0" autoLine="0" autoPict="0">
                <anchor moveWithCells="1">
                  <from>
                    <xdr:col>115</xdr:col>
                    <xdr:colOff>0</xdr:colOff>
                    <xdr:row>43</xdr:row>
                    <xdr:rowOff>0</xdr:rowOff>
                  </from>
                  <to>
                    <xdr:col>117</xdr:col>
                    <xdr:colOff>19050</xdr:colOff>
                    <xdr:row>44</xdr:row>
                    <xdr:rowOff>9525</xdr:rowOff>
                  </to>
                </anchor>
              </controlPr>
            </control>
          </mc:Choice>
        </mc:AlternateContent>
        <mc:AlternateContent xmlns:mc="http://schemas.openxmlformats.org/markup-compatibility/2006">
          <mc:Choice Requires="x14">
            <control shapeId="19019" r:id="rId168" name="Drop Down 587">
              <controlPr defaultSize="0" autoLine="0" autoPict="0">
                <anchor moveWithCells="1">
                  <from>
                    <xdr:col>163</xdr:col>
                    <xdr:colOff>0</xdr:colOff>
                    <xdr:row>43</xdr:row>
                    <xdr:rowOff>0</xdr:rowOff>
                  </from>
                  <to>
                    <xdr:col>165</xdr:col>
                    <xdr:colOff>333375</xdr:colOff>
                    <xdr:row>44</xdr:row>
                    <xdr:rowOff>9525</xdr:rowOff>
                  </to>
                </anchor>
              </controlPr>
            </control>
          </mc:Choice>
        </mc:AlternateContent>
        <mc:AlternateContent xmlns:mc="http://schemas.openxmlformats.org/markup-compatibility/2006">
          <mc:Choice Requires="x14">
            <control shapeId="19020" r:id="rId169" name="Drop Down 588">
              <controlPr defaultSize="0" autoLine="0" autoPict="0">
                <anchor moveWithCells="1">
                  <from>
                    <xdr:col>264</xdr:col>
                    <xdr:colOff>0</xdr:colOff>
                    <xdr:row>43</xdr:row>
                    <xdr:rowOff>0</xdr:rowOff>
                  </from>
                  <to>
                    <xdr:col>266</xdr:col>
                    <xdr:colOff>161925</xdr:colOff>
                    <xdr:row>44</xdr:row>
                    <xdr:rowOff>9525</xdr:rowOff>
                  </to>
                </anchor>
              </controlPr>
            </control>
          </mc:Choice>
        </mc:AlternateContent>
        <mc:AlternateContent xmlns:mc="http://schemas.openxmlformats.org/markup-compatibility/2006">
          <mc:Choice Requires="x14">
            <control shapeId="19021" r:id="rId170" name="Drop Down 589">
              <controlPr defaultSize="0" autoLine="0" autoPict="0">
                <anchor moveWithCells="1">
                  <from>
                    <xdr:col>3</xdr:col>
                    <xdr:colOff>9525</xdr:colOff>
                    <xdr:row>43</xdr:row>
                    <xdr:rowOff>0</xdr:rowOff>
                  </from>
                  <to>
                    <xdr:col>4</xdr:col>
                    <xdr:colOff>190500</xdr:colOff>
                    <xdr:row>44</xdr:row>
                    <xdr:rowOff>9525</xdr:rowOff>
                  </to>
                </anchor>
              </controlPr>
            </control>
          </mc:Choice>
        </mc:AlternateContent>
        <mc:AlternateContent xmlns:mc="http://schemas.openxmlformats.org/markup-compatibility/2006">
          <mc:Choice Requires="x14">
            <control shapeId="19022" r:id="rId171" name="Drop Down 590">
              <controlPr defaultSize="0" autoLine="0" autoPict="0">
                <anchor moveWithCells="1">
                  <from>
                    <xdr:col>5</xdr:col>
                    <xdr:colOff>0</xdr:colOff>
                    <xdr:row>43</xdr:row>
                    <xdr:rowOff>0</xdr:rowOff>
                  </from>
                  <to>
                    <xdr:col>8</xdr:col>
                    <xdr:colOff>9525</xdr:colOff>
                    <xdr:row>44</xdr:row>
                    <xdr:rowOff>9525</xdr:rowOff>
                  </to>
                </anchor>
              </controlPr>
            </control>
          </mc:Choice>
        </mc:AlternateContent>
        <mc:AlternateContent xmlns:mc="http://schemas.openxmlformats.org/markup-compatibility/2006">
          <mc:Choice Requires="x14">
            <control shapeId="19023" r:id="rId172" name="Drop Down 591">
              <controlPr defaultSize="0" autoLine="0" autoPict="0">
                <anchor moveWithCells="1">
                  <from>
                    <xdr:col>35</xdr:col>
                    <xdr:colOff>9525</xdr:colOff>
                    <xdr:row>43</xdr:row>
                    <xdr:rowOff>0</xdr:rowOff>
                  </from>
                  <to>
                    <xdr:col>36</xdr:col>
                    <xdr:colOff>9525</xdr:colOff>
                    <xdr:row>44</xdr:row>
                    <xdr:rowOff>9525</xdr:rowOff>
                  </to>
                </anchor>
              </controlPr>
            </control>
          </mc:Choice>
        </mc:AlternateContent>
        <mc:AlternateContent xmlns:mc="http://schemas.openxmlformats.org/markup-compatibility/2006">
          <mc:Choice Requires="x14">
            <control shapeId="19024" r:id="rId173" name="Drop Down 592">
              <controlPr defaultSize="0" autoLine="0" autoPict="0">
                <anchor moveWithCells="1">
                  <from>
                    <xdr:col>9</xdr:col>
                    <xdr:colOff>76200</xdr:colOff>
                    <xdr:row>45</xdr:row>
                    <xdr:rowOff>0</xdr:rowOff>
                  </from>
                  <to>
                    <xdr:col>12</xdr:col>
                    <xdr:colOff>257175</xdr:colOff>
                    <xdr:row>46</xdr:row>
                    <xdr:rowOff>9525</xdr:rowOff>
                  </to>
                </anchor>
              </controlPr>
            </control>
          </mc:Choice>
        </mc:AlternateContent>
        <mc:AlternateContent xmlns:mc="http://schemas.openxmlformats.org/markup-compatibility/2006">
          <mc:Choice Requires="x14">
            <control shapeId="19025" r:id="rId174" name="Drop Down 593">
              <controlPr defaultSize="0" autoLine="0" autoPict="0">
                <anchor moveWithCells="1">
                  <from>
                    <xdr:col>13</xdr:col>
                    <xdr:colOff>0</xdr:colOff>
                    <xdr:row>45</xdr:row>
                    <xdr:rowOff>0</xdr:rowOff>
                  </from>
                  <to>
                    <xdr:col>16</xdr:col>
                    <xdr:colOff>190500</xdr:colOff>
                    <xdr:row>46</xdr:row>
                    <xdr:rowOff>9525</xdr:rowOff>
                  </to>
                </anchor>
              </controlPr>
            </control>
          </mc:Choice>
        </mc:AlternateContent>
        <mc:AlternateContent xmlns:mc="http://schemas.openxmlformats.org/markup-compatibility/2006">
          <mc:Choice Requires="x14">
            <control shapeId="19026" r:id="rId175" name="Drop Down 594">
              <controlPr defaultSize="0" autoLine="0" autoPict="0">
                <anchor moveWithCells="1">
                  <from>
                    <xdr:col>19</xdr:col>
                    <xdr:colOff>0</xdr:colOff>
                    <xdr:row>45</xdr:row>
                    <xdr:rowOff>0</xdr:rowOff>
                  </from>
                  <to>
                    <xdr:col>22</xdr:col>
                    <xdr:colOff>190500</xdr:colOff>
                    <xdr:row>46</xdr:row>
                    <xdr:rowOff>9525</xdr:rowOff>
                  </to>
                </anchor>
              </controlPr>
            </control>
          </mc:Choice>
        </mc:AlternateContent>
        <mc:AlternateContent xmlns:mc="http://schemas.openxmlformats.org/markup-compatibility/2006">
          <mc:Choice Requires="x14">
            <control shapeId="19027" r:id="rId176" name="Drop Down 595">
              <controlPr defaultSize="0" autoLine="0" autoPict="0">
                <anchor moveWithCells="1">
                  <from>
                    <xdr:col>23</xdr:col>
                    <xdr:colOff>0</xdr:colOff>
                    <xdr:row>45</xdr:row>
                    <xdr:rowOff>0</xdr:rowOff>
                  </from>
                  <to>
                    <xdr:col>26</xdr:col>
                    <xdr:colOff>190500</xdr:colOff>
                    <xdr:row>46</xdr:row>
                    <xdr:rowOff>9525</xdr:rowOff>
                  </to>
                </anchor>
              </controlPr>
            </control>
          </mc:Choice>
        </mc:AlternateContent>
        <mc:AlternateContent xmlns:mc="http://schemas.openxmlformats.org/markup-compatibility/2006">
          <mc:Choice Requires="x14">
            <control shapeId="19028" r:id="rId177" name="Check Box 596">
              <controlPr defaultSize="0" autoFill="0" autoLine="0" autoPict="0">
                <anchor moveWithCells="1">
                  <from>
                    <xdr:col>17</xdr:col>
                    <xdr:colOff>38100</xdr:colOff>
                    <xdr:row>45</xdr:row>
                    <xdr:rowOff>0</xdr:rowOff>
                  </from>
                  <to>
                    <xdr:col>17</xdr:col>
                    <xdr:colOff>342900</xdr:colOff>
                    <xdr:row>46</xdr:row>
                    <xdr:rowOff>28575</xdr:rowOff>
                  </to>
                </anchor>
              </controlPr>
            </control>
          </mc:Choice>
        </mc:AlternateContent>
        <mc:AlternateContent xmlns:mc="http://schemas.openxmlformats.org/markup-compatibility/2006">
          <mc:Choice Requires="x14">
            <control shapeId="19029" r:id="rId178" name="Drop Down 597">
              <controlPr defaultSize="0" autoLine="0" autoPict="0">
                <anchor moveWithCells="1">
                  <from>
                    <xdr:col>27</xdr:col>
                    <xdr:colOff>0</xdr:colOff>
                    <xdr:row>45</xdr:row>
                    <xdr:rowOff>0</xdr:rowOff>
                  </from>
                  <to>
                    <xdr:col>30</xdr:col>
                    <xdr:colOff>190500</xdr:colOff>
                    <xdr:row>46</xdr:row>
                    <xdr:rowOff>9525</xdr:rowOff>
                  </to>
                </anchor>
              </controlPr>
            </control>
          </mc:Choice>
        </mc:AlternateContent>
        <mc:AlternateContent xmlns:mc="http://schemas.openxmlformats.org/markup-compatibility/2006">
          <mc:Choice Requires="x14">
            <control shapeId="19030" r:id="rId179" name="Drop Down 598">
              <controlPr defaultSize="0" autoLine="0" autoPict="0">
                <anchor moveWithCells="1">
                  <from>
                    <xdr:col>115</xdr:col>
                    <xdr:colOff>0</xdr:colOff>
                    <xdr:row>45</xdr:row>
                    <xdr:rowOff>0</xdr:rowOff>
                  </from>
                  <to>
                    <xdr:col>117</xdr:col>
                    <xdr:colOff>19050</xdr:colOff>
                    <xdr:row>46</xdr:row>
                    <xdr:rowOff>9525</xdr:rowOff>
                  </to>
                </anchor>
              </controlPr>
            </control>
          </mc:Choice>
        </mc:AlternateContent>
        <mc:AlternateContent xmlns:mc="http://schemas.openxmlformats.org/markup-compatibility/2006">
          <mc:Choice Requires="x14">
            <control shapeId="19031" r:id="rId180" name="Drop Down 599">
              <controlPr defaultSize="0" autoLine="0" autoPict="0">
                <anchor moveWithCells="1">
                  <from>
                    <xdr:col>163</xdr:col>
                    <xdr:colOff>0</xdr:colOff>
                    <xdr:row>45</xdr:row>
                    <xdr:rowOff>0</xdr:rowOff>
                  </from>
                  <to>
                    <xdr:col>165</xdr:col>
                    <xdr:colOff>333375</xdr:colOff>
                    <xdr:row>46</xdr:row>
                    <xdr:rowOff>9525</xdr:rowOff>
                  </to>
                </anchor>
              </controlPr>
            </control>
          </mc:Choice>
        </mc:AlternateContent>
        <mc:AlternateContent xmlns:mc="http://schemas.openxmlformats.org/markup-compatibility/2006">
          <mc:Choice Requires="x14">
            <control shapeId="19032" r:id="rId181" name="Drop Down 600">
              <controlPr defaultSize="0" autoLine="0" autoPict="0">
                <anchor moveWithCells="1">
                  <from>
                    <xdr:col>264</xdr:col>
                    <xdr:colOff>0</xdr:colOff>
                    <xdr:row>45</xdr:row>
                    <xdr:rowOff>0</xdr:rowOff>
                  </from>
                  <to>
                    <xdr:col>266</xdr:col>
                    <xdr:colOff>161925</xdr:colOff>
                    <xdr:row>46</xdr:row>
                    <xdr:rowOff>9525</xdr:rowOff>
                  </to>
                </anchor>
              </controlPr>
            </control>
          </mc:Choice>
        </mc:AlternateContent>
        <mc:AlternateContent xmlns:mc="http://schemas.openxmlformats.org/markup-compatibility/2006">
          <mc:Choice Requires="x14">
            <control shapeId="19033" r:id="rId182" name="Drop Down 601">
              <controlPr defaultSize="0" autoLine="0" autoPict="0">
                <anchor moveWithCells="1">
                  <from>
                    <xdr:col>3</xdr:col>
                    <xdr:colOff>9525</xdr:colOff>
                    <xdr:row>45</xdr:row>
                    <xdr:rowOff>0</xdr:rowOff>
                  </from>
                  <to>
                    <xdr:col>4</xdr:col>
                    <xdr:colOff>190500</xdr:colOff>
                    <xdr:row>46</xdr:row>
                    <xdr:rowOff>9525</xdr:rowOff>
                  </to>
                </anchor>
              </controlPr>
            </control>
          </mc:Choice>
        </mc:AlternateContent>
        <mc:AlternateContent xmlns:mc="http://schemas.openxmlformats.org/markup-compatibility/2006">
          <mc:Choice Requires="x14">
            <control shapeId="19034" r:id="rId183" name="Drop Down 602">
              <controlPr defaultSize="0" autoLine="0" autoPict="0">
                <anchor moveWithCells="1">
                  <from>
                    <xdr:col>5</xdr:col>
                    <xdr:colOff>0</xdr:colOff>
                    <xdr:row>45</xdr:row>
                    <xdr:rowOff>0</xdr:rowOff>
                  </from>
                  <to>
                    <xdr:col>8</xdr:col>
                    <xdr:colOff>9525</xdr:colOff>
                    <xdr:row>46</xdr:row>
                    <xdr:rowOff>9525</xdr:rowOff>
                  </to>
                </anchor>
              </controlPr>
            </control>
          </mc:Choice>
        </mc:AlternateContent>
        <mc:AlternateContent xmlns:mc="http://schemas.openxmlformats.org/markup-compatibility/2006">
          <mc:Choice Requires="x14">
            <control shapeId="19035" r:id="rId184" name="Drop Down 603">
              <controlPr defaultSize="0" autoLine="0" autoPict="0">
                <anchor moveWithCells="1">
                  <from>
                    <xdr:col>35</xdr:col>
                    <xdr:colOff>9525</xdr:colOff>
                    <xdr:row>45</xdr:row>
                    <xdr:rowOff>0</xdr:rowOff>
                  </from>
                  <to>
                    <xdr:col>36</xdr:col>
                    <xdr:colOff>9525</xdr:colOff>
                    <xdr:row>46</xdr:row>
                    <xdr:rowOff>9525</xdr:rowOff>
                  </to>
                </anchor>
              </controlPr>
            </control>
          </mc:Choice>
        </mc:AlternateContent>
        <mc:AlternateContent xmlns:mc="http://schemas.openxmlformats.org/markup-compatibility/2006">
          <mc:Choice Requires="x14">
            <control shapeId="19036" r:id="rId185" name="Drop Down 604">
              <controlPr defaultSize="0" autoLine="0" autoPict="0">
                <anchor moveWithCells="1">
                  <from>
                    <xdr:col>9</xdr:col>
                    <xdr:colOff>76200</xdr:colOff>
                    <xdr:row>47</xdr:row>
                    <xdr:rowOff>0</xdr:rowOff>
                  </from>
                  <to>
                    <xdr:col>12</xdr:col>
                    <xdr:colOff>257175</xdr:colOff>
                    <xdr:row>48</xdr:row>
                    <xdr:rowOff>9525</xdr:rowOff>
                  </to>
                </anchor>
              </controlPr>
            </control>
          </mc:Choice>
        </mc:AlternateContent>
        <mc:AlternateContent xmlns:mc="http://schemas.openxmlformats.org/markup-compatibility/2006">
          <mc:Choice Requires="x14">
            <control shapeId="19037" r:id="rId186" name="Drop Down 605">
              <controlPr defaultSize="0" autoLine="0" autoPict="0">
                <anchor moveWithCells="1">
                  <from>
                    <xdr:col>13</xdr:col>
                    <xdr:colOff>0</xdr:colOff>
                    <xdr:row>47</xdr:row>
                    <xdr:rowOff>0</xdr:rowOff>
                  </from>
                  <to>
                    <xdr:col>16</xdr:col>
                    <xdr:colOff>190500</xdr:colOff>
                    <xdr:row>48</xdr:row>
                    <xdr:rowOff>9525</xdr:rowOff>
                  </to>
                </anchor>
              </controlPr>
            </control>
          </mc:Choice>
        </mc:AlternateContent>
        <mc:AlternateContent xmlns:mc="http://schemas.openxmlformats.org/markup-compatibility/2006">
          <mc:Choice Requires="x14">
            <control shapeId="19038" r:id="rId187" name="Drop Down 606">
              <controlPr defaultSize="0" autoLine="0" autoPict="0">
                <anchor moveWithCells="1">
                  <from>
                    <xdr:col>19</xdr:col>
                    <xdr:colOff>0</xdr:colOff>
                    <xdr:row>47</xdr:row>
                    <xdr:rowOff>0</xdr:rowOff>
                  </from>
                  <to>
                    <xdr:col>22</xdr:col>
                    <xdr:colOff>190500</xdr:colOff>
                    <xdr:row>48</xdr:row>
                    <xdr:rowOff>9525</xdr:rowOff>
                  </to>
                </anchor>
              </controlPr>
            </control>
          </mc:Choice>
        </mc:AlternateContent>
        <mc:AlternateContent xmlns:mc="http://schemas.openxmlformats.org/markup-compatibility/2006">
          <mc:Choice Requires="x14">
            <control shapeId="19039" r:id="rId188" name="Drop Down 607">
              <controlPr defaultSize="0" autoLine="0" autoPict="0">
                <anchor moveWithCells="1">
                  <from>
                    <xdr:col>23</xdr:col>
                    <xdr:colOff>0</xdr:colOff>
                    <xdr:row>47</xdr:row>
                    <xdr:rowOff>0</xdr:rowOff>
                  </from>
                  <to>
                    <xdr:col>26</xdr:col>
                    <xdr:colOff>190500</xdr:colOff>
                    <xdr:row>48</xdr:row>
                    <xdr:rowOff>9525</xdr:rowOff>
                  </to>
                </anchor>
              </controlPr>
            </control>
          </mc:Choice>
        </mc:AlternateContent>
        <mc:AlternateContent xmlns:mc="http://schemas.openxmlformats.org/markup-compatibility/2006">
          <mc:Choice Requires="x14">
            <control shapeId="19040" r:id="rId189" name="Check Box 608">
              <controlPr defaultSize="0" autoFill="0" autoLine="0" autoPict="0">
                <anchor moveWithCells="1">
                  <from>
                    <xdr:col>17</xdr:col>
                    <xdr:colOff>38100</xdr:colOff>
                    <xdr:row>47</xdr:row>
                    <xdr:rowOff>0</xdr:rowOff>
                  </from>
                  <to>
                    <xdr:col>17</xdr:col>
                    <xdr:colOff>342900</xdr:colOff>
                    <xdr:row>48</xdr:row>
                    <xdr:rowOff>28575</xdr:rowOff>
                  </to>
                </anchor>
              </controlPr>
            </control>
          </mc:Choice>
        </mc:AlternateContent>
        <mc:AlternateContent xmlns:mc="http://schemas.openxmlformats.org/markup-compatibility/2006">
          <mc:Choice Requires="x14">
            <control shapeId="19041" r:id="rId190" name="Drop Down 609">
              <controlPr defaultSize="0" autoLine="0" autoPict="0">
                <anchor moveWithCells="1">
                  <from>
                    <xdr:col>27</xdr:col>
                    <xdr:colOff>0</xdr:colOff>
                    <xdr:row>47</xdr:row>
                    <xdr:rowOff>0</xdr:rowOff>
                  </from>
                  <to>
                    <xdr:col>30</xdr:col>
                    <xdr:colOff>190500</xdr:colOff>
                    <xdr:row>48</xdr:row>
                    <xdr:rowOff>9525</xdr:rowOff>
                  </to>
                </anchor>
              </controlPr>
            </control>
          </mc:Choice>
        </mc:AlternateContent>
        <mc:AlternateContent xmlns:mc="http://schemas.openxmlformats.org/markup-compatibility/2006">
          <mc:Choice Requires="x14">
            <control shapeId="19042" r:id="rId191" name="Drop Down 610">
              <controlPr defaultSize="0" autoLine="0" autoPict="0">
                <anchor moveWithCells="1">
                  <from>
                    <xdr:col>115</xdr:col>
                    <xdr:colOff>0</xdr:colOff>
                    <xdr:row>47</xdr:row>
                    <xdr:rowOff>0</xdr:rowOff>
                  </from>
                  <to>
                    <xdr:col>117</xdr:col>
                    <xdr:colOff>19050</xdr:colOff>
                    <xdr:row>48</xdr:row>
                    <xdr:rowOff>9525</xdr:rowOff>
                  </to>
                </anchor>
              </controlPr>
            </control>
          </mc:Choice>
        </mc:AlternateContent>
        <mc:AlternateContent xmlns:mc="http://schemas.openxmlformats.org/markup-compatibility/2006">
          <mc:Choice Requires="x14">
            <control shapeId="19043" r:id="rId192" name="Drop Down 611">
              <controlPr defaultSize="0" autoLine="0" autoPict="0">
                <anchor moveWithCells="1">
                  <from>
                    <xdr:col>163</xdr:col>
                    <xdr:colOff>0</xdr:colOff>
                    <xdr:row>47</xdr:row>
                    <xdr:rowOff>0</xdr:rowOff>
                  </from>
                  <to>
                    <xdr:col>165</xdr:col>
                    <xdr:colOff>333375</xdr:colOff>
                    <xdr:row>48</xdr:row>
                    <xdr:rowOff>9525</xdr:rowOff>
                  </to>
                </anchor>
              </controlPr>
            </control>
          </mc:Choice>
        </mc:AlternateContent>
        <mc:AlternateContent xmlns:mc="http://schemas.openxmlformats.org/markup-compatibility/2006">
          <mc:Choice Requires="x14">
            <control shapeId="19044" r:id="rId193" name="Drop Down 612">
              <controlPr defaultSize="0" autoLine="0" autoPict="0">
                <anchor moveWithCells="1">
                  <from>
                    <xdr:col>264</xdr:col>
                    <xdr:colOff>0</xdr:colOff>
                    <xdr:row>47</xdr:row>
                    <xdr:rowOff>0</xdr:rowOff>
                  </from>
                  <to>
                    <xdr:col>266</xdr:col>
                    <xdr:colOff>161925</xdr:colOff>
                    <xdr:row>48</xdr:row>
                    <xdr:rowOff>9525</xdr:rowOff>
                  </to>
                </anchor>
              </controlPr>
            </control>
          </mc:Choice>
        </mc:AlternateContent>
        <mc:AlternateContent xmlns:mc="http://schemas.openxmlformats.org/markup-compatibility/2006">
          <mc:Choice Requires="x14">
            <control shapeId="19045" r:id="rId194" name="Drop Down 613">
              <controlPr defaultSize="0" autoLine="0" autoPict="0">
                <anchor moveWithCells="1">
                  <from>
                    <xdr:col>3</xdr:col>
                    <xdr:colOff>9525</xdr:colOff>
                    <xdr:row>47</xdr:row>
                    <xdr:rowOff>0</xdr:rowOff>
                  </from>
                  <to>
                    <xdr:col>4</xdr:col>
                    <xdr:colOff>190500</xdr:colOff>
                    <xdr:row>48</xdr:row>
                    <xdr:rowOff>9525</xdr:rowOff>
                  </to>
                </anchor>
              </controlPr>
            </control>
          </mc:Choice>
        </mc:AlternateContent>
        <mc:AlternateContent xmlns:mc="http://schemas.openxmlformats.org/markup-compatibility/2006">
          <mc:Choice Requires="x14">
            <control shapeId="19046" r:id="rId195" name="Drop Down 614">
              <controlPr defaultSize="0" autoLine="0" autoPict="0">
                <anchor moveWithCells="1">
                  <from>
                    <xdr:col>5</xdr:col>
                    <xdr:colOff>0</xdr:colOff>
                    <xdr:row>47</xdr:row>
                    <xdr:rowOff>0</xdr:rowOff>
                  </from>
                  <to>
                    <xdr:col>8</xdr:col>
                    <xdr:colOff>9525</xdr:colOff>
                    <xdr:row>48</xdr:row>
                    <xdr:rowOff>9525</xdr:rowOff>
                  </to>
                </anchor>
              </controlPr>
            </control>
          </mc:Choice>
        </mc:AlternateContent>
        <mc:AlternateContent xmlns:mc="http://schemas.openxmlformats.org/markup-compatibility/2006">
          <mc:Choice Requires="x14">
            <control shapeId="19047" r:id="rId196" name="Drop Down 615">
              <controlPr defaultSize="0" autoLine="0" autoPict="0">
                <anchor moveWithCells="1">
                  <from>
                    <xdr:col>35</xdr:col>
                    <xdr:colOff>9525</xdr:colOff>
                    <xdr:row>47</xdr:row>
                    <xdr:rowOff>0</xdr:rowOff>
                  </from>
                  <to>
                    <xdr:col>36</xdr:col>
                    <xdr:colOff>9525</xdr:colOff>
                    <xdr:row>48</xdr:row>
                    <xdr:rowOff>9525</xdr:rowOff>
                  </to>
                </anchor>
              </controlPr>
            </control>
          </mc:Choice>
        </mc:AlternateContent>
        <mc:AlternateContent xmlns:mc="http://schemas.openxmlformats.org/markup-compatibility/2006">
          <mc:Choice Requires="x14">
            <control shapeId="19048" r:id="rId197" name="Drop Down 616">
              <controlPr defaultSize="0" autoLine="0" autoPict="0">
                <anchor moveWithCells="1">
                  <from>
                    <xdr:col>9</xdr:col>
                    <xdr:colOff>76200</xdr:colOff>
                    <xdr:row>49</xdr:row>
                    <xdr:rowOff>0</xdr:rowOff>
                  </from>
                  <to>
                    <xdr:col>12</xdr:col>
                    <xdr:colOff>257175</xdr:colOff>
                    <xdr:row>50</xdr:row>
                    <xdr:rowOff>9525</xdr:rowOff>
                  </to>
                </anchor>
              </controlPr>
            </control>
          </mc:Choice>
        </mc:AlternateContent>
        <mc:AlternateContent xmlns:mc="http://schemas.openxmlformats.org/markup-compatibility/2006">
          <mc:Choice Requires="x14">
            <control shapeId="19049" r:id="rId198" name="Drop Down 617">
              <controlPr defaultSize="0" autoLine="0" autoPict="0">
                <anchor moveWithCells="1">
                  <from>
                    <xdr:col>13</xdr:col>
                    <xdr:colOff>0</xdr:colOff>
                    <xdr:row>49</xdr:row>
                    <xdr:rowOff>0</xdr:rowOff>
                  </from>
                  <to>
                    <xdr:col>16</xdr:col>
                    <xdr:colOff>190500</xdr:colOff>
                    <xdr:row>50</xdr:row>
                    <xdr:rowOff>9525</xdr:rowOff>
                  </to>
                </anchor>
              </controlPr>
            </control>
          </mc:Choice>
        </mc:AlternateContent>
        <mc:AlternateContent xmlns:mc="http://schemas.openxmlformats.org/markup-compatibility/2006">
          <mc:Choice Requires="x14">
            <control shapeId="19050" r:id="rId199" name="Drop Down 618">
              <controlPr defaultSize="0" autoLine="0" autoPict="0">
                <anchor moveWithCells="1">
                  <from>
                    <xdr:col>19</xdr:col>
                    <xdr:colOff>0</xdr:colOff>
                    <xdr:row>49</xdr:row>
                    <xdr:rowOff>0</xdr:rowOff>
                  </from>
                  <to>
                    <xdr:col>22</xdr:col>
                    <xdr:colOff>190500</xdr:colOff>
                    <xdr:row>50</xdr:row>
                    <xdr:rowOff>9525</xdr:rowOff>
                  </to>
                </anchor>
              </controlPr>
            </control>
          </mc:Choice>
        </mc:AlternateContent>
        <mc:AlternateContent xmlns:mc="http://schemas.openxmlformats.org/markup-compatibility/2006">
          <mc:Choice Requires="x14">
            <control shapeId="19051" r:id="rId200" name="Drop Down 619">
              <controlPr defaultSize="0" autoLine="0" autoPict="0">
                <anchor moveWithCells="1">
                  <from>
                    <xdr:col>23</xdr:col>
                    <xdr:colOff>0</xdr:colOff>
                    <xdr:row>49</xdr:row>
                    <xdr:rowOff>0</xdr:rowOff>
                  </from>
                  <to>
                    <xdr:col>26</xdr:col>
                    <xdr:colOff>190500</xdr:colOff>
                    <xdr:row>50</xdr:row>
                    <xdr:rowOff>9525</xdr:rowOff>
                  </to>
                </anchor>
              </controlPr>
            </control>
          </mc:Choice>
        </mc:AlternateContent>
        <mc:AlternateContent xmlns:mc="http://schemas.openxmlformats.org/markup-compatibility/2006">
          <mc:Choice Requires="x14">
            <control shapeId="19052" r:id="rId201" name="Check Box 620">
              <controlPr defaultSize="0" autoFill="0" autoLine="0" autoPict="0">
                <anchor moveWithCells="1">
                  <from>
                    <xdr:col>17</xdr:col>
                    <xdr:colOff>38100</xdr:colOff>
                    <xdr:row>49</xdr:row>
                    <xdr:rowOff>0</xdr:rowOff>
                  </from>
                  <to>
                    <xdr:col>17</xdr:col>
                    <xdr:colOff>342900</xdr:colOff>
                    <xdr:row>50</xdr:row>
                    <xdr:rowOff>28575</xdr:rowOff>
                  </to>
                </anchor>
              </controlPr>
            </control>
          </mc:Choice>
        </mc:AlternateContent>
        <mc:AlternateContent xmlns:mc="http://schemas.openxmlformats.org/markup-compatibility/2006">
          <mc:Choice Requires="x14">
            <control shapeId="19053" r:id="rId202" name="Drop Down 621">
              <controlPr defaultSize="0" autoLine="0" autoPict="0">
                <anchor moveWithCells="1">
                  <from>
                    <xdr:col>27</xdr:col>
                    <xdr:colOff>0</xdr:colOff>
                    <xdr:row>49</xdr:row>
                    <xdr:rowOff>0</xdr:rowOff>
                  </from>
                  <to>
                    <xdr:col>30</xdr:col>
                    <xdr:colOff>190500</xdr:colOff>
                    <xdr:row>50</xdr:row>
                    <xdr:rowOff>9525</xdr:rowOff>
                  </to>
                </anchor>
              </controlPr>
            </control>
          </mc:Choice>
        </mc:AlternateContent>
        <mc:AlternateContent xmlns:mc="http://schemas.openxmlformats.org/markup-compatibility/2006">
          <mc:Choice Requires="x14">
            <control shapeId="19054" r:id="rId203" name="Drop Down 622">
              <controlPr defaultSize="0" autoLine="0" autoPict="0">
                <anchor moveWithCells="1">
                  <from>
                    <xdr:col>115</xdr:col>
                    <xdr:colOff>0</xdr:colOff>
                    <xdr:row>49</xdr:row>
                    <xdr:rowOff>0</xdr:rowOff>
                  </from>
                  <to>
                    <xdr:col>117</xdr:col>
                    <xdr:colOff>19050</xdr:colOff>
                    <xdr:row>50</xdr:row>
                    <xdr:rowOff>9525</xdr:rowOff>
                  </to>
                </anchor>
              </controlPr>
            </control>
          </mc:Choice>
        </mc:AlternateContent>
        <mc:AlternateContent xmlns:mc="http://schemas.openxmlformats.org/markup-compatibility/2006">
          <mc:Choice Requires="x14">
            <control shapeId="19055" r:id="rId204" name="Drop Down 623">
              <controlPr defaultSize="0" autoLine="0" autoPict="0">
                <anchor moveWithCells="1">
                  <from>
                    <xdr:col>163</xdr:col>
                    <xdr:colOff>0</xdr:colOff>
                    <xdr:row>49</xdr:row>
                    <xdr:rowOff>0</xdr:rowOff>
                  </from>
                  <to>
                    <xdr:col>165</xdr:col>
                    <xdr:colOff>333375</xdr:colOff>
                    <xdr:row>50</xdr:row>
                    <xdr:rowOff>9525</xdr:rowOff>
                  </to>
                </anchor>
              </controlPr>
            </control>
          </mc:Choice>
        </mc:AlternateContent>
        <mc:AlternateContent xmlns:mc="http://schemas.openxmlformats.org/markup-compatibility/2006">
          <mc:Choice Requires="x14">
            <control shapeId="19056" r:id="rId205" name="Drop Down 624">
              <controlPr defaultSize="0" autoLine="0" autoPict="0">
                <anchor moveWithCells="1">
                  <from>
                    <xdr:col>264</xdr:col>
                    <xdr:colOff>0</xdr:colOff>
                    <xdr:row>49</xdr:row>
                    <xdr:rowOff>0</xdr:rowOff>
                  </from>
                  <to>
                    <xdr:col>266</xdr:col>
                    <xdr:colOff>161925</xdr:colOff>
                    <xdr:row>50</xdr:row>
                    <xdr:rowOff>9525</xdr:rowOff>
                  </to>
                </anchor>
              </controlPr>
            </control>
          </mc:Choice>
        </mc:AlternateContent>
        <mc:AlternateContent xmlns:mc="http://schemas.openxmlformats.org/markup-compatibility/2006">
          <mc:Choice Requires="x14">
            <control shapeId="19057" r:id="rId206" name="Drop Down 625">
              <controlPr defaultSize="0" autoLine="0" autoPict="0">
                <anchor moveWithCells="1">
                  <from>
                    <xdr:col>3</xdr:col>
                    <xdr:colOff>9525</xdr:colOff>
                    <xdr:row>49</xdr:row>
                    <xdr:rowOff>0</xdr:rowOff>
                  </from>
                  <to>
                    <xdr:col>4</xdr:col>
                    <xdr:colOff>190500</xdr:colOff>
                    <xdr:row>50</xdr:row>
                    <xdr:rowOff>9525</xdr:rowOff>
                  </to>
                </anchor>
              </controlPr>
            </control>
          </mc:Choice>
        </mc:AlternateContent>
        <mc:AlternateContent xmlns:mc="http://schemas.openxmlformats.org/markup-compatibility/2006">
          <mc:Choice Requires="x14">
            <control shapeId="19058" r:id="rId207" name="Drop Down 626">
              <controlPr defaultSize="0" autoLine="0" autoPict="0">
                <anchor moveWithCells="1">
                  <from>
                    <xdr:col>5</xdr:col>
                    <xdr:colOff>0</xdr:colOff>
                    <xdr:row>49</xdr:row>
                    <xdr:rowOff>0</xdr:rowOff>
                  </from>
                  <to>
                    <xdr:col>8</xdr:col>
                    <xdr:colOff>9525</xdr:colOff>
                    <xdr:row>50</xdr:row>
                    <xdr:rowOff>9525</xdr:rowOff>
                  </to>
                </anchor>
              </controlPr>
            </control>
          </mc:Choice>
        </mc:AlternateContent>
        <mc:AlternateContent xmlns:mc="http://schemas.openxmlformats.org/markup-compatibility/2006">
          <mc:Choice Requires="x14">
            <control shapeId="19059" r:id="rId208" name="Drop Down 627">
              <controlPr defaultSize="0" autoLine="0" autoPict="0">
                <anchor moveWithCells="1">
                  <from>
                    <xdr:col>35</xdr:col>
                    <xdr:colOff>9525</xdr:colOff>
                    <xdr:row>49</xdr:row>
                    <xdr:rowOff>0</xdr:rowOff>
                  </from>
                  <to>
                    <xdr:col>36</xdr:col>
                    <xdr:colOff>9525</xdr:colOff>
                    <xdr:row>50</xdr:row>
                    <xdr:rowOff>9525</xdr:rowOff>
                  </to>
                </anchor>
              </controlPr>
            </control>
          </mc:Choice>
        </mc:AlternateContent>
        <mc:AlternateContent xmlns:mc="http://schemas.openxmlformats.org/markup-compatibility/2006">
          <mc:Choice Requires="x14">
            <control shapeId="19060" r:id="rId209" name="Drop Down 628">
              <controlPr defaultSize="0" autoLine="0" autoPict="0">
                <anchor moveWithCells="1">
                  <from>
                    <xdr:col>9</xdr:col>
                    <xdr:colOff>76200</xdr:colOff>
                    <xdr:row>51</xdr:row>
                    <xdr:rowOff>0</xdr:rowOff>
                  </from>
                  <to>
                    <xdr:col>12</xdr:col>
                    <xdr:colOff>257175</xdr:colOff>
                    <xdr:row>52</xdr:row>
                    <xdr:rowOff>9525</xdr:rowOff>
                  </to>
                </anchor>
              </controlPr>
            </control>
          </mc:Choice>
        </mc:AlternateContent>
        <mc:AlternateContent xmlns:mc="http://schemas.openxmlformats.org/markup-compatibility/2006">
          <mc:Choice Requires="x14">
            <control shapeId="19061" r:id="rId210" name="Drop Down 629">
              <controlPr defaultSize="0" autoLine="0" autoPict="0">
                <anchor moveWithCells="1">
                  <from>
                    <xdr:col>13</xdr:col>
                    <xdr:colOff>0</xdr:colOff>
                    <xdr:row>51</xdr:row>
                    <xdr:rowOff>0</xdr:rowOff>
                  </from>
                  <to>
                    <xdr:col>16</xdr:col>
                    <xdr:colOff>190500</xdr:colOff>
                    <xdr:row>52</xdr:row>
                    <xdr:rowOff>9525</xdr:rowOff>
                  </to>
                </anchor>
              </controlPr>
            </control>
          </mc:Choice>
        </mc:AlternateContent>
        <mc:AlternateContent xmlns:mc="http://schemas.openxmlformats.org/markup-compatibility/2006">
          <mc:Choice Requires="x14">
            <control shapeId="19062" r:id="rId211" name="Drop Down 630">
              <controlPr defaultSize="0" autoLine="0" autoPict="0">
                <anchor moveWithCells="1">
                  <from>
                    <xdr:col>19</xdr:col>
                    <xdr:colOff>0</xdr:colOff>
                    <xdr:row>51</xdr:row>
                    <xdr:rowOff>0</xdr:rowOff>
                  </from>
                  <to>
                    <xdr:col>22</xdr:col>
                    <xdr:colOff>190500</xdr:colOff>
                    <xdr:row>52</xdr:row>
                    <xdr:rowOff>9525</xdr:rowOff>
                  </to>
                </anchor>
              </controlPr>
            </control>
          </mc:Choice>
        </mc:AlternateContent>
        <mc:AlternateContent xmlns:mc="http://schemas.openxmlformats.org/markup-compatibility/2006">
          <mc:Choice Requires="x14">
            <control shapeId="19063" r:id="rId212" name="Drop Down 631">
              <controlPr defaultSize="0" autoLine="0" autoPict="0">
                <anchor moveWithCells="1">
                  <from>
                    <xdr:col>23</xdr:col>
                    <xdr:colOff>0</xdr:colOff>
                    <xdr:row>51</xdr:row>
                    <xdr:rowOff>0</xdr:rowOff>
                  </from>
                  <to>
                    <xdr:col>26</xdr:col>
                    <xdr:colOff>190500</xdr:colOff>
                    <xdr:row>52</xdr:row>
                    <xdr:rowOff>9525</xdr:rowOff>
                  </to>
                </anchor>
              </controlPr>
            </control>
          </mc:Choice>
        </mc:AlternateContent>
        <mc:AlternateContent xmlns:mc="http://schemas.openxmlformats.org/markup-compatibility/2006">
          <mc:Choice Requires="x14">
            <control shapeId="19064" r:id="rId213" name="Check Box 632">
              <controlPr defaultSize="0" autoFill="0" autoLine="0" autoPict="0">
                <anchor moveWithCells="1">
                  <from>
                    <xdr:col>17</xdr:col>
                    <xdr:colOff>38100</xdr:colOff>
                    <xdr:row>51</xdr:row>
                    <xdr:rowOff>0</xdr:rowOff>
                  </from>
                  <to>
                    <xdr:col>17</xdr:col>
                    <xdr:colOff>342900</xdr:colOff>
                    <xdr:row>52</xdr:row>
                    <xdr:rowOff>28575</xdr:rowOff>
                  </to>
                </anchor>
              </controlPr>
            </control>
          </mc:Choice>
        </mc:AlternateContent>
        <mc:AlternateContent xmlns:mc="http://schemas.openxmlformats.org/markup-compatibility/2006">
          <mc:Choice Requires="x14">
            <control shapeId="19065" r:id="rId214" name="Drop Down 633">
              <controlPr defaultSize="0" autoLine="0" autoPict="0">
                <anchor moveWithCells="1">
                  <from>
                    <xdr:col>27</xdr:col>
                    <xdr:colOff>0</xdr:colOff>
                    <xdr:row>51</xdr:row>
                    <xdr:rowOff>0</xdr:rowOff>
                  </from>
                  <to>
                    <xdr:col>30</xdr:col>
                    <xdr:colOff>190500</xdr:colOff>
                    <xdr:row>52</xdr:row>
                    <xdr:rowOff>9525</xdr:rowOff>
                  </to>
                </anchor>
              </controlPr>
            </control>
          </mc:Choice>
        </mc:AlternateContent>
        <mc:AlternateContent xmlns:mc="http://schemas.openxmlformats.org/markup-compatibility/2006">
          <mc:Choice Requires="x14">
            <control shapeId="19066" r:id="rId215" name="Drop Down 634">
              <controlPr defaultSize="0" autoLine="0" autoPict="0">
                <anchor moveWithCells="1">
                  <from>
                    <xdr:col>115</xdr:col>
                    <xdr:colOff>0</xdr:colOff>
                    <xdr:row>51</xdr:row>
                    <xdr:rowOff>0</xdr:rowOff>
                  </from>
                  <to>
                    <xdr:col>117</xdr:col>
                    <xdr:colOff>19050</xdr:colOff>
                    <xdr:row>52</xdr:row>
                    <xdr:rowOff>9525</xdr:rowOff>
                  </to>
                </anchor>
              </controlPr>
            </control>
          </mc:Choice>
        </mc:AlternateContent>
        <mc:AlternateContent xmlns:mc="http://schemas.openxmlformats.org/markup-compatibility/2006">
          <mc:Choice Requires="x14">
            <control shapeId="19067" r:id="rId216" name="Drop Down 635">
              <controlPr defaultSize="0" autoLine="0" autoPict="0">
                <anchor moveWithCells="1">
                  <from>
                    <xdr:col>163</xdr:col>
                    <xdr:colOff>0</xdr:colOff>
                    <xdr:row>51</xdr:row>
                    <xdr:rowOff>0</xdr:rowOff>
                  </from>
                  <to>
                    <xdr:col>165</xdr:col>
                    <xdr:colOff>333375</xdr:colOff>
                    <xdr:row>52</xdr:row>
                    <xdr:rowOff>9525</xdr:rowOff>
                  </to>
                </anchor>
              </controlPr>
            </control>
          </mc:Choice>
        </mc:AlternateContent>
        <mc:AlternateContent xmlns:mc="http://schemas.openxmlformats.org/markup-compatibility/2006">
          <mc:Choice Requires="x14">
            <control shapeId="19068" r:id="rId217" name="Drop Down 636">
              <controlPr defaultSize="0" autoLine="0" autoPict="0">
                <anchor moveWithCells="1">
                  <from>
                    <xdr:col>264</xdr:col>
                    <xdr:colOff>0</xdr:colOff>
                    <xdr:row>51</xdr:row>
                    <xdr:rowOff>0</xdr:rowOff>
                  </from>
                  <to>
                    <xdr:col>266</xdr:col>
                    <xdr:colOff>161925</xdr:colOff>
                    <xdr:row>52</xdr:row>
                    <xdr:rowOff>9525</xdr:rowOff>
                  </to>
                </anchor>
              </controlPr>
            </control>
          </mc:Choice>
        </mc:AlternateContent>
        <mc:AlternateContent xmlns:mc="http://schemas.openxmlformats.org/markup-compatibility/2006">
          <mc:Choice Requires="x14">
            <control shapeId="19069" r:id="rId218" name="Drop Down 637">
              <controlPr defaultSize="0" autoLine="0" autoPict="0">
                <anchor moveWithCells="1">
                  <from>
                    <xdr:col>3</xdr:col>
                    <xdr:colOff>9525</xdr:colOff>
                    <xdr:row>51</xdr:row>
                    <xdr:rowOff>0</xdr:rowOff>
                  </from>
                  <to>
                    <xdr:col>4</xdr:col>
                    <xdr:colOff>190500</xdr:colOff>
                    <xdr:row>52</xdr:row>
                    <xdr:rowOff>9525</xdr:rowOff>
                  </to>
                </anchor>
              </controlPr>
            </control>
          </mc:Choice>
        </mc:AlternateContent>
        <mc:AlternateContent xmlns:mc="http://schemas.openxmlformats.org/markup-compatibility/2006">
          <mc:Choice Requires="x14">
            <control shapeId="19070" r:id="rId219" name="Drop Down 638">
              <controlPr defaultSize="0" autoLine="0" autoPict="0">
                <anchor moveWithCells="1">
                  <from>
                    <xdr:col>5</xdr:col>
                    <xdr:colOff>0</xdr:colOff>
                    <xdr:row>51</xdr:row>
                    <xdr:rowOff>0</xdr:rowOff>
                  </from>
                  <to>
                    <xdr:col>8</xdr:col>
                    <xdr:colOff>9525</xdr:colOff>
                    <xdr:row>52</xdr:row>
                    <xdr:rowOff>9525</xdr:rowOff>
                  </to>
                </anchor>
              </controlPr>
            </control>
          </mc:Choice>
        </mc:AlternateContent>
        <mc:AlternateContent xmlns:mc="http://schemas.openxmlformats.org/markup-compatibility/2006">
          <mc:Choice Requires="x14">
            <control shapeId="19071" r:id="rId220" name="Drop Down 639">
              <controlPr defaultSize="0" autoLine="0" autoPict="0">
                <anchor moveWithCells="1">
                  <from>
                    <xdr:col>35</xdr:col>
                    <xdr:colOff>9525</xdr:colOff>
                    <xdr:row>51</xdr:row>
                    <xdr:rowOff>0</xdr:rowOff>
                  </from>
                  <to>
                    <xdr:col>36</xdr:col>
                    <xdr:colOff>9525</xdr:colOff>
                    <xdr:row>52</xdr:row>
                    <xdr:rowOff>9525</xdr:rowOff>
                  </to>
                </anchor>
              </controlPr>
            </control>
          </mc:Choice>
        </mc:AlternateContent>
        <mc:AlternateContent xmlns:mc="http://schemas.openxmlformats.org/markup-compatibility/2006">
          <mc:Choice Requires="x14">
            <control shapeId="19072" r:id="rId221" name="Drop Down 640">
              <controlPr defaultSize="0" autoLine="0" autoPict="0">
                <anchor moveWithCells="1">
                  <from>
                    <xdr:col>9</xdr:col>
                    <xdr:colOff>76200</xdr:colOff>
                    <xdr:row>53</xdr:row>
                    <xdr:rowOff>0</xdr:rowOff>
                  </from>
                  <to>
                    <xdr:col>12</xdr:col>
                    <xdr:colOff>257175</xdr:colOff>
                    <xdr:row>54</xdr:row>
                    <xdr:rowOff>9525</xdr:rowOff>
                  </to>
                </anchor>
              </controlPr>
            </control>
          </mc:Choice>
        </mc:AlternateContent>
        <mc:AlternateContent xmlns:mc="http://schemas.openxmlformats.org/markup-compatibility/2006">
          <mc:Choice Requires="x14">
            <control shapeId="19073" r:id="rId222" name="Drop Down 641">
              <controlPr defaultSize="0" autoLine="0" autoPict="0">
                <anchor moveWithCells="1">
                  <from>
                    <xdr:col>13</xdr:col>
                    <xdr:colOff>0</xdr:colOff>
                    <xdr:row>53</xdr:row>
                    <xdr:rowOff>0</xdr:rowOff>
                  </from>
                  <to>
                    <xdr:col>16</xdr:col>
                    <xdr:colOff>190500</xdr:colOff>
                    <xdr:row>54</xdr:row>
                    <xdr:rowOff>9525</xdr:rowOff>
                  </to>
                </anchor>
              </controlPr>
            </control>
          </mc:Choice>
        </mc:AlternateContent>
        <mc:AlternateContent xmlns:mc="http://schemas.openxmlformats.org/markup-compatibility/2006">
          <mc:Choice Requires="x14">
            <control shapeId="19074" r:id="rId223" name="Drop Down 642">
              <controlPr defaultSize="0" autoLine="0" autoPict="0">
                <anchor moveWithCells="1">
                  <from>
                    <xdr:col>19</xdr:col>
                    <xdr:colOff>0</xdr:colOff>
                    <xdr:row>53</xdr:row>
                    <xdr:rowOff>0</xdr:rowOff>
                  </from>
                  <to>
                    <xdr:col>22</xdr:col>
                    <xdr:colOff>190500</xdr:colOff>
                    <xdr:row>54</xdr:row>
                    <xdr:rowOff>9525</xdr:rowOff>
                  </to>
                </anchor>
              </controlPr>
            </control>
          </mc:Choice>
        </mc:AlternateContent>
        <mc:AlternateContent xmlns:mc="http://schemas.openxmlformats.org/markup-compatibility/2006">
          <mc:Choice Requires="x14">
            <control shapeId="19075" r:id="rId224" name="Drop Down 643">
              <controlPr defaultSize="0" autoLine="0" autoPict="0">
                <anchor moveWithCells="1">
                  <from>
                    <xdr:col>23</xdr:col>
                    <xdr:colOff>0</xdr:colOff>
                    <xdr:row>53</xdr:row>
                    <xdr:rowOff>0</xdr:rowOff>
                  </from>
                  <to>
                    <xdr:col>26</xdr:col>
                    <xdr:colOff>190500</xdr:colOff>
                    <xdr:row>54</xdr:row>
                    <xdr:rowOff>9525</xdr:rowOff>
                  </to>
                </anchor>
              </controlPr>
            </control>
          </mc:Choice>
        </mc:AlternateContent>
        <mc:AlternateContent xmlns:mc="http://schemas.openxmlformats.org/markup-compatibility/2006">
          <mc:Choice Requires="x14">
            <control shapeId="19076" r:id="rId225" name="Check Box 644">
              <controlPr defaultSize="0" autoFill="0" autoLine="0" autoPict="0">
                <anchor moveWithCells="1">
                  <from>
                    <xdr:col>17</xdr:col>
                    <xdr:colOff>38100</xdr:colOff>
                    <xdr:row>53</xdr:row>
                    <xdr:rowOff>0</xdr:rowOff>
                  </from>
                  <to>
                    <xdr:col>17</xdr:col>
                    <xdr:colOff>342900</xdr:colOff>
                    <xdr:row>54</xdr:row>
                    <xdr:rowOff>28575</xdr:rowOff>
                  </to>
                </anchor>
              </controlPr>
            </control>
          </mc:Choice>
        </mc:AlternateContent>
        <mc:AlternateContent xmlns:mc="http://schemas.openxmlformats.org/markup-compatibility/2006">
          <mc:Choice Requires="x14">
            <control shapeId="19077" r:id="rId226" name="Drop Down 645">
              <controlPr defaultSize="0" autoLine="0" autoPict="0">
                <anchor moveWithCells="1">
                  <from>
                    <xdr:col>27</xdr:col>
                    <xdr:colOff>0</xdr:colOff>
                    <xdr:row>53</xdr:row>
                    <xdr:rowOff>0</xdr:rowOff>
                  </from>
                  <to>
                    <xdr:col>30</xdr:col>
                    <xdr:colOff>190500</xdr:colOff>
                    <xdr:row>54</xdr:row>
                    <xdr:rowOff>9525</xdr:rowOff>
                  </to>
                </anchor>
              </controlPr>
            </control>
          </mc:Choice>
        </mc:AlternateContent>
        <mc:AlternateContent xmlns:mc="http://schemas.openxmlformats.org/markup-compatibility/2006">
          <mc:Choice Requires="x14">
            <control shapeId="19078" r:id="rId227" name="Drop Down 646">
              <controlPr defaultSize="0" autoLine="0" autoPict="0">
                <anchor moveWithCells="1">
                  <from>
                    <xdr:col>115</xdr:col>
                    <xdr:colOff>0</xdr:colOff>
                    <xdr:row>53</xdr:row>
                    <xdr:rowOff>0</xdr:rowOff>
                  </from>
                  <to>
                    <xdr:col>117</xdr:col>
                    <xdr:colOff>19050</xdr:colOff>
                    <xdr:row>54</xdr:row>
                    <xdr:rowOff>9525</xdr:rowOff>
                  </to>
                </anchor>
              </controlPr>
            </control>
          </mc:Choice>
        </mc:AlternateContent>
        <mc:AlternateContent xmlns:mc="http://schemas.openxmlformats.org/markup-compatibility/2006">
          <mc:Choice Requires="x14">
            <control shapeId="19079" r:id="rId228" name="Drop Down 647">
              <controlPr defaultSize="0" autoLine="0" autoPict="0">
                <anchor moveWithCells="1">
                  <from>
                    <xdr:col>163</xdr:col>
                    <xdr:colOff>0</xdr:colOff>
                    <xdr:row>53</xdr:row>
                    <xdr:rowOff>0</xdr:rowOff>
                  </from>
                  <to>
                    <xdr:col>165</xdr:col>
                    <xdr:colOff>333375</xdr:colOff>
                    <xdr:row>54</xdr:row>
                    <xdr:rowOff>9525</xdr:rowOff>
                  </to>
                </anchor>
              </controlPr>
            </control>
          </mc:Choice>
        </mc:AlternateContent>
        <mc:AlternateContent xmlns:mc="http://schemas.openxmlformats.org/markup-compatibility/2006">
          <mc:Choice Requires="x14">
            <control shapeId="19080" r:id="rId229" name="Drop Down 648">
              <controlPr defaultSize="0" autoLine="0" autoPict="0">
                <anchor moveWithCells="1">
                  <from>
                    <xdr:col>264</xdr:col>
                    <xdr:colOff>0</xdr:colOff>
                    <xdr:row>53</xdr:row>
                    <xdr:rowOff>0</xdr:rowOff>
                  </from>
                  <to>
                    <xdr:col>266</xdr:col>
                    <xdr:colOff>161925</xdr:colOff>
                    <xdr:row>54</xdr:row>
                    <xdr:rowOff>9525</xdr:rowOff>
                  </to>
                </anchor>
              </controlPr>
            </control>
          </mc:Choice>
        </mc:AlternateContent>
        <mc:AlternateContent xmlns:mc="http://schemas.openxmlformats.org/markup-compatibility/2006">
          <mc:Choice Requires="x14">
            <control shapeId="19081" r:id="rId230" name="Drop Down 649">
              <controlPr defaultSize="0" autoLine="0" autoPict="0">
                <anchor moveWithCells="1">
                  <from>
                    <xdr:col>3</xdr:col>
                    <xdr:colOff>9525</xdr:colOff>
                    <xdr:row>53</xdr:row>
                    <xdr:rowOff>0</xdr:rowOff>
                  </from>
                  <to>
                    <xdr:col>4</xdr:col>
                    <xdr:colOff>190500</xdr:colOff>
                    <xdr:row>54</xdr:row>
                    <xdr:rowOff>9525</xdr:rowOff>
                  </to>
                </anchor>
              </controlPr>
            </control>
          </mc:Choice>
        </mc:AlternateContent>
        <mc:AlternateContent xmlns:mc="http://schemas.openxmlformats.org/markup-compatibility/2006">
          <mc:Choice Requires="x14">
            <control shapeId="19082" r:id="rId231" name="Drop Down 650">
              <controlPr defaultSize="0" autoLine="0" autoPict="0">
                <anchor moveWithCells="1">
                  <from>
                    <xdr:col>5</xdr:col>
                    <xdr:colOff>0</xdr:colOff>
                    <xdr:row>53</xdr:row>
                    <xdr:rowOff>0</xdr:rowOff>
                  </from>
                  <to>
                    <xdr:col>8</xdr:col>
                    <xdr:colOff>9525</xdr:colOff>
                    <xdr:row>54</xdr:row>
                    <xdr:rowOff>9525</xdr:rowOff>
                  </to>
                </anchor>
              </controlPr>
            </control>
          </mc:Choice>
        </mc:AlternateContent>
        <mc:AlternateContent xmlns:mc="http://schemas.openxmlformats.org/markup-compatibility/2006">
          <mc:Choice Requires="x14">
            <control shapeId="19083" r:id="rId232" name="Drop Down 651">
              <controlPr defaultSize="0" autoLine="0" autoPict="0">
                <anchor moveWithCells="1">
                  <from>
                    <xdr:col>35</xdr:col>
                    <xdr:colOff>9525</xdr:colOff>
                    <xdr:row>53</xdr:row>
                    <xdr:rowOff>0</xdr:rowOff>
                  </from>
                  <to>
                    <xdr:col>36</xdr:col>
                    <xdr:colOff>9525</xdr:colOff>
                    <xdr:row>54</xdr:row>
                    <xdr:rowOff>9525</xdr:rowOff>
                  </to>
                </anchor>
              </controlPr>
            </control>
          </mc:Choice>
        </mc:AlternateContent>
        <mc:AlternateContent xmlns:mc="http://schemas.openxmlformats.org/markup-compatibility/2006">
          <mc:Choice Requires="x14">
            <control shapeId="19084" r:id="rId233" name="Drop Down 652">
              <controlPr defaultSize="0" autoLine="0" autoPict="0">
                <anchor moveWithCells="1">
                  <from>
                    <xdr:col>9</xdr:col>
                    <xdr:colOff>76200</xdr:colOff>
                    <xdr:row>55</xdr:row>
                    <xdr:rowOff>0</xdr:rowOff>
                  </from>
                  <to>
                    <xdr:col>12</xdr:col>
                    <xdr:colOff>257175</xdr:colOff>
                    <xdr:row>56</xdr:row>
                    <xdr:rowOff>9525</xdr:rowOff>
                  </to>
                </anchor>
              </controlPr>
            </control>
          </mc:Choice>
        </mc:AlternateContent>
        <mc:AlternateContent xmlns:mc="http://schemas.openxmlformats.org/markup-compatibility/2006">
          <mc:Choice Requires="x14">
            <control shapeId="19085" r:id="rId234" name="Drop Down 653">
              <controlPr defaultSize="0" autoLine="0" autoPict="0">
                <anchor moveWithCells="1">
                  <from>
                    <xdr:col>13</xdr:col>
                    <xdr:colOff>0</xdr:colOff>
                    <xdr:row>55</xdr:row>
                    <xdr:rowOff>0</xdr:rowOff>
                  </from>
                  <to>
                    <xdr:col>16</xdr:col>
                    <xdr:colOff>190500</xdr:colOff>
                    <xdr:row>56</xdr:row>
                    <xdr:rowOff>9525</xdr:rowOff>
                  </to>
                </anchor>
              </controlPr>
            </control>
          </mc:Choice>
        </mc:AlternateContent>
        <mc:AlternateContent xmlns:mc="http://schemas.openxmlformats.org/markup-compatibility/2006">
          <mc:Choice Requires="x14">
            <control shapeId="19086" r:id="rId235" name="Drop Down 654">
              <controlPr defaultSize="0" autoLine="0" autoPict="0">
                <anchor moveWithCells="1">
                  <from>
                    <xdr:col>19</xdr:col>
                    <xdr:colOff>0</xdr:colOff>
                    <xdr:row>55</xdr:row>
                    <xdr:rowOff>0</xdr:rowOff>
                  </from>
                  <to>
                    <xdr:col>22</xdr:col>
                    <xdr:colOff>190500</xdr:colOff>
                    <xdr:row>56</xdr:row>
                    <xdr:rowOff>9525</xdr:rowOff>
                  </to>
                </anchor>
              </controlPr>
            </control>
          </mc:Choice>
        </mc:AlternateContent>
        <mc:AlternateContent xmlns:mc="http://schemas.openxmlformats.org/markup-compatibility/2006">
          <mc:Choice Requires="x14">
            <control shapeId="19087" r:id="rId236" name="Drop Down 655">
              <controlPr defaultSize="0" autoLine="0" autoPict="0">
                <anchor moveWithCells="1">
                  <from>
                    <xdr:col>23</xdr:col>
                    <xdr:colOff>0</xdr:colOff>
                    <xdr:row>55</xdr:row>
                    <xdr:rowOff>0</xdr:rowOff>
                  </from>
                  <to>
                    <xdr:col>26</xdr:col>
                    <xdr:colOff>190500</xdr:colOff>
                    <xdr:row>56</xdr:row>
                    <xdr:rowOff>9525</xdr:rowOff>
                  </to>
                </anchor>
              </controlPr>
            </control>
          </mc:Choice>
        </mc:AlternateContent>
        <mc:AlternateContent xmlns:mc="http://schemas.openxmlformats.org/markup-compatibility/2006">
          <mc:Choice Requires="x14">
            <control shapeId="19088" r:id="rId237" name="Check Box 656">
              <controlPr defaultSize="0" autoFill="0" autoLine="0" autoPict="0">
                <anchor moveWithCells="1">
                  <from>
                    <xdr:col>17</xdr:col>
                    <xdr:colOff>38100</xdr:colOff>
                    <xdr:row>55</xdr:row>
                    <xdr:rowOff>0</xdr:rowOff>
                  </from>
                  <to>
                    <xdr:col>17</xdr:col>
                    <xdr:colOff>342900</xdr:colOff>
                    <xdr:row>56</xdr:row>
                    <xdr:rowOff>28575</xdr:rowOff>
                  </to>
                </anchor>
              </controlPr>
            </control>
          </mc:Choice>
        </mc:AlternateContent>
        <mc:AlternateContent xmlns:mc="http://schemas.openxmlformats.org/markup-compatibility/2006">
          <mc:Choice Requires="x14">
            <control shapeId="19089" r:id="rId238" name="Drop Down 657">
              <controlPr defaultSize="0" autoLine="0" autoPict="0">
                <anchor moveWithCells="1">
                  <from>
                    <xdr:col>27</xdr:col>
                    <xdr:colOff>0</xdr:colOff>
                    <xdr:row>55</xdr:row>
                    <xdr:rowOff>0</xdr:rowOff>
                  </from>
                  <to>
                    <xdr:col>30</xdr:col>
                    <xdr:colOff>190500</xdr:colOff>
                    <xdr:row>56</xdr:row>
                    <xdr:rowOff>9525</xdr:rowOff>
                  </to>
                </anchor>
              </controlPr>
            </control>
          </mc:Choice>
        </mc:AlternateContent>
        <mc:AlternateContent xmlns:mc="http://schemas.openxmlformats.org/markup-compatibility/2006">
          <mc:Choice Requires="x14">
            <control shapeId="19090" r:id="rId239" name="Drop Down 658">
              <controlPr defaultSize="0" autoLine="0" autoPict="0">
                <anchor moveWithCells="1">
                  <from>
                    <xdr:col>115</xdr:col>
                    <xdr:colOff>0</xdr:colOff>
                    <xdr:row>55</xdr:row>
                    <xdr:rowOff>0</xdr:rowOff>
                  </from>
                  <to>
                    <xdr:col>117</xdr:col>
                    <xdr:colOff>19050</xdr:colOff>
                    <xdr:row>56</xdr:row>
                    <xdr:rowOff>9525</xdr:rowOff>
                  </to>
                </anchor>
              </controlPr>
            </control>
          </mc:Choice>
        </mc:AlternateContent>
        <mc:AlternateContent xmlns:mc="http://schemas.openxmlformats.org/markup-compatibility/2006">
          <mc:Choice Requires="x14">
            <control shapeId="19091" r:id="rId240" name="Drop Down 659">
              <controlPr defaultSize="0" autoLine="0" autoPict="0">
                <anchor moveWithCells="1">
                  <from>
                    <xdr:col>163</xdr:col>
                    <xdr:colOff>0</xdr:colOff>
                    <xdr:row>55</xdr:row>
                    <xdr:rowOff>0</xdr:rowOff>
                  </from>
                  <to>
                    <xdr:col>165</xdr:col>
                    <xdr:colOff>333375</xdr:colOff>
                    <xdr:row>56</xdr:row>
                    <xdr:rowOff>9525</xdr:rowOff>
                  </to>
                </anchor>
              </controlPr>
            </control>
          </mc:Choice>
        </mc:AlternateContent>
        <mc:AlternateContent xmlns:mc="http://schemas.openxmlformats.org/markup-compatibility/2006">
          <mc:Choice Requires="x14">
            <control shapeId="19092" r:id="rId241" name="Drop Down 660">
              <controlPr defaultSize="0" autoLine="0" autoPict="0">
                <anchor moveWithCells="1">
                  <from>
                    <xdr:col>264</xdr:col>
                    <xdr:colOff>0</xdr:colOff>
                    <xdr:row>55</xdr:row>
                    <xdr:rowOff>0</xdr:rowOff>
                  </from>
                  <to>
                    <xdr:col>266</xdr:col>
                    <xdr:colOff>161925</xdr:colOff>
                    <xdr:row>56</xdr:row>
                    <xdr:rowOff>9525</xdr:rowOff>
                  </to>
                </anchor>
              </controlPr>
            </control>
          </mc:Choice>
        </mc:AlternateContent>
        <mc:AlternateContent xmlns:mc="http://schemas.openxmlformats.org/markup-compatibility/2006">
          <mc:Choice Requires="x14">
            <control shapeId="19093" r:id="rId242" name="Drop Down 661">
              <controlPr defaultSize="0" autoLine="0" autoPict="0">
                <anchor moveWithCells="1">
                  <from>
                    <xdr:col>3</xdr:col>
                    <xdr:colOff>9525</xdr:colOff>
                    <xdr:row>55</xdr:row>
                    <xdr:rowOff>0</xdr:rowOff>
                  </from>
                  <to>
                    <xdr:col>4</xdr:col>
                    <xdr:colOff>190500</xdr:colOff>
                    <xdr:row>56</xdr:row>
                    <xdr:rowOff>9525</xdr:rowOff>
                  </to>
                </anchor>
              </controlPr>
            </control>
          </mc:Choice>
        </mc:AlternateContent>
        <mc:AlternateContent xmlns:mc="http://schemas.openxmlformats.org/markup-compatibility/2006">
          <mc:Choice Requires="x14">
            <control shapeId="19094" r:id="rId243" name="Drop Down 662">
              <controlPr defaultSize="0" autoLine="0" autoPict="0">
                <anchor moveWithCells="1">
                  <from>
                    <xdr:col>5</xdr:col>
                    <xdr:colOff>0</xdr:colOff>
                    <xdr:row>55</xdr:row>
                    <xdr:rowOff>0</xdr:rowOff>
                  </from>
                  <to>
                    <xdr:col>8</xdr:col>
                    <xdr:colOff>9525</xdr:colOff>
                    <xdr:row>56</xdr:row>
                    <xdr:rowOff>9525</xdr:rowOff>
                  </to>
                </anchor>
              </controlPr>
            </control>
          </mc:Choice>
        </mc:AlternateContent>
        <mc:AlternateContent xmlns:mc="http://schemas.openxmlformats.org/markup-compatibility/2006">
          <mc:Choice Requires="x14">
            <control shapeId="19095" r:id="rId244" name="Drop Down 663">
              <controlPr defaultSize="0" autoLine="0" autoPict="0">
                <anchor moveWithCells="1">
                  <from>
                    <xdr:col>35</xdr:col>
                    <xdr:colOff>9525</xdr:colOff>
                    <xdr:row>55</xdr:row>
                    <xdr:rowOff>0</xdr:rowOff>
                  </from>
                  <to>
                    <xdr:col>36</xdr:col>
                    <xdr:colOff>9525</xdr:colOff>
                    <xdr:row>56</xdr:row>
                    <xdr:rowOff>9525</xdr:rowOff>
                  </to>
                </anchor>
              </controlPr>
            </control>
          </mc:Choice>
        </mc:AlternateContent>
        <mc:AlternateContent xmlns:mc="http://schemas.openxmlformats.org/markup-compatibility/2006">
          <mc:Choice Requires="x14">
            <control shapeId="19096" r:id="rId245" name="Drop Down 664">
              <controlPr defaultSize="0" autoLine="0" autoPict="0">
                <anchor moveWithCells="1">
                  <from>
                    <xdr:col>9</xdr:col>
                    <xdr:colOff>76200</xdr:colOff>
                    <xdr:row>57</xdr:row>
                    <xdr:rowOff>0</xdr:rowOff>
                  </from>
                  <to>
                    <xdr:col>12</xdr:col>
                    <xdr:colOff>257175</xdr:colOff>
                    <xdr:row>58</xdr:row>
                    <xdr:rowOff>9525</xdr:rowOff>
                  </to>
                </anchor>
              </controlPr>
            </control>
          </mc:Choice>
        </mc:AlternateContent>
        <mc:AlternateContent xmlns:mc="http://schemas.openxmlformats.org/markup-compatibility/2006">
          <mc:Choice Requires="x14">
            <control shapeId="19097" r:id="rId246" name="Drop Down 665">
              <controlPr defaultSize="0" autoLine="0" autoPict="0">
                <anchor moveWithCells="1">
                  <from>
                    <xdr:col>13</xdr:col>
                    <xdr:colOff>0</xdr:colOff>
                    <xdr:row>57</xdr:row>
                    <xdr:rowOff>0</xdr:rowOff>
                  </from>
                  <to>
                    <xdr:col>16</xdr:col>
                    <xdr:colOff>190500</xdr:colOff>
                    <xdr:row>58</xdr:row>
                    <xdr:rowOff>9525</xdr:rowOff>
                  </to>
                </anchor>
              </controlPr>
            </control>
          </mc:Choice>
        </mc:AlternateContent>
        <mc:AlternateContent xmlns:mc="http://schemas.openxmlformats.org/markup-compatibility/2006">
          <mc:Choice Requires="x14">
            <control shapeId="19098" r:id="rId247" name="Drop Down 666">
              <controlPr defaultSize="0" autoLine="0" autoPict="0">
                <anchor moveWithCells="1">
                  <from>
                    <xdr:col>19</xdr:col>
                    <xdr:colOff>0</xdr:colOff>
                    <xdr:row>57</xdr:row>
                    <xdr:rowOff>0</xdr:rowOff>
                  </from>
                  <to>
                    <xdr:col>22</xdr:col>
                    <xdr:colOff>190500</xdr:colOff>
                    <xdr:row>58</xdr:row>
                    <xdr:rowOff>9525</xdr:rowOff>
                  </to>
                </anchor>
              </controlPr>
            </control>
          </mc:Choice>
        </mc:AlternateContent>
        <mc:AlternateContent xmlns:mc="http://schemas.openxmlformats.org/markup-compatibility/2006">
          <mc:Choice Requires="x14">
            <control shapeId="19099" r:id="rId248" name="Drop Down 667">
              <controlPr defaultSize="0" autoLine="0" autoPict="0">
                <anchor moveWithCells="1">
                  <from>
                    <xdr:col>23</xdr:col>
                    <xdr:colOff>0</xdr:colOff>
                    <xdr:row>57</xdr:row>
                    <xdr:rowOff>0</xdr:rowOff>
                  </from>
                  <to>
                    <xdr:col>26</xdr:col>
                    <xdr:colOff>190500</xdr:colOff>
                    <xdr:row>58</xdr:row>
                    <xdr:rowOff>9525</xdr:rowOff>
                  </to>
                </anchor>
              </controlPr>
            </control>
          </mc:Choice>
        </mc:AlternateContent>
        <mc:AlternateContent xmlns:mc="http://schemas.openxmlformats.org/markup-compatibility/2006">
          <mc:Choice Requires="x14">
            <control shapeId="19100" r:id="rId249" name="Check Box 668">
              <controlPr defaultSize="0" autoFill="0" autoLine="0" autoPict="0">
                <anchor moveWithCells="1">
                  <from>
                    <xdr:col>17</xdr:col>
                    <xdr:colOff>38100</xdr:colOff>
                    <xdr:row>57</xdr:row>
                    <xdr:rowOff>0</xdr:rowOff>
                  </from>
                  <to>
                    <xdr:col>17</xdr:col>
                    <xdr:colOff>342900</xdr:colOff>
                    <xdr:row>58</xdr:row>
                    <xdr:rowOff>28575</xdr:rowOff>
                  </to>
                </anchor>
              </controlPr>
            </control>
          </mc:Choice>
        </mc:AlternateContent>
        <mc:AlternateContent xmlns:mc="http://schemas.openxmlformats.org/markup-compatibility/2006">
          <mc:Choice Requires="x14">
            <control shapeId="19101" r:id="rId250" name="Drop Down 669">
              <controlPr defaultSize="0" autoLine="0" autoPict="0">
                <anchor moveWithCells="1">
                  <from>
                    <xdr:col>27</xdr:col>
                    <xdr:colOff>0</xdr:colOff>
                    <xdr:row>57</xdr:row>
                    <xdr:rowOff>0</xdr:rowOff>
                  </from>
                  <to>
                    <xdr:col>30</xdr:col>
                    <xdr:colOff>190500</xdr:colOff>
                    <xdr:row>58</xdr:row>
                    <xdr:rowOff>9525</xdr:rowOff>
                  </to>
                </anchor>
              </controlPr>
            </control>
          </mc:Choice>
        </mc:AlternateContent>
        <mc:AlternateContent xmlns:mc="http://schemas.openxmlformats.org/markup-compatibility/2006">
          <mc:Choice Requires="x14">
            <control shapeId="19102" r:id="rId251" name="Drop Down 670">
              <controlPr defaultSize="0" autoLine="0" autoPict="0">
                <anchor moveWithCells="1">
                  <from>
                    <xdr:col>115</xdr:col>
                    <xdr:colOff>0</xdr:colOff>
                    <xdr:row>57</xdr:row>
                    <xdr:rowOff>0</xdr:rowOff>
                  </from>
                  <to>
                    <xdr:col>117</xdr:col>
                    <xdr:colOff>19050</xdr:colOff>
                    <xdr:row>58</xdr:row>
                    <xdr:rowOff>9525</xdr:rowOff>
                  </to>
                </anchor>
              </controlPr>
            </control>
          </mc:Choice>
        </mc:AlternateContent>
        <mc:AlternateContent xmlns:mc="http://schemas.openxmlformats.org/markup-compatibility/2006">
          <mc:Choice Requires="x14">
            <control shapeId="19103" r:id="rId252" name="Drop Down 671">
              <controlPr defaultSize="0" autoLine="0" autoPict="0">
                <anchor moveWithCells="1">
                  <from>
                    <xdr:col>163</xdr:col>
                    <xdr:colOff>0</xdr:colOff>
                    <xdr:row>57</xdr:row>
                    <xdr:rowOff>0</xdr:rowOff>
                  </from>
                  <to>
                    <xdr:col>165</xdr:col>
                    <xdr:colOff>333375</xdr:colOff>
                    <xdr:row>58</xdr:row>
                    <xdr:rowOff>9525</xdr:rowOff>
                  </to>
                </anchor>
              </controlPr>
            </control>
          </mc:Choice>
        </mc:AlternateContent>
        <mc:AlternateContent xmlns:mc="http://schemas.openxmlformats.org/markup-compatibility/2006">
          <mc:Choice Requires="x14">
            <control shapeId="19104" r:id="rId253" name="Drop Down 672">
              <controlPr defaultSize="0" autoLine="0" autoPict="0">
                <anchor moveWithCells="1">
                  <from>
                    <xdr:col>264</xdr:col>
                    <xdr:colOff>0</xdr:colOff>
                    <xdr:row>57</xdr:row>
                    <xdr:rowOff>0</xdr:rowOff>
                  </from>
                  <to>
                    <xdr:col>266</xdr:col>
                    <xdr:colOff>161925</xdr:colOff>
                    <xdr:row>58</xdr:row>
                    <xdr:rowOff>9525</xdr:rowOff>
                  </to>
                </anchor>
              </controlPr>
            </control>
          </mc:Choice>
        </mc:AlternateContent>
        <mc:AlternateContent xmlns:mc="http://schemas.openxmlformats.org/markup-compatibility/2006">
          <mc:Choice Requires="x14">
            <control shapeId="19105" r:id="rId254" name="Drop Down 673">
              <controlPr defaultSize="0" autoLine="0" autoPict="0">
                <anchor moveWithCells="1">
                  <from>
                    <xdr:col>3</xdr:col>
                    <xdr:colOff>9525</xdr:colOff>
                    <xdr:row>57</xdr:row>
                    <xdr:rowOff>0</xdr:rowOff>
                  </from>
                  <to>
                    <xdr:col>4</xdr:col>
                    <xdr:colOff>190500</xdr:colOff>
                    <xdr:row>58</xdr:row>
                    <xdr:rowOff>9525</xdr:rowOff>
                  </to>
                </anchor>
              </controlPr>
            </control>
          </mc:Choice>
        </mc:AlternateContent>
        <mc:AlternateContent xmlns:mc="http://schemas.openxmlformats.org/markup-compatibility/2006">
          <mc:Choice Requires="x14">
            <control shapeId="19106" r:id="rId255" name="Drop Down 674">
              <controlPr defaultSize="0" autoLine="0" autoPict="0">
                <anchor moveWithCells="1">
                  <from>
                    <xdr:col>5</xdr:col>
                    <xdr:colOff>0</xdr:colOff>
                    <xdr:row>57</xdr:row>
                    <xdr:rowOff>0</xdr:rowOff>
                  </from>
                  <to>
                    <xdr:col>8</xdr:col>
                    <xdr:colOff>9525</xdr:colOff>
                    <xdr:row>58</xdr:row>
                    <xdr:rowOff>9525</xdr:rowOff>
                  </to>
                </anchor>
              </controlPr>
            </control>
          </mc:Choice>
        </mc:AlternateContent>
        <mc:AlternateContent xmlns:mc="http://schemas.openxmlformats.org/markup-compatibility/2006">
          <mc:Choice Requires="x14">
            <control shapeId="19107" r:id="rId256" name="Drop Down 675">
              <controlPr defaultSize="0" autoLine="0" autoPict="0">
                <anchor moveWithCells="1">
                  <from>
                    <xdr:col>35</xdr:col>
                    <xdr:colOff>9525</xdr:colOff>
                    <xdr:row>57</xdr:row>
                    <xdr:rowOff>0</xdr:rowOff>
                  </from>
                  <to>
                    <xdr:col>36</xdr:col>
                    <xdr:colOff>9525</xdr:colOff>
                    <xdr:row>58</xdr:row>
                    <xdr:rowOff>9525</xdr:rowOff>
                  </to>
                </anchor>
              </controlPr>
            </control>
          </mc:Choice>
        </mc:AlternateContent>
        <mc:AlternateContent xmlns:mc="http://schemas.openxmlformats.org/markup-compatibility/2006">
          <mc:Choice Requires="x14">
            <control shapeId="19108" r:id="rId257" name="Drop Down 676">
              <controlPr defaultSize="0" autoLine="0" autoPict="0">
                <anchor moveWithCells="1">
                  <from>
                    <xdr:col>9</xdr:col>
                    <xdr:colOff>76200</xdr:colOff>
                    <xdr:row>59</xdr:row>
                    <xdr:rowOff>0</xdr:rowOff>
                  </from>
                  <to>
                    <xdr:col>12</xdr:col>
                    <xdr:colOff>257175</xdr:colOff>
                    <xdr:row>60</xdr:row>
                    <xdr:rowOff>9525</xdr:rowOff>
                  </to>
                </anchor>
              </controlPr>
            </control>
          </mc:Choice>
        </mc:AlternateContent>
        <mc:AlternateContent xmlns:mc="http://schemas.openxmlformats.org/markup-compatibility/2006">
          <mc:Choice Requires="x14">
            <control shapeId="19109" r:id="rId258" name="Drop Down 677">
              <controlPr defaultSize="0" autoLine="0" autoPict="0">
                <anchor moveWithCells="1">
                  <from>
                    <xdr:col>13</xdr:col>
                    <xdr:colOff>0</xdr:colOff>
                    <xdr:row>59</xdr:row>
                    <xdr:rowOff>0</xdr:rowOff>
                  </from>
                  <to>
                    <xdr:col>16</xdr:col>
                    <xdr:colOff>190500</xdr:colOff>
                    <xdr:row>60</xdr:row>
                    <xdr:rowOff>9525</xdr:rowOff>
                  </to>
                </anchor>
              </controlPr>
            </control>
          </mc:Choice>
        </mc:AlternateContent>
        <mc:AlternateContent xmlns:mc="http://schemas.openxmlformats.org/markup-compatibility/2006">
          <mc:Choice Requires="x14">
            <control shapeId="19110" r:id="rId259" name="Drop Down 678">
              <controlPr defaultSize="0" autoLine="0" autoPict="0">
                <anchor moveWithCells="1">
                  <from>
                    <xdr:col>19</xdr:col>
                    <xdr:colOff>0</xdr:colOff>
                    <xdr:row>59</xdr:row>
                    <xdr:rowOff>0</xdr:rowOff>
                  </from>
                  <to>
                    <xdr:col>22</xdr:col>
                    <xdr:colOff>190500</xdr:colOff>
                    <xdr:row>60</xdr:row>
                    <xdr:rowOff>9525</xdr:rowOff>
                  </to>
                </anchor>
              </controlPr>
            </control>
          </mc:Choice>
        </mc:AlternateContent>
        <mc:AlternateContent xmlns:mc="http://schemas.openxmlformats.org/markup-compatibility/2006">
          <mc:Choice Requires="x14">
            <control shapeId="19111" r:id="rId260" name="Drop Down 679">
              <controlPr defaultSize="0" autoLine="0" autoPict="0">
                <anchor moveWithCells="1">
                  <from>
                    <xdr:col>23</xdr:col>
                    <xdr:colOff>0</xdr:colOff>
                    <xdr:row>59</xdr:row>
                    <xdr:rowOff>0</xdr:rowOff>
                  </from>
                  <to>
                    <xdr:col>26</xdr:col>
                    <xdr:colOff>190500</xdr:colOff>
                    <xdr:row>60</xdr:row>
                    <xdr:rowOff>9525</xdr:rowOff>
                  </to>
                </anchor>
              </controlPr>
            </control>
          </mc:Choice>
        </mc:AlternateContent>
        <mc:AlternateContent xmlns:mc="http://schemas.openxmlformats.org/markup-compatibility/2006">
          <mc:Choice Requires="x14">
            <control shapeId="19112" r:id="rId261" name="Check Box 680">
              <controlPr defaultSize="0" autoFill="0" autoLine="0" autoPict="0">
                <anchor moveWithCells="1">
                  <from>
                    <xdr:col>17</xdr:col>
                    <xdr:colOff>38100</xdr:colOff>
                    <xdr:row>59</xdr:row>
                    <xdr:rowOff>0</xdr:rowOff>
                  </from>
                  <to>
                    <xdr:col>17</xdr:col>
                    <xdr:colOff>342900</xdr:colOff>
                    <xdr:row>60</xdr:row>
                    <xdr:rowOff>28575</xdr:rowOff>
                  </to>
                </anchor>
              </controlPr>
            </control>
          </mc:Choice>
        </mc:AlternateContent>
        <mc:AlternateContent xmlns:mc="http://schemas.openxmlformats.org/markup-compatibility/2006">
          <mc:Choice Requires="x14">
            <control shapeId="19113" r:id="rId262" name="Drop Down 681">
              <controlPr defaultSize="0" autoLine="0" autoPict="0">
                <anchor moveWithCells="1">
                  <from>
                    <xdr:col>27</xdr:col>
                    <xdr:colOff>0</xdr:colOff>
                    <xdr:row>59</xdr:row>
                    <xdr:rowOff>0</xdr:rowOff>
                  </from>
                  <to>
                    <xdr:col>30</xdr:col>
                    <xdr:colOff>190500</xdr:colOff>
                    <xdr:row>60</xdr:row>
                    <xdr:rowOff>9525</xdr:rowOff>
                  </to>
                </anchor>
              </controlPr>
            </control>
          </mc:Choice>
        </mc:AlternateContent>
        <mc:AlternateContent xmlns:mc="http://schemas.openxmlformats.org/markup-compatibility/2006">
          <mc:Choice Requires="x14">
            <control shapeId="19114" r:id="rId263" name="Drop Down 682">
              <controlPr defaultSize="0" autoLine="0" autoPict="0">
                <anchor moveWithCells="1">
                  <from>
                    <xdr:col>115</xdr:col>
                    <xdr:colOff>0</xdr:colOff>
                    <xdr:row>59</xdr:row>
                    <xdr:rowOff>0</xdr:rowOff>
                  </from>
                  <to>
                    <xdr:col>117</xdr:col>
                    <xdr:colOff>19050</xdr:colOff>
                    <xdr:row>60</xdr:row>
                    <xdr:rowOff>9525</xdr:rowOff>
                  </to>
                </anchor>
              </controlPr>
            </control>
          </mc:Choice>
        </mc:AlternateContent>
        <mc:AlternateContent xmlns:mc="http://schemas.openxmlformats.org/markup-compatibility/2006">
          <mc:Choice Requires="x14">
            <control shapeId="19115" r:id="rId264" name="Drop Down 683">
              <controlPr defaultSize="0" autoLine="0" autoPict="0">
                <anchor moveWithCells="1">
                  <from>
                    <xdr:col>163</xdr:col>
                    <xdr:colOff>0</xdr:colOff>
                    <xdr:row>59</xdr:row>
                    <xdr:rowOff>0</xdr:rowOff>
                  </from>
                  <to>
                    <xdr:col>165</xdr:col>
                    <xdr:colOff>333375</xdr:colOff>
                    <xdr:row>60</xdr:row>
                    <xdr:rowOff>9525</xdr:rowOff>
                  </to>
                </anchor>
              </controlPr>
            </control>
          </mc:Choice>
        </mc:AlternateContent>
        <mc:AlternateContent xmlns:mc="http://schemas.openxmlformats.org/markup-compatibility/2006">
          <mc:Choice Requires="x14">
            <control shapeId="19116" r:id="rId265" name="Drop Down 684">
              <controlPr defaultSize="0" autoLine="0" autoPict="0">
                <anchor moveWithCells="1">
                  <from>
                    <xdr:col>264</xdr:col>
                    <xdr:colOff>0</xdr:colOff>
                    <xdr:row>59</xdr:row>
                    <xdr:rowOff>0</xdr:rowOff>
                  </from>
                  <to>
                    <xdr:col>266</xdr:col>
                    <xdr:colOff>161925</xdr:colOff>
                    <xdr:row>60</xdr:row>
                    <xdr:rowOff>9525</xdr:rowOff>
                  </to>
                </anchor>
              </controlPr>
            </control>
          </mc:Choice>
        </mc:AlternateContent>
        <mc:AlternateContent xmlns:mc="http://schemas.openxmlformats.org/markup-compatibility/2006">
          <mc:Choice Requires="x14">
            <control shapeId="19117" r:id="rId266" name="Drop Down 685">
              <controlPr defaultSize="0" autoLine="0" autoPict="0">
                <anchor moveWithCells="1">
                  <from>
                    <xdr:col>3</xdr:col>
                    <xdr:colOff>9525</xdr:colOff>
                    <xdr:row>59</xdr:row>
                    <xdr:rowOff>0</xdr:rowOff>
                  </from>
                  <to>
                    <xdr:col>4</xdr:col>
                    <xdr:colOff>190500</xdr:colOff>
                    <xdr:row>60</xdr:row>
                    <xdr:rowOff>9525</xdr:rowOff>
                  </to>
                </anchor>
              </controlPr>
            </control>
          </mc:Choice>
        </mc:AlternateContent>
        <mc:AlternateContent xmlns:mc="http://schemas.openxmlformats.org/markup-compatibility/2006">
          <mc:Choice Requires="x14">
            <control shapeId="19118" r:id="rId267" name="Drop Down 686">
              <controlPr defaultSize="0" autoLine="0" autoPict="0">
                <anchor moveWithCells="1">
                  <from>
                    <xdr:col>5</xdr:col>
                    <xdr:colOff>0</xdr:colOff>
                    <xdr:row>59</xdr:row>
                    <xdr:rowOff>0</xdr:rowOff>
                  </from>
                  <to>
                    <xdr:col>8</xdr:col>
                    <xdr:colOff>9525</xdr:colOff>
                    <xdr:row>60</xdr:row>
                    <xdr:rowOff>9525</xdr:rowOff>
                  </to>
                </anchor>
              </controlPr>
            </control>
          </mc:Choice>
        </mc:AlternateContent>
        <mc:AlternateContent xmlns:mc="http://schemas.openxmlformats.org/markup-compatibility/2006">
          <mc:Choice Requires="x14">
            <control shapeId="19119" r:id="rId268" name="Drop Down 687">
              <controlPr defaultSize="0" autoLine="0" autoPict="0">
                <anchor moveWithCells="1">
                  <from>
                    <xdr:col>35</xdr:col>
                    <xdr:colOff>9525</xdr:colOff>
                    <xdr:row>59</xdr:row>
                    <xdr:rowOff>0</xdr:rowOff>
                  </from>
                  <to>
                    <xdr:col>36</xdr:col>
                    <xdr:colOff>9525</xdr:colOff>
                    <xdr:row>60</xdr:row>
                    <xdr:rowOff>9525</xdr:rowOff>
                  </to>
                </anchor>
              </controlPr>
            </control>
          </mc:Choice>
        </mc:AlternateContent>
        <mc:AlternateContent xmlns:mc="http://schemas.openxmlformats.org/markup-compatibility/2006">
          <mc:Choice Requires="x14">
            <control shapeId="19120" r:id="rId269" name="Drop Down 688">
              <controlPr defaultSize="0" autoLine="0" autoPict="0">
                <anchor moveWithCells="1">
                  <from>
                    <xdr:col>9</xdr:col>
                    <xdr:colOff>76200</xdr:colOff>
                    <xdr:row>61</xdr:row>
                    <xdr:rowOff>0</xdr:rowOff>
                  </from>
                  <to>
                    <xdr:col>12</xdr:col>
                    <xdr:colOff>257175</xdr:colOff>
                    <xdr:row>62</xdr:row>
                    <xdr:rowOff>9525</xdr:rowOff>
                  </to>
                </anchor>
              </controlPr>
            </control>
          </mc:Choice>
        </mc:AlternateContent>
        <mc:AlternateContent xmlns:mc="http://schemas.openxmlformats.org/markup-compatibility/2006">
          <mc:Choice Requires="x14">
            <control shapeId="19121" r:id="rId270" name="Drop Down 689">
              <controlPr defaultSize="0" autoLine="0" autoPict="0">
                <anchor moveWithCells="1">
                  <from>
                    <xdr:col>13</xdr:col>
                    <xdr:colOff>0</xdr:colOff>
                    <xdr:row>61</xdr:row>
                    <xdr:rowOff>0</xdr:rowOff>
                  </from>
                  <to>
                    <xdr:col>16</xdr:col>
                    <xdr:colOff>190500</xdr:colOff>
                    <xdr:row>62</xdr:row>
                    <xdr:rowOff>9525</xdr:rowOff>
                  </to>
                </anchor>
              </controlPr>
            </control>
          </mc:Choice>
        </mc:AlternateContent>
        <mc:AlternateContent xmlns:mc="http://schemas.openxmlformats.org/markup-compatibility/2006">
          <mc:Choice Requires="x14">
            <control shapeId="19122" r:id="rId271" name="Drop Down 690">
              <controlPr defaultSize="0" autoLine="0" autoPict="0">
                <anchor moveWithCells="1">
                  <from>
                    <xdr:col>19</xdr:col>
                    <xdr:colOff>0</xdr:colOff>
                    <xdr:row>61</xdr:row>
                    <xdr:rowOff>0</xdr:rowOff>
                  </from>
                  <to>
                    <xdr:col>22</xdr:col>
                    <xdr:colOff>190500</xdr:colOff>
                    <xdr:row>62</xdr:row>
                    <xdr:rowOff>9525</xdr:rowOff>
                  </to>
                </anchor>
              </controlPr>
            </control>
          </mc:Choice>
        </mc:AlternateContent>
        <mc:AlternateContent xmlns:mc="http://schemas.openxmlformats.org/markup-compatibility/2006">
          <mc:Choice Requires="x14">
            <control shapeId="19123" r:id="rId272" name="Drop Down 691">
              <controlPr defaultSize="0" autoLine="0" autoPict="0">
                <anchor moveWithCells="1">
                  <from>
                    <xdr:col>23</xdr:col>
                    <xdr:colOff>0</xdr:colOff>
                    <xdr:row>61</xdr:row>
                    <xdr:rowOff>0</xdr:rowOff>
                  </from>
                  <to>
                    <xdr:col>26</xdr:col>
                    <xdr:colOff>190500</xdr:colOff>
                    <xdr:row>62</xdr:row>
                    <xdr:rowOff>9525</xdr:rowOff>
                  </to>
                </anchor>
              </controlPr>
            </control>
          </mc:Choice>
        </mc:AlternateContent>
        <mc:AlternateContent xmlns:mc="http://schemas.openxmlformats.org/markup-compatibility/2006">
          <mc:Choice Requires="x14">
            <control shapeId="19124" r:id="rId273" name="Check Box 692">
              <controlPr defaultSize="0" autoFill="0" autoLine="0" autoPict="0">
                <anchor moveWithCells="1">
                  <from>
                    <xdr:col>17</xdr:col>
                    <xdr:colOff>38100</xdr:colOff>
                    <xdr:row>61</xdr:row>
                    <xdr:rowOff>0</xdr:rowOff>
                  </from>
                  <to>
                    <xdr:col>17</xdr:col>
                    <xdr:colOff>342900</xdr:colOff>
                    <xdr:row>62</xdr:row>
                    <xdr:rowOff>28575</xdr:rowOff>
                  </to>
                </anchor>
              </controlPr>
            </control>
          </mc:Choice>
        </mc:AlternateContent>
        <mc:AlternateContent xmlns:mc="http://schemas.openxmlformats.org/markup-compatibility/2006">
          <mc:Choice Requires="x14">
            <control shapeId="19125" r:id="rId274" name="Drop Down 693">
              <controlPr defaultSize="0" autoLine="0" autoPict="0">
                <anchor moveWithCells="1">
                  <from>
                    <xdr:col>27</xdr:col>
                    <xdr:colOff>0</xdr:colOff>
                    <xdr:row>61</xdr:row>
                    <xdr:rowOff>0</xdr:rowOff>
                  </from>
                  <to>
                    <xdr:col>30</xdr:col>
                    <xdr:colOff>190500</xdr:colOff>
                    <xdr:row>62</xdr:row>
                    <xdr:rowOff>9525</xdr:rowOff>
                  </to>
                </anchor>
              </controlPr>
            </control>
          </mc:Choice>
        </mc:AlternateContent>
        <mc:AlternateContent xmlns:mc="http://schemas.openxmlformats.org/markup-compatibility/2006">
          <mc:Choice Requires="x14">
            <control shapeId="19126" r:id="rId275" name="Drop Down 694">
              <controlPr defaultSize="0" autoLine="0" autoPict="0">
                <anchor moveWithCells="1">
                  <from>
                    <xdr:col>115</xdr:col>
                    <xdr:colOff>0</xdr:colOff>
                    <xdr:row>61</xdr:row>
                    <xdr:rowOff>0</xdr:rowOff>
                  </from>
                  <to>
                    <xdr:col>117</xdr:col>
                    <xdr:colOff>19050</xdr:colOff>
                    <xdr:row>62</xdr:row>
                    <xdr:rowOff>9525</xdr:rowOff>
                  </to>
                </anchor>
              </controlPr>
            </control>
          </mc:Choice>
        </mc:AlternateContent>
        <mc:AlternateContent xmlns:mc="http://schemas.openxmlformats.org/markup-compatibility/2006">
          <mc:Choice Requires="x14">
            <control shapeId="19127" r:id="rId276" name="Drop Down 695">
              <controlPr defaultSize="0" autoLine="0" autoPict="0">
                <anchor moveWithCells="1">
                  <from>
                    <xdr:col>163</xdr:col>
                    <xdr:colOff>0</xdr:colOff>
                    <xdr:row>61</xdr:row>
                    <xdr:rowOff>0</xdr:rowOff>
                  </from>
                  <to>
                    <xdr:col>165</xdr:col>
                    <xdr:colOff>333375</xdr:colOff>
                    <xdr:row>62</xdr:row>
                    <xdr:rowOff>9525</xdr:rowOff>
                  </to>
                </anchor>
              </controlPr>
            </control>
          </mc:Choice>
        </mc:AlternateContent>
        <mc:AlternateContent xmlns:mc="http://schemas.openxmlformats.org/markup-compatibility/2006">
          <mc:Choice Requires="x14">
            <control shapeId="19128" r:id="rId277" name="Drop Down 696">
              <controlPr defaultSize="0" autoLine="0" autoPict="0">
                <anchor moveWithCells="1">
                  <from>
                    <xdr:col>264</xdr:col>
                    <xdr:colOff>0</xdr:colOff>
                    <xdr:row>61</xdr:row>
                    <xdr:rowOff>0</xdr:rowOff>
                  </from>
                  <to>
                    <xdr:col>266</xdr:col>
                    <xdr:colOff>161925</xdr:colOff>
                    <xdr:row>62</xdr:row>
                    <xdr:rowOff>9525</xdr:rowOff>
                  </to>
                </anchor>
              </controlPr>
            </control>
          </mc:Choice>
        </mc:AlternateContent>
        <mc:AlternateContent xmlns:mc="http://schemas.openxmlformats.org/markup-compatibility/2006">
          <mc:Choice Requires="x14">
            <control shapeId="19129" r:id="rId278" name="Drop Down 697">
              <controlPr defaultSize="0" autoLine="0" autoPict="0">
                <anchor moveWithCells="1">
                  <from>
                    <xdr:col>3</xdr:col>
                    <xdr:colOff>9525</xdr:colOff>
                    <xdr:row>61</xdr:row>
                    <xdr:rowOff>0</xdr:rowOff>
                  </from>
                  <to>
                    <xdr:col>4</xdr:col>
                    <xdr:colOff>190500</xdr:colOff>
                    <xdr:row>62</xdr:row>
                    <xdr:rowOff>9525</xdr:rowOff>
                  </to>
                </anchor>
              </controlPr>
            </control>
          </mc:Choice>
        </mc:AlternateContent>
        <mc:AlternateContent xmlns:mc="http://schemas.openxmlformats.org/markup-compatibility/2006">
          <mc:Choice Requires="x14">
            <control shapeId="19130" r:id="rId279" name="Drop Down 698">
              <controlPr defaultSize="0" autoLine="0" autoPict="0">
                <anchor moveWithCells="1">
                  <from>
                    <xdr:col>5</xdr:col>
                    <xdr:colOff>0</xdr:colOff>
                    <xdr:row>61</xdr:row>
                    <xdr:rowOff>0</xdr:rowOff>
                  </from>
                  <to>
                    <xdr:col>8</xdr:col>
                    <xdr:colOff>9525</xdr:colOff>
                    <xdr:row>62</xdr:row>
                    <xdr:rowOff>9525</xdr:rowOff>
                  </to>
                </anchor>
              </controlPr>
            </control>
          </mc:Choice>
        </mc:AlternateContent>
        <mc:AlternateContent xmlns:mc="http://schemas.openxmlformats.org/markup-compatibility/2006">
          <mc:Choice Requires="x14">
            <control shapeId="19131" r:id="rId280" name="Drop Down 699">
              <controlPr defaultSize="0" autoLine="0" autoPict="0">
                <anchor moveWithCells="1">
                  <from>
                    <xdr:col>35</xdr:col>
                    <xdr:colOff>9525</xdr:colOff>
                    <xdr:row>61</xdr:row>
                    <xdr:rowOff>0</xdr:rowOff>
                  </from>
                  <to>
                    <xdr:col>36</xdr:col>
                    <xdr:colOff>9525</xdr:colOff>
                    <xdr:row>62</xdr:row>
                    <xdr:rowOff>9525</xdr:rowOff>
                  </to>
                </anchor>
              </controlPr>
            </control>
          </mc:Choice>
        </mc:AlternateContent>
        <mc:AlternateContent xmlns:mc="http://schemas.openxmlformats.org/markup-compatibility/2006">
          <mc:Choice Requires="x14">
            <control shapeId="19132" r:id="rId281" name="Drop Down 700">
              <controlPr defaultSize="0" autoLine="0" autoPict="0">
                <anchor moveWithCells="1">
                  <from>
                    <xdr:col>9</xdr:col>
                    <xdr:colOff>76200</xdr:colOff>
                    <xdr:row>63</xdr:row>
                    <xdr:rowOff>0</xdr:rowOff>
                  </from>
                  <to>
                    <xdr:col>12</xdr:col>
                    <xdr:colOff>257175</xdr:colOff>
                    <xdr:row>64</xdr:row>
                    <xdr:rowOff>9525</xdr:rowOff>
                  </to>
                </anchor>
              </controlPr>
            </control>
          </mc:Choice>
        </mc:AlternateContent>
        <mc:AlternateContent xmlns:mc="http://schemas.openxmlformats.org/markup-compatibility/2006">
          <mc:Choice Requires="x14">
            <control shapeId="19133" r:id="rId282" name="Drop Down 701">
              <controlPr defaultSize="0" autoLine="0" autoPict="0">
                <anchor moveWithCells="1">
                  <from>
                    <xdr:col>13</xdr:col>
                    <xdr:colOff>0</xdr:colOff>
                    <xdr:row>63</xdr:row>
                    <xdr:rowOff>0</xdr:rowOff>
                  </from>
                  <to>
                    <xdr:col>16</xdr:col>
                    <xdr:colOff>190500</xdr:colOff>
                    <xdr:row>64</xdr:row>
                    <xdr:rowOff>9525</xdr:rowOff>
                  </to>
                </anchor>
              </controlPr>
            </control>
          </mc:Choice>
        </mc:AlternateContent>
        <mc:AlternateContent xmlns:mc="http://schemas.openxmlformats.org/markup-compatibility/2006">
          <mc:Choice Requires="x14">
            <control shapeId="19134" r:id="rId283" name="Drop Down 702">
              <controlPr defaultSize="0" autoLine="0" autoPict="0">
                <anchor moveWithCells="1">
                  <from>
                    <xdr:col>19</xdr:col>
                    <xdr:colOff>0</xdr:colOff>
                    <xdr:row>63</xdr:row>
                    <xdr:rowOff>0</xdr:rowOff>
                  </from>
                  <to>
                    <xdr:col>22</xdr:col>
                    <xdr:colOff>190500</xdr:colOff>
                    <xdr:row>64</xdr:row>
                    <xdr:rowOff>9525</xdr:rowOff>
                  </to>
                </anchor>
              </controlPr>
            </control>
          </mc:Choice>
        </mc:AlternateContent>
        <mc:AlternateContent xmlns:mc="http://schemas.openxmlformats.org/markup-compatibility/2006">
          <mc:Choice Requires="x14">
            <control shapeId="19135" r:id="rId284" name="Drop Down 703">
              <controlPr defaultSize="0" autoLine="0" autoPict="0">
                <anchor moveWithCells="1">
                  <from>
                    <xdr:col>23</xdr:col>
                    <xdr:colOff>0</xdr:colOff>
                    <xdr:row>63</xdr:row>
                    <xdr:rowOff>0</xdr:rowOff>
                  </from>
                  <to>
                    <xdr:col>26</xdr:col>
                    <xdr:colOff>190500</xdr:colOff>
                    <xdr:row>64</xdr:row>
                    <xdr:rowOff>9525</xdr:rowOff>
                  </to>
                </anchor>
              </controlPr>
            </control>
          </mc:Choice>
        </mc:AlternateContent>
        <mc:AlternateContent xmlns:mc="http://schemas.openxmlformats.org/markup-compatibility/2006">
          <mc:Choice Requires="x14">
            <control shapeId="19136" r:id="rId285" name="Check Box 704">
              <controlPr defaultSize="0" autoFill="0" autoLine="0" autoPict="0">
                <anchor moveWithCells="1">
                  <from>
                    <xdr:col>17</xdr:col>
                    <xdr:colOff>38100</xdr:colOff>
                    <xdr:row>63</xdr:row>
                    <xdr:rowOff>0</xdr:rowOff>
                  </from>
                  <to>
                    <xdr:col>17</xdr:col>
                    <xdr:colOff>342900</xdr:colOff>
                    <xdr:row>64</xdr:row>
                    <xdr:rowOff>28575</xdr:rowOff>
                  </to>
                </anchor>
              </controlPr>
            </control>
          </mc:Choice>
        </mc:AlternateContent>
        <mc:AlternateContent xmlns:mc="http://schemas.openxmlformats.org/markup-compatibility/2006">
          <mc:Choice Requires="x14">
            <control shapeId="19137" r:id="rId286" name="Drop Down 705">
              <controlPr defaultSize="0" autoLine="0" autoPict="0">
                <anchor moveWithCells="1">
                  <from>
                    <xdr:col>27</xdr:col>
                    <xdr:colOff>0</xdr:colOff>
                    <xdr:row>63</xdr:row>
                    <xdr:rowOff>0</xdr:rowOff>
                  </from>
                  <to>
                    <xdr:col>30</xdr:col>
                    <xdr:colOff>190500</xdr:colOff>
                    <xdr:row>64</xdr:row>
                    <xdr:rowOff>9525</xdr:rowOff>
                  </to>
                </anchor>
              </controlPr>
            </control>
          </mc:Choice>
        </mc:AlternateContent>
        <mc:AlternateContent xmlns:mc="http://schemas.openxmlformats.org/markup-compatibility/2006">
          <mc:Choice Requires="x14">
            <control shapeId="19138" r:id="rId287" name="Drop Down 706">
              <controlPr defaultSize="0" autoLine="0" autoPict="0">
                <anchor moveWithCells="1">
                  <from>
                    <xdr:col>115</xdr:col>
                    <xdr:colOff>0</xdr:colOff>
                    <xdr:row>63</xdr:row>
                    <xdr:rowOff>0</xdr:rowOff>
                  </from>
                  <to>
                    <xdr:col>117</xdr:col>
                    <xdr:colOff>19050</xdr:colOff>
                    <xdr:row>64</xdr:row>
                    <xdr:rowOff>9525</xdr:rowOff>
                  </to>
                </anchor>
              </controlPr>
            </control>
          </mc:Choice>
        </mc:AlternateContent>
        <mc:AlternateContent xmlns:mc="http://schemas.openxmlformats.org/markup-compatibility/2006">
          <mc:Choice Requires="x14">
            <control shapeId="19139" r:id="rId288" name="Drop Down 707">
              <controlPr defaultSize="0" autoLine="0" autoPict="0">
                <anchor moveWithCells="1">
                  <from>
                    <xdr:col>163</xdr:col>
                    <xdr:colOff>0</xdr:colOff>
                    <xdr:row>63</xdr:row>
                    <xdr:rowOff>0</xdr:rowOff>
                  </from>
                  <to>
                    <xdr:col>165</xdr:col>
                    <xdr:colOff>333375</xdr:colOff>
                    <xdr:row>64</xdr:row>
                    <xdr:rowOff>9525</xdr:rowOff>
                  </to>
                </anchor>
              </controlPr>
            </control>
          </mc:Choice>
        </mc:AlternateContent>
        <mc:AlternateContent xmlns:mc="http://schemas.openxmlformats.org/markup-compatibility/2006">
          <mc:Choice Requires="x14">
            <control shapeId="19140" r:id="rId289" name="Drop Down 708">
              <controlPr defaultSize="0" autoLine="0" autoPict="0">
                <anchor moveWithCells="1">
                  <from>
                    <xdr:col>264</xdr:col>
                    <xdr:colOff>0</xdr:colOff>
                    <xdr:row>63</xdr:row>
                    <xdr:rowOff>0</xdr:rowOff>
                  </from>
                  <to>
                    <xdr:col>266</xdr:col>
                    <xdr:colOff>161925</xdr:colOff>
                    <xdr:row>64</xdr:row>
                    <xdr:rowOff>9525</xdr:rowOff>
                  </to>
                </anchor>
              </controlPr>
            </control>
          </mc:Choice>
        </mc:AlternateContent>
        <mc:AlternateContent xmlns:mc="http://schemas.openxmlformats.org/markup-compatibility/2006">
          <mc:Choice Requires="x14">
            <control shapeId="19141" r:id="rId290" name="Drop Down 709">
              <controlPr defaultSize="0" autoLine="0" autoPict="0">
                <anchor moveWithCells="1">
                  <from>
                    <xdr:col>3</xdr:col>
                    <xdr:colOff>9525</xdr:colOff>
                    <xdr:row>63</xdr:row>
                    <xdr:rowOff>0</xdr:rowOff>
                  </from>
                  <to>
                    <xdr:col>4</xdr:col>
                    <xdr:colOff>190500</xdr:colOff>
                    <xdr:row>64</xdr:row>
                    <xdr:rowOff>9525</xdr:rowOff>
                  </to>
                </anchor>
              </controlPr>
            </control>
          </mc:Choice>
        </mc:AlternateContent>
        <mc:AlternateContent xmlns:mc="http://schemas.openxmlformats.org/markup-compatibility/2006">
          <mc:Choice Requires="x14">
            <control shapeId="19142" r:id="rId291" name="Drop Down 710">
              <controlPr defaultSize="0" autoLine="0" autoPict="0">
                <anchor moveWithCells="1">
                  <from>
                    <xdr:col>5</xdr:col>
                    <xdr:colOff>0</xdr:colOff>
                    <xdr:row>63</xdr:row>
                    <xdr:rowOff>0</xdr:rowOff>
                  </from>
                  <to>
                    <xdr:col>8</xdr:col>
                    <xdr:colOff>9525</xdr:colOff>
                    <xdr:row>64</xdr:row>
                    <xdr:rowOff>9525</xdr:rowOff>
                  </to>
                </anchor>
              </controlPr>
            </control>
          </mc:Choice>
        </mc:AlternateContent>
        <mc:AlternateContent xmlns:mc="http://schemas.openxmlformats.org/markup-compatibility/2006">
          <mc:Choice Requires="x14">
            <control shapeId="19143" r:id="rId292" name="Drop Down 711">
              <controlPr defaultSize="0" autoLine="0" autoPict="0">
                <anchor moveWithCells="1">
                  <from>
                    <xdr:col>35</xdr:col>
                    <xdr:colOff>9525</xdr:colOff>
                    <xdr:row>63</xdr:row>
                    <xdr:rowOff>0</xdr:rowOff>
                  </from>
                  <to>
                    <xdr:col>36</xdr:col>
                    <xdr:colOff>9525</xdr:colOff>
                    <xdr:row>64</xdr:row>
                    <xdr:rowOff>9525</xdr:rowOff>
                  </to>
                </anchor>
              </controlPr>
            </control>
          </mc:Choice>
        </mc:AlternateContent>
        <mc:AlternateContent xmlns:mc="http://schemas.openxmlformats.org/markup-compatibility/2006">
          <mc:Choice Requires="x14">
            <control shapeId="19144" r:id="rId293" name="Drop Down 712">
              <controlPr defaultSize="0" autoLine="0" autoPict="0">
                <anchor moveWithCells="1">
                  <from>
                    <xdr:col>9</xdr:col>
                    <xdr:colOff>76200</xdr:colOff>
                    <xdr:row>65</xdr:row>
                    <xdr:rowOff>0</xdr:rowOff>
                  </from>
                  <to>
                    <xdr:col>12</xdr:col>
                    <xdr:colOff>257175</xdr:colOff>
                    <xdr:row>66</xdr:row>
                    <xdr:rowOff>9525</xdr:rowOff>
                  </to>
                </anchor>
              </controlPr>
            </control>
          </mc:Choice>
        </mc:AlternateContent>
        <mc:AlternateContent xmlns:mc="http://schemas.openxmlformats.org/markup-compatibility/2006">
          <mc:Choice Requires="x14">
            <control shapeId="19145" r:id="rId294" name="Drop Down 713">
              <controlPr defaultSize="0" autoLine="0" autoPict="0">
                <anchor moveWithCells="1">
                  <from>
                    <xdr:col>13</xdr:col>
                    <xdr:colOff>0</xdr:colOff>
                    <xdr:row>65</xdr:row>
                    <xdr:rowOff>0</xdr:rowOff>
                  </from>
                  <to>
                    <xdr:col>16</xdr:col>
                    <xdr:colOff>190500</xdr:colOff>
                    <xdr:row>66</xdr:row>
                    <xdr:rowOff>9525</xdr:rowOff>
                  </to>
                </anchor>
              </controlPr>
            </control>
          </mc:Choice>
        </mc:AlternateContent>
        <mc:AlternateContent xmlns:mc="http://schemas.openxmlformats.org/markup-compatibility/2006">
          <mc:Choice Requires="x14">
            <control shapeId="19146" r:id="rId295" name="Drop Down 714">
              <controlPr defaultSize="0" autoLine="0" autoPict="0">
                <anchor moveWithCells="1">
                  <from>
                    <xdr:col>19</xdr:col>
                    <xdr:colOff>0</xdr:colOff>
                    <xdr:row>65</xdr:row>
                    <xdr:rowOff>0</xdr:rowOff>
                  </from>
                  <to>
                    <xdr:col>22</xdr:col>
                    <xdr:colOff>190500</xdr:colOff>
                    <xdr:row>66</xdr:row>
                    <xdr:rowOff>9525</xdr:rowOff>
                  </to>
                </anchor>
              </controlPr>
            </control>
          </mc:Choice>
        </mc:AlternateContent>
        <mc:AlternateContent xmlns:mc="http://schemas.openxmlformats.org/markup-compatibility/2006">
          <mc:Choice Requires="x14">
            <control shapeId="19147" r:id="rId296" name="Drop Down 715">
              <controlPr defaultSize="0" autoLine="0" autoPict="0">
                <anchor moveWithCells="1">
                  <from>
                    <xdr:col>23</xdr:col>
                    <xdr:colOff>0</xdr:colOff>
                    <xdr:row>65</xdr:row>
                    <xdr:rowOff>0</xdr:rowOff>
                  </from>
                  <to>
                    <xdr:col>26</xdr:col>
                    <xdr:colOff>190500</xdr:colOff>
                    <xdr:row>66</xdr:row>
                    <xdr:rowOff>9525</xdr:rowOff>
                  </to>
                </anchor>
              </controlPr>
            </control>
          </mc:Choice>
        </mc:AlternateContent>
        <mc:AlternateContent xmlns:mc="http://schemas.openxmlformats.org/markup-compatibility/2006">
          <mc:Choice Requires="x14">
            <control shapeId="19148" r:id="rId297" name="Check Box 716">
              <controlPr defaultSize="0" autoFill="0" autoLine="0" autoPict="0">
                <anchor moveWithCells="1">
                  <from>
                    <xdr:col>17</xdr:col>
                    <xdr:colOff>38100</xdr:colOff>
                    <xdr:row>65</xdr:row>
                    <xdr:rowOff>0</xdr:rowOff>
                  </from>
                  <to>
                    <xdr:col>17</xdr:col>
                    <xdr:colOff>342900</xdr:colOff>
                    <xdr:row>66</xdr:row>
                    <xdr:rowOff>28575</xdr:rowOff>
                  </to>
                </anchor>
              </controlPr>
            </control>
          </mc:Choice>
        </mc:AlternateContent>
        <mc:AlternateContent xmlns:mc="http://schemas.openxmlformats.org/markup-compatibility/2006">
          <mc:Choice Requires="x14">
            <control shapeId="19149" r:id="rId298" name="Drop Down 717">
              <controlPr defaultSize="0" autoLine="0" autoPict="0">
                <anchor moveWithCells="1">
                  <from>
                    <xdr:col>27</xdr:col>
                    <xdr:colOff>0</xdr:colOff>
                    <xdr:row>65</xdr:row>
                    <xdr:rowOff>0</xdr:rowOff>
                  </from>
                  <to>
                    <xdr:col>30</xdr:col>
                    <xdr:colOff>190500</xdr:colOff>
                    <xdr:row>66</xdr:row>
                    <xdr:rowOff>9525</xdr:rowOff>
                  </to>
                </anchor>
              </controlPr>
            </control>
          </mc:Choice>
        </mc:AlternateContent>
        <mc:AlternateContent xmlns:mc="http://schemas.openxmlformats.org/markup-compatibility/2006">
          <mc:Choice Requires="x14">
            <control shapeId="19150" r:id="rId299" name="Drop Down 718">
              <controlPr defaultSize="0" autoLine="0" autoPict="0">
                <anchor moveWithCells="1">
                  <from>
                    <xdr:col>115</xdr:col>
                    <xdr:colOff>0</xdr:colOff>
                    <xdr:row>65</xdr:row>
                    <xdr:rowOff>0</xdr:rowOff>
                  </from>
                  <to>
                    <xdr:col>117</xdr:col>
                    <xdr:colOff>19050</xdr:colOff>
                    <xdr:row>66</xdr:row>
                    <xdr:rowOff>9525</xdr:rowOff>
                  </to>
                </anchor>
              </controlPr>
            </control>
          </mc:Choice>
        </mc:AlternateContent>
        <mc:AlternateContent xmlns:mc="http://schemas.openxmlformats.org/markup-compatibility/2006">
          <mc:Choice Requires="x14">
            <control shapeId="19151" r:id="rId300" name="Drop Down 719">
              <controlPr defaultSize="0" autoLine="0" autoPict="0">
                <anchor moveWithCells="1">
                  <from>
                    <xdr:col>163</xdr:col>
                    <xdr:colOff>0</xdr:colOff>
                    <xdr:row>65</xdr:row>
                    <xdr:rowOff>0</xdr:rowOff>
                  </from>
                  <to>
                    <xdr:col>165</xdr:col>
                    <xdr:colOff>333375</xdr:colOff>
                    <xdr:row>66</xdr:row>
                    <xdr:rowOff>9525</xdr:rowOff>
                  </to>
                </anchor>
              </controlPr>
            </control>
          </mc:Choice>
        </mc:AlternateContent>
        <mc:AlternateContent xmlns:mc="http://schemas.openxmlformats.org/markup-compatibility/2006">
          <mc:Choice Requires="x14">
            <control shapeId="19152" r:id="rId301" name="Drop Down 720">
              <controlPr defaultSize="0" autoLine="0" autoPict="0">
                <anchor moveWithCells="1">
                  <from>
                    <xdr:col>264</xdr:col>
                    <xdr:colOff>0</xdr:colOff>
                    <xdr:row>65</xdr:row>
                    <xdr:rowOff>0</xdr:rowOff>
                  </from>
                  <to>
                    <xdr:col>266</xdr:col>
                    <xdr:colOff>161925</xdr:colOff>
                    <xdr:row>66</xdr:row>
                    <xdr:rowOff>9525</xdr:rowOff>
                  </to>
                </anchor>
              </controlPr>
            </control>
          </mc:Choice>
        </mc:AlternateContent>
        <mc:AlternateContent xmlns:mc="http://schemas.openxmlformats.org/markup-compatibility/2006">
          <mc:Choice Requires="x14">
            <control shapeId="19153" r:id="rId302" name="Drop Down 721">
              <controlPr defaultSize="0" autoLine="0" autoPict="0">
                <anchor moveWithCells="1">
                  <from>
                    <xdr:col>3</xdr:col>
                    <xdr:colOff>9525</xdr:colOff>
                    <xdr:row>65</xdr:row>
                    <xdr:rowOff>0</xdr:rowOff>
                  </from>
                  <to>
                    <xdr:col>4</xdr:col>
                    <xdr:colOff>190500</xdr:colOff>
                    <xdr:row>66</xdr:row>
                    <xdr:rowOff>9525</xdr:rowOff>
                  </to>
                </anchor>
              </controlPr>
            </control>
          </mc:Choice>
        </mc:AlternateContent>
        <mc:AlternateContent xmlns:mc="http://schemas.openxmlformats.org/markup-compatibility/2006">
          <mc:Choice Requires="x14">
            <control shapeId="19154" r:id="rId303" name="Drop Down 722">
              <controlPr defaultSize="0" autoLine="0" autoPict="0">
                <anchor moveWithCells="1">
                  <from>
                    <xdr:col>5</xdr:col>
                    <xdr:colOff>0</xdr:colOff>
                    <xdr:row>65</xdr:row>
                    <xdr:rowOff>0</xdr:rowOff>
                  </from>
                  <to>
                    <xdr:col>8</xdr:col>
                    <xdr:colOff>9525</xdr:colOff>
                    <xdr:row>66</xdr:row>
                    <xdr:rowOff>9525</xdr:rowOff>
                  </to>
                </anchor>
              </controlPr>
            </control>
          </mc:Choice>
        </mc:AlternateContent>
        <mc:AlternateContent xmlns:mc="http://schemas.openxmlformats.org/markup-compatibility/2006">
          <mc:Choice Requires="x14">
            <control shapeId="19155" r:id="rId304" name="Drop Down 723">
              <controlPr defaultSize="0" autoLine="0" autoPict="0">
                <anchor moveWithCells="1">
                  <from>
                    <xdr:col>35</xdr:col>
                    <xdr:colOff>9525</xdr:colOff>
                    <xdr:row>65</xdr:row>
                    <xdr:rowOff>0</xdr:rowOff>
                  </from>
                  <to>
                    <xdr:col>36</xdr:col>
                    <xdr:colOff>9525</xdr:colOff>
                    <xdr:row>66</xdr:row>
                    <xdr:rowOff>9525</xdr:rowOff>
                  </to>
                </anchor>
              </controlPr>
            </control>
          </mc:Choice>
        </mc:AlternateContent>
        <mc:AlternateContent xmlns:mc="http://schemas.openxmlformats.org/markup-compatibility/2006">
          <mc:Choice Requires="x14">
            <control shapeId="19156" r:id="rId305" name="Drop Down 724">
              <controlPr defaultSize="0" autoLine="0" autoPict="0">
                <anchor moveWithCells="1">
                  <from>
                    <xdr:col>9</xdr:col>
                    <xdr:colOff>76200</xdr:colOff>
                    <xdr:row>67</xdr:row>
                    <xdr:rowOff>0</xdr:rowOff>
                  </from>
                  <to>
                    <xdr:col>12</xdr:col>
                    <xdr:colOff>257175</xdr:colOff>
                    <xdr:row>68</xdr:row>
                    <xdr:rowOff>9525</xdr:rowOff>
                  </to>
                </anchor>
              </controlPr>
            </control>
          </mc:Choice>
        </mc:AlternateContent>
        <mc:AlternateContent xmlns:mc="http://schemas.openxmlformats.org/markup-compatibility/2006">
          <mc:Choice Requires="x14">
            <control shapeId="19157" r:id="rId306" name="Drop Down 725">
              <controlPr defaultSize="0" autoLine="0" autoPict="0">
                <anchor moveWithCells="1">
                  <from>
                    <xdr:col>13</xdr:col>
                    <xdr:colOff>0</xdr:colOff>
                    <xdr:row>67</xdr:row>
                    <xdr:rowOff>0</xdr:rowOff>
                  </from>
                  <to>
                    <xdr:col>16</xdr:col>
                    <xdr:colOff>190500</xdr:colOff>
                    <xdr:row>68</xdr:row>
                    <xdr:rowOff>9525</xdr:rowOff>
                  </to>
                </anchor>
              </controlPr>
            </control>
          </mc:Choice>
        </mc:AlternateContent>
        <mc:AlternateContent xmlns:mc="http://schemas.openxmlformats.org/markup-compatibility/2006">
          <mc:Choice Requires="x14">
            <control shapeId="19158" r:id="rId307" name="Drop Down 726">
              <controlPr defaultSize="0" autoLine="0" autoPict="0">
                <anchor moveWithCells="1">
                  <from>
                    <xdr:col>19</xdr:col>
                    <xdr:colOff>0</xdr:colOff>
                    <xdr:row>67</xdr:row>
                    <xdr:rowOff>0</xdr:rowOff>
                  </from>
                  <to>
                    <xdr:col>22</xdr:col>
                    <xdr:colOff>190500</xdr:colOff>
                    <xdr:row>68</xdr:row>
                    <xdr:rowOff>9525</xdr:rowOff>
                  </to>
                </anchor>
              </controlPr>
            </control>
          </mc:Choice>
        </mc:AlternateContent>
        <mc:AlternateContent xmlns:mc="http://schemas.openxmlformats.org/markup-compatibility/2006">
          <mc:Choice Requires="x14">
            <control shapeId="19159" r:id="rId308" name="Drop Down 727">
              <controlPr defaultSize="0" autoLine="0" autoPict="0">
                <anchor moveWithCells="1">
                  <from>
                    <xdr:col>23</xdr:col>
                    <xdr:colOff>0</xdr:colOff>
                    <xdr:row>67</xdr:row>
                    <xdr:rowOff>0</xdr:rowOff>
                  </from>
                  <to>
                    <xdr:col>26</xdr:col>
                    <xdr:colOff>190500</xdr:colOff>
                    <xdr:row>68</xdr:row>
                    <xdr:rowOff>9525</xdr:rowOff>
                  </to>
                </anchor>
              </controlPr>
            </control>
          </mc:Choice>
        </mc:AlternateContent>
        <mc:AlternateContent xmlns:mc="http://schemas.openxmlformats.org/markup-compatibility/2006">
          <mc:Choice Requires="x14">
            <control shapeId="19160" r:id="rId309" name="Check Box 728">
              <controlPr defaultSize="0" autoFill="0" autoLine="0" autoPict="0">
                <anchor moveWithCells="1">
                  <from>
                    <xdr:col>17</xdr:col>
                    <xdr:colOff>38100</xdr:colOff>
                    <xdr:row>67</xdr:row>
                    <xdr:rowOff>0</xdr:rowOff>
                  </from>
                  <to>
                    <xdr:col>17</xdr:col>
                    <xdr:colOff>342900</xdr:colOff>
                    <xdr:row>68</xdr:row>
                    <xdr:rowOff>28575</xdr:rowOff>
                  </to>
                </anchor>
              </controlPr>
            </control>
          </mc:Choice>
        </mc:AlternateContent>
        <mc:AlternateContent xmlns:mc="http://schemas.openxmlformats.org/markup-compatibility/2006">
          <mc:Choice Requires="x14">
            <control shapeId="19161" r:id="rId310" name="Drop Down 729">
              <controlPr defaultSize="0" autoLine="0" autoPict="0">
                <anchor moveWithCells="1">
                  <from>
                    <xdr:col>27</xdr:col>
                    <xdr:colOff>0</xdr:colOff>
                    <xdr:row>67</xdr:row>
                    <xdr:rowOff>0</xdr:rowOff>
                  </from>
                  <to>
                    <xdr:col>30</xdr:col>
                    <xdr:colOff>190500</xdr:colOff>
                    <xdr:row>68</xdr:row>
                    <xdr:rowOff>9525</xdr:rowOff>
                  </to>
                </anchor>
              </controlPr>
            </control>
          </mc:Choice>
        </mc:AlternateContent>
        <mc:AlternateContent xmlns:mc="http://schemas.openxmlformats.org/markup-compatibility/2006">
          <mc:Choice Requires="x14">
            <control shapeId="19162" r:id="rId311" name="Drop Down 730">
              <controlPr defaultSize="0" autoLine="0" autoPict="0">
                <anchor moveWithCells="1">
                  <from>
                    <xdr:col>115</xdr:col>
                    <xdr:colOff>0</xdr:colOff>
                    <xdr:row>67</xdr:row>
                    <xdr:rowOff>0</xdr:rowOff>
                  </from>
                  <to>
                    <xdr:col>117</xdr:col>
                    <xdr:colOff>19050</xdr:colOff>
                    <xdr:row>68</xdr:row>
                    <xdr:rowOff>9525</xdr:rowOff>
                  </to>
                </anchor>
              </controlPr>
            </control>
          </mc:Choice>
        </mc:AlternateContent>
        <mc:AlternateContent xmlns:mc="http://schemas.openxmlformats.org/markup-compatibility/2006">
          <mc:Choice Requires="x14">
            <control shapeId="19163" r:id="rId312" name="Drop Down 731">
              <controlPr defaultSize="0" autoLine="0" autoPict="0">
                <anchor moveWithCells="1">
                  <from>
                    <xdr:col>163</xdr:col>
                    <xdr:colOff>0</xdr:colOff>
                    <xdr:row>67</xdr:row>
                    <xdr:rowOff>0</xdr:rowOff>
                  </from>
                  <to>
                    <xdr:col>165</xdr:col>
                    <xdr:colOff>333375</xdr:colOff>
                    <xdr:row>68</xdr:row>
                    <xdr:rowOff>9525</xdr:rowOff>
                  </to>
                </anchor>
              </controlPr>
            </control>
          </mc:Choice>
        </mc:AlternateContent>
        <mc:AlternateContent xmlns:mc="http://schemas.openxmlformats.org/markup-compatibility/2006">
          <mc:Choice Requires="x14">
            <control shapeId="19164" r:id="rId313" name="Drop Down 732">
              <controlPr defaultSize="0" autoLine="0" autoPict="0">
                <anchor moveWithCells="1">
                  <from>
                    <xdr:col>264</xdr:col>
                    <xdr:colOff>0</xdr:colOff>
                    <xdr:row>67</xdr:row>
                    <xdr:rowOff>0</xdr:rowOff>
                  </from>
                  <to>
                    <xdr:col>266</xdr:col>
                    <xdr:colOff>161925</xdr:colOff>
                    <xdr:row>68</xdr:row>
                    <xdr:rowOff>9525</xdr:rowOff>
                  </to>
                </anchor>
              </controlPr>
            </control>
          </mc:Choice>
        </mc:AlternateContent>
        <mc:AlternateContent xmlns:mc="http://schemas.openxmlformats.org/markup-compatibility/2006">
          <mc:Choice Requires="x14">
            <control shapeId="19165" r:id="rId314" name="Drop Down 733">
              <controlPr defaultSize="0" autoLine="0" autoPict="0">
                <anchor moveWithCells="1">
                  <from>
                    <xdr:col>3</xdr:col>
                    <xdr:colOff>9525</xdr:colOff>
                    <xdr:row>67</xdr:row>
                    <xdr:rowOff>0</xdr:rowOff>
                  </from>
                  <to>
                    <xdr:col>4</xdr:col>
                    <xdr:colOff>190500</xdr:colOff>
                    <xdr:row>68</xdr:row>
                    <xdr:rowOff>9525</xdr:rowOff>
                  </to>
                </anchor>
              </controlPr>
            </control>
          </mc:Choice>
        </mc:AlternateContent>
        <mc:AlternateContent xmlns:mc="http://schemas.openxmlformats.org/markup-compatibility/2006">
          <mc:Choice Requires="x14">
            <control shapeId="19166" r:id="rId315" name="Drop Down 734">
              <controlPr defaultSize="0" autoLine="0" autoPict="0">
                <anchor moveWithCells="1">
                  <from>
                    <xdr:col>5</xdr:col>
                    <xdr:colOff>0</xdr:colOff>
                    <xdr:row>67</xdr:row>
                    <xdr:rowOff>0</xdr:rowOff>
                  </from>
                  <to>
                    <xdr:col>8</xdr:col>
                    <xdr:colOff>9525</xdr:colOff>
                    <xdr:row>68</xdr:row>
                    <xdr:rowOff>9525</xdr:rowOff>
                  </to>
                </anchor>
              </controlPr>
            </control>
          </mc:Choice>
        </mc:AlternateContent>
        <mc:AlternateContent xmlns:mc="http://schemas.openxmlformats.org/markup-compatibility/2006">
          <mc:Choice Requires="x14">
            <control shapeId="19167" r:id="rId316" name="Drop Down 735">
              <controlPr defaultSize="0" autoLine="0" autoPict="0">
                <anchor moveWithCells="1">
                  <from>
                    <xdr:col>35</xdr:col>
                    <xdr:colOff>9525</xdr:colOff>
                    <xdr:row>67</xdr:row>
                    <xdr:rowOff>0</xdr:rowOff>
                  </from>
                  <to>
                    <xdr:col>36</xdr:col>
                    <xdr:colOff>9525</xdr:colOff>
                    <xdr:row>68</xdr:row>
                    <xdr:rowOff>9525</xdr:rowOff>
                  </to>
                </anchor>
              </controlPr>
            </control>
          </mc:Choice>
        </mc:AlternateContent>
        <mc:AlternateContent xmlns:mc="http://schemas.openxmlformats.org/markup-compatibility/2006">
          <mc:Choice Requires="x14">
            <control shapeId="19168" r:id="rId317" name="Drop Down 736">
              <controlPr defaultSize="0" autoLine="0" autoPict="0">
                <anchor moveWithCells="1">
                  <from>
                    <xdr:col>9</xdr:col>
                    <xdr:colOff>76200</xdr:colOff>
                    <xdr:row>69</xdr:row>
                    <xdr:rowOff>0</xdr:rowOff>
                  </from>
                  <to>
                    <xdr:col>12</xdr:col>
                    <xdr:colOff>257175</xdr:colOff>
                    <xdr:row>70</xdr:row>
                    <xdr:rowOff>9525</xdr:rowOff>
                  </to>
                </anchor>
              </controlPr>
            </control>
          </mc:Choice>
        </mc:AlternateContent>
        <mc:AlternateContent xmlns:mc="http://schemas.openxmlformats.org/markup-compatibility/2006">
          <mc:Choice Requires="x14">
            <control shapeId="19169" r:id="rId318" name="Drop Down 737">
              <controlPr defaultSize="0" autoLine="0" autoPict="0">
                <anchor moveWithCells="1">
                  <from>
                    <xdr:col>13</xdr:col>
                    <xdr:colOff>0</xdr:colOff>
                    <xdr:row>69</xdr:row>
                    <xdr:rowOff>0</xdr:rowOff>
                  </from>
                  <to>
                    <xdr:col>16</xdr:col>
                    <xdr:colOff>190500</xdr:colOff>
                    <xdr:row>70</xdr:row>
                    <xdr:rowOff>9525</xdr:rowOff>
                  </to>
                </anchor>
              </controlPr>
            </control>
          </mc:Choice>
        </mc:AlternateContent>
        <mc:AlternateContent xmlns:mc="http://schemas.openxmlformats.org/markup-compatibility/2006">
          <mc:Choice Requires="x14">
            <control shapeId="19170" r:id="rId319" name="Drop Down 738">
              <controlPr defaultSize="0" autoLine="0" autoPict="0">
                <anchor moveWithCells="1">
                  <from>
                    <xdr:col>19</xdr:col>
                    <xdr:colOff>0</xdr:colOff>
                    <xdr:row>69</xdr:row>
                    <xdr:rowOff>0</xdr:rowOff>
                  </from>
                  <to>
                    <xdr:col>22</xdr:col>
                    <xdr:colOff>190500</xdr:colOff>
                    <xdr:row>70</xdr:row>
                    <xdr:rowOff>9525</xdr:rowOff>
                  </to>
                </anchor>
              </controlPr>
            </control>
          </mc:Choice>
        </mc:AlternateContent>
        <mc:AlternateContent xmlns:mc="http://schemas.openxmlformats.org/markup-compatibility/2006">
          <mc:Choice Requires="x14">
            <control shapeId="19171" r:id="rId320" name="Drop Down 739">
              <controlPr defaultSize="0" autoLine="0" autoPict="0">
                <anchor moveWithCells="1">
                  <from>
                    <xdr:col>23</xdr:col>
                    <xdr:colOff>0</xdr:colOff>
                    <xdr:row>69</xdr:row>
                    <xdr:rowOff>0</xdr:rowOff>
                  </from>
                  <to>
                    <xdr:col>26</xdr:col>
                    <xdr:colOff>190500</xdr:colOff>
                    <xdr:row>70</xdr:row>
                    <xdr:rowOff>9525</xdr:rowOff>
                  </to>
                </anchor>
              </controlPr>
            </control>
          </mc:Choice>
        </mc:AlternateContent>
        <mc:AlternateContent xmlns:mc="http://schemas.openxmlformats.org/markup-compatibility/2006">
          <mc:Choice Requires="x14">
            <control shapeId="19172" r:id="rId321" name="Check Box 740">
              <controlPr defaultSize="0" autoFill="0" autoLine="0" autoPict="0">
                <anchor moveWithCells="1">
                  <from>
                    <xdr:col>17</xdr:col>
                    <xdr:colOff>38100</xdr:colOff>
                    <xdr:row>69</xdr:row>
                    <xdr:rowOff>0</xdr:rowOff>
                  </from>
                  <to>
                    <xdr:col>17</xdr:col>
                    <xdr:colOff>342900</xdr:colOff>
                    <xdr:row>70</xdr:row>
                    <xdr:rowOff>28575</xdr:rowOff>
                  </to>
                </anchor>
              </controlPr>
            </control>
          </mc:Choice>
        </mc:AlternateContent>
        <mc:AlternateContent xmlns:mc="http://schemas.openxmlformats.org/markup-compatibility/2006">
          <mc:Choice Requires="x14">
            <control shapeId="19173" r:id="rId322" name="Drop Down 741">
              <controlPr defaultSize="0" autoLine="0" autoPict="0">
                <anchor moveWithCells="1">
                  <from>
                    <xdr:col>27</xdr:col>
                    <xdr:colOff>0</xdr:colOff>
                    <xdr:row>69</xdr:row>
                    <xdr:rowOff>0</xdr:rowOff>
                  </from>
                  <to>
                    <xdr:col>30</xdr:col>
                    <xdr:colOff>190500</xdr:colOff>
                    <xdr:row>70</xdr:row>
                    <xdr:rowOff>9525</xdr:rowOff>
                  </to>
                </anchor>
              </controlPr>
            </control>
          </mc:Choice>
        </mc:AlternateContent>
        <mc:AlternateContent xmlns:mc="http://schemas.openxmlformats.org/markup-compatibility/2006">
          <mc:Choice Requires="x14">
            <control shapeId="19174" r:id="rId323" name="Drop Down 742">
              <controlPr defaultSize="0" autoLine="0" autoPict="0">
                <anchor moveWithCells="1">
                  <from>
                    <xdr:col>115</xdr:col>
                    <xdr:colOff>0</xdr:colOff>
                    <xdr:row>69</xdr:row>
                    <xdr:rowOff>0</xdr:rowOff>
                  </from>
                  <to>
                    <xdr:col>117</xdr:col>
                    <xdr:colOff>19050</xdr:colOff>
                    <xdr:row>70</xdr:row>
                    <xdr:rowOff>9525</xdr:rowOff>
                  </to>
                </anchor>
              </controlPr>
            </control>
          </mc:Choice>
        </mc:AlternateContent>
        <mc:AlternateContent xmlns:mc="http://schemas.openxmlformats.org/markup-compatibility/2006">
          <mc:Choice Requires="x14">
            <control shapeId="19175" r:id="rId324" name="Drop Down 743">
              <controlPr defaultSize="0" autoLine="0" autoPict="0">
                <anchor moveWithCells="1">
                  <from>
                    <xdr:col>163</xdr:col>
                    <xdr:colOff>0</xdr:colOff>
                    <xdr:row>69</xdr:row>
                    <xdr:rowOff>0</xdr:rowOff>
                  </from>
                  <to>
                    <xdr:col>165</xdr:col>
                    <xdr:colOff>333375</xdr:colOff>
                    <xdr:row>70</xdr:row>
                    <xdr:rowOff>9525</xdr:rowOff>
                  </to>
                </anchor>
              </controlPr>
            </control>
          </mc:Choice>
        </mc:AlternateContent>
        <mc:AlternateContent xmlns:mc="http://schemas.openxmlformats.org/markup-compatibility/2006">
          <mc:Choice Requires="x14">
            <control shapeId="19176" r:id="rId325" name="Drop Down 744">
              <controlPr defaultSize="0" autoLine="0" autoPict="0">
                <anchor moveWithCells="1">
                  <from>
                    <xdr:col>264</xdr:col>
                    <xdr:colOff>0</xdr:colOff>
                    <xdr:row>69</xdr:row>
                    <xdr:rowOff>0</xdr:rowOff>
                  </from>
                  <to>
                    <xdr:col>266</xdr:col>
                    <xdr:colOff>161925</xdr:colOff>
                    <xdr:row>70</xdr:row>
                    <xdr:rowOff>9525</xdr:rowOff>
                  </to>
                </anchor>
              </controlPr>
            </control>
          </mc:Choice>
        </mc:AlternateContent>
        <mc:AlternateContent xmlns:mc="http://schemas.openxmlformats.org/markup-compatibility/2006">
          <mc:Choice Requires="x14">
            <control shapeId="19177" r:id="rId326" name="Drop Down 745">
              <controlPr defaultSize="0" autoLine="0" autoPict="0">
                <anchor moveWithCells="1">
                  <from>
                    <xdr:col>3</xdr:col>
                    <xdr:colOff>9525</xdr:colOff>
                    <xdr:row>69</xdr:row>
                    <xdr:rowOff>0</xdr:rowOff>
                  </from>
                  <to>
                    <xdr:col>4</xdr:col>
                    <xdr:colOff>190500</xdr:colOff>
                    <xdr:row>70</xdr:row>
                    <xdr:rowOff>9525</xdr:rowOff>
                  </to>
                </anchor>
              </controlPr>
            </control>
          </mc:Choice>
        </mc:AlternateContent>
        <mc:AlternateContent xmlns:mc="http://schemas.openxmlformats.org/markup-compatibility/2006">
          <mc:Choice Requires="x14">
            <control shapeId="19178" r:id="rId327" name="Drop Down 746">
              <controlPr defaultSize="0" autoLine="0" autoPict="0">
                <anchor moveWithCells="1">
                  <from>
                    <xdr:col>5</xdr:col>
                    <xdr:colOff>0</xdr:colOff>
                    <xdr:row>69</xdr:row>
                    <xdr:rowOff>0</xdr:rowOff>
                  </from>
                  <to>
                    <xdr:col>8</xdr:col>
                    <xdr:colOff>9525</xdr:colOff>
                    <xdr:row>70</xdr:row>
                    <xdr:rowOff>9525</xdr:rowOff>
                  </to>
                </anchor>
              </controlPr>
            </control>
          </mc:Choice>
        </mc:AlternateContent>
        <mc:AlternateContent xmlns:mc="http://schemas.openxmlformats.org/markup-compatibility/2006">
          <mc:Choice Requires="x14">
            <control shapeId="19179" r:id="rId328" name="Drop Down 747">
              <controlPr defaultSize="0" autoLine="0" autoPict="0">
                <anchor moveWithCells="1">
                  <from>
                    <xdr:col>35</xdr:col>
                    <xdr:colOff>9525</xdr:colOff>
                    <xdr:row>69</xdr:row>
                    <xdr:rowOff>0</xdr:rowOff>
                  </from>
                  <to>
                    <xdr:col>36</xdr:col>
                    <xdr:colOff>9525</xdr:colOff>
                    <xdr:row>70</xdr:row>
                    <xdr:rowOff>9525</xdr:rowOff>
                  </to>
                </anchor>
              </controlPr>
            </control>
          </mc:Choice>
        </mc:AlternateContent>
        <mc:AlternateContent xmlns:mc="http://schemas.openxmlformats.org/markup-compatibility/2006">
          <mc:Choice Requires="x14">
            <control shapeId="19180" r:id="rId329" name="Drop Down 748">
              <controlPr defaultSize="0" autoLine="0" autoPict="0">
                <anchor moveWithCells="1">
                  <from>
                    <xdr:col>9</xdr:col>
                    <xdr:colOff>76200</xdr:colOff>
                    <xdr:row>71</xdr:row>
                    <xdr:rowOff>0</xdr:rowOff>
                  </from>
                  <to>
                    <xdr:col>12</xdr:col>
                    <xdr:colOff>257175</xdr:colOff>
                    <xdr:row>72</xdr:row>
                    <xdr:rowOff>9525</xdr:rowOff>
                  </to>
                </anchor>
              </controlPr>
            </control>
          </mc:Choice>
        </mc:AlternateContent>
        <mc:AlternateContent xmlns:mc="http://schemas.openxmlformats.org/markup-compatibility/2006">
          <mc:Choice Requires="x14">
            <control shapeId="19181" r:id="rId330" name="Drop Down 749">
              <controlPr defaultSize="0" autoLine="0" autoPict="0">
                <anchor moveWithCells="1">
                  <from>
                    <xdr:col>13</xdr:col>
                    <xdr:colOff>0</xdr:colOff>
                    <xdr:row>71</xdr:row>
                    <xdr:rowOff>0</xdr:rowOff>
                  </from>
                  <to>
                    <xdr:col>16</xdr:col>
                    <xdr:colOff>190500</xdr:colOff>
                    <xdr:row>72</xdr:row>
                    <xdr:rowOff>9525</xdr:rowOff>
                  </to>
                </anchor>
              </controlPr>
            </control>
          </mc:Choice>
        </mc:AlternateContent>
        <mc:AlternateContent xmlns:mc="http://schemas.openxmlformats.org/markup-compatibility/2006">
          <mc:Choice Requires="x14">
            <control shapeId="19182" r:id="rId331" name="Drop Down 750">
              <controlPr defaultSize="0" autoLine="0" autoPict="0">
                <anchor moveWithCells="1">
                  <from>
                    <xdr:col>19</xdr:col>
                    <xdr:colOff>0</xdr:colOff>
                    <xdr:row>71</xdr:row>
                    <xdr:rowOff>0</xdr:rowOff>
                  </from>
                  <to>
                    <xdr:col>22</xdr:col>
                    <xdr:colOff>190500</xdr:colOff>
                    <xdr:row>72</xdr:row>
                    <xdr:rowOff>9525</xdr:rowOff>
                  </to>
                </anchor>
              </controlPr>
            </control>
          </mc:Choice>
        </mc:AlternateContent>
        <mc:AlternateContent xmlns:mc="http://schemas.openxmlformats.org/markup-compatibility/2006">
          <mc:Choice Requires="x14">
            <control shapeId="19183" r:id="rId332" name="Drop Down 751">
              <controlPr defaultSize="0" autoLine="0" autoPict="0">
                <anchor moveWithCells="1">
                  <from>
                    <xdr:col>23</xdr:col>
                    <xdr:colOff>0</xdr:colOff>
                    <xdr:row>71</xdr:row>
                    <xdr:rowOff>0</xdr:rowOff>
                  </from>
                  <to>
                    <xdr:col>26</xdr:col>
                    <xdr:colOff>190500</xdr:colOff>
                    <xdr:row>72</xdr:row>
                    <xdr:rowOff>9525</xdr:rowOff>
                  </to>
                </anchor>
              </controlPr>
            </control>
          </mc:Choice>
        </mc:AlternateContent>
        <mc:AlternateContent xmlns:mc="http://schemas.openxmlformats.org/markup-compatibility/2006">
          <mc:Choice Requires="x14">
            <control shapeId="19184" r:id="rId333" name="Check Box 752">
              <controlPr defaultSize="0" autoFill="0" autoLine="0" autoPict="0">
                <anchor moveWithCells="1">
                  <from>
                    <xdr:col>17</xdr:col>
                    <xdr:colOff>38100</xdr:colOff>
                    <xdr:row>71</xdr:row>
                    <xdr:rowOff>0</xdr:rowOff>
                  </from>
                  <to>
                    <xdr:col>17</xdr:col>
                    <xdr:colOff>342900</xdr:colOff>
                    <xdr:row>72</xdr:row>
                    <xdr:rowOff>28575</xdr:rowOff>
                  </to>
                </anchor>
              </controlPr>
            </control>
          </mc:Choice>
        </mc:AlternateContent>
        <mc:AlternateContent xmlns:mc="http://schemas.openxmlformats.org/markup-compatibility/2006">
          <mc:Choice Requires="x14">
            <control shapeId="19185" r:id="rId334" name="Drop Down 753">
              <controlPr defaultSize="0" autoLine="0" autoPict="0">
                <anchor moveWithCells="1">
                  <from>
                    <xdr:col>27</xdr:col>
                    <xdr:colOff>0</xdr:colOff>
                    <xdr:row>71</xdr:row>
                    <xdr:rowOff>0</xdr:rowOff>
                  </from>
                  <to>
                    <xdr:col>30</xdr:col>
                    <xdr:colOff>190500</xdr:colOff>
                    <xdr:row>72</xdr:row>
                    <xdr:rowOff>9525</xdr:rowOff>
                  </to>
                </anchor>
              </controlPr>
            </control>
          </mc:Choice>
        </mc:AlternateContent>
        <mc:AlternateContent xmlns:mc="http://schemas.openxmlformats.org/markup-compatibility/2006">
          <mc:Choice Requires="x14">
            <control shapeId="19186" r:id="rId335" name="Drop Down 754">
              <controlPr defaultSize="0" autoLine="0" autoPict="0">
                <anchor moveWithCells="1">
                  <from>
                    <xdr:col>115</xdr:col>
                    <xdr:colOff>0</xdr:colOff>
                    <xdr:row>71</xdr:row>
                    <xdr:rowOff>0</xdr:rowOff>
                  </from>
                  <to>
                    <xdr:col>117</xdr:col>
                    <xdr:colOff>19050</xdr:colOff>
                    <xdr:row>72</xdr:row>
                    <xdr:rowOff>9525</xdr:rowOff>
                  </to>
                </anchor>
              </controlPr>
            </control>
          </mc:Choice>
        </mc:AlternateContent>
        <mc:AlternateContent xmlns:mc="http://schemas.openxmlformats.org/markup-compatibility/2006">
          <mc:Choice Requires="x14">
            <control shapeId="19187" r:id="rId336" name="Drop Down 755">
              <controlPr defaultSize="0" autoLine="0" autoPict="0">
                <anchor moveWithCells="1">
                  <from>
                    <xdr:col>163</xdr:col>
                    <xdr:colOff>0</xdr:colOff>
                    <xdr:row>71</xdr:row>
                    <xdr:rowOff>0</xdr:rowOff>
                  </from>
                  <to>
                    <xdr:col>165</xdr:col>
                    <xdr:colOff>333375</xdr:colOff>
                    <xdr:row>72</xdr:row>
                    <xdr:rowOff>9525</xdr:rowOff>
                  </to>
                </anchor>
              </controlPr>
            </control>
          </mc:Choice>
        </mc:AlternateContent>
        <mc:AlternateContent xmlns:mc="http://schemas.openxmlformats.org/markup-compatibility/2006">
          <mc:Choice Requires="x14">
            <control shapeId="19188" r:id="rId337" name="Drop Down 756">
              <controlPr defaultSize="0" autoLine="0" autoPict="0">
                <anchor moveWithCells="1">
                  <from>
                    <xdr:col>264</xdr:col>
                    <xdr:colOff>0</xdr:colOff>
                    <xdr:row>71</xdr:row>
                    <xdr:rowOff>0</xdr:rowOff>
                  </from>
                  <to>
                    <xdr:col>266</xdr:col>
                    <xdr:colOff>161925</xdr:colOff>
                    <xdr:row>72</xdr:row>
                    <xdr:rowOff>9525</xdr:rowOff>
                  </to>
                </anchor>
              </controlPr>
            </control>
          </mc:Choice>
        </mc:AlternateContent>
        <mc:AlternateContent xmlns:mc="http://schemas.openxmlformats.org/markup-compatibility/2006">
          <mc:Choice Requires="x14">
            <control shapeId="19189" r:id="rId338" name="Drop Down 757">
              <controlPr defaultSize="0" autoLine="0" autoPict="0">
                <anchor moveWithCells="1">
                  <from>
                    <xdr:col>3</xdr:col>
                    <xdr:colOff>9525</xdr:colOff>
                    <xdr:row>71</xdr:row>
                    <xdr:rowOff>0</xdr:rowOff>
                  </from>
                  <to>
                    <xdr:col>4</xdr:col>
                    <xdr:colOff>190500</xdr:colOff>
                    <xdr:row>72</xdr:row>
                    <xdr:rowOff>9525</xdr:rowOff>
                  </to>
                </anchor>
              </controlPr>
            </control>
          </mc:Choice>
        </mc:AlternateContent>
        <mc:AlternateContent xmlns:mc="http://schemas.openxmlformats.org/markup-compatibility/2006">
          <mc:Choice Requires="x14">
            <control shapeId="19190" r:id="rId339" name="Drop Down 758">
              <controlPr defaultSize="0" autoLine="0" autoPict="0">
                <anchor moveWithCells="1">
                  <from>
                    <xdr:col>5</xdr:col>
                    <xdr:colOff>0</xdr:colOff>
                    <xdr:row>71</xdr:row>
                    <xdr:rowOff>0</xdr:rowOff>
                  </from>
                  <to>
                    <xdr:col>8</xdr:col>
                    <xdr:colOff>9525</xdr:colOff>
                    <xdr:row>72</xdr:row>
                    <xdr:rowOff>9525</xdr:rowOff>
                  </to>
                </anchor>
              </controlPr>
            </control>
          </mc:Choice>
        </mc:AlternateContent>
        <mc:AlternateContent xmlns:mc="http://schemas.openxmlformats.org/markup-compatibility/2006">
          <mc:Choice Requires="x14">
            <control shapeId="19191" r:id="rId340" name="Drop Down 759">
              <controlPr defaultSize="0" autoLine="0" autoPict="0">
                <anchor moveWithCells="1">
                  <from>
                    <xdr:col>35</xdr:col>
                    <xdr:colOff>9525</xdr:colOff>
                    <xdr:row>71</xdr:row>
                    <xdr:rowOff>0</xdr:rowOff>
                  </from>
                  <to>
                    <xdr:col>36</xdr:col>
                    <xdr:colOff>9525</xdr:colOff>
                    <xdr:row>72</xdr:row>
                    <xdr:rowOff>9525</xdr:rowOff>
                  </to>
                </anchor>
              </controlPr>
            </control>
          </mc:Choice>
        </mc:AlternateContent>
        <mc:AlternateContent xmlns:mc="http://schemas.openxmlformats.org/markup-compatibility/2006">
          <mc:Choice Requires="x14">
            <control shapeId="19192" r:id="rId341" name="Drop Down 760">
              <controlPr defaultSize="0" autoLine="0" autoPict="0">
                <anchor moveWithCells="1">
                  <from>
                    <xdr:col>9</xdr:col>
                    <xdr:colOff>76200</xdr:colOff>
                    <xdr:row>73</xdr:row>
                    <xdr:rowOff>0</xdr:rowOff>
                  </from>
                  <to>
                    <xdr:col>12</xdr:col>
                    <xdr:colOff>257175</xdr:colOff>
                    <xdr:row>74</xdr:row>
                    <xdr:rowOff>9525</xdr:rowOff>
                  </to>
                </anchor>
              </controlPr>
            </control>
          </mc:Choice>
        </mc:AlternateContent>
        <mc:AlternateContent xmlns:mc="http://schemas.openxmlformats.org/markup-compatibility/2006">
          <mc:Choice Requires="x14">
            <control shapeId="19193" r:id="rId342" name="Drop Down 761">
              <controlPr defaultSize="0" autoLine="0" autoPict="0">
                <anchor moveWithCells="1">
                  <from>
                    <xdr:col>13</xdr:col>
                    <xdr:colOff>0</xdr:colOff>
                    <xdr:row>73</xdr:row>
                    <xdr:rowOff>0</xdr:rowOff>
                  </from>
                  <to>
                    <xdr:col>16</xdr:col>
                    <xdr:colOff>190500</xdr:colOff>
                    <xdr:row>74</xdr:row>
                    <xdr:rowOff>9525</xdr:rowOff>
                  </to>
                </anchor>
              </controlPr>
            </control>
          </mc:Choice>
        </mc:AlternateContent>
        <mc:AlternateContent xmlns:mc="http://schemas.openxmlformats.org/markup-compatibility/2006">
          <mc:Choice Requires="x14">
            <control shapeId="19194" r:id="rId343" name="Drop Down 762">
              <controlPr defaultSize="0" autoLine="0" autoPict="0">
                <anchor moveWithCells="1">
                  <from>
                    <xdr:col>19</xdr:col>
                    <xdr:colOff>0</xdr:colOff>
                    <xdr:row>73</xdr:row>
                    <xdr:rowOff>0</xdr:rowOff>
                  </from>
                  <to>
                    <xdr:col>22</xdr:col>
                    <xdr:colOff>190500</xdr:colOff>
                    <xdr:row>74</xdr:row>
                    <xdr:rowOff>9525</xdr:rowOff>
                  </to>
                </anchor>
              </controlPr>
            </control>
          </mc:Choice>
        </mc:AlternateContent>
        <mc:AlternateContent xmlns:mc="http://schemas.openxmlformats.org/markup-compatibility/2006">
          <mc:Choice Requires="x14">
            <control shapeId="19195" r:id="rId344" name="Drop Down 763">
              <controlPr defaultSize="0" autoLine="0" autoPict="0">
                <anchor moveWithCells="1">
                  <from>
                    <xdr:col>23</xdr:col>
                    <xdr:colOff>0</xdr:colOff>
                    <xdr:row>73</xdr:row>
                    <xdr:rowOff>0</xdr:rowOff>
                  </from>
                  <to>
                    <xdr:col>26</xdr:col>
                    <xdr:colOff>190500</xdr:colOff>
                    <xdr:row>74</xdr:row>
                    <xdr:rowOff>9525</xdr:rowOff>
                  </to>
                </anchor>
              </controlPr>
            </control>
          </mc:Choice>
        </mc:AlternateContent>
        <mc:AlternateContent xmlns:mc="http://schemas.openxmlformats.org/markup-compatibility/2006">
          <mc:Choice Requires="x14">
            <control shapeId="19196" r:id="rId345" name="Check Box 764">
              <controlPr defaultSize="0" autoFill="0" autoLine="0" autoPict="0">
                <anchor moveWithCells="1">
                  <from>
                    <xdr:col>17</xdr:col>
                    <xdr:colOff>38100</xdr:colOff>
                    <xdr:row>73</xdr:row>
                    <xdr:rowOff>0</xdr:rowOff>
                  </from>
                  <to>
                    <xdr:col>17</xdr:col>
                    <xdr:colOff>342900</xdr:colOff>
                    <xdr:row>74</xdr:row>
                    <xdr:rowOff>28575</xdr:rowOff>
                  </to>
                </anchor>
              </controlPr>
            </control>
          </mc:Choice>
        </mc:AlternateContent>
        <mc:AlternateContent xmlns:mc="http://schemas.openxmlformats.org/markup-compatibility/2006">
          <mc:Choice Requires="x14">
            <control shapeId="19197" r:id="rId346" name="Drop Down 765">
              <controlPr defaultSize="0" autoLine="0" autoPict="0">
                <anchor moveWithCells="1">
                  <from>
                    <xdr:col>27</xdr:col>
                    <xdr:colOff>0</xdr:colOff>
                    <xdr:row>73</xdr:row>
                    <xdr:rowOff>0</xdr:rowOff>
                  </from>
                  <to>
                    <xdr:col>30</xdr:col>
                    <xdr:colOff>190500</xdr:colOff>
                    <xdr:row>74</xdr:row>
                    <xdr:rowOff>9525</xdr:rowOff>
                  </to>
                </anchor>
              </controlPr>
            </control>
          </mc:Choice>
        </mc:AlternateContent>
        <mc:AlternateContent xmlns:mc="http://schemas.openxmlformats.org/markup-compatibility/2006">
          <mc:Choice Requires="x14">
            <control shapeId="19198" r:id="rId347" name="Drop Down 766">
              <controlPr defaultSize="0" autoLine="0" autoPict="0">
                <anchor moveWithCells="1">
                  <from>
                    <xdr:col>115</xdr:col>
                    <xdr:colOff>0</xdr:colOff>
                    <xdr:row>73</xdr:row>
                    <xdr:rowOff>0</xdr:rowOff>
                  </from>
                  <to>
                    <xdr:col>117</xdr:col>
                    <xdr:colOff>19050</xdr:colOff>
                    <xdr:row>74</xdr:row>
                    <xdr:rowOff>9525</xdr:rowOff>
                  </to>
                </anchor>
              </controlPr>
            </control>
          </mc:Choice>
        </mc:AlternateContent>
        <mc:AlternateContent xmlns:mc="http://schemas.openxmlformats.org/markup-compatibility/2006">
          <mc:Choice Requires="x14">
            <control shapeId="19199" r:id="rId348" name="Drop Down 767">
              <controlPr defaultSize="0" autoLine="0" autoPict="0">
                <anchor moveWithCells="1">
                  <from>
                    <xdr:col>163</xdr:col>
                    <xdr:colOff>0</xdr:colOff>
                    <xdr:row>73</xdr:row>
                    <xdr:rowOff>0</xdr:rowOff>
                  </from>
                  <to>
                    <xdr:col>165</xdr:col>
                    <xdr:colOff>333375</xdr:colOff>
                    <xdr:row>74</xdr:row>
                    <xdr:rowOff>9525</xdr:rowOff>
                  </to>
                </anchor>
              </controlPr>
            </control>
          </mc:Choice>
        </mc:AlternateContent>
        <mc:AlternateContent xmlns:mc="http://schemas.openxmlformats.org/markup-compatibility/2006">
          <mc:Choice Requires="x14">
            <control shapeId="19200" r:id="rId349" name="Drop Down 768">
              <controlPr defaultSize="0" autoLine="0" autoPict="0">
                <anchor moveWithCells="1">
                  <from>
                    <xdr:col>264</xdr:col>
                    <xdr:colOff>0</xdr:colOff>
                    <xdr:row>73</xdr:row>
                    <xdr:rowOff>0</xdr:rowOff>
                  </from>
                  <to>
                    <xdr:col>266</xdr:col>
                    <xdr:colOff>161925</xdr:colOff>
                    <xdr:row>74</xdr:row>
                    <xdr:rowOff>9525</xdr:rowOff>
                  </to>
                </anchor>
              </controlPr>
            </control>
          </mc:Choice>
        </mc:AlternateContent>
        <mc:AlternateContent xmlns:mc="http://schemas.openxmlformats.org/markup-compatibility/2006">
          <mc:Choice Requires="x14">
            <control shapeId="19201" r:id="rId350" name="Drop Down 769">
              <controlPr defaultSize="0" autoLine="0" autoPict="0">
                <anchor moveWithCells="1">
                  <from>
                    <xdr:col>3</xdr:col>
                    <xdr:colOff>9525</xdr:colOff>
                    <xdr:row>73</xdr:row>
                    <xdr:rowOff>0</xdr:rowOff>
                  </from>
                  <to>
                    <xdr:col>4</xdr:col>
                    <xdr:colOff>190500</xdr:colOff>
                    <xdr:row>74</xdr:row>
                    <xdr:rowOff>9525</xdr:rowOff>
                  </to>
                </anchor>
              </controlPr>
            </control>
          </mc:Choice>
        </mc:AlternateContent>
        <mc:AlternateContent xmlns:mc="http://schemas.openxmlformats.org/markup-compatibility/2006">
          <mc:Choice Requires="x14">
            <control shapeId="19202" r:id="rId351" name="Drop Down 770">
              <controlPr defaultSize="0" autoLine="0" autoPict="0">
                <anchor moveWithCells="1">
                  <from>
                    <xdr:col>5</xdr:col>
                    <xdr:colOff>0</xdr:colOff>
                    <xdr:row>73</xdr:row>
                    <xdr:rowOff>0</xdr:rowOff>
                  </from>
                  <to>
                    <xdr:col>8</xdr:col>
                    <xdr:colOff>9525</xdr:colOff>
                    <xdr:row>74</xdr:row>
                    <xdr:rowOff>9525</xdr:rowOff>
                  </to>
                </anchor>
              </controlPr>
            </control>
          </mc:Choice>
        </mc:AlternateContent>
        <mc:AlternateContent xmlns:mc="http://schemas.openxmlformats.org/markup-compatibility/2006">
          <mc:Choice Requires="x14">
            <control shapeId="19203" r:id="rId352" name="Drop Down 771">
              <controlPr defaultSize="0" autoLine="0" autoPict="0">
                <anchor moveWithCells="1">
                  <from>
                    <xdr:col>35</xdr:col>
                    <xdr:colOff>9525</xdr:colOff>
                    <xdr:row>73</xdr:row>
                    <xdr:rowOff>0</xdr:rowOff>
                  </from>
                  <to>
                    <xdr:col>36</xdr:col>
                    <xdr:colOff>9525</xdr:colOff>
                    <xdr:row>74</xdr:row>
                    <xdr:rowOff>9525</xdr:rowOff>
                  </to>
                </anchor>
              </controlPr>
            </control>
          </mc:Choice>
        </mc:AlternateContent>
        <mc:AlternateContent xmlns:mc="http://schemas.openxmlformats.org/markup-compatibility/2006">
          <mc:Choice Requires="x14">
            <control shapeId="19204" r:id="rId353" name="Drop Down 772">
              <controlPr defaultSize="0" autoLine="0" autoPict="0">
                <anchor moveWithCells="1">
                  <from>
                    <xdr:col>9</xdr:col>
                    <xdr:colOff>76200</xdr:colOff>
                    <xdr:row>75</xdr:row>
                    <xdr:rowOff>0</xdr:rowOff>
                  </from>
                  <to>
                    <xdr:col>12</xdr:col>
                    <xdr:colOff>257175</xdr:colOff>
                    <xdr:row>76</xdr:row>
                    <xdr:rowOff>9525</xdr:rowOff>
                  </to>
                </anchor>
              </controlPr>
            </control>
          </mc:Choice>
        </mc:AlternateContent>
        <mc:AlternateContent xmlns:mc="http://schemas.openxmlformats.org/markup-compatibility/2006">
          <mc:Choice Requires="x14">
            <control shapeId="19205" r:id="rId354" name="Drop Down 773">
              <controlPr defaultSize="0" autoLine="0" autoPict="0">
                <anchor moveWithCells="1">
                  <from>
                    <xdr:col>13</xdr:col>
                    <xdr:colOff>0</xdr:colOff>
                    <xdr:row>75</xdr:row>
                    <xdr:rowOff>0</xdr:rowOff>
                  </from>
                  <to>
                    <xdr:col>16</xdr:col>
                    <xdr:colOff>190500</xdr:colOff>
                    <xdr:row>76</xdr:row>
                    <xdr:rowOff>9525</xdr:rowOff>
                  </to>
                </anchor>
              </controlPr>
            </control>
          </mc:Choice>
        </mc:AlternateContent>
        <mc:AlternateContent xmlns:mc="http://schemas.openxmlformats.org/markup-compatibility/2006">
          <mc:Choice Requires="x14">
            <control shapeId="19206" r:id="rId355" name="Drop Down 774">
              <controlPr defaultSize="0" autoLine="0" autoPict="0">
                <anchor moveWithCells="1">
                  <from>
                    <xdr:col>19</xdr:col>
                    <xdr:colOff>0</xdr:colOff>
                    <xdr:row>75</xdr:row>
                    <xdr:rowOff>0</xdr:rowOff>
                  </from>
                  <to>
                    <xdr:col>22</xdr:col>
                    <xdr:colOff>190500</xdr:colOff>
                    <xdr:row>76</xdr:row>
                    <xdr:rowOff>9525</xdr:rowOff>
                  </to>
                </anchor>
              </controlPr>
            </control>
          </mc:Choice>
        </mc:AlternateContent>
        <mc:AlternateContent xmlns:mc="http://schemas.openxmlformats.org/markup-compatibility/2006">
          <mc:Choice Requires="x14">
            <control shapeId="19207" r:id="rId356" name="Drop Down 775">
              <controlPr defaultSize="0" autoLine="0" autoPict="0">
                <anchor moveWithCells="1">
                  <from>
                    <xdr:col>23</xdr:col>
                    <xdr:colOff>0</xdr:colOff>
                    <xdr:row>75</xdr:row>
                    <xdr:rowOff>0</xdr:rowOff>
                  </from>
                  <to>
                    <xdr:col>26</xdr:col>
                    <xdr:colOff>190500</xdr:colOff>
                    <xdr:row>76</xdr:row>
                    <xdr:rowOff>9525</xdr:rowOff>
                  </to>
                </anchor>
              </controlPr>
            </control>
          </mc:Choice>
        </mc:AlternateContent>
        <mc:AlternateContent xmlns:mc="http://schemas.openxmlformats.org/markup-compatibility/2006">
          <mc:Choice Requires="x14">
            <control shapeId="19208" r:id="rId357" name="Check Box 776">
              <controlPr defaultSize="0" autoFill="0" autoLine="0" autoPict="0">
                <anchor moveWithCells="1">
                  <from>
                    <xdr:col>17</xdr:col>
                    <xdr:colOff>38100</xdr:colOff>
                    <xdr:row>75</xdr:row>
                    <xdr:rowOff>0</xdr:rowOff>
                  </from>
                  <to>
                    <xdr:col>17</xdr:col>
                    <xdr:colOff>342900</xdr:colOff>
                    <xdr:row>76</xdr:row>
                    <xdr:rowOff>28575</xdr:rowOff>
                  </to>
                </anchor>
              </controlPr>
            </control>
          </mc:Choice>
        </mc:AlternateContent>
        <mc:AlternateContent xmlns:mc="http://schemas.openxmlformats.org/markup-compatibility/2006">
          <mc:Choice Requires="x14">
            <control shapeId="19209" r:id="rId358" name="Drop Down 777">
              <controlPr defaultSize="0" autoLine="0" autoPict="0">
                <anchor moveWithCells="1">
                  <from>
                    <xdr:col>27</xdr:col>
                    <xdr:colOff>0</xdr:colOff>
                    <xdr:row>75</xdr:row>
                    <xdr:rowOff>0</xdr:rowOff>
                  </from>
                  <to>
                    <xdr:col>30</xdr:col>
                    <xdr:colOff>190500</xdr:colOff>
                    <xdr:row>76</xdr:row>
                    <xdr:rowOff>9525</xdr:rowOff>
                  </to>
                </anchor>
              </controlPr>
            </control>
          </mc:Choice>
        </mc:AlternateContent>
        <mc:AlternateContent xmlns:mc="http://schemas.openxmlformats.org/markup-compatibility/2006">
          <mc:Choice Requires="x14">
            <control shapeId="19210" r:id="rId359" name="Drop Down 778">
              <controlPr defaultSize="0" autoLine="0" autoPict="0">
                <anchor moveWithCells="1">
                  <from>
                    <xdr:col>115</xdr:col>
                    <xdr:colOff>0</xdr:colOff>
                    <xdr:row>75</xdr:row>
                    <xdr:rowOff>0</xdr:rowOff>
                  </from>
                  <to>
                    <xdr:col>117</xdr:col>
                    <xdr:colOff>19050</xdr:colOff>
                    <xdr:row>76</xdr:row>
                    <xdr:rowOff>9525</xdr:rowOff>
                  </to>
                </anchor>
              </controlPr>
            </control>
          </mc:Choice>
        </mc:AlternateContent>
        <mc:AlternateContent xmlns:mc="http://schemas.openxmlformats.org/markup-compatibility/2006">
          <mc:Choice Requires="x14">
            <control shapeId="19211" r:id="rId360" name="Drop Down 779">
              <controlPr defaultSize="0" autoLine="0" autoPict="0">
                <anchor moveWithCells="1">
                  <from>
                    <xdr:col>163</xdr:col>
                    <xdr:colOff>0</xdr:colOff>
                    <xdr:row>75</xdr:row>
                    <xdr:rowOff>0</xdr:rowOff>
                  </from>
                  <to>
                    <xdr:col>165</xdr:col>
                    <xdr:colOff>333375</xdr:colOff>
                    <xdr:row>76</xdr:row>
                    <xdr:rowOff>9525</xdr:rowOff>
                  </to>
                </anchor>
              </controlPr>
            </control>
          </mc:Choice>
        </mc:AlternateContent>
        <mc:AlternateContent xmlns:mc="http://schemas.openxmlformats.org/markup-compatibility/2006">
          <mc:Choice Requires="x14">
            <control shapeId="19212" r:id="rId361" name="Drop Down 780">
              <controlPr defaultSize="0" autoLine="0" autoPict="0">
                <anchor moveWithCells="1">
                  <from>
                    <xdr:col>264</xdr:col>
                    <xdr:colOff>0</xdr:colOff>
                    <xdr:row>75</xdr:row>
                    <xdr:rowOff>0</xdr:rowOff>
                  </from>
                  <to>
                    <xdr:col>266</xdr:col>
                    <xdr:colOff>161925</xdr:colOff>
                    <xdr:row>76</xdr:row>
                    <xdr:rowOff>9525</xdr:rowOff>
                  </to>
                </anchor>
              </controlPr>
            </control>
          </mc:Choice>
        </mc:AlternateContent>
        <mc:AlternateContent xmlns:mc="http://schemas.openxmlformats.org/markup-compatibility/2006">
          <mc:Choice Requires="x14">
            <control shapeId="19213" r:id="rId362" name="Drop Down 781">
              <controlPr defaultSize="0" autoLine="0" autoPict="0">
                <anchor moveWithCells="1">
                  <from>
                    <xdr:col>3</xdr:col>
                    <xdr:colOff>9525</xdr:colOff>
                    <xdr:row>75</xdr:row>
                    <xdr:rowOff>0</xdr:rowOff>
                  </from>
                  <to>
                    <xdr:col>4</xdr:col>
                    <xdr:colOff>190500</xdr:colOff>
                    <xdr:row>76</xdr:row>
                    <xdr:rowOff>9525</xdr:rowOff>
                  </to>
                </anchor>
              </controlPr>
            </control>
          </mc:Choice>
        </mc:AlternateContent>
        <mc:AlternateContent xmlns:mc="http://schemas.openxmlformats.org/markup-compatibility/2006">
          <mc:Choice Requires="x14">
            <control shapeId="19214" r:id="rId363" name="Drop Down 782">
              <controlPr defaultSize="0" autoLine="0" autoPict="0">
                <anchor moveWithCells="1">
                  <from>
                    <xdr:col>5</xdr:col>
                    <xdr:colOff>0</xdr:colOff>
                    <xdr:row>75</xdr:row>
                    <xdr:rowOff>0</xdr:rowOff>
                  </from>
                  <to>
                    <xdr:col>8</xdr:col>
                    <xdr:colOff>9525</xdr:colOff>
                    <xdr:row>76</xdr:row>
                    <xdr:rowOff>9525</xdr:rowOff>
                  </to>
                </anchor>
              </controlPr>
            </control>
          </mc:Choice>
        </mc:AlternateContent>
        <mc:AlternateContent xmlns:mc="http://schemas.openxmlformats.org/markup-compatibility/2006">
          <mc:Choice Requires="x14">
            <control shapeId="19215" r:id="rId364" name="Drop Down 783">
              <controlPr defaultSize="0" autoLine="0" autoPict="0">
                <anchor moveWithCells="1">
                  <from>
                    <xdr:col>35</xdr:col>
                    <xdr:colOff>9525</xdr:colOff>
                    <xdr:row>75</xdr:row>
                    <xdr:rowOff>0</xdr:rowOff>
                  </from>
                  <to>
                    <xdr:col>36</xdr:col>
                    <xdr:colOff>9525</xdr:colOff>
                    <xdr:row>76</xdr:row>
                    <xdr:rowOff>9525</xdr:rowOff>
                  </to>
                </anchor>
              </controlPr>
            </control>
          </mc:Choice>
        </mc:AlternateContent>
        <mc:AlternateContent xmlns:mc="http://schemas.openxmlformats.org/markup-compatibility/2006">
          <mc:Choice Requires="x14">
            <control shapeId="19216" r:id="rId365" name="Drop Down 784">
              <controlPr defaultSize="0" autoLine="0" autoPict="0">
                <anchor moveWithCells="1">
                  <from>
                    <xdr:col>9</xdr:col>
                    <xdr:colOff>76200</xdr:colOff>
                    <xdr:row>77</xdr:row>
                    <xdr:rowOff>0</xdr:rowOff>
                  </from>
                  <to>
                    <xdr:col>12</xdr:col>
                    <xdr:colOff>257175</xdr:colOff>
                    <xdr:row>78</xdr:row>
                    <xdr:rowOff>9525</xdr:rowOff>
                  </to>
                </anchor>
              </controlPr>
            </control>
          </mc:Choice>
        </mc:AlternateContent>
        <mc:AlternateContent xmlns:mc="http://schemas.openxmlformats.org/markup-compatibility/2006">
          <mc:Choice Requires="x14">
            <control shapeId="19217" r:id="rId366" name="Drop Down 785">
              <controlPr defaultSize="0" autoLine="0" autoPict="0">
                <anchor moveWithCells="1">
                  <from>
                    <xdr:col>13</xdr:col>
                    <xdr:colOff>0</xdr:colOff>
                    <xdr:row>77</xdr:row>
                    <xdr:rowOff>0</xdr:rowOff>
                  </from>
                  <to>
                    <xdr:col>16</xdr:col>
                    <xdr:colOff>190500</xdr:colOff>
                    <xdr:row>78</xdr:row>
                    <xdr:rowOff>9525</xdr:rowOff>
                  </to>
                </anchor>
              </controlPr>
            </control>
          </mc:Choice>
        </mc:AlternateContent>
        <mc:AlternateContent xmlns:mc="http://schemas.openxmlformats.org/markup-compatibility/2006">
          <mc:Choice Requires="x14">
            <control shapeId="19218" r:id="rId367" name="Drop Down 786">
              <controlPr defaultSize="0" autoLine="0" autoPict="0">
                <anchor moveWithCells="1">
                  <from>
                    <xdr:col>19</xdr:col>
                    <xdr:colOff>0</xdr:colOff>
                    <xdr:row>77</xdr:row>
                    <xdr:rowOff>0</xdr:rowOff>
                  </from>
                  <to>
                    <xdr:col>22</xdr:col>
                    <xdr:colOff>190500</xdr:colOff>
                    <xdr:row>78</xdr:row>
                    <xdr:rowOff>9525</xdr:rowOff>
                  </to>
                </anchor>
              </controlPr>
            </control>
          </mc:Choice>
        </mc:AlternateContent>
        <mc:AlternateContent xmlns:mc="http://schemas.openxmlformats.org/markup-compatibility/2006">
          <mc:Choice Requires="x14">
            <control shapeId="19219" r:id="rId368" name="Drop Down 787">
              <controlPr defaultSize="0" autoLine="0" autoPict="0">
                <anchor moveWithCells="1">
                  <from>
                    <xdr:col>23</xdr:col>
                    <xdr:colOff>0</xdr:colOff>
                    <xdr:row>77</xdr:row>
                    <xdr:rowOff>0</xdr:rowOff>
                  </from>
                  <to>
                    <xdr:col>26</xdr:col>
                    <xdr:colOff>190500</xdr:colOff>
                    <xdr:row>78</xdr:row>
                    <xdr:rowOff>9525</xdr:rowOff>
                  </to>
                </anchor>
              </controlPr>
            </control>
          </mc:Choice>
        </mc:AlternateContent>
        <mc:AlternateContent xmlns:mc="http://schemas.openxmlformats.org/markup-compatibility/2006">
          <mc:Choice Requires="x14">
            <control shapeId="19220" r:id="rId369" name="Check Box 788">
              <controlPr defaultSize="0" autoFill="0" autoLine="0" autoPict="0">
                <anchor moveWithCells="1">
                  <from>
                    <xdr:col>17</xdr:col>
                    <xdr:colOff>38100</xdr:colOff>
                    <xdr:row>77</xdr:row>
                    <xdr:rowOff>0</xdr:rowOff>
                  </from>
                  <to>
                    <xdr:col>17</xdr:col>
                    <xdr:colOff>342900</xdr:colOff>
                    <xdr:row>78</xdr:row>
                    <xdr:rowOff>28575</xdr:rowOff>
                  </to>
                </anchor>
              </controlPr>
            </control>
          </mc:Choice>
        </mc:AlternateContent>
        <mc:AlternateContent xmlns:mc="http://schemas.openxmlformats.org/markup-compatibility/2006">
          <mc:Choice Requires="x14">
            <control shapeId="19221" r:id="rId370" name="Drop Down 789">
              <controlPr defaultSize="0" autoLine="0" autoPict="0">
                <anchor moveWithCells="1">
                  <from>
                    <xdr:col>27</xdr:col>
                    <xdr:colOff>0</xdr:colOff>
                    <xdr:row>77</xdr:row>
                    <xdr:rowOff>0</xdr:rowOff>
                  </from>
                  <to>
                    <xdr:col>30</xdr:col>
                    <xdr:colOff>190500</xdr:colOff>
                    <xdr:row>78</xdr:row>
                    <xdr:rowOff>9525</xdr:rowOff>
                  </to>
                </anchor>
              </controlPr>
            </control>
          </mc:Choice>
        </mc:AlternateContent>
        <mc:AlternateContent xmlns:mc="http://schemas.openxmlformats.org/markup-compatibility/2006">
          <mc:Choice Requires="x14">
            <control shapeId="19222" r:id="rId371" name="Drop Down 790">
              <controlPr defaultSize="0" autoLine="0" autoPict="0">
                <anchor moveWithCells="1">
                  <from>
                    <xdr:col>115</xdr:col>
                    <xdr:colOff>0</xdr:colOff>
                    <xdr:row>77</xdr:row>
                    <xdr:rowOff>0</xdr:rowOff>
                  </from>
                  <to>
                    <xdr:col>117</xdr:col>
                    <xdr:colOff>19050</xdr:colOff>
                    <xdr:row>78</xdr:row>
                    <xdr:rowOff>9525</xdr:rowOff>
                  </to>
                </anchor>
              </controlPr>
            </control>
          </mc:Choice>
        </mc:AlternateContent>
        <mc:AlternateContent xmlns:mc="http://schemas.openxmlformats.org/markup-compatibility/2006">
          <mc:Choice Requires="x14">
            <control shapeId="19223" r:id="rId372" name="Drop Down 791">
              <controlPr defaultSize="0" autoLine="0" autoPict="0">
                <anchor moveWithCells="1">
                  <from>
                    <xdr:col>163</xdr:col>
                    <xdr:colOff>0</xdr:colOff>
                    <xdr:row>77</xdr:row>
                    <xdr:rowOff>0</xdr:rowOff>
                  </from>
                  <to>
                    <xdr:col>165</xdr:col>
                    <xdr:colOff>333375</xdr:colOff>
                    <xdr:row>78</xdr:row>
                    <xdr:rowOff>9525</xdr:rowOff>
                  </to>
                </anchor>
              </controlPr>
            </control>
          </mc:Choice>
        </mc:AlternateContent>
        <mc:AlternateContent xmlns:mc="http://schemas.openxmlformats.org/markup-compatibility/2006">
          <mc:Choice Requires="x14">
            <control shapeId="19224" r:id="rId373" name="Drop Down 792">
              <controlPr defaultSize="0" autoLine="0" autoPict="0">
                <anchor moveWithCells="1">
                  <from>
                    <xdr:col>264</xdr:col>
                    <xdr:colOff>0</xdr:colOff>
                    <xdr:row>77</xdr:row>
                    <xdr:rowOff>0</xdr:rowOff>
                  </from>
                  <to>
                    <xdr:col>266</xdr:col>
                    <xdr:colOff>161925</xdr:colOff>
                    <xdr:row>78</xdr:row>
                    <xdr:rowOff>9525</xdr:rowOff>
                  </to>
                </anchor>
              </controlPr>
            </control>
          </mc:Choice>
        </mc:AlternateContent>
        <mc:AlternateContent xmlns:mc="http://schemas.openxmlformats.org/markup-compatibility/2006">
          <mc:Choice Requires="x14">
            <control shapeId="19225" r:id="rId374" name="Drop Down 793">
              <controlPr defaultSize="0" autoLine="0" autoPict="0">
                <anchor moveWithCells="1">
                  <from>
                    <xdr:col>3</xdr:col>
                    <xdr:colOff>9525</xdr:colOff>
                    <xdr:row>77</xdr:row>
                    <xdr:rowOff>0</xdr:rowOff>
                  </from>
                  <to>
                    <xdr:col>4</xdr:col>
                    <xdr:colOff>190500</xdr:colOff>
                    <xdr:row>78</xdr:row>
                    <xdr:rowOff>9525</xdr:rowOff>
                  </to>
                </anchor>
              </controlPr>
            </control>
          </mc:Choice>
        </mc:AlternateContent>
        <mc:AlternateContent xmlns:mc="http://schemas.openxmlformats.org/markup-compatibility/2006">
          <mc:Choice Requires="x14">
            <control shapeId="19226" r:id="rId375" name="Drop Down 794">
              <controlPr defaultSize="0" autoLine="0" autoPict="0">
                <anchor moveWithCells="1">
                  <from>
                    <xdr:col>5</xdr:col>
                    <xdr:colOff>0</xdr:colOff>
                    <xdr:row>77</xdr:row>
                    <xdr:rowOff>0</xdr:rowOff>
                  </from>
                  <to>
                    <xdr:col>8</xdr:col>
                    <xdr:colOff>9525</xdr:colOff>
                    <xdr:row>78</xdr:row>
                    <xdr:rowOff>9525</xdr:rowOff>
                  </to>
                </anchor>
              </controlPr>
            </control>
          </mc:Choice>
        </mc:AlternateContent>
        <mc:AlternateContent xmlns:mc="http://schemas.openxmlformats.org/markup-compatibility/2006">
          <mc:Choice Requires="x14">
            <control shapeId="19227" r:id="rId376" name="Drop Down 795">
              <controlPr defaultSize="0" autoLine="0" autoPict="0">
                <anchor moveWithCells="1">
                  <from>
                    <xdr:col>35</xdr:col>
                    <xdr:colOff>9525</xdr:colOff>
                    <xdr:row>77</xdr:row>
                    <xdr:rowOff>0</xdr:rowOff>
                  </from>
                  <to>
                    <xdr:col>36</xdr:col>
                    <xdr:colOff>9525</xdr:colOff>
                    <xdr:row>78</xdr:row>
                    <xdr:rowOff>9525</xdr:rowOff>
                  </to>
                </anchor>
              </controlPr>
            </control>
          </mc:Choice>
        </mc:AlternateContent>
        <mc:AlternateContent xmlns:mc="http://schemas.openxmlformats.org/markup-compatibility/2006">
          <mc:Choice Requires="x14">
            <control shapeId="19228" r:id="rId377" name="Drop Down 796">
              <controlPr defaultSize="0" autoLine="0" autoPict="0">
                <anchor moveWithCells="1">
                  <from>
                    <xdr:col>9</xdr:col>
                    <xdr:colOff>76200</xdr:colOff>
                    <xdr:row>79</xdr:row>
                    <xdr:rowOff>0</xdr:rowOff>
                  </from>
                  <to>
                    <xdr:col>12</xdr:col>
                    <xdr:colOff>257175</xdr:colOff>
                    <xdr:row>80</xdr:row>
                    <xdr:rowOff>9525</xdr:rowOff>
                  </to>
                </anchor>
              </controlPr>
            </control>
          </mc:Choice>
        </mc:AlternateContent>
        <mc:AlternateContent xmlns:mc="http://schemas.openxmlformats.org/markup-compatibility/2006">
          <mc:Choice Requires="x14">
            <control shapeId="19229" r:id="rId378" name="Drop Down 797">
              <controlPr defaultSize="0" autoLine="0" autoPict="0">
                <anchor moveWithCells="1">
                  <from>
                    <xdr:col>13</xdr:col>
                    <xdr:colOff>0</xdr:colOff>
                    <xdr:row>79</xdr:row>
                    <xdr:rowOff>0</xdr:rowOff>
                  </from>
                  <to>
                    <xdr:col>16</xdr:col>
                    <xdr:colOff>190500</xdr:colOff>
                    <xdr:row>80</xdr:row>
                    <xdr:rowOff>9525</xdr:rowOff>
                  </to>
                </anchor>
              </controlPr>
            </control>
          </mc:Choice>
        </mc:AlternateContent>
        <mc:AlternateContent xmlns:mc="http://schemas.openxmlformats.org/markup-compatibility/2006">
          <mc:Choice Requires="x14">
            <control shapeId="19230" r:id="rId379" name="Drop Down 798">
              <controlPr defaultSize="0" autoLine="0" autoPict="0">
                <anchor moveWithCells="1">
                  <from>
                    <xdr:col>19</xdr:col>
                    <xdr:colOff>0</xdr:colOff>
                    <xdr:row>79</xdr:row>
                    <xdr:rowOff>0</xdr:rowOff>
                  </from>
                  <to>
                    <xdr:col>22</xdr:col>
                    <xdr:colOff>190500</xdr:colOff>
                    <xdr:row>80</xdr:row>
                    <xdr:rowOff>9525</xdr:rowOff>
                  </to>
                </anchor>
              </controlPr>
            </control>
          </mc:Choice>
        </mc:AlternateContent>
        <mc:AlternateContent xmlns:mc="http://schemas.openxmlformats.org/markup-compatibility/2006">
          <mc:Choice Requires="x14">
            <control shapeId="19231" r:id="rId380" name="Drop Down 799">
              <controlPr defaultSize="0" autoLine="0" autoPict="0">
                <anchor moveWithCells="1">
                  <from>
                    <xdr:col>23</xdr:col>
                    <xdr:colOff>0</xdr:colOff>
                    <xdr:row>79</xdr:row>
                    <xdr:rowOff>0</xdr:rowOff>
                  </from>
                  <to>
                    <xdr:col>26</xdr:col>
                    <xdr:colOff>190500</xdr:colOff>
                    <xdr:row>80</xdr:row>
                    <xdr:rowOff>9525</xdr:rowOff>
                  </to>
                </anchor>
              </controlPr>
            </control>
          </mc:Choice>
        </mc:AlternateContent>
        <mc:AlternateContent xmlns:mc="http://schemas.openxmlformats.org/markup-compatibility/2006">
          <mc:Choice Requires="x14">
            <control shapeId="19232" r:id="rId381" name="Check Box 800">
              <controlPr defaultSize="0" autoFill="0" autoLine="0" autoPict="0">
                <anchor moveWithCells="1">
                  <from>
                    <xdr:col>17</xdr:col>
                    <xdr:colOff>38100</xdr:colOff>
                    <xdr:row>79</xdr:row>
                    <xdr:rowOff>0</xdr:rowOff>
                  </from>
                  <to>
                    <xdr:col>17</xdr:col>
                    <xdr:colOff>342900</xdr:colOff>
                    <xdr:row>80</xdr:row>
                    <xdr:rowOff>28575</xdr:rowOff>
                  </to>
                </anchor>
              </controlPr>
            </control>
          </mc:Choice>
        </mc:AlternateContent>
        <mc:AlternateContent xmlns:mc="http://schemas.openxmlformats.org/markup-compatibility/2006">
          <mc:Choice Requires="x14">
            <control shapeId="19233" r:id="rId382" name="Drop Down 801">
              <controlPr defaultSize="0" autoLine="0" autoPict="0">
                <anchor moveWithCells="1">
                  <from>
                    <xdr:col>27</xdr:col>
                    <xdr:colOff>0</xdr:colOff>
                    <xdr:row>79</xdr:row>
                    <xdr:rowOff>0</xdr:rowOff>
                  </from>
                  <to>
                    <xdr:col>30</xdr:col>
                    <xdr:colOff>190500</xdr:colOff>
                    <xdr:row>80</xdr:row>
                    <xdr:rowOff>9525</xdr:rowOff>
                  </to>
                </anchor>
              </controlPr>
            </control>
          </mc:Choice>
        </mc:AlternateContent>
        <mc:AlternateContent xmlns:mc="http://schemas.openxmlformats.org/markup-compatibility/2006">
          <mc:Choice Requires="x14">
            <control shapeId="19234" r:id="rId383" name="Drop Down 802">
              <controlPr defaultSize="0" autoLine="0" autoPict="0">
                <anchor moveWithCells="1">
                  <from>
                    <xdr:col>115</xdr:col>
                    <xdr:colOff>0</xdr:colOff>
                    <xdr:row>79</xdr:row>
                    <xdr:rowOff>0</xdr:rowOff>
                  </from>
                  <to>
                    <xdr:col>117</xdr:col>
                    <xdr:colOff>19050</xdr:colOff>
                    <xdr:row>80</xdr:row>
                    <xdr:rowOff>9525</xdr:rowOff>
                  </to>
                </anchor>
              </controlPr>
            </control>
          </mc:Choice>
        </mc:AlternateContent>
        <mc:AlternateContent xmlns:mc="http://schemas.openxmlformats.org/markup-compatibility/2006">
          <mc:Choice Requires="x14">
            <control shapeId="19235" r:id="rId384" name="Drop Down 803">
              <controlPr defaultSize="0" autoLine="0" autoPict="0">
                <anchor moveWithCells="1">
                  <from>
                    <xdr:col>163</xdr:col>
                    <xdr:colOff>0</xdr:colOff>
                    <xdr:row>79</xdr:row>
                    <xdr:rowOff>0</xdr:rowOff>
                  </from>
                  <to>
                    <xdr:col>165</xdr:col>
                    <xdr:colOff>333375</xdr:colOff>
                    <xdr:row>80</xdr:row>
                    <xdr:rowOff>9525</xdr:rowOff>
                  </to>
                </anchor>
              </controlPr>
            </control>
          </mc:Choice>
        </mc:AlternateContent>
        <mc:AlternateContent xmlns:mc="http://schemas.openxmlformats.org/markup-compatibility/2006">
          <mc:Choice Requires="x14">
            <control shapeId="19236" r:id="rId385" name="Drop Down 804">
              <controlPr defaultSize="0" autoLine="0" autoPict="0">
                <anchor moveWithCells="1">
                  <from>
                    <xdr:col>264</xdr:col>
                    <xdr:colOff>0</xdr:colOff>
                    <xdr:row>79</xdr:row>
                    <xdr:rowOff>0</xdr:rowOff>
                  </from>
                  <to>
                    <xdr:col>266</xdr:col>
                    <xdr:colOff>161925</xdr:colOff>
                    <xdr:row>80</xdr:row>
                    <xdr:rowOff>9525</xdr:rowOff>
                  </to>
                </anchor>
              </controlPr>
            </control>
          </mc:Choice>
        </mc:AlternateContent>
        <mc:AlternateContent xmlns:mc="http://schemas.openxmlformats.org/markup-compatibility/2006">
          <mc:Choice Requires="x14">
            <control shapeId="19237" r:id="rId386" name="Drop Down 805">
              <controlPr defaultSize="0" autoLine="0" autoPict="0">
                <anchor moveWithCells="1">
                  <from>
                    <xdr:col>3</xdr:col>
                    <xdr:colOff>9525</xdr:colOff>
                    <xdr:row>79</xdr:row>
                    <xdr:rowOff>0</xdr:rowOff>
                  </from>
                  <to>
                    <xdr:col>4</xdr:col>
                    <xdr:colOff>190500</xdr:colOff>
                    <xdr:row>80</xdr:row>
                    <xdr:rowOff>9525</xdr:rowOff>
                  </to>
                </anchor>
              </controlPr>
            </control>
          </mc:Choice>
        </mc:AlternateContent>
        <mc:AlternateContent xmlns:mc="http://schemas.openxmlformats.org/markup-compatibility/2006">
          <mc:Choice Requires="x14">
            <control shapeId="19238" r:id="rId387" name="Drop Down 806">
              <controlPr defaultSize="0" autoLine="0" autoPict="0">
                <anchor moveWithCells="1">
                  <from>
                    <xdr:col>5</xdr:col>
                    <xdr:colOff>0</xdr:colOff>
                    <xdr:row>79</xdr:row>
                    <xdr:rowOff>0</xdr:rowOff>
                  </from>
                  <to>
                    <xdr:col>8</xdr:col>
                    <xdr:colOff>9525</xdr:colOff>
                    <xdr:row>80</xdr:row>
                    <xdr:rowOff>9525</xdr:rowOff>
                  </to>
                </anchor>
              </controlPr>
            </control>
          </mc:Choice>
        </mc:AlternateContent>
        <mc:AlternateContent xmlns:mc="http://schemas.openxmlformats.org/markup-compatibility/2006">
          <mc:Choice Requires="x14">
            <control shapeId="19239" r:id="rId388" name="Drop Down 807">
              <controlPr defaultSize="0" autoLine="0" autoPict="0">
                <anchor moveWithCells="1">
                  <from>
                    <xdr:col>35</xdr:col>
                    <xdr:colOff>9525</xdr:colOff>
                    <xdr:row>79</xdr:row>
                    <xdr:rowOff>0</xdr:rowOff>
                  </from>
                  <to>
                    <xdr:col>36</xdr:col>
                    <xdr:colOff>9525</xdr:colOff>
                    <xdr:row>80</xdr:row>
                    <xdr:rowOff>9525</xdr:rowOff>
                  </to>
                </anchor>
              </controlPr>
            </control>
          </mc:Choice>
        </mc:AlternateContent>
        <mc:AlternateContent xmlns:mc="http://schemas.openxmlformats.org/markup-compatibility/2006">
          <mc:Choice Requires="x14">
            <control shapeId="19240" r:id="rId389" name="Drop Down 808">
              <controlPr defaultSize="0" autoLine="0" autoPict="0">
                <anchor moveWithCells="1">
                  <from>
                    <xdr:col>9</xdr:col>
                    <xdr:colOff>76200</xdr:colOff>
                    <xdr:row>81</xdr:row>
                    <xdr:rowOff>0</xdr:rowOff>
                  </from>
                  <to>
                    <xdr:col>12</xdr:col>
                    <xdr:colOff>257175</xdr:colOff>
                    <xdr:row>82</xdr:row>
                    <xdr:rowOff>9525</xdr:rowOff>
                  </to>
                </anchor>
              </controlPr>
            </control>
          </mc:Choice>
        </mc:AlternateContent>
        <mc:AlternateContent xmlns:mc="http://schemas.openxmlformats.org/markup-compatibility/2006">
          <mc:Choice Requires="x14">
            <control shapeId="19241" r:id="rId390" name="Drop Down 809">
              <controlPr defaultSize="0" autoLine="0" autoPict="0">
                <anchor moveWithCells="1">
                  <from>
                    <xdr:col>13</xdr:col>
                    <xdr:colOff>0</xdr:colOff>
                    <xdr:row>81</xdr:row>
                    <xdr:rowOff>0</xdr:rowOff>
                  </from>
                  <to>
                    <xdr:col>16</xdr:col>
                    <xdr:colOff>190500</xdr:colOff>
                    <xdr:row>82</xdr:row>
                    <xdr:rowOff>9525</xdr:rowOff>
                  </to>
                </anchor>
              </controlPr>
            </control>
          </mc:Choice>
        </mc:AlternateContent>
        <mc:AlternateContent xmlns:mc="http://schemas.openxmlformats.org/markup-compatibility/2006">
          <mc:Choice Requires="x14">
            <control shapeId="19242" r:id="rId391" name="Drop Down 810">
              <controlPr defaultSize="0" autoLine="0" autoPict="0">
                <anchor moveWithCells="1">
                  <from>
                    <xdr:col>19</xdr:col>
                    <xdr:colOff>0</xdr:colOff>
                    <xdr:row>81</xdr:row>
                    <xdr:rowOff>0</xdr:rowOff>
                  </from>
                  <to>
                    <xdr:col>22</xdr:col>
                    <xdr:colOff>190500</xdr:colOff>
                    <xdr:row>82</xdr:row>
                    <xdr:rowOff>9525</xdr:rowOff>
                  </to>
                </anchor>
              </controlPr>
            </control>
          </mc:Choice>
        </mc:AlternateContent>
        <mc:AlternateContent xmlns:mc="http://schemas.openxmlformats.org/markup-compatibility/2006">
          <mc:Choice Requires="x14">
            <control shapeId="19243" r:id="rId392" name="Drop Down 811">
              <controlPr defaultSize="0" autoLine="0" autoPict="0">
                <anchor moveWithCells="1">
                  <from>
                    <xdr:col>23</xdr:col>
                    <xdr:colOff>0</xdr:colOff>
                    <xdr:row>81</xdr:row>
                    <xdr:rowOff>0</xdr:rowOff>
                  </from>
                  <to>
                    <xdr:col>26</xdr:col>
                    <xdr:colOff>190500</xdr:colOff>
                    <xdr:row>82</xdr:row>
                    <xdr:rowOff>9525</xdr:rowOff>
                  </to>
                </anchor>
              </controlPr>
            </control>
          </mc:Choice>
        </mc:AlternateContent>
        <mc:AlternateContent xmlns:mc="http://schemas.openxmlformats.org/markup-compatibility/2006">
          <mc:Choice Requires="x14">
            <control shapeId="19244" r:id="rId393" name="Check Box 812">
              <controlPr defaultSize="0" autoFill="0" autoLine="0" autoPict="0">
                <anchor moveWithCells="1">
                  <from>
                    <xdr:col>17</xdr:col>
                    <xdr:colOff>38100</xdr:colOff>
                    <xdr:row>81</xdr:row>
                    <xdr:rowOff>0</xdr:rowOff>
                  </from>
                  <to>
                    <xdr:col>17</xdr:col>
                    <xdr:colOff>342900</xdr:colOff>
                    <xdr:row>82</xdr:row>
                    <xdr:rowOff>28575</xdr:rowOff>
                  </to>
                </anchor>
              </controlPr>
            </control>
          </mc:Choice>
        </mc:AlternateContent>
        <mc:AlternateContent xmlns:mc="http://schemas.openxmlformats.org/markup-compatibility/2006">
          <mc:Choice Requires="x14">
            <control shapeId="19245" r:id="rId394" name="Drop Down 813">
              <controlPr defaultSize="0" autoLine="0" autoPict="0">
                <anchor moveWithCells="1">
                  <from>
                    <xdr:col>27</xdr:col>
                    <xdr:colOff>0</xdr:colOff>
                    <xdr:row>81</xdr:row>
                    <xdr:rowOff>0</xdr:rowOff>
                  </from>
                  <to>
                    <xdr:col>30</xdr:col>
                    <xdr:colOff>190500</xdr:colOff>
                    <xdr:row>82</xdr:row>
                    <xdr:rowOff>9525</xdr:rowOff>
                  </to>
                </anchor>
              </controlPr>
            </control>
          </mc:Choice>
        </mc:AlternateContent>
        <mc:AlternateContent xmlns:mc="http://schemas.openxmlformats.org/markup-compatibility/2006">
          <mc:Choice Requires="x14">
            <control shapeId="19246" r:id="rId395" name="Drop Down 814">
              <controlPr defaultSize="0" autoLine="0" autoPict="0">
                <anchor moveWithCells="1">
                  <from>
                    <xdr:col>115</xdr:col>
                    <xdr:colOff>0</xdr:colOff>
                    <xdr:row>81</xdr:row>
                    <xdr:rowOff>0</xdr:rowOff>
                  </from>
                  <to>
                    <xdr:col>117</xdr:col>
                    <xdr:colOff>19050</xdr:colOff>
                    <xdr:row>82</xdr:row>
                    <xdr:rowOff>9525</xdr:rowOff>
                  </to>
                </anchor>
              </controlPr>
            </control>
          </mc:Choice>
        </mc:AlternateContent>
        <mc:AlternateContent xmlns:mc="http://schemas.openxmlformats.org/markup-compatibility/2006">
          <mc:Choice Requires="x14">
            <control shapeId="19247" r:id="rId396" name="Drop Down 815">
              <controlPr defaultSize="0" autoLine="0" autoPict="0">
                <anchor moveWithCells="1">
                  <from>
                    <xdr:col>163</xdr:col>
                    <xdr:colOff>0</xdr:colOff>
                    <xdr:row>81</xdr:row>
                    <xdr:rowOff>0</xdr:rowOff>
                  </from>
                  <to>
                    <xdr:col>165</xdr:col>
                    <xdr:colOff>333375</xdr:colOff>
                    <xdr:row>82</xdr:row>
                    <xdr:rowOff>9525</xdr:rowOff>
                  </to>
                </anchor>
              </controlPr>
            </control>
          </mc:Choice>
        </mc:AlternateContent>
        <mc:AlternateContent xmlns:mc="http://schemas.openxmlformats.org/markup-compatibility/2006">
          <mc:Choice Requires="x14">
            <control shapeId="19248" r:id="rId397" name="Drop Down 816">
              <controlPr defaultSize="0" autoLine="0" autoPict="0">
                <anchor moveWithCells="1">
                  <from>
                    <xdr:col>264</xdr:col>
                    <xdr:colOff>0</xdr:colOff>
                    <xdr:row>81</xdr:row>
                    <xdr:rowOff>0</xdr:rowOff>
                  </from>
                  <to>
                    <xdr:col>266</xdr:col>
                    <xdr:colOff>161925</xdr:colOff>
                    <xdr:row>82</xdr:row>
                    <xdr:rowOff>9525</xdr:rowOff>
                  </to>
                </anchor>
              </controlPr>
            </control>
          </mc:Choice>
        </mc:AlternateContent>
        <mc:AlternateContent xmlns:mc="http://schemas.openxmlformats.org/markup-compatibility/2006">
          <mc:Choice Requires="x14">
            <control shapeId="19249" r:id="rId398" name="Drop Down 817">
              <controlPr defaultSize="0" autoLine="0" autoPict="0">
                <anchor moveWithCells="1">
                  <from>
                    <xdr:col>3</xdr:col>
                    <xdr:colOff>9525</xdr:colOff>
                    <xdr:row>81</xdr:row>
                    <xdr:rowOff>0</xdr:rowOff>
                  </from>
                  <to>
                    <xdr:col>4</xdr:col>
                    <xdr:colOff>190500</xdr:colOff>
                    <xdr:row>82</xdr:row>
                    <xdr:rowOff>9525</xdr:rowOff>
                  </to>
                </anchor>
              </controlPr>
            </control>
          </mc:Choice>
        </mc:AlternateContent>
        <mc:AlternateContent xmlns:mc="http://schemas.openxmlformats.org/markup-compatibility/2006">
          <mc:Choice Requires="x14">
            <control shapeId="19250" r:id="rId399" name="Drop Down 818">
              <controlPr defaultSize="0" autoLine="0" autoPict="0">
                <anchor moveWithCells="1">
                  <from>
                    <xdr:col>5</xdr:col>
                    <xdr:colOff>0</xdr:colOff>
                    <xdr:row>81</xdr:row>
                    <xdr:rowOff>0</xdr:rowOff>
                  </from>
                  <to>
                    <xdr:col>8</xdr:col>
                    <xdr:colOff>9525</xdr:colOff>
                    <xdr:row>82</xdr:row>
                    <xdr:rowOff>9525</xdr:rowOff>
                  </to>
                </anchor>
              </controlPr>
            </control>
          </mc:Choice>
        </mc:AlternateContent>
        <mc:AlternateContent xmlns:mc="http://schemas.openxmlformats.org/markup-compatibility/2006">
          <mc:Choice Requires="x14">
            <control shapeId="19251" r:id="rId400" name="Drop Down 819">
              <controlPr defaultSize="0" autoLine="0" autoPict="0">
                <anchor moveWithCells="1">
                  <from>
                    <xdr:col>35</xdr:col>
                    <xdr:colOff>9525</xdr:colOff>
                    <xdr:row>81</xdr:row>
                    <xdr:rowOff>0</xdr:rowOff>
                  </from>
                  <to>
                    <xdr:col>36</xdr:col>
                    <xdr:colOff>9525</xdr:colOff>
                    <xdr:row>82</xdr:row>
                    <xdr:rowOff>9525</xdr:rowOff>
                  </to>
                </anchor>
              </controlPr>
            </control>
          </mc:Choice>
        </mc:AlternateContent>
        <mc:AlternateContent xmlns:mc="http://schemas.openxmlformats.org/markup-compatibility/2006">
          <mc:Choice Requires="x14">
            <control shapeId="19252" r:id="rId401" name="Drop Down 820">
              <controlPr defaultSize="0" autoLine="0" autoPict="0">
                <anchor moveWithCells="1">
                  <from>
                    <xdr:col>9</xdr:col>
                    <xdr:colOff>76200</xdr:colOff>
                    <xdr:row>83</xdr:row>
                    <xdr:rowOff>0</xdr:rowOff>
                  </from>
                  <to>
                    <xdr:col>12</xdr:col>
                    <xdr:colOff>257175</xdr:colOff>
                    <xdr:row>84</xdr:row>
                    <xdr:rowOff>9525</xdr:rowOff>
                  </to>
                </anchor>
              </controlPr>
            </control>
          </mc:Choice>
        </mc:AlternateContent>
        <mc:AlternateContent xmlns:mc="http://schemas.openxmlformats.org/markup-compatibility/2006">
          <mc:Choice Requires="x14">
            <control shapeId="19253" r:id="rId402" name="Drop Down 821">
              <controlPr defaultSize="0" autoLine="0" autoPict="0">
                <anchor moveWithCells="1">
                  <from>
                    <xdr:col>13</xdr:col>
                    <xdr:colOff>0</xdr:colOff>
                    <xdr:row>83</xdr:row>
                    <xdr:rowOff>0</xdr:rowOff>
                  </from>
                  <to>
                    <xdr:col>16</xdr:col>
                    <xdr:colOff>190500</xdr:colOff>
                    <xdr:row>84</xdr:row>
                    <xdr:rowOff>9525</xdr:rowOff>
                  </to>
                </anchor>
              </controlPr>
            </control>
          </mc:Choice>
        </mc:AlternateContent>
        <mc:AlternateContent xmlns:mc="http://schemas.openxmlformats.org/markup-compatibility/2006">
          <mc:Choice Requires="x14">
            <control shapeId="19254" r:id="rId403" name="Drop Down 822">
              <controlPr defaultSize="0" autoLine="0" autoPict="0">
                <anchor moveWithCells="1">
                  <from>
                    <xdr:col>19</xdr:col>
                    <xdr:colOff>0</xdr:colOff>
                    <xdr:row>83</xdr:row>
                    <xdr:rowOff>0</xdr:rowOff>
                  </from>
                  <to>
                    <xdr:col>22</xdr:col>
                    <xdr:colOff>190500</xdr:colOff>
                    <xdr:row>84</xdr:row>
                    <xdr:rowOff>9525</xdr:rowOff>
                  </to>
                </anchor>
              </controlPr>
            </control>
          </mc:Choice>
        </mc:AlternateContent>
        <mc:AlternateContent xmlns:mc="http://schemas.openxmlformats.org/markup-compatibility/2006">
          <mc:Choice Requires="x14">
            <control shapeId="19255" r:id="rId404" name="Drop Down 823">
              <controlPr defaultSize="0" autoLine="0" autoPict="0">
                <anchor moveWithCells="1">
                  <from>
                    <xdr:col>23</xdr:col>
                    <xdr:colOff>0</xdr:colOff>
                    <xdr:row>83</xdr:row>
                    <xdr:rowOff>0</xdr:rowOff>
                  </from>
                  <to>
                    <xdr:col>26</xdr:col>
                    <xdr:colOff>190500</xdr:colOff>
                    <xdr:row>84</xdr:row>
                    <xdr:rowOff>9525</xdr:rowOff>
                  </to>
                </anchor>
              </controlPr>
            </control>
          </mc:Choice>
        </mc:AlternateContent>
        <mc:AlternateContent xmlns:mc="http://schemas.openxmlformats.org/markup-compatibility/2006">
          <mc:Choice Requires="x14">
            <control shapeId="19256" r:id="rId405" name="Check Box 824">
              <controlPr defaultSize="0" autoFill="0" autoLine="0" autoPict="0">
                <anchor moveWithCells="1">
                  <from>
                    <xdr:col>17</xdr:col>
                    <xdr:colOff>38100</xdr:colOff>
                    <xdr:row>83</xdr:row>
                    <xdr:rowOff>0</xdr:rowOff>
                  </from>
                  <to>
                    <xdr:col>17</xdr:col>
                    <xdr:colOff>342900</xdr:colOff>
                    <xdr:row>84</xdr:row>
                    <xdr:rowOff>28575</xdr:rowOff>
                  </to>
                </anchor>
              </controlPr>
            </control>
          </mc:Choice>
        </mc:AlternateContent>
        <mc:AlternateContent xmlns:mc="http://schemas.openxmlformats.org/markup-compatibility/2006">
          <mc:Choice Requires="x14">
            <control shapeId="19257" r:id="rId406" name="Drop Down 825">
              <controlPr defaultSize="0" autoLine="0" autoPict="0">
                <anchor moveWithCells="1">
                  <from>
                    <xdr:col>27</xdr:col>
                    <xdr:colOff>0</xdr:colOff>
                    <xdr:row>83</xdr:row>
                    <xdr:rowOff>0</xdr:rowOff>
                  </from>
                  <to>
                    <xdr:col>30</xdr:col>
                    <xdr:colOff>190500</xdr:colOff>
                    <xdr:row>84</xdr:row>
                    <xdr:rowOff>9525</xdr:rowOff>
                  </to>
                </anchor>
              </controlPr>
            </control>
          </mc:Choice>
        </mc:AlternateContent>
        <mc:AlternateContent xmlns:mc="http://schemas.openxmlformats.org/markup-compatibility/2006">
          <mc:Choice Requires="x14">
            <control shapeId="19258" r:id="rId407" name="Drop Down 826">
              <controlPr defaultSize="0" autoLine="0" autoPict="0">
                <anchor moveWithCells="1">
                  <from>
                    <xdr:col>115</xdr:col>
                    <xdr:colOff>0</xdr:colOff>
                    <xdr:row>83</xdr:row>
                    <xdr:rowOff>0</xdr:rowOff>
                  </from>
                  <to>
                    <xdr:col>117</xdr:col>
                    <xdr:colOff>19050</xdr:colOff>
                    <xdr:row>84</xdr:row>
                    <xdr:rowOff>9525</xdr:rowOff>
                  </to>
                </anchor>
              </controlPr>
            </control>
          </mc:Choice>
        </mc:AlternateContent>
        <mc:AlternateContent xmlns:mc="http://schemas.openxmlformats.org/markup-compatibility/2006">
          <mc:Choice Requires="x14">
            <control shapeId="19259" r:id="rId408" name="Drop Down 827">
              <controlPr defaultSize="0" autoLine="0" autoPict="0">
                <anchor moveWithCells="1">
                  <from>
                    <xdr:col>163</xdr:col>
                    <xdr:colOff>0</xdr:colOff>
                    <xdr:row>83</xdr:row>
                    <xdr:rowOff>0</xdr:rowOff>
                  </from>
                  <to>
                    <xdr:col>165</xdr:col>
                    <xdr:colOff>333375</xdr:colOff>
                    <xdr:row>84</xdr:row>
                    <xdr:rowOff>9525</xdr:rowOff>
                  </to>
                </anchor>
              </controlPr>
            </control>
          </mc:Choice>
        </mc:AlternateContent>
        <mc:AlternateContent xmlns:mc="http://schemas.openxmlformats.org/markup-compatibility/2006">
          <mc:Choice Requires="x14">
            <control shapeId="19260" r:id="rId409" name="Drop Down 828">
              <controlPr defaultSize="0" autoLine="0" autoPict="0">
                <anchor moveWithCells="1">
                  <from>
                    <xdr:col>264</xdr:col>
                    <xdr:colOff>0</xdr:colOff>
                    <xdr:row>83</xdr:row>
                    <xdr:rowOff>0</xdr:rowOff>
                  </from>
                  <to>
                    <xdr:col>266</xdr:col>
                    <xdr:colOff>161925</xdr:colOff>
                    <xdr:row>84</xdr:row>
                    <xdr:rowOff>9525</xdr:rowOff>
                  </to>
                </anchor>
              </controlPr>
            </control>
          </mc:Choice>
        </mc:AlternateContent>
        <mc:AlternateContent xmlns:mc="http://schemas.openxmlformats.org/markup-compatibility/2006">
          <mc:Choice Requires="x14">
            <control shapeId="19261" r:id="rId410" name="Drop Down 829">
              <controlPr defaultSize="0" autoLine="0" autoPict="0">
                <anchor moveWithCells="1">
                  <from>
                    <xdr:col>3</xdr:col>
                    <xdr:colOff>9525</xdr:colOff>
                    <xdr:row>83</xdr:row>
                    <xdr:rowOff>0</xdr:rowOff>
                  </from>
                  <to>
                    <xdr:col>4</xdr:col>
                    <xdr:colOff>190500</xdr:colOff>
                    <xdr:row>84</xdr:row>
                    <xdr:rowOff>9525</xdr:rowOff>
                  </to>
                </anchor>
              </controlPr>
            </control>
          </mc:Choice>
        </mc:AlternateContent>
        <mc:AlternateContent xmlns:mc="http://schemas.openxmlformats.org/markup-compatibility/2006">
          <mc:Choice Requires="x14">
            <control shapeId="19262" r:id="rId411" name="Drop Down 830">
              <controlPr defaultSize="0" autoLine="0" autoPict="0">
                <anchor moveWithCells="1">
                  <from>
                    <xdr:col>5</xdr:col>
                    <xdr:colOff>0</xdr:colOff>
                    <xdr:row>83</xdr:row>
                    <xdr:rowOff>0</xdr:rowOff>
                  </from>
                  <to>
                    <xdr:col>8</xdr:col>
                    <xdr:colOff>9525</xdr:colOff>
                    <xdr:row>84</xdr:row>
                    <xdr:rowOff>9525</xdr:rowOff>
                  </to>
                </anchor>
              </controlPr>
            </control>
          </mc:Choice>
        </mc:AlternateContent>
        <mc:AlternateContent xmlns:mc="http://schemas.openxmlformats.org/markup-compatibility/2006">
          <mc:Choice Requires="x14">
            <control shapeId="19263" r:id="rId412" name="Drop Down 831">
              <controlPr defaultSize="0" autoLine="0" autoPict="0">
                <anchor moveWithCells="1">
                  <from>
                    <xdr:col>35</xdr:col>
                    <xdr:colOff>9525</xdr:colOff>
                    <xdr:row>83</xdr:row>
                    <xdr:rowOff>0</xdr:rowOff>
                  </from>
                  <to>
                    <xdr:col>36</xdr:col>
                    <xdr:colOff>9525</xdr:colOff>
                    <xdr:row>84</xdr:row>
                    <xdr:rowOff>9525</xdr:rowOff>
                  </to>
                </anchor>
              </controlPr>
            </control>
          </mc:Choice>
        </mc:AlternateContent>
        <mc:AlternateContent xmlns:mc="http://schemas.openxmlformats.org/markup-compatibility/2006">
          <mc:Choice Requires="x14">
            <control shapeId="19264" r:id="rId413" name="Drop Down 832">
              <controlPr defaultSize="0" autoLine="0" autoPict="0">
                <anchor moveWithCells="1">
                  <from>
                    <xdr:col>9</xdr:col>
                    <xdr:colOff>76200</xdr:colOff>
                    <xdr:row>85</xdr:row>
                    <xdr:rowOff>0</xdr:rowOff>
                  </from>
                  <to>
                    <xdr:col>12</xdr:col>
                    <xdr:colOff>257175</xdr:colOff>
                    <xdr:row>86</xdr:row>
                    <xdr:rowOff>9525</xdr:rowOff>
                  </to>
                </anchor>
              </controlPr>
            </control>
          </mc:Choice>
        </mc:AlternateContent>
        <mc:AlternateContent xmlns:mc="http://schemas.openxmlformats.org/markup-compatibility/2006">
          <mc:Choice Requires="x14">
            <control shapeId="19265" r:id="rId414" name="Drop Down 833">
              <controlPr defaultSize="0" autoLine="0" autoPict="0">
                <anchor moveWithCells="1">
                  <from>
                    <xdr:col>13</xdr:col>
                    <xdr:colOff>0</xdr:colOff>
                    <xdr:row>85</xdr:row>
                    <xdr:rowOff>0</xdr:rowOff>
                  </from>
                  <to>
                    <xdr:col>16</xdr:col>
                    <xdr:colOff>190500</xdr:colOff>
                    <xdr:row>86</xdr:row>
                    <xdr:rowOff>9525</xdr:rowOff>
                  </to>
                </anchor>
              </controlPr>
            </control>
          </mc:Choice>
        </mc:AlternateContent>
        <mc:AlternateContent xmlns:mc="http://schemas.openxmlformats.org/markup-compatibility/2006">
          <mc:Choice Requires="x14">
            <control shapeId="19266" r:id="rId415" name="Drop Down 834">
              <controlPr defaultSize="0" autoLine="0" autoPict="0">
                <anchor moveWithCells="1">
                  <from>
                    <xdr:col>19</xdr:col>
                    <xdr:colOff>0</xdr:colOff>
                    <xdr:row>85</xdr:row>
                    <xdr:rowOff>0</xdr:rowOff>
                  </from>
                  <to>
                    <xdr:col>22</xdr:col>
                    <xdr:colOff>190500</xdr:colOff>
                    <xdr:row>86</xdr:row>
                    <xdr:rowOff>9525</xdr:rowOff>
                  </to>
                </anchor>
              </controlPr>
            </control>
          </mc:Choice>
        </mc:AlternateContent>
        <mc:AlternateContent xmlns:mc="http://schemas.openxmlformats.org/markup-compatibility/2006">
          <mc:Choice Requires="x14">
            <control shapeId="19267" r:id="rId416" name="Drop Down 835">
              <controlPr defaultSize="0" autoLine="0" autoPict="0">
                <anchor moveWithCells="1">
                  <from>
                    <xdr:col>23</xdr:col>
                    <xdr:colOff>0</xdr:colOff>
                    <xdr:row>85</xdr:row>
                    <xdr:rowOff>0</xdr:rowOff>
                  </from>
                  <to>
                    <xdr:col>26</xdr:col>
                    <xdr:colOff>190500</xdr:colOff>
                    <xdr:row>86</xdr:row>
                    <xdr:rowOff>9525</xdr:rowOff>
                  </to>
                </anchor>
              </controlPr>
            </control>
          </mc:Choice>
        </mc:AlternateContent>
        <mc:AlternateContent xmlns:mc="http://schemas.openxmlformats.org/markup-compatibility/2006">
          <mc:Choice Requires="x14">
            <control shapeId="19268" r:id="rId417" name="Check Box 836">
              <controlPr defaultSize="0" autoFill="0" autoLine="0" autoPict="0">
                <anchor moveWithCells="1">
                  <from>
                    <xdr:col>17</xdr:col>
                    <xdr:colOff>38100</xdr:colOff>
                    <xdr:row>85</xdr:row>
                    <xdr:rowOff>0</xdr:rowOff>
                  </from>
                  <to>
                    <xdr:col>17</xdr:col>
                    <xdr:colOff>342900</xdr:colOff>
                    <xdr:row>86</xdr:row>
                    <xdr:rowOff>28575</xdr:rowOff>
                  </to>
                </anchor>
              </controlPr>
            </control>
          </mc:Choice>
        </mc:AlternateContent>
        <mc:AlternateContent xmlns:mc="http://schemas.openxmlformats.org/markup-compatibility/2006">
          <mc:Choice Requires="x14">
            <control shapeId="19269" r:id="rId418" name="Drop Down 837">
              <controlPr defaultSize="0" autoLine="0" autoPict="0">
                <anchor moveWithCells="1">
                  <from>
                    <xdr:col>27</xdr:col>
                    <xdr:colOff>0</xdr:colOff>
                    <xdr:row>85</xdr:row>
                    <xdr:rowOff>0</xdr:rowOff>
                  </from>
                  <to>
                    <xdr:col>30</xdr:col>
                    <xdr:colOff>190500</xdr:colOff>
                    <xdr:row>86</xdr:row>
                    <xdr:rowOff>9525</xdr:rowOff>
                  </to>
                </anchor>
              </controlPr>
            </control>
          </mc:Choice>
        </mc:AlternateContent>
        <mc:AlternateContent xmlns:mc="http://schemas.openxmlformats.org/markup-compatibility/2006">
          <mc:Choice Requires="x14">
            <control shapeId="19270" r:id="rId419" name="Drop Down 838">
              <controlPr defaultSize="0" autoLine="0" autoPict="0">
                <anchor moveWithCells="1">
                  <from>
                    <xdr:col>115</xdr:col>
                    <xdr:colOff>0</xdr:colOff>
                    <xdr:row>85</xdr:row>
                    <xdr:rowOff>0</xdr:rowOff>
                  </from>
                  <to>
                    <xdr:col>117</xdr:col>
                    <xdr:colOff>19050</xdr:colOff>
                    <xdr:row>86</xdr:row>
                    <xdr:rowOff>9525</xdr:rowOff>
                  </to>
                </anchor>
              </controlPr>
            </control>
          </mc:Choice>
        </mc:AlternateContent>
        <mc:AlternateContent xmlns:mc="http://schemas.openxmlformats.org/markup-compatibility/2006">
          <mc:Choice Requires="x14">
            <control shapeId="19271" r:id="rId420" name="Drop Down 839">
              <controlPr defaultSize="0" autoLine="0" autoPict="0">
                <anchor moveWithCells="1">
                  <from>
                    <xdr:col>163</xdr:col>
                    <xdr:colOff>0</xdr:colOff>
                    <xdr:row>85</xdr:row>
                    <xdr:rowOff>0</xdr:rowOff>
                  </from>
                  <to>
                    <xdr:col>165</xdr:col>
                    <xdr:colOff>333375</xdr:colOff>
                    <xdr:row>86</xdr:row>
                    <xdr:rowOff>9525</xdr:rowOff>
                  </to>
                </anchor>
              </controlPr>
            </control>
          </mc:Choice>
        </mc:AlternateContent>
        <mc:AlternateContent xmlns:mc="http://schemas.openxmlformats.org/markup-compatibility/2006">
          <mc:Choice Requires="x14">
            <control shapeId="19272" r:id="rId421" name="Drop Down 840">
              <controlPr defaultSize="0" autoLine="0" autoPict="0">
                <anchor moveWithCells="1">
                  <from>
                    <xdr:col>264</xdr:col>
                    <xdr:colOff>0</xdr:colOff>
                    <xdr:row>85</xdr:row>
                    <xdr:rowOff>0</xdr:rowOff>
                  </from>
                  <to>
                    <xdr:col>266</xdr:col>
                    <xdr:colOff>161925</xdr:colOff>
                    <xdr:row>86</xdr:row>
                    <xdr:rowOff>9525</xdr:rowOff>
                  </to>
                </anchor>
              </controlPr>
            </control>
          </mc:Choice>
        </mc:AlternateContent>
        <mc:AlternateContent xmlns:mc="http://schemas.openxmlformats.org/markup-compatibility/2006">
          <mc:Choice Requires="x14">
            <control shapeId="19273" r:id="rId422" name="Drop Down 841">
              <controlPr defaultSize="0" autoLine="0" autoPict="0">
                <anchor moveWithCells="1">
                  <from>
                    <xdr:col>3</xdr:col>
                    <xdr:colOff>9525</xdr:colOff>
                    <xdr:row>85</xdr:row>
                    <xdr:rowOff>0</xdr:rowOff>
                  </from>
                  <to>
                    <xdr:col>4</xdr:col>
                    <xdr:colOff>190500</xdr:colOff>
                    <xdr:row>86</xdr:row>
                    <xdr:rowOff>9525</xdr:rowOff>
                  </to>
                </anchor>
              </controlPr>
            </control>
          </mc:Choice>
        </mc:AlternateContent>
        <mc:AlternateContent xmlns:mc="http://schemas.openxmlformats.org/markup-compatibility/2006">
          <mc:Choice Requires="x14">
            <control shapeId="19274" r:id="rId423" name="Drop Down 842">
              <controlPr defaultSize="0" autoLine="0" autoPict="0">
                <anchor moveWithCells="1">
                  <from>
                    <xdr:col>5</xdr:col>
                    <xdr:colOff>0</xdr:colOff>
                    <xdr:row>85</xdr:row>
                    <xdr:rowOff>0</xdr:rowOff>
                  </from>
                  <to>
                    <xdr:col>8</xdr:col>
                    <xdr:colOff>9525</xdr:colOff>
                    <xdr:row>86</xdr:row>
                    <xdr:rowOff>9525</xdr:rowOff>
                  </to>
                </anchor>
              </controlPr>
            </control>
          </mc:Choice>
        </mc:AlternateContent>
        <mc:AlternateContent xmlns:mc="http://schemas.openxmlformats.org/markup-compatibility/2006">
          <mc:Choice Requires="x14">
            <control shapeId="19275" r:id="rId424" name="Drop Down 843">
              <controlPr defaultSize="0" autoLine="0" autoPict="0">
                <anchor moveWithCells="1">
                  <from>
                    <xdr:col>35</xdr:col>
                    <xdr:colOff>9525</xdr:colOff>
                    <xdr:row>85</xdr:row>
                    <xdr:rowOff>0</xdr:rowOff>
                  </from>
                  <to>
                    <xdr:col>36</xdr:col>
                    <xdr:colOff>9525</xdr:colOff>
                    <xdr:row>86</xdr:row>
                    <xdr:rowOff>9525</xdr:rowOff>
                  </to>
                </anchor>
              </controlPr>
            </control>
          </mc:Choice>
        </mc:AlternateContent>
        <mc:AlternateContent xmlns:mc="http://schemas.openxmlformats.org/markup-compatibility/2006">
          <mc:Choice Requires="x14">
            <control shapeId="19276" r:id="rId425" name="Drop Down 844">
              <controlPr defaultSize="0" autoLine="0" autoPict="0">
                <anchor moveWithCells="1">
                  <from>
                    <xdr:col>9</xdr:col>
                    <xdr:colOff>76200</xdr:colOff>
                    <xdr:row>87</xdr:row>
                    <xdr:rowOff>0</xdr:rowOff>
                  </from>
                  <to>
                    <xdr:col>12</xdr:col>
                    <xdr:colOff>257175</xdr:colOff>
                    <xdr:row>88</xdr:row>
                    <xdr:rowOff>9525</xdr:rowOff>
                  </to>
                </anchor>
              </controlPr>
            </control>
          </mc:Choice>
        </mc:AlternateContent>
        <mc:AlternateContent xmlns:mc="http://schemas.openxmlformats.org/markup-compatibility/2006">
          <mc:Choice Requires="x14">
            <control shapeId="19277" r:id="rId426" name="Drop Down 845">
              <controlPr defaultSize="0" autoLine="0" autoPict="0">
                <anchor moveWithCells="1">
                  <from>
                    <xdr:col>13</xdr:col>
                    <xdr:colOff>0</xdr:colOff>
                    <xdr:row>87</xdr:row>
                    <xdr:rowOff>0</xdr:rowOff>
                  </from>
                  <to>
                    <xdr:col>16</xdr:col>
                    <xdr:colOff>190500</xdr:colOff>
                    <xdr:row>88</xdr:row>
                    <xdr:rowOff>9525</xdr:rowOff>
                  </to>
                </anchor>
              </controlPr>
            </control>
          </mc:Choice>
        </mc:AlternateContent>
        <mc:AlternateContent xmlns:mc="http://schemas.openxmlformats.org/markup-compatibility/2006">
          <mc:Choice Requires="x14">
            <control shapeId="19278" r:id="rId427" name="Drop Down 846">
              <controlPr defaultSize="0" autoLine="0" autoPict="0">
                <anchor moveWithCells="1">
                  <from>
                    <xdr:col>19</xdr:col>
                    <xdr:colOff>0</xdr:colOff>
                    <xdr:row>87</xdr:row>
                    <xdr:rowOff>0</xdr:rowOff>
                  </from>
                  <to>
                    <xdr:col>22</xdr:col>
                    <xdr:colOff>190500</xdr:colOff>
                    <xdr:row>88</xdr:row>
                    <xdr:rowOff>9525</xdr:rowOff>
                  </to>
                </anchor>
              </controlPr>
            </control>
          </mc:Choice>
        </mc:AlternateContent>
        <mc:AlternateContent xmlns:mc="http://schemas.openxmlformats.org/markup-compatibility/2006">
          <mc:Choice Requires="x14">
            <control shapeId="19279" r:id="rId428" name="Drop Down 847">
              <controlPr defaultSize="0" autoLine="0" autoPict="0">
                <anchor moveWithCells="1">
                  <from>
                    <xdr:col>23</xdr:col>
                    <xdr:colOff>0</xdr:colOff>
                    <xdr:row>87</xdr:row>
                    <xdr:rowOff>0</xdr:rowOff>
                  </from>
                  <to>
                    <xdr:col>26</xdr:col>
                    <xdr:colOff>190500</xdr:colOff>
                    <xdr:row>88</xdr:row>
                    <xdr:rowOff>9525</xdr:rowOff>
                  </to>
                </anchor>
              </controlPr>
            </control>
          </mc:Choice>
        </mc:AlternateContent>
        <mc:AlternateContent xmlns:mc="http://schemas.openxmlformats.org/markup-compatibility/2006">
          <mc:Choice Requires="x14">
            <control shapeId="19280" r:id="rId429" name="Check Box 848">
              <controlPr defaultSize="0" autoFill="0" autoLine="0" autoPict="0">
                <anchor moveWithCells="1">
                  <from>
                    <xdr:col>17</xdr:col>
                    <xdr:colOff>38100</xdr:colOff>
                    <xdr:row>87</xdr:row>
                    <xdr:rowOff>0</xdr:rowOff>
                  </from>
                  <to>
                    <xdr:col>17</xdr:col>
                    <xdr:colOff>342900</xdr:colOff>
                    <xdr:row>88</xdr:row>
                    <xdr:rowOff>28575</xdr:rowOff>
                  </to>
                </anchor>
              </controlPr>
            </control>
          </mc:Choice>
        </mc:AlternateContent>
        <mc:AlternateContent xmlns:mc="http://schemas.openxmlformats.org/markup-compatibility/2006">
          <mc:Choice Requires="x14">
            <control shapeId="19281" r:id="rId430" name="Drop Down 849">
              <controlPr defaultSize="0" autoLine="0" autoPict="0">
                <anchor moveWithCells="1">
                  <from>
                    <xdr:col>27</xdr:col>
                    <xdr:colOff>0</xdr:colOff>
                    <xdr:row>87</xdr:row>
                    <xdr:rowOff>0</xdr:rowOff>
                  </from>
                  <to>
                    <xdr:col>30</xdr:col>
                    <xdr:colOff>190500</xdr:colOff>
                    <xdr:row>88</xdr:row>
                    <xdr:rowOff>9525</xdr:rowOff>
                  </to>
                </anchor>
              </controlPr>
            </control>
          </mc:Choice>
        </mc:AlternateContent>
        <mc:AlternateContent xmlns:mc="http://schemas.openxmlformats.org/markup-compatibility/2006">
          <mc:Choice Requires="x14">
            <control shapeId="19282" r:id="rId431" name="Drop Down 850">
              <controlPr defaultSize="0" autoLine="0" autoPict="0">
                <anchor moveWithCells="1">
                  <from>
                    <xdr:col>115</xdr:col>
                    <xdr:colOff>0</xdr:colOff>
                    <xdr:row>87</xdr:row>
                    <xdr:rowOff>0</xdr:rowOff>
                  </from>
                  <to>
                    <xdr:col>117</xdr:col>
                    <xdr:colOff>19050</xdr:colOff>
                    <xdr:row>88</xdr:row>
                    <xdr:rowOff>9525</xdr:rowOff>
                  </to>
                </anchor>
              </controlPr>
            </control>
          </mc:Choice>
        </mc:AlternateContent>
        <mc:AlternateContent xmlns:mc="http://schemas.openxmlformats.org/markup-compatibility/2006">
          <mc:Choice Requires="x14">
            <control shapeId="19283" r:id="rId432" name="Drop Down 851">
              <controlPr defaultSize="0" autoLine="0" autoPict="0">
                <anchor moveWithCells="1">
                  <from>
                    <xdr:col>163</xdr:col>
                    <xdr:colOff>0</xdr:colOff>
                    <xdr:row>87</xdr:row>
                    <xdr:rowOff>0</xdr:rowOff>
                  </from>
                  <to>
                    <xdr:col>165</xdr:col>
                    <xdr:colOff>333375</xdr:colOff>
                    <xdr:row>88</xdr:row>
                    <xdr:rowOff>9525</xdr:rowOff>
                  </to>
                </anchor>
              </controlPr>
            </control>
          </mc:Choice>
        </mc:AlternateContent>
        <mc:AlternateContent xmlns:mc="http://schemas.openxmlformats.org/markup-compatibility/2006">
          <mc:Choice Requires="x14">
            <control shapeId="19284" r:id="rId433" name="Drop Down 852">
              <controlPr defaultSize="0" autoLine="0" autoPict="0">
                <anchor moveWithCells="1">
                  <from>
                    <xdr:col>264</xdr:col>
                    <xdr:colOff>0</xdr:colOff>
                    <xdr:row>87</xdr:row>
                    <xdr:rowOff>0</xdr:rowOff>
                  </from>
                  <to>
                    <xdr:col>266</xdr:col>
                    <xdr:colOff>161925</xdr:colOff>
                    <xdr:row>88</xdr:row>
                    <xdr:rowOff>9525</xdr:rowOff>
                  </to>
                </anchor>
              </controlPr>
            </control>
          </mc:Choice>
        </mc:AlternateContent>
        <mc:AlternateContent xmlns:mc="http://schemas.openxmlformats.org/markup-compatibility/2006">
          <mc:Choice Requires="x14">
            <control shapeId="19285" r:id="rId434" name="Drop Down 853">
              <controlPr defaultSize="0" autoLine="0" autoPict="0">
                <anchor moveWithCells="1">
                  <from>
                    <xdr:col>3</xdr:col>
                    <xdr:colOff>9525</xdr:colOff>
                    <xdr:row>87</xdr:row>
                    <xdr:rowOff>0</xdr:rowOff>
                  </from>
                  <to>
                    <xdr:col>4</xdr:col>
                    <xdr:colOff>190500</xdr:colOff>
                    <xdr:row>88</xdr:row>
                    <xdr:rowOff>9525</xdr:rowOff>
                  </to>
                </anchor>
              </controlPr>
            </control>
          </mc:Choice>
        </mc:AlternateContent>
        <mc:AlternateContent xmlns:mc="http://schemas.openxmlformats.org/markup-compatibility/2006">
          <mc:Choice Requires="x14">
            <control shapeId="19286" r:id="rId435" name="Drop Down 854">
              <controlPr defaultSize="0" autoLine="0" autoPict="0">
                <anchor moveWithCells="1">
                  <from>
                    <xdr:col>5</xdr:col>
                    <xdr:colOff>0</xdr:colOff>
                    <xdr:row>87</xdr:row>
                    <xdr:rowOff>0</xdr:rowOff>
                  </from>
                  <to>
                    <xdr:col>8</xdr:col>
                    <xdr:colOff>9525</xdr:colOff>
                    <xdr:row>88</xdr:row>
                    <xdr:rowOff>9525</xdr:rowOff>
                  </to>
                </anchor>
              </controlPr>
            </control>
          </mc:Choice>
        </mc:AlternateContent>
        <mc:AlternateContent xmlns:mc="http://schemas.openxmlformats.org/markup-compatibility/2006">
          <mc:Choice Requires="x14">
            <control shapeId="19287" r:id="rId436" name="Drop Down 855">
              <controlPr defaultSize="0" autoLine="0" autoPict="0">
                <anchor moveWithCells="1">
                  <from>
                    <xdr:col>35</xdr:col>
                    <xdr:colOff>9525</xdr:colOff>
                    <xdr:row>87</xdr:row>
                    <xdr:rowOff>0</xdr:rowOff>
                  </from>
                  <to>
                    <xdr:col>36</xdr:col>
                    <xdr:colOff>9525</xdr:colOff>
                    <xdr:row>88</xdr:row>
                    <xdr:rowOff>9525</xdr:rowOff>
                  </to>
                </anchor>
              </controlPr>
            </control>
          </mc:Choice>
        </mc:AlternateContent>
        <mc:AlternateContent xmlns:mc="http://schemas.openxmlformats.org/markup-compatibility/2006">
          <mc:Choice Requires="x14">
            <control shapeId="19288" r:id="rId437" name="Drop Down 856">
              <controlPr defaultSize="0" autoLine="0" autoPict="0">
                <anchor moveWithCells="1">
                  <from>
                    <xdr:col>9</xdr:col>
                    <xdr:colOff>76200</xdr:colOff>
                    <xdr:row>89</xdr:row>
                    <xdr:rowOff>0</xdr:rowOff>
                  </from>
                  <to>
                    <xdr:col>12</xdr:col>
                    <xdr:colOff>257175</xdr:colOff>
                    <xdr:row>90</xdr:row>
                    <xdr:rowOff>9525</xdr:rowOff>
                  </to>
                </anchor>
              </controlPr>
            </control>
          </mc:Choice>
        </mc:AlternateContent>
        <mc:AlternateContent xmlns:mc="http://schemas.openxmlformats.org/markup-compatibility/2006">
          <mc:Choice Requires="x14">
            <control shapeId="19289" r:id="rId438" name="Drop Down 857">
              <controlPr defaultSize="0" autoLine="0" autoPict="0">
                <anchor moveWithCells="1">
                  <from>
                    <xdr:col>13</xdr:col>
                    <xdr:colOff>0</xdr:colOff>
                    <xdr:row>89</xdr:row>
                    <xdr:rowOff>0</xdr:rowOff>
                  </from>
                  <to>
                    <xdr:col>16</xdr:col>
                    <xdr:colOff>190500</xdr:colOff>
                    <xdr:row>90</xdr:row>
                    <xdr:rowOff>9525</xdr:rowOff>
                  </to>
                </anchor>
              </controlPr>
            </control>
          </mc:Choice>
        </mc:AlternateContent>
        <mc:AlternateContent xmlns:mc="http://schemas.openxmlformats.org/markup-compatibility/2006">
          <mc:Choice Requires="x14">
            <control shapeId="19290" r:id="rId439" name="Drop Down 858">
              <controlPr defaultSize="0" autoLine="0" autoPict="0">
                <anchor moveWithCells="1">
                  <from>
                    <xdr:col>19</xdr:col>
                    <xdr:colOff>0</xdr:colOff>
                    <xdr:row>89</xdr:row>
                    <xdr:rowOff>0</xdr:rowOff>
                  </from>
                  <to>
                    <xdr:col>22</xdr:col>
                    <xdr:colOff>190500</xdr:colOff>
                    <xdr:row>90</xdr:row>
                    <xdr:rowOff>9525</xdr:rowOff>
                  </to>
                </anchor>
              </controlPr>
            </control>
          </mc:Choice>
        </mc:AlternateContent>
        <mc:AlternateContent xmlns:mc="http://schemas.openxmlformats.org/markup-compatibility/2006">
          <mc:Choice Requires="x14">
            <control shapeId="19291" r:id="rId440" name="Drop Down 859">
              <controlPr defaultSize="0" autoLine="0" autoPict="0">
                <anchor moveWithCells="1">
                  <from>
                    <xdr:col>23</xdr:col>
                    <xdr:colOff>0</xdr:colOff>
                    <xdr:row>89</xdr:row>
                    <xdr:rowOff>0</xdr:rowOff>
                  </from>
                  <to>
                    <xdr:col>26</xdr:col>
                    <xdr:colOff>190500</xdr:colOff>
                    <xdr:row>90</xdr:row>
                    <xdr:rowOff>9525</xdr:rowOff>
                  </to>
                </anchor>
              </controlPr>
            </control>
          </mc:Choice>
        </mc:AlternateContent>
        <mc:AlternateContent xmlns:mc="http://schemas.openxmlformats.org/markup-compatibility/2006">
          <mc:Choice Requires="x14">
            <control shapeId="19292" r:id="rId441" name="Check Box 860">
              <controlPr defaultSize="0" autoFill="0" autoLine="0" autoPict="0">
                <anchor moveWithCells="1">
                  <from>
                    <xdr:col>17</xdr:col>
                    <xdr:colOff>38100</xdr:colOff>
                    <xdr:row>89</xdr:row>
                    <xdr:rowOff>0</xdr:rowOff>
                  </from>
                  <to>
                    <xdr:col>17</xdr:col>
                    <xdr:colOff>342900</xdr:colOff>
                    <xdr:row>90</xdr:row>
                    <xdr:rowOff>28575</xdr:rowOff>
                  </to>
                </anchor>
              </controlPr>
            </control>
          </mc:Choice>
        </mc:AlternateContent>
        <mc:AlternateContent xmlns:mc="http://schemas.openxmlformats.org/markup-compatibility/2006">
          <mc:Choice Requires="x14">
            <control shapeId="19293" r:id="rId442" name="Drop Down 861">
              <controlPr defaultSize="0" autoLine="0" autoPict="0">
                <anchor moveWithCells="1">
                  <from>
                    <xdr:col>27</xdr:col>
                    <xdr:colOff>0</xdr:colOff>
                    <xdr:row>89</xdr:row>
                    <xdr:rowOff>0</xdr:rowOff>
                  </from>
                  <to>
                    <xdr:col>30</xdr:col>
                    <xdr:colOff>190500</xdr:colOff>
                    <xdr:row>90</xdr:row>
                    <xdr:rowOff>9525</xdr:rowOff>
                  </to>
                </anchor>
              </controlPr>
            </control>
          </mc:Choice>
        </mc:AlternateContent>
        <mc:AlternateContent xmlns:mc="http://schemas.openxmlformats.org/markup-compatibility/2006">
          <mc:Choice Requires="x14">
            <control shapeId="19294" r:id="rId443" name="Drop Down 862">
              <controlPr defaultSize="0" autoLine="0" autoPict="0">
                <anchor moveWithCells="1">
                  <from>
                    <xdr:col>115</xdr:col>
                    <xdr:colOff>0</xdr:colOff>
                    <xdr:row>89</xdr:row>
                    <xdr:rowOff>0</xdr:rowOff>
                  </from>
                  <to>
                    <xdr:col>117</xdr:col>
                    <xdr:colOff>19050</xdr:colOff>
                    <xdr:row>90</xdr:row>
                    <xdr:rowOff>9525</xdr:rowOff>
                  </to>
                </anchor>
              </controlPr>
            </control>
          </mc:Choice>
        </mc:AlternateContent>
        <mc:AlternateContent xmlns:mc="http://schemas.openxmlformats.org/markup-compatibility/2006">
          <mc:Choice Requires="x14">
            <control shapeId="19295" r:id="rId444" name="Drop Down 863">
              <controlPr defaultSize="0" autoLine="0" autoPict="0">
                <anchor moveWithCells="1">
                  <from>
                    <xdr:col>163</xdr:col>
                    <xdr:colOff>0</xdr:colOff>
                    <xdr:row>89</xdr:row>
                    <xdr:rowOff>0</xdr:rowOff>
                  </from>
                  <to>
                    <xdr:col>165</xdr:col>
                    <xdr:colOff>333375</xdr:colOff>
                    <xdr:row>90</xdr:row>
                    <xdr:rowOff>9525</xdr:rowOff>
                  </to>
                </anchor>
              </controlPr>
            </control>
          </mc:Choice>
        </mc:AlternateContent>
        <mc:AlternateContent xmlns:mc="http://schemas.openxmlformats.org/markup-compatibility/2006">
          <mc:Choice Requires="x14">
            <control shapeId="19296" r:id="rId445" name="Drop Down 864">
              <controlPr defaultSize="0" autoLine="0" autoPict="0">
                <anchor moveWithCells="1">
                  <from>
                    <xdr:col>264</xdr:col>
                    <xdr:colOff>0</xdr:colOff>
                    <xdr:row>89</xdr:row>
                    <xdr:rowOff>0</xdr:rowOff>
                  </from>
                  <to>
                    <xdr:col>266</xdr:col>
                    <xdr:colOff>161925</xdr:colOff>
                    <xdr:row>90</xdr:row>
                    <xdr:rowOff>9525</xdr:rowOff>
                  </to>
                </anchor>
              </controlPr>
            </control>
          </mc:Choice>
        </mc:AlternateContent>
        <mc:AlternateContent xmlns:mc="http://schemas.openxmlformats.org/markup-compatibility/2006">
          <mc:Choice Requires="x14">
            <control shapeId="19297" r:id="rId446" name="Drop Down 865">
              <controlPr defaultSize="0" autoLine="0" autoPict="0">
                <anchor moveWithCells="1">
                  <from>
                    <xdr:col>3</xdr:col>
                    <xdr:colOff>9525</xdr:colOff>
                    <xdr:row>89</xdr:row>
                    <xdr:rowOff>0</xdr:rowOff>
                  </from>
                  <to>
                    <xdr:col>4</xdr:col>
                    <xdr:colOff>190500</xdr:colOff>
                    <xdr:row>90</xdr:row>
                    <xdr:rowOff>9525</xdr:rowOff>
                  </to>
                </anchor>
              </controlPr>
            </control>
          </mc:Choice>
        </mc:AlternateContent>
        <mc:AlternateContent xmlns:mc="http://schemas.openxmlformats.org/markup-compatibility/2006">
          <mc:Choice Requires="x14">
            <control shapeId="19298" r:id="rId447" name="Drop Down 866">
              <controlPr defaultSize="0" autoLine="0" autoPict="0">
                <anchor moveWithCells="1">
                  <from>
                    <xdr:col>5</xdr:col>
                    <xdr:colOff>0</xdr:colOff>
                    <xdr:row>89</xdr:row>
                    <xdr:rowOff>0</xdr:rowOff>
                  </from>
                  <to>
                    <xdr:col>8</xdr:col>
                    <xdr:colOff>9525</xdr:colOff>
                    <xdr:row>90</xdr:row>
                    <xdr:rowOff>9525</xdr:rowOff>
                  </to>
                </anchor>
              </controlPr>
            </control>
          </mc:Choice>
        </mc:AlternateContent>
        <mc:AlternateContent xmlns:mc="http://schemas.openxmlformats.org/markup-compatibility/2006">
          <mc:Choice Requires="x14">
            <control shapeId="19299" r:id="rId448" name="Drop Down 867">
              <controlPr defaultSize="0" autoLine="0" autoPict="0">
                <anchor moveWithCells="1">
                  <from>
                    <xdr:col>35</xdr:col>
                    <xdr:colOff>9525</xdr:colOff>
                    <xdr:row>89</xdr:row>
                    <xdr:rowOff>0</xdr:rowOff>
                  </from>
                  <to>
                    <xdr:col>36</xdr:col>
                    <xdr:colOff>9525</xdr:colOff>
                    <xdr:row>90</xdr:row>
                    <xdr:rowOff>9525</xdr:rowOff>
                  </to>
                </anchor>
              </controlPr>
            </control>
          </mc:Choice>
        </mc:AlternateContent>
        <mc:AlternateContent xmlns:mc="http://schemas.openxmlformats.org/markup-compatibility/2006">
          <mc:Choice Requires="x14">
            <control shapeId="19300" r:id="rId449" name="Drop Down 868">
              <controlPr defaultSize="0" autoLine="0" autoPict="0">
                <anchor moveWithCells="1">
                  <from>
                    <xdr:col>9</xdr:col>
                    <xdr:colOff>76200</xdr:colOff>
                    <xdr:row>91</xdr:row>
                    <xdr:rowOff>0</xdr:rowOff>
                  </from>
                  <to>
                    <xdr:col>12</xdr:col>
                    <xdr:colOff>257175</xdr:colOff>
                    <xdr:row>92</xdr:row>
                    <xdr:rowOff>9525</xdr:rowOff>
                  </to>
                </anchor>
              </controlPr>
            </control>
          </mc:Choice>
        </mc:AlternateContent>
        <mc:AlternateContent xmlns:mc="http://schemas.openxmlformats.org/markup-compatibility/2006">
          <mc:Choice Requires="x14">
            <control shapeId="19301" r:id="rId450" name="Drop Down 869">
              <controlPr defaultSize="0" autoLine="0" autoPict="0">
                <anchor moveWithCells="1">
                  <from>
                    <xdr:col>13</xdr:col>
                    <xdr:colOff>0</xdr:colOff>
                    <xdr:row>91</xdr:row>
                    <xdr:rowOff>0</xdr:rowOff>
                  </from>
                  <to>
                    <xdr:col>16</xdr:col>
                    <xdr:colOff>190500</xdr:colOff>
                    <xdr:row>92</xdr:row>
                    <xdr:rowOff>9525</xdr:rowOff>
                  </to>
                </anchor>
              </controlPr>
            </control>
          </mc:Choice>
        </mc:AlternateContent>
        <mc:AlternateContent xmlns:mc="http://schemas.openxmlformats.org/markup-compatibility/2006">
          <mc:Choice Requires="x14">
            <control shapeId="19302" r:id="rId451" name="Drop Down 870">
              <controlPr defaultSize="0" autoLine="0" autoPict="0">
                <anchor moveWithCells="1">
                  <from>
                    <xdr:col>19</xdr:col>
                    <xdr:colOff>0</xdr:colOff>
                    <xdr:row>91</xdr:row>
                    <xdr:rowOff>0</xdr:rowOff>
                  </from>
                  <to>
                    <xdr:col>22</xdr:col>
                    <xdr:colOff>190500</xdr:colOff>
                    <xdr:row>92</xdr:row>
                    <xdr:rowOff>9525</xdr:rowOff>
                  </to>
                </anchor>
              </controlPr>
            </control>
          </mc:Choice>
        </mc:AlternateContent>
        <mc:AlternateContent xmlns:mc="http://schemas.openxmlformats.org/markup-compatibility/2006">
          <mc:Choice Requires="x14">
            <control shapeId="19303" r:id="rId452" name="Drop Down 871">
              <controlPr defaultSize="0" autoLine="0" autoPict="0">
                <anchor moveWithCells="1">
                  <from>
                    <xdr:col>23</xdr:col>
                    <xdr:colOff>0</xdr:colOff>
                    <xdr:row>91</xdr:row>
                    <xdr:rowOff>0</xdr:rowOff>
                  </from>
                  <to>
                    <xdr:col>26</xdr:col>
                    <xdr:colOff>190500</xdr:colOff>
                    <xdr:row>92</xdr:row>
                    <xdr:rowOff>9525</xdr:rowOff>
                  </to>
                </anchor>
              </controlPr>
            </control>
          </mc:Choice>
        </mc:AlternateContent>
        <mc:AlternateContent xmlns:mc="http://schemas.openxmlformats.org/markup-compatibility/2006">
          <mc:Choice Requires="x14">
            <control shapeId="19304" r:id="rId453" name="Check Box 872">
              <controlPr defaultSize="0" autoFill="0" autoLine="0" autoPict="0">
                <anchor moveWithCells="1">
                  <from>
                    <xdr:col>17</xdr:col>
                    <xdr:colOff>38100</xdr:colOff>
                    <xdr:row>91</xdr:row>
                    <xdr:rowOff>0</xdr:rowOff>
                  </from>
                  <to>
                    <xdr:col>17</xdr:col>
                    <xdr:colOff>342900</xdr:colOff>
                    <xdr:row>92</xdr:row>
                    <xdr:rowOff>28575</xdr:rowOff>
                  </to>
                </anchor>
              </controlPr>
            </control>
          </mc:Choice>
        </mc:AlternateContent>
        <mc:AlternateContent xmlns:mc="http://schemas.openxmlformats.org/markup-compatibility/2006">
          <mc:Choice Requires="x14">
            <control shapeId="19305" r:id="rId454" name="Drop Down 873">
              <controlPr defaultSize="0" autoLine="0" autoPict="0">
                <anchor moveWithCells="1">
                  <from>
                    <xdr:col>27</xdr:col>
                    <xdr:colOff>0</xdr:colOff>
                    <xdr:row>91</xdr:row>
                    <xdr:rowOff>0</xdr:rowOff>
                  </from>
                  <to>
                    <xdr:col>30</xdr:col>
                    <xdr:colOff>190500</xdr:colOff>
                    <xdr:row>92</xdr:row>
                    <xdr:rowOff>9525</xdr:rowOff>
                  </to>
                </anchor>
              </controlPr>
            </control>
          </mc:Choice>
        </mc:AlternateContent>
        <mc:AlternateContent xmlns:mc="http://schemas.openxmlformats.org/markup-compatibility/2006">
          <mc:Choice Requires="x14">
            <control shapeId="19306" r:id="rId455" name="Drop Down 874">
              <controlPr defaultSize="0" autoLine="0" autoPict="0">
                <anchor moveWithCells="1">
                  <from>
                    <xdr:col>115</xdr:col>
                    <xdr:colOff>0</xdr:colOff>
                    <xdr:row>91</xdr:row>
                    <xdr:rowOff>0</xdr:rowOff>
                  </from>
                  <to>
                    <xdr:col>117</xdr:col>
                    <xdr:colOff>19050</xdr:colOff>
                    <xdr:row>92</xdr:row>
                    <xdr:rowOff>9525</xdr:rowOff>
                  </to>
                </anchor>
              </controlPr>
            </control>
          </mc:Choice>
        </mc:AlternateContent>
        <mc:AlternateContent xmlns:mc="http://schemas.openxmlformats.org/markup-compatibility/2006">
          <mc:Choice Requires="x14">
            <control shapeId="19307" r:id="rId456" name="Drop Down 875">
              <controlPr defaultSize="0" autoLine="0" autoPict="0">
                <anchor moveWithCells="1">
                  <from>
                    <xdr:col>163</xdr:col>
                    <xdr:colOff>0</xdr:colOff>
                    <xdr:row>91</xdr:row>
                    <xdr:rowOff>0</xdr:rowOff>
                  </from>
                  <to>
                    <xdr:col>165</xdr:col>
                    <xdr:colOff>333375</xdr:colOff>
                    <xdr:row>92</xdr:row>
                    <xdr:rowOff>9525</xdr:rowOff>
                  </to>
                </anchor>
              </controlPr>
            </control>
          </mc:Choice>
        </mc:AlternateContent>
        <mc:AlternateContent xmlns:mc="http://schemas.openxmlformats.org/markup-compatibility/2006">
          <mc:Choice Requires="x14">
            <control shapeId="19308" r:id="rId457" name="Drop Down 876">
              <controlPr defaultSize="0" autoLine="0" autoPict="0">
                <anchor moveWithCells="1">
                  <from>
                    <xdr:col>264</xdr:col>
                    <xdr:colOff>0</xdr:colOff>
                    <xdr:row>91</xdr:row>
                    <xdr:rowOff>0</xdr:rowOff>
                  </from>
                  <to>
                    <xdr:col>266</xdr:col>
                    <xdr:colOff>161925</xdr:colOff>
                    <xdr:row>92</xdr:row>
                    <xdr:rowOff>9525</xdr:rowOff>
                  </to>
                </anchor>
              </controlPr>
            </control>
          </mc:Choice>
        </mc:AlternateContent>
        <mc:AlternateContent xmlns:mc="http://schemas.openxmlformats.org/markup-compatibility/2006">
          <mc:Choice Requires="x14">
            <control shapeId="19309" r:id="rId458" name="Drop Down 877">
              <controlPr defaultSize="0" autoLine="0" autoPict="0">
                <anchor moveWithCells="1">
                  <from>
                    <xdr:col>3</xdr:col>
                    <xdr:colOff>9525</xdr:colOff>
                    <xdr:row>91</xdr:row>
                    <xdr:rowOff>0</xdr:rowOff>
                  </from>
                  <to>
                    <xdr:col>4</xdr:col>
                    <xdr:colOff>190500</xdr:colOff>
                    <xdr:row>92</xdr:row>
                    <xdr:rowOff>9525</xdr:rowOff>
                  </to>
                </anchor>
              </controlPr>
            </control>
          </mc:Choice>
        </mc:AlternateContent>
        <mc:AlternateContent xmlns:mc="http://schemas.openxmlformats.org/markup-compatibility/2006">
          <mc:Choice Requires="x14">
            <control shapeId="19310" r:id="rId459" name="Drop Down 878">
              <controlPr defaultSize="0" autoLine="0" autoPict="0">
                <anchor moveWithCells="1">
                  <from>
                    <xdr:col>5</xdr:col>
                    <xdr:colOff>0</xdr:colOff>
                    <xdr:row>91</xdr:row>
                    <xdr:rowOff>0</xdr:rowOff>
                  </from>
                  <to>
                    <xdr:col>8</xdr:col>
                    <xdr:colOff>9525</xdr:colOff>
                    <xdr:row>92</xdr:row>
                    <xdr:rowOff>9525</xdr:rowOff>
                  </to>
                </anchor>
              </controlPr>
            </control>
          </mc:Choice>
        </mc:AlternateContent>
        <mc:AlternateContent xmlns:mc="http://schemas.openxmlformats.org/markup-compatibility/2006">
          <mc:Choice Requires="x14">
            <control shapeId="19311" r:id="rId460" name="Drop Down 879">
              <controlPr defaultSize="0" autoLine="0" autoPict="0">
                <anchor moveWithCells="1">
                  <from>
                    <xdr:col>35</xdr:col>
                    <xdr:colOff>9525</xdr:colOff>
                    <xdr:row>91</xdr:row>
                    <xdr:rowOff>0</xdr:rowOff>
                  </from>
                  <to>
                    <xdr:col>36</xdr:col>
                    <xdr:colOff>9525</xdr:colOff>
                    <xdr:row>92</xdr:row>
                    <xdr:rowOff>9525</xdr:rowOff>
                  </to>
                </anchor>
              </controlPr>
            </control>
          </mc:Choice>
        </mc:AlternateContent>
        <mc:AlternateContent xmlns:mc="http://schemas.openxmlformats.org/markup-compatibility/2006">
          <mc:Choice Requires="x14">
            <control shapeId="19312" r:id="rId461" name="Drop Down 880">
              <controlPr defaultSize="0" autoLine="0" autoPict="0">
                <anchor moveWithCells="1">
                  <from>
                    <xdr:col>9</xdr:col>
                    <xdr:colOff>76200</xdr:colOff>
                    <xdr:row>93</xdr:row>
                    <xdr:rowOff>0</xdr:rowOff>
                  </from>
                  <to>
                    <xdr:col>12</xdr:col>
                    <xdr:colOff>257175</xdr:colOff>
                    <xdr:row>94</xdr:row>
                    <xdr:rowOff>9525</xdr:rowOff>
                  </to>
                </anchor>
              </controlPr>
            </control>
          </mc:Choice>
        </mc:AlternateContent>
        <mc:AlternateContent xmlns:mc="http://schemas.openxmlformats.org/markup-compatibility/2006">
          <mc:Choice Requires="x14">
            <control shapeId="19313" r:id="rId462" name="Drop Down 881">
              <controlPr defaultSize="0" autoLine="0" autoPict="0">
                <anchor moveWithCells="1">
                  <from>
                    <xdr:col>13</xdr:col>
                    <xdr:colOff>0</xdr:colOff>
                    <xdr:row>93</xdr:row>
                    <xdr:rowOff>0</xdr:rowOff>
                  </from>
                  <to>
                    <xdr:col>16</xdr:col>
                    <xdr:colOff>190500</xdr:colOff>
                    <xdr:row>94</xdr:row>
                    <xdr:rowOff>9525</xdr:rowOff>
                  </to>
                </anchor>
              </controlPr>
            </control>
          </mc:Choice>
        </mc:AlternateContent>
        <mc:AlternateContent xmlns:mc="http://schemas.openxmlformats.org/markup-compatibility/2006">
          <mc:Choice Requires="x14">
            <control shapeId="19314" r:id="rId463" name="Drop Down 882">
              <controlPr defaultSize="0" autoLine="0" autoPict="0">
                <anchor moveWithCells="1">
                  <from>
                    <xdr:col>19</xdr:col>
                    <xdr:colOff>0</xdr:colOff>
                    <xdr:row>93</xdr:row>
                    <xdr:rowOff>0</xdr:rowOff>
                  </from>
                  <to>
                    <xdr:col>22</xdr:col>
                    <xdr:colOff>190500</xdr:colOff>
                    <xdr:row>94</xdr:row>
                    <xdr:rowOff>9525</xdr:rowOff>
                  </to>
                </anchor>
              </controlPr>
            </control>
          </mc:Choice>
        </mc:AlternateContent>
        <mc:AlternateContent xmlns:mc="http://schemas.openxmlformats.org/markup-compatibility/2006">
          <mc:Choice Requires="x14">
            <control shapeId="19315" r:id="rId464" name="Drop Down 883">
              <controlPr defaultSize="0" autoLine="0" autoPict="0">
                <anchor moveWithCells="1">
                  <from>
                    <xdr:col>23</xdr:col>
                    <xdr:colOff>0</xdr:colOff>
                    <xdr:row>93</xdr:row>
                    <xdr:rowOff>0</xdr:rowOff>
                  </from>
                  <to>
                    <xdr:col>26</xdr:col>
                    <xdr:colOff>190500</xdr:colOff>
                    <xdr:row>94</xdr:row>
                    <xdr:rowOff>9525</xdr:rowOff>
                  </to>
                </anchor>
              </controlPr>
            </control>
          </mc:Choice>
        </mc:AlternateContent>
        <mc:AlternateContent xmlns:mc="http://schemas.openxmlformats.org/markup-compatibility/2006">
          <mc:Choice Requires="x14">
            <control shapeId="19316" r:id="rId465" name="Check Box 884">
              <controlPr defaultSize="0" autoFill="0" autoLine="0" autoPict="0">
                <anchor moveWithCells="1">
                  <from>
                    <xdr:col>17</xdr:col>
                    <xdr:colOff>38100</xdr:colOff>
                    <xdr:row>93</xdr:row>
                    <xdr:rowOff>0</xdr:rowOff>
                  </from>
                  <to>
                    <xdr:col>17</xdr:col>
                    <xdr:colOff>342900</xdr:colOff>
                    <xdr:row>94</xdr:row>
                    <xdr:rowOff>28575</xdr:rowOff>
                  </to>
                </anchor>
              </controlPr>
            </control>
          </mc:Choice>
        </mc:AlternateContent>
        <mc:AlternateContent xmlns:mc="http://schemas.openxmlformats.org/markup-compatibility/2006">
          <mc:Choice Requires="x14">
            <control shapeId="19317" r:id="rId466" name="Drop Down 885">
              <controlPr defaultSize="0" autoLine="0" autoPict="0">
                <anchor moveWithCells="1">
                  <from>
                    <xdr:col>27</xdr:col>
                    <xdr:colOff>0</xdr:colOff>
                    <xdr:row>93</xdr:row>
                    <xdr:rowOff>0</xdr:rowOff>
                  </from>
                  <to>
                    <xdr:col>30</xdr:col>
                    <xdr:colOff>190500</xdr:colOff>
                    <xdr:row>94</xdr:row>
                    <xdr:rowOff>9525</xdr:rowOff>
                  </to>
                </anchor>
              </controlPr>
            </control>
          </mc:Choice>
        </mc:AlternateContent>
        <mc:AlternateContent xmlns:mc="http://schemas.openxmlformats.org/markup-compatibility/2006">
          <mc:Choice Requires="x14">
            <control shapeId="19318" r:id="rId467" name="Drop Down 886">
              <controlPr defaultSize="0" autoLine="0" autoPict="0">
                <anchor moveWithCells="1">
                  <from>
                    <xdr:col>115</xdr:col>
                    <xdr:colOff>0</xdr:colOff>
                    <xdr:row>93</xdr:row>
                    <xdr:rowOff>0</xdr:rowOff>
                  </from>
                  <to>
                    <xdr:col>117</xdr:col>
                    <xdr:colOff>19050</xdr:colOff>
                    <xdr:row>94</xdr:row>
                    <xdr:rowOff>9525</xdr:rowOff>
                  </to>
                </anchor>
              </controlPr>
            </control>
          </mc:Choice>
        </mc:AlternateContent>
        <mc:AlternateContent xmlns:mc="http://schemas.openxmlformats.org/markup-compatibility/2006">
          <mc:Choice Requires="x14">
            <control shapeId="19319" r:id="rId468" name="Drop Down 887">
              <controlPr defaultSize="0" autoLine="0" autoPict="0">
                <anchor moveWithCells="1">
                  <from>
                    <xdr:col>163</xdr:col>
                    <xdr:colOff>0</xdr:colOff>
                    <xdr:row>93</xdr:row>
                    <xdr:rowOff>0</xdr:rowOff>
                  </from>
                  <to>
                    <xdr:col>165</xdr:col>
                    <xdr:colOff>333375</xdr:colOff>
                    <xdr:row>94</xdr:row>
                    <xdr:rowOff>9525</xdr:rowOff>
                  </to>
                </anchor>
              </controlPr>
            </control>
          </mc:Choice>
        </mc:AlternateContent>
        <mc:AlternateContent xmlns:mc="http://schemas.openxmlformats.org/markup-compatibility/2006">
          <mc:Choice Requires="x14">
            <control shapeId="19320" r:id="rId469" name="Drop Down 888">
              <controlPr defaultSize="0" autoLine="0" autoPict="0">
                <anchor moveWithCells="1">
                  <from>
                    <xdr:col>264</xdr:col>
                    <xdr:colOff>0</xdr:colOff>
                    <xdr:row>93</xdr:row>
                    <xdr:rowOff>0</xdr:rowOff>
                  </from>
                  <to>
                    <xdr:col>266</xdr:col>
                    <xdr:colOff>161925</xdr:colOff>
                    <xdr:row>94</xdr:row>
                    <xdr:rowOff>9525</xdr:rowOff>
                  </to>
                </anchor>
              </controlPr>
            </control>
          </mc:Choice>
        </mc:AlternateContent>
        <mc:AlternateContent xmlns:mc="http://schemas.openxmlformats.org/markup-compatibility/2006">
          <mc:Choice Requires="x14">
            <control shapeId="19321" r:id="rId470" name="Drop Down 889">
              <controlPr defaultSize="0" autoLine="0" autoPict="0">
                <anchor moveWithCells="1">
                  <from>
                    <xdr:col>3</xdr:col>
                    <xdr:colOff>9525</xdr:colOff>
                    <xdr:row>93</xdr:row>
                    <xdr:rowOff>0</xdr:rowOff>
                  </from>
                  <to>
                    <xdr:col>4</xdr:col>
                    <xdr:colOff>190500</xdr:colOff>
                    <xdr:row>94</xdr:row>
                    <xdr:rowOff>9525</xdr:rowOff>
                  </to>
                </anchor>
              </controlPr>
            </control>
          </mc:Choice>
        </mc:AlternateContent>
        <mc:AlternateContent xmlns:mc="http://schemas.openxmlformats.org/markup-compatibility/2006">
          <mc:Choice Requires="x14">
            <control shapeId="19322" r:id="rId471" name="Drop Down 890">
              <controlPr defaultSize="0" autoLine="0" autoPict="0">
                <anchor moveWithCells="1">
                  <from>
                    <xdr:col>5</xdr:col>
                    <xdr:colOff>0</xdr:colOff>
                    <xdr:row>93</xdr:row>
                    <xdr:rowOff>0</xdr:rowOff>
                  </from>
                  <to>
                    <xdr:col>8</xdr:col>
                    <xdr:colOff>9525</xdr:colOff>
                    <xdr:row>94</xdr:row>
                    <xdr:rowOff>9525</xdr:rowOff>
                  </to>
                </anchor>
              </controlPr>
            </control>
          </mc:Choice>
        </mc:AlternateContent>
        <mc:AlternateContent xmlns:mc="http://schemas.openxmlformats.org/markup-compatibility/2006">
          <mc:Choice Requires="x14">
            <control shapeId="19323" r:id="rId472" name="Drop Down 891">
              <controlPr defaultSize="0" autoLine="0" autoPict="0">
                <anchor moveWithCells="1">
                  <from>
                    <xdr:col>35</xdr:col>
                    <xdr:colOff>9525</xdr:colOff>
                    <xdr:row>93</xdr:row>
                    <xdr:rowOff>0</xdr:rowOff>
                  </from>
                  <to>
                    <xdr:col>36</xdr:col>
                    <xdr:colOff>9525</xdr:colOff>
                    <xdr:row>94</xdr:row>
                    <xdr:rowOff>9525</xdr:rowOff>
                  </to>
                </anchor>
              </controlPr>
            </control>
          </mc:Choice>
        </mc:AlternateContent>
        <mc:AlternateContent xmlns:mc="http://schemas.openxmlformats.org/markup-compatibility/2006">
          <mc:Choice Requires="x14">
            <control shapeId="19324" r:id="rId473" name="Drop Down 892">
              <controlPr defaultSize="0" autoLine="0" autoPict="0">
                <anchor moveWithCells="1">
                  <from>
                    <xdr:col>9</xdr:col>
                    <xdr:colOff>76200</xdr:colOff>
                    <xdr:row>95</xdr:row>
                    <xdr:rowOff>0</xdr:rowOff>
                  </from>
                  <to>
                    <xdr:col>12</xdr:col>
                    <xdr:colOff>257175</xdr:colOff>
                    <xdr:row>96</xdr:row>
                    <xdr:rowOff>9525</xdr:rowOff>
                  </to>
                </anchor>
              </controlPr>
            </control>
          </mc:Choice>
        </mc:AlternateContent>
        <mc:AlternateContent xmlns:mc="http://schemas.openxmlformats.org/markup-compatibility/2006">
          <mc:Choice Requires="x14">
            <control shapeId="19325" r:id="rId474" name="Drop Down 893">
              <controlPr defaultSize="0" autoLine="0" autoPict="0">
                <anchor moveWithCells="1">
                  <from>
                    <xdr:col>13</xdr:col>
                    <xdr:colOff>0</xdr:colOff>
                    <xdr:row>95</xdr:row>
                    <xdr:rowOff>0</xdr:rowOff>
                  </from>
                  <to>
                    <xdr:col>16</xdr:col>
                    <xdr:colOff>190500</xdr:colOff>
                    <xdr:row>96</xdr:row>
                    <xdr:rowOff>9525</xdr:rowOff>
                  </to>
                </anchor>
              </controlPr>
            </control>
          </mc:Choice>
        </mc:AlternateContent>
        <mc:AlternateContent xmlns:mc="http://schemas.openxmlformats.org/markup-compatibility/2006">
          <mc:Choice Requires="x14">
            <control shapeId="19326" r:id="rId475" name="Drop Down 894">
              <controlPr defaultSize="0" autoLine="0" autoPict="0">
                <anchor moveWithCells="1">
                  <from>
                    <xdr:col>19</xdr:col>
                    <xdr:colOff>0</xdr:colOff>
                    <xdr:row>95</xdr:row>
                    <xdr:rowOff>0</xdr:rowOff>
                  </from>
                  <to>
                    <xdr:col>22</xdr:col>
                    <xdr:colOff>190500</xdr:colOff>
                    <xdr:row>96</xdr:row>
                    <xdr:rowOff>9525</xdr:rowOff>
                  </to>
                </anchor>
              </controlPr>
            </control>
          </mc:Choice>
        </mc:AlternateContent>
        <mc:AlternateContent xmlns:mc="http://schemas.openxmlformats.org/markup-compatibility/2006">
          <mc:Choice Requires="x14">
            <control shapeId="19327" r:id="rId476" name="Drop Down 895">
              <controlPr defaultSize="0" autoLine="0" autoPict="0">
                <anchor moveWithCells="1">
                  <from>
                    <xdr:col>23</xdr:col>
                    <xdr:colOff>0</xdr:colOff>
                    <xdr:row>95</xdr:row>
                    <xdr:rowOff>0</xdr:rowOff>
                  </from>
                  <to>
                    <xdr:col>26</xdr:col>
                    <xdr:colOff>190500</xdr:colOff>
                    <xdr:row>96</xdr:row>
                    <xdr:rowOff>9525</xdr:rowOff>
                  </to>
                </anchor>
              </controlPr>
            </control>
          </mc:Choice>
        </mc:AlternateContent>
        <mc:AlternateContent xmlns:mc="http://schemas.openxmlformats.org/markup-compatibility/2006">
          <mc:Choice Requires="x14">
            <control shapeId="19328" r:id="rId477" name="Check Box 896">
              <controlPr defaultSize="0" autoFill="0" autoLine="0" autoPict="0">
                <anchor moveWithCells="1">
                  <from>
                    <xdr:col>17</xdr:col>
                    <xdr:colOff>38100</xdr:colOff>
                    <xdr:row>95</xdr:row>
                    <xdr:rowOff>0</xdr:rowOff>
                  </from>
                  <to>
                    <xdr:col>17</xdr:col>
                    <xdr:colOff>342900</xdr:colOff>
                    <xdr:row>96</xdr:row>
                    <xdr:rowOff>28575</xdr:rowOff>
                  </to>
                </anchor>
              </controlPr>
            </control>
          </mc:Choice>
        </mc:AlternateContent>
        <mc:AlternateContent xmlns:mc="http://schemas.openxmlformats.org/markup-compatibility/2006">
          <mc:Choice Requires="x14">
            <control shapeId="19329" r:id="rId478" name="Drop Down 897">
              <controlPr defaultSize="0" autoLine="0" autoPict="0">
                <anchor moveWithCells="1">
                  <from>
                    <xdr:col>27</xdr:col>
                    <xdr:colOff>0</xdr:colOff>
                    <xdr:row>95</xdr:row>
                    <xdr:rowOff>0</xdr:rowOff>
                  </from>
                  <to>
                    <xdr:col>30</xdr:col>
                    <xdr:colOff>190500</xdr:colOff>
                    <xdr:row>96</xdr:row>
                    <xdr:rowOff>9525</xdr:rowOff>
                  </to>
                </anchor>
              </controlPr>
            </control>
          </mc:Choice>
        </mc:AlternateContent>
        <mc:AlternateContent xmlns:mc="http://schemas.openxmlformats.org/markup-compatibility/2006">
          <mc:Choice Requires="x14">
            <control shapeId="19330" r:id="rId479" name="Drop Down 898">
              <controlPr defaultSize="0" autoLine="0" autoPict="0">
                <anchor moveWithCells="1">
                  <from>
                    <xdr:col>115</xdr:col>
                    <xdr:colOff>0</xdr:colOff>
                    <xdr:row>95</xdr:row>
                    <xdr:rowOff>0</xdr:rowOff>
                  </from>
                  <to>
                    <xdr:col>117</xdr:col>
                    <xdr:colOff>19050</xdr:colOff>
                    <xdr:row>96</xdr:row>
                    <xdr:rowOff>9525</xdr:rowOff>
                  </to>
                </anchor>
              </controlPr>
            </control>
          </mc:Choice>
        </mc:AlternateContent>
        <mc:AlternateContent xmlns:mc="http://schemas.openxmlformats.org/markup-compatibility/2006">
          <mc:Choice Requires="x14">
            <control shapeId="19331" r:id="rId480" name="Drop Down 899">
              <controlPr defaultSize="0" autoLine="0" autoPict="0">
                <anchor moveWithCells="1">
                  <from>
                    <xdr:col>163</xdr:col>
                    <xdr:colOff>0</xdr:colOff>
                    <xdr:row>95</xdr:row>
                    <xdr:rowOff>0</xdr:rowOff>
                  </from>
                  <to>
                    <xdr:col>165</xdr:col>
                    <xdr:colOff>333375</xdr:colOff>
                    <xdr:row>96</xdr:row>
                    <xdr:rowOff>9525</xdr:rowOff>
                  </to>
                </anchor>
              </controlPr>
            </control>
          </mc:Choice>
        </mc:AlternateContent>
        <mc:AlternateContent xmlns:mc="http://schemas.openxmlformats.org/markup-compatibility/2006">
          <mc:Choice Requires="x14">
            <control shapeId="19332" r:id="rId481" name="Drop Down 900">
              <controlPr defaultSize="0" autoLine="0" autoPict="0">
                <anchor moveWithCells="1">
                  <from>
                    <xdr:col>264</xdr:col>
                    <xdr:colOff>0</xdr:colOff>
                    <xdr:row>95</xdr:row>
                    <xdr:rowOff>0</xdr:rowOff>
                  </from>
                  <to>
                    <xdr:col>266</xdr:col>
                    <xdr:colOff>161925</xdr:colOff>
                    <xdr:row>96</xdr:row>
                    <xdr:rowOff>9525</xdr:rowOff>
                  </to>
                </anchor>
              </controlPr>
            </control>
          </mc:Choice>
        </mc:AlternateContent>
        <mc:AlternateContent xmlns:mc="http://schemas.openxmlformats.org/markup-compatibility/2006">
          <mc:Choice Requires="x14">
            <control shapeId="19333" r:id="rId482" name="Drop Down 901">
              <controlPr defaultSize="0" autoLine="0" autoPict="0">
                <anchor moveWithCells="1">
                  <from>
                    <xdr:col>3</xdr:col>
                    <xdr:colOff>9525</xdr:colOff>
                    <xdr:row>95</xdr:row>
                    <xdr:rowOff>0</xdr:rowOff>
                  </from>
                  <to>
                    <xdr:col>4</xdr:col>
                    <xdr:colOff>190500</xdr:colOff>
                    <xdr:row>96</xdr:row>
                    <xdr:rowOff>9525</xdr:rowOff>
                  </to>
                </anchor>
              </controlPr>
            </control>
          </mc:Choice>
        </mc:AlternateContent>
        <mc:AlternateContent xmlns:mc="http://schemas.openxmlformats.org/markup-compatibility/2006">
          <mc:Choice Requires="x14">
            <control shapeId="19334" r:id="rId483" name="Drop Down 902">
              <controlPr defaultSize="0" autoLine="0" autoPict="0">
                <anchor moveWithCells="1">
                  <from>
                    <xdr:col>5</xdr:col>
                    <xdr:colOff>0</xdr:colOff>
                    <xdr:row>95</xdr:row>
                    <xdr:rowOff>0</xdr:rowOff>
                  </from>
                  <to>
                    <xdr:col>8</xdr:col>
                    <xdr:colOff>9525</xdr:colOff>
                    <xdr:row>96</xdr:row>
                    <xdr:rowOff>9525</xdr:rowOff>
                  </to>
                </anchor>
              </controlPr>
            </control>
          </mc:Choice>
        </mc:AlternateContent>
        <mc:AlternateContent xmlns:mc="http://schemas.openxmlformats.org/markup-compatibility/2006">
          <mc:Choice Requires="x14">
            <control shapeId="19335" r:id="rId484" name="Drop Down 903">
              <controlPr defaultSize="0" autoLine="0" autoPict="0">
                <anchor moveWithCells="1">
                  <from>
                    <xdr:col>35</xdr:col>
                    <xdr:colOff>9525</xdr:colOff>
                    <xdr:row>95</xdr:row>
                    <xdr:rowOff>0</xdr:rowOff>
                  </from>
                  <to>
                    <xdr:col>36</xdr:col>
                    <xdr:colOff>9525</xdr:colOff>
                    <xdr:row>96</xdr:row>
                    <xdr:rowOff>9525</xdr:rowOff>
                  </to>
                </anchor>
              </controlPr>
            </control>
          </mc:Choice>
        </mc:AlternateContent>
        <mc:AlternateContent xmlns:mc="http://schemas.openxmlformats.org/markup-compatibility/2006">
          <mc:Choice Requires="x14">
            <control shapeId="19336" r:id="rId485" name="Drop Down 904">
              <controlPr defaultSize="0" autoLine="0" autoPict="0">
                <anchor moveWithCells="1">
                  <from>
                    <xdr:col>9</xdr:col>
                    <xdr:colOff>76200</xdr:colOff>
                    <xdr:row>97</xdr:row>
                    <xdr:rowOff>0</xdr:rowOff>
                  </from>
                  <to>
                    <xdr:col>12</xdr:col>
                    <xdr:colOff>257175</xdr:colOff>
                    <xdr:row>98</xdr:row>
                    <xdr:rowOff>9525</xdr:rowOff>
                  </to>
                </anchor>
              </controlPr>
            </control>
          </mc:Choice>
        </mc:AlternateContent>
        <mc:AlternateContent xmlns:mc="http://schemas.openxmlformats.org/markup-compatibility/2006">
          <mc:Choice Requires="x14">
            <control shapeId="19337" r:id="rId486" name="Drop Down 905">
              <controlPr defaultSize="0" autoLine="0" autoPict="0">
                <anchor moveWithCells="1">
                  <from>
                    <xdr:col>13</xdr:col>
                    <xdr:colOff>0</xdr:colOff>
                    <xdr:row>97</xdr:row>
                    <xdr:rowOff>0</xdr:rowOff>
                  </from>
                  <to>
                    <xdr:col>16</xdr:col>
                    <xdr:colOff>190500</xdr:colOff>
                    <xdr:row>98</xdr:row>
                    <xdr:rowOff>9525</xdr:rowOff>
                  </to>
                </anchor>
              </controlPr>
            </control>
          </mc:Choice>
        </mc:AlternateContent>
        <mc:AlternateContent xmlns:mc="http://schemas.openxmlformats.org/markup-compatibility/2006">
          <mc:Choice Requires="x14">
            <control shapeId="19338" r:id="rId487" name="Drop Down 906">
              <controlPr defaultSize="0" autoLine="0" autoPict="0">
                <anchor moveWithCells="1">
                  <from>
                    <xdr:col>19</xdr:col>
                    <xdr:colOff>0</xdr:colOff>
                    <xdr:row>97</xdr:row>
                    <xdr:rowOff>0</xdr:rowOff>
                  </from>
                  <to>
                    <xdr:col>22</xdr:col>
                    <xdr:colOff>190500</xdr:colOff>
                    <xdr:row>98</xdr:row>
                    <xdr:rowOff>9525</xdr:rowOff>
                  </to>
                </anchor>
              </controlPr>
            </control>
          </mc:Choice>
        </mc:AlternateContent>
        <mc:AlternateContent xmlns:mc="http://schemas.openxmlformats.org/markup-compatibility/2006">
          <mc:Choice Requires="x14">
            <control shapeId="19339" r:id="rId488" name="Drop Down 907">
              <controlPr defaultSize="0" autoLine="0" autoPict="0">
                <anchor moveWithCells="1">
                  <from>
                    <xdr:col>23</xdr:col>
                    <xdr:colOff>0</xdr:colOff>
                    <xdr:row>97</xdr:row>
                    <xdr:rowOff>0</xdr:rowOff>
                  </from>
                  <to>
                    <xdr:col>26</xdr:col>
                    <xdr:colOff>190500</xdr:colOff>
                    <xdr:row>98</xdr:row>
                    <xdr:rowOff>9525</xdr:rowOff>
                  </to>
                </anchor>
              </controlPr>
            </control>
          </mc:Choice>
        </mc:AlternateContent>
        <mc:AlternateContent xmlns:mc="http://schemas.openxmlformats.org/markup-compatibility/2006">
          <mc:Choice Requires="x14">
            <control shapeId="19340" r:id="rId489" name="Check Box 908">
              <controlPr defaultSize="0" autoFill="0" autoLine="0" autoPict="0">
                <anchor moveWithCells="1">
                  <from>
                    <xdr:col>17</xdr:col>
                    <xdr:colOff>38100</xdr:colOff>
                    <xdr:row>97</xdr:row>
                    <xdr:rowOff>0</xdr:rowOff>
                  </from>
                  <to>
                    <xdr:col>17</xdr:col>
                    <xdr:colOff>342900</xdr:colOff>
                    <xdr:row>98</xdr:row>
                    <xdr:rowOff>28575</xdr:rowOff>
                  </to>
                </anchor>
              </controlPr>
            </control>
          </mc:Choice>
        </mc:AlternateContent>
        <mc:AlternateContent xmlns:mc="http://schemas.openxmlformats.org/markup-compatibility/2006">
          <mc:Choice Requires="x14">
            <control shapeId="19341" r:id="rId490" name="Drop Down 909">
              <controlPr defaultSize="0" autoLine="0" autoPict="0">
                <anchor moveWithCells="1">
                  <from>
                    <xdr:col>27</xdr:col>
                    <xdr:colOff>0</xdr:colOff>
                    <xdr:row>97</xdr:row>
                    <xdr:rowOff>0</xdr:rowOff>
                  </from>
                  <to>
                    <xdr:col>30</xdr:col>
                    <xdr:colOff>190500</xdr:colOff>
                    <xdr:row>98</xdr:row>
                    <xdr:rowOff>9525</xdr:rowOff>
                  </to>
                </anchor>
              </controlPr>
            </control>
          </mc:Choice>
        </mc:AlternateContent>
        <mc:AlternateContent xmlns:mc="http://schemas.openxmlformats.org/markup-compatibility/2006">
          <mc:Choice Requires="x14">
            <control shapeId="19342" r:id="rId491" name="Drop Down 910">
              <controlPr defaultSize="0" autoLine="0" autoPict="0">
                <anchor moveWithCells="1">
                  <from>
                    <xdr:col>115</xdr:col>
                    <xdr:colOff>0</xdr:colOff>
                    <xdr:row>97</xdr:row>
                    <xdr:rowOff>0</xdr:rowOff>
                  </from>
                  <to>
                    <xdr:col>117</xdr:col>
                    <xdr:colOff>19050</xdr:colOff>
                    <xdr:row>98</xdr:row>
                    <xdr:rowOff>9525</xdr:rowOff>
                  </to>
                </anchor>
              </controlPr>
            </control>
          </mc:Choice>
        </mc:AlternateContent>
        <mc:AlternateContent xmlns:mc="http://schemas.openxmlformats.org/markup-compatibility/2006">
          <mc:Choice Requires="x14">
            <control shapeId="19343" r:id="rId492" name="Drop Down 911">
              <controlPr defaultSize="0" autoLine="0" autoPict="0">
                <anchor moveWithCells="1">
                  <from>
                    <xdr:col>163</xdr:col>
                    <xdr:colOff>0</xdr:colOff>
                    <xdr:row>97</xdr:row>
                    <xdr:rowOff>0</xdr:rowOff>
                  </from>
                  <to>
                    <xdr:col>165</xdr:col>
                    <xdr:colOff>333375</xdr:colOff>
                    <xdr:row>98</xdr:row>
                    <xdr:rowOff>9525</xdr:rowOff>
                  </to>
                </anchor>
              </controlPr>
            </control>
          </mc:Choice>
        </mc:AlternateContent>
        <mc:AlternateContent xmlns:mc="http://schemas.openxmlformats.org/markup-compatibility/2006">
          <mc:Choice Requires="x14">
            <control shapeId="19344" r:id="rId493" name="Drop Down 912">
              <controlPr defaultSize="0" autoLine="0" autoPict="0">
                <anchor moveWithCells="1">
                  <from>
                    <xdr:col>264</xdr:col>
                    <xdr:colOff>0</xdr:colOff>
                    <xdr:row>97</xdr:row>
                    <xdr:rowOff>0</xdr:rowOff>
                  </from>
                  <to>
                    <xdr:col>266</xdr:col>
                    <xdr:colOff>161925</xdr:colOff>
                    <xdr:row>98</xdr:row>
                    <xdr:rowOff>9525</xdr:rowOff>
                  </to>
                </anchor>
              </controlPr>
            </control>
          </mc:Choice>
        </mc:AlternateContent>
        <mc:AlternateContent xmlns:mc="http://schemas.openxmlformats.org/markup-compatibility/2006">
          <mc:Choice Requires="x14">
            <control shapeId="19345" r:id="rId494" name="Drop Down 913">
              <controlPr defaultSize="0" autoLine="0" autoPict="0">
                <anchor moveWithCells="1">
                  <from>
                    <xdr:col>3</xdr:col>
                    <xdr:colOff>9525</xdr:colOff>
                    <xdr:row>97</xdr:row>
                    <xdr:rowOff>0</xdr:rowOff>
                  </from>
                  <to>
                    <xdr:col>4</xdr:col>
                    <xdr:colOff>190500</xdr:colOff>
                    <xdr:row>98</xdr:row>
                    <xdr:rowOff>9525</xdr:rowOff>
                  </to>
                </anchor>
              </controlPr>
            </control>
          </mc:Choice>
        </mc:AlternateContent>
        <mc:AlternateContent xmlns:mc="http://schemas.openxmlformats.org/markup-compatibility/2006">
          <mc:Choice Requires="x14">
            <control shapeId="19346" r:id="rId495" name="Drop Down 914">
              <controlPr defaultSize="0" autoLine="0" autoPict="0">
                <anchor moveWithCells="1">
                  <from>
                    <xdr:col>5</xdr:col>
                    <xdr:colOff>0</xdr:colOff>
                    <xdr:row>97</xdr:row>
                    <xdr:rowOff>0</xdr:rowOff>
                  </from>
                  <to>
                    <xdr:col>8</xdr:col>
                    <xdr:colOff>9525</xdr:colOff>
                    <xdr:row>98</xdr:row>
                    <xdr:rowOff>9525</xdr:rowOff>
                  </to>
                </anchor>
              </controlPr>
            </control>
          </mc:Choice>
        </mc:AlternateContent>
        <mc:AlternateContent xmlns:mc="http://schemas.openxmlformats.org/markup-compatibility/2006">
          <mc:Choice Requires="x14">
            <control shapeId="19347" r:id="rId496" name="Drop Down 915">
              <controlPr defaultSize="0" autoLine="0" autoPict="0">
                <anchor moveWithCells="1">
                  <from>
                    <xdr:col>35</xdr:col>
                    <xdr:colOff>9525</xdr:colOff>
                    <xdr:row>97</xdr:row>
                    <xdr:rowOff>0</xdr:rowOff>
                  </from>
                  <to>
                    <xdr:col>36</xdr:col>
                    <xdr:colOff>9525</xdr:colOff>
                    <xdr:row>98</xdr:row>
                    <xdr:rowOff>9525</xdr:rowOff>
                  </to>
                </anchor>
              </controlPr>
            </control>
          </mc:Choice>
        </mc:AlternateContent>
        <mc:AlternateContent xmlns:mc="http://schemas.openxmlformats.org/markup-compatibility/2006">
          <mc:Choice Requires="x14">
            <control shapeId="19348" r:id="rId497" name="Drop Down 916">
              <controlPr defaultSize="0" autoLine="0" autoPict="0">
                <anchor moveWithCells="1">
                  <from>
                    <xdr:col>9</xdr:col>
                    <xdr:colOff>76200</xdr:colOff>
                    <xdr:row>99</xdr:row>
                    <xdr:rowOff>0</xdr:rowOff>
                  </from>
                  <to>
                    <xdr:col>12</xdr:col>
                    <xdr:colOff>257175</xdr:colOff>
                    <xdr:row>100</xdr:row>
                    <xdr:rowOff>9525</xdr:rowOff>
                  </to>
                </anchor>
              </controlPr>
            </control>
          </mc:Choice>
        </mc:AlternateContent>
        <mc:AlternateContent xmlns:mc="http://schemas.openxmlformats.org/markup-compatibility/2006">
          <mc:Choice Requires="x14">
            <control shapeId="19349" r:id="rId498" name="Drop Down 917">
              <controlPr defaultSize="0" autoLine="0" autoPict="0">
                <anchor moveWithCells="1">
                  <from>
                    <xdr:col>13</xdr:col>
                    <xdr:colOff>0</xdr:colOff>
                    <xdr:row>99</xdr:row>
                    <xdr:rowOff>0</xdr:rowOff>
                  </from>
                  <to>
                    <xdr:col>16</xdr:col>
                    <xdr:colOff>190500</xdr:colOff>
                    <xdr:row>100</xdr:row>
                    <xdr:rowOff>9525</xdr:rowOff>
                  </to>
                </anchor>
              </controlPr>
            </control>
          </mc:Choice>
        </mc:AlternateContent>
        <mc:AlternateContent xmlns:mc="http://schemas.openxmlformats.org/markup-compatibility/2006">
          <mc:Choice Requires="x14">
            <control shapeId="19350" r:id="rId499" name="Drop Down 918">
              <controlPr defaultSize="0" autoLine="0" autoPict="0">
                <anchor moveWithCells="1">
                  <from>
                    <xdr:col>19</xdr:col>
                    <xdr:colOff>0</xdr:colOff>
                    <xdr:row>99</xdr:row>
                    <xdr:rowOff>0</xdr:rowOff>
                  </from>
                  <to>
                    <xdr:col>22</xdr:col>
                    <xdr:colOff>190500</xdr:colOff>
                    <xdr:row>100</xdr:row>
                    <xdr:rowOff>9525</xdr:rowOff>
                  </to>
                </anchor>
              </controlPr>
            </control>
          </mc:Choice>
        </mc:AlternateContent>
        <mc:AlternateContent xmlns:mc="http://schemas.openxmlformats.org/markup-compatibility/2006">
          <mc:Choice Requires="x14">
            <control shapeId="19351" r:id="rId500" name="Drop Down 919">
              <controlPr defaultSize="0" autoLine="0" autoPict="0">
                <anchor moveWithCells="1">
                  <from>
                    <xdr:col>23</xdr:col>
                    <xdr:colOff>0</xdr:colOff>
                    <xdr:row>99</xdr:row>
                    <xdr:rowOff>0</xdr:rowOff>
                  </from>
                  <to>
                    <xdr:col>26</xdr:col>
                    <xdr:colOff>190500</xdr:colOff>
                    <xdr:row>100</xdr:row>
                    <xdr:rowOff>9525</xdr:rowOff>
                  </to>
                </anchor>
              </controlPr>
            </control>
          </mc:Choice>
        </mc:AlternateContent>
        <mc:AlternateContent xmlns:mc="http://schemas.openxmlformats.org/markup-compatibility/2006">
          <mc:Choice Requires="x14">
            <control shapeId="19352" r:id="rId501" name="Check Box 920">
              <controlPr defaultSize="0" autoFill="0" autoLine="0" autoPict="0">
                <anchor moveWithCells="1">
                  <from>
                    <xdr:col>17</xdr:col>
                    <xdr:colOff>38100</xdr:colOff>
                    <xdr:row>99</xdr:row>
                    <xdr:rowOff>0</xdr:rowOff>
                  </from>
                  <to>
                    <xdr:col>17</xdr:col>
                    <xdr:colOff>342900</xdr:colOff>
                    <xdr:row>100</xdr:row>
                    <xdr:rowOff>28575</xdr:rowOff>
                  </to>
                </anchor>
              </controlPr>
            </control>
          </mc:Choice>
        </mc:AlternateContent>
        <mc:AlternateContent xmlns:mc="http://schemas.openxmlformats.org/markup-compatibility/2006">
          <mc:Choice Requires="x14">
            <control shapeId="19353" r:id="rId502" name="Drop Down 921">
              <controlPr defaultSize="0" autoLine="0" autoPict="0">
                <anchor moveWithCells="1">
                  <from>
                    <xdr:col>27</xdr:col>
                    <xdr:colOff>0</xdr:colOff>
                    <xdr:row>99</xdr:row>
                    <xdr:rowOff>0</xdr:rowOff>
                  </from>
                  <to>
                    <xdr:col>30</xdr:col>
                    <xdr:colOff>190500</xdr:colOff>
                    <xdr:row>100</xdr:row>
                    <xdr:rowOff>9525</xdr:rowOff>
                  </to>
                </anchor>
              </controlPr>
            </control>
          </mc:Choice>
        </mc:AlternateContent>
        <mc:AlternateContent xmlns:mc="http://schemas.openxmlformats.org/markup-compatibility/2006">
          <mc:Choice Requires="x14">
            <control shapeId="19354" r:id="rId503" name="Drop Down 922">
              <controlPr defaultSize="0" autoLine="0" autoPict="0">
                <anchor moveWithCells="1">
                  <from>
                    <xdr:col>115</xdr:col>
                    <xdr:colOff>0</xdr:colOff>
                    <xdr:row>99</xdr:row>
                    <xdr:rowOff>0</xdr:rowOff>
                  </from>
                  <to>
                    <xdr:col>117</xdr:col>
                    <xdr:colOff>19050</xdr:colOff>
                    <xdr:row>100</xdr:row>
                    <xdr:rowOff>9525</xdr:rowOff>
                  </to>
                </anchor>
              </controlPr>
            </control>
          </mc:Choice>
        </mc:AlternateContent>
        <mc:AlternateContent xmlns:mc="http://schemas.openxmlformats.org/markup-compatibility/2006">
          <mc:Choice Requires="x14">
            <control shapeId="19355" r:id="rId504" name="Drop Down 923">
              <controlPr defaultSize="0" autoLine="0" autoPict="0">
                <anchor moveWithCells="1">
                  <from>
                    <xdr:col>163</xdr:col>
                    <xdr:colOff>0</xdr:colOff>
                    <xdr:row>99</xdr:row>
                    <xdr:rowOff>0</xdr:rowOff>
                  </from>
                  <to>
                    <xdr:col>165</xdr:col>
                    <xdr:colOff>333375</xdr:colOff>
                    <xdr:row>100</xdr:row>
                    <xdr:rowOff>9525</xdr:rowOff>
                  </to>
                </anchor>
              </controlPr>
            </control>
          </mc:Choice>
        </mc:AlternateContent>
        <mc:AlternateContent xmlns:mc="http://schemas.openxmlformats.org/markup-compatibility/2006">
          <mc:Choice Requires="x14">
            <control shapeId="19356" r:id="rId505" name="Drop Down 924">
              <controlPr defaultSize="0" autoLine="0" autoPict="0">
                <anchor moveWithCells="1">
                  <from>
                    <xdr:col>264</xdr:col>
                    <xdr:colOff>0</xdr:colOff>
                    <xdr:row>99</xdr:row>
                    <xdr:rowOff>0</xdr:rowOff>
                  </from>
                  <to>
                    <xdr:col>266</xdr:col>
                    <xdr:colOff>161925</xdr:colOff>
                    <xdr:row>100</xdr:row>
                    <xdr:rowOff>9525</xdr:rowOff>
                  </to>
                </anchor>
              </controlPr>
            </control>
          </mc:Choice>
        </mc:AlternateContent>
        <mc:AlternateContent xmlns:mc="http://schemas.openxmlformats.org/markup-compatibility/2006">
          <mc:Choice Requires="x14">
            <control shapeId="19357" r:id="rId506" name="Drop Down 925">
              <controlPr defaultSize="0" autoLine="0" autoPict="0">
                <anchor moveWithCells="1">
                  <from>
                    <xdr:col>3</xdr:col>
                    <xdr:colOff>9525</xdr:colOff>
                    <xdr:row>99</xdr:row>
                    <xdr:rowOff>0</xdr:rowOff>
                  </from>
                  <to>
                    <xdr:col>4</xdr:col>
                    <xdr:colOff>190500</xdr:colOff>
                    <xdr:row>100</xdr:row>
                    <xdr:rowOff>9525</xdr:rowOff>
                  </to>
                </anchor>
              </controlPr>
            </control>
          </mc:Choice>
        </mc:AlternateContent>
        <mc:AlternateContent xmlns:mc="http://schemas.openxmlformats.org/markup-compatibility/2006">
          <mc:Choice Requires="x14">
            <control shapeId="19358" r:id="rId507" name="Drop Down 926">
              <controlPr defaultSize="0" autoLine="0" autoPict="0">
                <anchor moveWithCells="1">
                  <from>
                    <xdr:col>5</xdr:col>
                    <xdr:colOff>0</xdr:colOff>
                    <xdr:row>99</xdr:row>
                    <xdr:rowOff>0</xdr:rowOff>
                  </from>
                  <to>
                    <xdr:col>8</xdr:col>
                    <xdr:colOff>9525</xdr:colOff>
                    <xdr:row>100</xdr:row>
                    <xdr:rowOff>9525</xdr:rowOff>
                  </to>
                </anchor>
              </controlPr>
            </control>
          </mc:Choice>
        </mc:AlternateContent>
        <mc:AlternateContent xmlns:mc="http://schemas.openxmlformats.org/markup-compatibility/2006">
          <mc:Choice Requires="x14">
            <control shapeId="19359" r:id="rId508" name="Drop Down 927">
              <controlPr defaultSize="0" autoLine="0" autoPict="0">
                <anchor moveWithCells="1">
                  <from>
                    <xdr:col>35</xdr:col>
                    <xdr:colOff>9525</xdr:colOff>
                    <xdr:row>99</xdr:row>
                    <xdr:rowOff>0</xdr:rowOff>
                  </from>
                  <to>
                    <xdr:col>36</xdr:col>
                    <xdr:colOff>9525</xdr:colOff>
                    <xdr:row>100</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Landbrugsinfo Artikelside" ma:contentTypeID="0x010100C568DB52D9D0A14D9B2FDCC96666E9F2007948130EC3DB064584E219954237AF3900242457EFB8B24247815D688C526CD44D00C26A9DBCB02B5C4DA1F017B836C045C00060750ADE2E6249BABB5C6118FC133DE800B6E1A9893ABA4670B08C14B9C53A30D30038FE43F1637F744F843E7D7DE1471064" ma:contentTypeVersion="81" ma:contentTypeDescription="Den primære contenttype der anvendes på Landbrugsinfo" ma:contentTypeScope="" ma:versionID="2c288ba3f44f9f876fc064456cac1e95">
  <xsd:schema xmlns:xsd="http://www.w3.org/2001/XMLSchema" xmlns:xs="http://www.w3.org/2001/XMLSchema" xmlns:p="http://schemas.microsoft.com/office/2006/metadata/properties" xmlns:ns1="http://schemas.microsoft.com/sharepoint/v3" xmlns:ns2="3f9812e8-f9bc-41f9-81fe-376cdc75b746" xmlns:ns3="5aa14257-579e-4a1f-bbbb-3c8dd7393476" xmlns:ns4="1fc47be7-e242-49d7-8745-326dae84948d" xmlns:ns5="b31ad1b1-3f52-4d85-9ee6-68eeea8ecdcd" xmlns:ns6="0bc7c0dc-e0e5-454a-a5a8-5041c22ec7ad" xmlns:ns7="2c683d05-9915-457a-94d8-2fab5ee7e1ce" xmlns:ns8="303eeafb-7dff-46db-9396-e9c651f530ea" targetNamespace="http://schemas.microsoft.com/office/2006/metadata/properties" ma:root="true" ma:fieldsID="07341dc5cf3498876177ed7dc6b87a1c" ns1:_="" ns2:_="" ns3:_="" ns4:_="" ns5:_="" ns6:_="" ns7:_="" ns8:_="">
    <xsd:import namespace="http://schemas.microsoft.com/sharepoint/v3"/>
    <xsd:import namespace="3f9812e8-f9bc-41f9-81fe-376cdc75b746"/>
    <xsd:import namespace="5aa14257-579e-4a1f-bbbb-3c8dd7393476"/>
    <xsd:import namespace="1fc47be7-e242-49d7-8745-326dae84948d"/>
    <xsd:import namespace="b31ad1b1-3f52-4d85-9ee6-68eeea8ecdcd"/>
    <xsd:import namespace="0bc7c0dc-e0e5-454a-a5a8-5041c22ec7ad"/>
    <xsd:import namespace="2c683d05-9915-457a-94d8-2fab5ee7e1ce"/>
    <xsd:import namespace="303eeafb-7dff-46db-9396-e9c651f530ea"/>
    <xsd:element name="properties">
      <xsd:complexType>
        <xsd:sequence>
          <xsd:element name="documentManagement">
            <xsd:complexType>
              <xsd:all>
                <xsd:element ref="ns1:Comments" minOccurs="0"/>
                <xsd:element ref="ns1:PublishingStartDate" minOccurs="0"/>
                <xsd:element ref="ns1:PublishingExpirationDate" minOccurs="0"/>
                <xsd:element ref="ns1:PublishingContact" minOccurs="0"/>
                <xsd:element ref="ns1:PublishingContactEmail" minOccurs="0"/>
                <xsd:element ref="ns1:PublishingContactName" minOccurs="0"/>
                <xsd:element ref="ns1:PublishingContactPicture" minOccurs="0"/>
                <xsd:element ref="ns1:PublishingPageLayout" minOccurs="0"/>
                <xsd:element ref="ns1:PublishingVariationGroupID" minOccurs="0"/>
                <xsd:element ref="ns1:PublishingVariationRelationshipLinkFieldID" minOccurs="0"/>
                <xsd:element ref="ns1:PublishingRollupImage" minOccurs="0"/>
                <xsd:element ref="ns1:Audience" minOccurs="0"/>
                <xsd:element ref="ns1:PublishingPageImage" minOccurs="0"/>
                <xsd:element ref="ns1:PublishingPageContent" minOccurs="0"/>
                <xsd:element ref="ns1:SummaryLinks" minOccurs="0"/>
                <xsd:element ref="ns1:ArticleByLine" minOccurs="0"/>
                <xsd:element ref="ns1:ArticleStartDate" minOccurs="0"/>
                <xsd:element ref="ns1:PublishingImageCaption" minOccurs="0"/>
                <xsd:element ref="ns1:HeaderStyleDefinitions" minOccurs="0"/>
                <xsd:element ref="ns2:Ansvarligafdeling" minOccurs="0"/>
                <xsd:element ref="ns3:Forfattere" minOccurs="0"/>
                <xsd:element ref="ns2:Rettighedsgruppe"/>
                <xsd:element ref="ns3:Sprogvalg" minOccurs="0"/>
                <xsd:element ref="ns3:Listekode" minOccurs="0"/>
                <xsd:element ref="ns3:Nummer" minOccurs="0"/>
                <xsd:element ref="ns3:Noegleord" minOccurs="0"/>
                <xsd:element ref="ns3:Informationsserie" minOccurs="0"/>
                <xsd:element ref="ns3:Bekraeftelsesdato" minOccurs="0"/>
                <xsd:element ref="ns3:Revisionsdato" minOccurs="0"/>
                <xsd:element ref="ns2:Afsender" minOccurs="0"/>
                <xsd:element ref="ns4:Arkiveringsdato"/>
                <xsd:element ref="ns2:Ingen_x0020_besked_x0020_ved_x0020_arkivering" minOccurs="0"/>
                <xsd:element ref="ns2:HideInRollups" minOccurs="0"/>
                <xsd:element ref="ns2:IsHiddenFromRollup" minOccurs="0"/>
                <xsd:element ref="ns1:DynamicPublishingContent0" minOccurs="0"/>
                <xsd:element ref="ns1:DynamicPublishingContent1" minOccurs="0"/>
                <xsd:element ref="ns1:DynamicPublishingContent2" minOccurs="0"/>
                <xsd:element ref="ns1:DynamicPublishingContent3" minOccurs="0"/>
                <xsd:element ref="ns1:DynamicPublishingContent4" minOccurs="0"/>
                <xsd:element ref="ns1:DynamicPublishingContent5" minOccurs="0"/>
                <xsd:element ref="ns3:Sorteringsorden" minOccurs="0"/>
                <xsd:element ref="ns2:EnclosureFor" minOccurs="0"/>
                <xsd:element ref="ns2:GammelURL" minOccurs="0"/>
                <xsd:element ref="ns2:NetSkabelonValue" minOccurs="0"/>
                <xsd:element ref="ns5:Projekter" minOccurs="0"/>
                <xsd:element ref="ns6:WebInfoSubjects" minOccurs="0"/>
                <xsd:element ref="ns6:HitCount" minOccurs="0"/>
                <xsd:element ref="ns6:DisplayComments"/>
                <xsd:element ref="ns6:AllowComments"/>
                <xsd:element ref="ns6:PermalinkID" minOccurs="0"/>
                <xsd:element ref="ns7:WebInfoMultiSelect" minOccurs="0"/>
                <xsd:element ref="ns8:_dlc_DocId" minOccurs="0"/>
                <xsd:element ref="ns8:_dlc_DocIdUrl" minOccurs="0"/>
                <xsd:element ref="ns8:_dlc_DocIdPersistId" minOccurs="0"/>
                <xsd:element ref="ns1:DynamicPublishingContent6" minOccurs="0"/>
                <xsd:element ref="ns1:DynamicPublishingContent7" minOccurs="0"/>
                <xsd:element ref="ns1:DynamicPublishingContent8" minOccurs="0"/>
                <xsd:element ref="ns1:DynamicPublishingContent9" minOccurs="0"/>
                <xsd:element ref="ns1:DynamicPublishingContent10" minOccurs="0"/>
                <xsd:element ref="ns1:DynamicPublishingContent11" minOccurs="0"/>
                <xsd:element ref="ns1:DynamicPublishingContent12" minOccurs="0"/>
                <xsd:element ref="ns1:DynamicPublishingContent13" minOccurs="0"/>
                <xsd:element ref="ns1:DynamicPublishingContent14" minOccurs="0"/>
                <xsd:element ref="ns7:TaksonomiTaxHTField0" minOccurs="0"/>
                <xsd:element ref="ns8:TaxCatchAll" minOccurs="0"/>
                <xsd:element ref="ns8:TaxCatchAllLabel" minOccurs="0"/>
                <xsd:element ref="ns7:Bevillingsgivere" minOccurs="0"/>
                <xsd:element ref="ns7:Finance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8" nillable="true" ma:displayName="Beskrivelse" ma:internalName="Comments">
      <xsd:simpleType>
        <xsd:restriction base="dms:Note">
          <xsd:maxLength value="255"/>
        </xsd:restriction>
      </xsd:simpleType>
    </xsd:element>
    <xsd:element name="PublishingStartDate" ma:index="9" nillable="true" ma:displayName="Startdato for planlægning" ma:description="" ma:internalName="PublishingStartDate">
      <xsd:simpleType>
        <xsd:restriction base="dms:Unknown"/>
      </xsd:simpleType>
    </xsd:element>
    <xsd:element name="PublishingExpirationDate" ma:index="10" nillable="true" ma:displayName="Slutdato for planlægning" ma:description="" ma:internalName="PublishingExpirationDate">
      <xsd:simpleType>
        <xsd:restriction base="dms:Unknown"/>
      </xsd:simpleType>
    </xsd:element>
    <xsd:element name="PublishingContact" ma:index="11" nillable="true" ma:displayName="Kontaktperson" ma:description="" ma:list="UserInfo" ma:internalName="PublishingContac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ingContactEmail" ma:index="12" nillable="true" ma:displayName="E-mail-adresse på kontaktperson" ma:description="" ma:internalName="PublishingContactEmail">
      <xsd:simpleType>
        <xsd:restriction base="dms:Text">
          <xsd:maxLength value="255"/>
        </xsd:restriction>
      </xsd:simpleType>
    </xsd:element>
    <xsd:element name="PublishingContactName" ma:index="13" nillable="true" ma:displayName="Navn på kontaktperson" ma:description="" ma:internalName="PublishingContactName">
      <xsd:simpleType>
        <xsd:restriction base="dms:Text">
          <xsd:maxLength value="255"/>
        </xsd:restriction>
      </xsd:simpleType>
    </xsd:element>
    <xsd:element name="PublishingContactPicture" ma:index="14" nillable="true" ma:displayName="Billede af kontaktperson" ma:description="" ma:format="Image" ma:internalName="PublishingContactPicture">
      <xsd:complexType>
        <xsd:complexContent>
          <xsd:extension base="dms:URL">
            <xsd:sequence>
              <xsd:element name="Url" type="dms:ValidUrl" minOccurs="0" nillable="true"/>
              <xsd:element name="Description" type="xsd:string" nillable="true"/>
            </xsd:sequence>
          </xsd:extension>
        </xsd:complexContent>
      </xsd:complexType>
    </xsd:element>
    <xsd:element name="PublishingPageLayout" ma:index="15" nillable="true" ma:displayName="Sidelayout" ma:description="" ma:internalName="PublishingPageLayout"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PublishingVariationGroupID" ma:index="16" nillable="true" ma:displayName="Variationsgruppe-id" ma:description="" ma:hidden="true" ma:internalName="PublishingVariationGroupID">
      <xsd:simpleType>
        <xsd:restriction base="dms:Text">
          <xsd:maxLength value="255"/>
        </xsd:restriction>
      </xsd:simpleType>
    </xsd:element>
    <xsd:element name="PublishingVariationRelationshipLinkFieldID" ma:index="17" nillable="true" ma:displayName="Relationshyperlink for variation" ma:description="" ma:hidden="true" ma:internalName="PublishingVariationRelationshipLinkFieldID">
      <xsd:complexType>
        <xsd:complexContent>
          <xsd:extension base="dms:URL">
            <xsd:sequence>
              <xsd:element name="Url" type="dms:ValidUrl" minOccurs="0" nillable="true"/>
              <xsd:element name="Description" type="xsd:string" nillable="true"/>
            </xsd:sequence>
          </xsd:extension>
        </xsd:complexContent>
      </xsd:complexType>
    </xsd:element>
    <xsd:element name="PublishingRollupImage" ma:index="18" nillable="true" ma:displayName="Opløftningsbillede" ma:description="" ma:internalName="PublishingRollupImage">
      <xsd:simpleType>
        <xsd:restriction base="dms:Unknown"/>
      </xsd:simpleType>
    </xsd:element>
    <xsd:element name="Audience" ma:index="19" nillable="true" ma:displayName="Målgrupper" ma:description="" ma:internalName="Audience">
      <xsd:simpleType>
        <xsd:restriction base="dms:Unknown"/>
      </xsd:simpleType>
    </xsd:element>
    <xsd:element name="PublishingPageImage" ma:index="20" nillable="true" ma:displayName="Sidebillede" ma:description="" ma:internalName="PublishingPageImage">
      <xsd:simpleType>
        <xsd:restriction base="dms:Unknown"/>
      </xsd:simpleType>
    </xsd:element>
    <xsd:element name="PublishingPageContent" ma:index="21" nillable="true" ma:displayName="Sideindhold" ma:description="" ma:internalName="PublishingPageContent">
      <xsd:simpleType>
        <xsd:restriction base="dms:Unknown"/>
      </xsd:simpleType>
    </xsd:element>
    <xsd:element name="SummaryLinks" ma:index="22" nillable="true" ma:displayName="Oversigtshyperlinks" ma:description="" ma:internalName="SummaryLinks">
      <xsd:simpleType>
        <xsd:restriction base="dms:Unknown"/>
      </xsd:simpleType>
    </xsd:element>
    <xsd:element name="ArticleByLine" ma:index="23" nillable="true" ma:displayName="Forfatterlinje" ma:description="" ma:internalName="ArticleByLine">
      <xsd:simpleType>
        <xsd:restriction base="dms:Text">
          <xsd:maxLength value="255"/>
        </xsd:restriction>
      </xsd:simpleType>
    </xsd:element>
    <xsd:element name="ArticleStartDate" ma:index="24" nillable="true" ma:displayName="Artikeldato" ma:description="" ma:format="DateOnly" ma:internalName="ArticleStartDate">
      <xsd:simpleType>
        <xsd:restriction base="dms:DateTime"/>
      </xsd:simpleType>
    </xsd:element>
    <xsd:element name="PublishingImageCaption" ma:index="25" nillable="true" ma:displayName="Billedtekst" ma:description="" ma:internalName="PublishingImageCaption">
      <xsd:simpleType>
        <xsd:restriction base="dms:Unknown"/>
      </xsd:simpleType>
    </xsd:element>
    <xsd:element name="HeaderStyleDefinitions" ma:index="26" nillable="true" ma:displayName="Typografidefinitioner" ma:description="" ma:hidden="true" ma:internalName="HeaderStyleDefinitions">
      <xsd:simpleType>
        <xsd:restriction base="dms:Unknown"/>
      </xsd:simpleType>
    </xsd:element>
    <xsd:element name="DynamicPublishingContent0" ma:index="42" nillable="true" ma:displayName="Dynamisk sideindhold (1)" ma:internalName="DynamicPublishingContent0">
      <xsd:simpleType>
        <xsd:restriction base="dms:Unknown"/>
      </xsd:simpleType>
    </xsd:element>
    <xsd:element name="DynamicPublishingContent1" ma:index="43" nillable="true" ma:displayName="Dynamisk sideindhold (2)" ma:internalName="DynamicPublishingContent1">
      <xsd:simpleType>
        <xsd:restriction base="dms:Unknown"/>
      </xsd:simpleType>
    </xsd:element>
    <xsd:element name="DynamicPublishingContent2" ma:index="44" nillable="true" ma:displayName="Dynamisk sideindhold (3)" ma:internalName="DynamicPublishingContent2">
      <xsd:simpleType>
        <xsd:restriction base="dms:Unknown"/>
      </xsd:simpleType>
    </xsd:element>
    <xsd:element name="DynamicPublishingContent3" ma:index="45" nillable="true" ma:displayName="Dynamisk sideindhold (4)" ma:internalName="DynamicPublishingContent3">
      <xsd:simpleType>
        <xsd:restriction base="dms:Unknown"/>
      </xsd:simpleType>
    </xsd:element>
    <xsd:element name="DynamicPublishingContent4" ma:index="46" nillable="true" ma:displayName="Dynamisk sideindhold (5)" ma:internalName="DynamicPublishingContent4">
      <xsd:simpleType>
        <xsd:restriction base="dms:Unknown"/>
      </xsd:simpleType>
    </xsd:element>
    <xsd:element name="DynamicPublishingContent5" ma:index="47" nillable="true" ma:displayName="Dynamisk sideindhold (6)" ma:internalName="DynamicPublishingContent5">
      <xsd:simpleType>
        <xsd:restriction base="dms:Unknown"/>
      </xsd:simpleType>
    </xsd:element>
    <xsd:element name="DynamicPublishingContent6" ma:index="65" nillable="true" ma:displayName="Dynamisk sideindhold (7)" ma:hidden="true" ma:internalName="DynamicPublishingContent6">
      <xsd:simpleType>
        <xsd:restriction base="dms:Unknown"/>
      </xsd:simpleType>
    </xsd:element>
    <xsd:element name="DynamicPublishingContent7" ma:index="66" nillable="true" ma:displayName="Dynamisk sideindhold (8)" ma:hidden="true" ma:internalName="DynamicPublishingContent7">
      <xsd:simpleType>
        <xsd:restriction base="dms:Unknown"/>
      </xsd:simpleType>
    </xsd:element>
    <xsd:element name="DynamicPublishingContent8" ma:index="67" nillable="true" ma:displayName="Dynamisk sideindhold (9)" ma:hidden="true" ma:internalName="DynamicPublishingContent8">
      <xsd:simpleType>
        <xsd:restriction base="dms:Unknown"/>
      </xsd:simpleType>
    </xsd:element>
    <xsd:element name="DynamicPublishingContent9" ma:index="68" nillable="true" ma:displayName="Dynamisk sideindhold (10)" ma:hidden="true" ma:internalName="DynamicPublishingContent9">
      <xsd:simpleType>
        <xsd:restriction base="dms:Unknown"/>
      </xsd:simpleType>
    </xsd:element>
    <xsd:element name="DynamicPublishingContent10" ma:index="69" nillable="true" ma:displayName="Dynamisk sideindhold (11)" ma:hidden="true" ma:internalName="DynamicPublishingContent10">
      <xsd:simpleType>
        <xsd:restriction base="dms:Unknown"/>
      </xsd:simpleType>
    </xsd:element>
    <xsd:element name="DynamicPublishingContent11" ma:index="70" nillable="true" ma:displayName="Dynamisk sideindhold (12)" ma:hidden="true" ma:internalName="DynamicPublishingContent11">
      <xsd:simpleType>
        <xsd:restriction base="dms:Unknown"/>
      </xsd:simpleType>
    </xsd:element>
    <xsd:element name="DynamicPublishingContent12" ma:index="71" nillable="true" ma:displayName="Dynamisk sideindhold (13)" ma:hidden="true" ma:internalName="DynamicPublishingContent12">
      <xsd:simpleType>
        <xsd:restriction base="dms:Unknown"/>
      </xsd:simpleType>
    </xsd:element>
    <xsd:element name="DynamicPublishingContent13" ma:index="72" nillable="true" ma:displayName="Dynamisk sideindhold (14)" ma:hidden="true" ma:internalName="DynamicPublishingContent13">
      <xsd:simpleType>
        <xsd:restriction base="dms:Unknown"/>
      </xsd:simpleType>
    </xsd:element>
    <xsd:element name="DynamicPublishingContent14" ma:index="73" nillable="true" ma:displayName="Dynamisk sideindhold (15)" ma:hidden="true" ma:internalName="DynamicPublishingContent14">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f9812e8-f9bc-41f9-81fe-376cdc75b746" elementFormDefault="qualified">
    <xsd:import namespace="http://schemas.microsoft.com/office/2006/documentManagement/types"/>
    <xsd:import namespace="http://schemas.microsoft.com/office/infopath/2007/PartnerControls"/>
    <xsd:element name="Ansvarligafdeling" ma:index="27" nillable="true" ma:displayName="Ansvarlig afdeling" ma:list="2b5a13a3-256c-433f-bc8b-bde4d05df095" ma:internalName="Ansvarligafdeling" ma:showField="Title" ma:web="303eeafb-7dff-46db-9396-e9c651f530ea">
      <xsd:simpleType>
        <xsd:restriction base="dms:Lookup"/>
      </xsd:simpleType>
    </xsd:element>
    <xsd:element name="Rettighedsgruppe" ma:index="29" ma:displayName="Rettighedsgruppe" ma:default="2;#Basis" ma:list="{cd861654-9942-42cc-b4e8-22e2eb33fafe}" ma:internalName="Rettighedsgruppe" ma:readOnly="false" ma:showField="Title" ma:web="303eeafb-7dff-46db-9396-e9c651f530ea">
      <xsd:simpleType>
        <xsd:restriction base="dms:Lookup"/>
      </xsd:simpleType>
    </xsd:element>
    <xsd:element name="Afsender" ma:index="37" nillable="true" ma:displayName="Afsender" ma:default="2;#Landscentret" ma:list="b497b606-9a6f-4593-a3de-acb9bcbea154" ma:internalName="Afsender" ma:showField="LinkTitleNoMenu" ma:web="303eeafb-7dff-46db-9396-e9c651f530ea">
      <xsd:simpleType>
        <xsd:restriction base="dms:Lookup"/>
      </xsd:simpleType>
    </xsd:element>
    <xsd:element name="Ingen_x0020_besked_x0020_ved_x0020_arkivering" ma:index="39" nillable="true" ma:displayName="Ingen besked ved arkivering" ma:default="0" ma:description="Klik her, for ikke at modtage en besked, når dokumentet når sin udløbsdato" ma:internalName="Ingen_x0020_besked_x0020_ved_x0020_arkivering">
      <xsd:simpleType>
        <xsd:restriction base="dms:Boolean"/>
      </xsd:simpleType>
    </xsd:element>
    <xsd:element name="HideInRollups" ma:index="40" nillable="true" ma:displayName="Skjul i artikellister" ma:default="0" ma:description="Klik her for at skjule siden i artikellister" ma:internalName="HideInRollups">
      <xsd:simpleType>
        <xsd:restriction base="dms:Boolean"/>
      </xsd:simpleType>
    </xsd:element>
    <xsd:element name="IsHiddenFromRollup" ma:index="41" nillable="true" ma:displayName="Skjult i artikellister (system)" ma:decimals="0" ma:default="0" ma:description="Understøtter infrastrukturen" ma:internalName="IsHiddenFromRollup">
      <xsd:simpleType>
        <xsd:restriction base="dms:Number"/>
      </xsd:simpleType>
    </xsd:element>
    <xsd:element name="EnclosureFor" ma:index="49" nillable="true" ma:displayName="Bilag til" ma:description="Peger på bilagets moderdokument" ma:internalName="EnclosureFor">
      <xsd:complexType>
        <xsd:complexContent>
          <xsd:extension base="dms:URL">
            <xsd:sequence>
              <xsd:element name="Url" type="dms:ValidUrl" minOccurs="0" nillable="true"/>
              <xsd:element name="Description" type="xsd:string" nillable="true"/>
            </xsd:sequence>
          </xsd:extension>
        </xsd:complexContent>
      </xsd:complexType>
    </xsd:element>
    <xsd:element name="GammelURL" ma:index="50" nillable="true" ma:displayName="Gammel URL" ma:description="Tidligere placering på landbrugsinfo" ma:internalName="GammelURL">
      <xsd:simpleType>
        <xsd:restriction base="dms:Text">
          <xsd:maxLength value="255"/>
        </xsd:restriction>
      </xsd:simpleType>
    </xsd:element>
    <xsd:element name="NetSkabelonValue" ma:index="51" nillable="true" ma:displayName="NetSkabelon værdier" ma:internalName="NetSkabelonValu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aa14257-579e-4a1f-bbbb-3c8dd7393476" elementFormDefault="qualified">
    <xsd:import namespace="http://schemas.microsoft.com/office/2006/documentManagement/types"/>
    <xsd:import namespace="http://schemas.microsoft.com/office/infopath/2007/PartnerControls"/>
    <xsd:element name="Forfattere" ma:index="28" nillable="true" ma:displayName="Forfattere" ma:list="UserInfo" ma:SharePointGroup="0" ma:internalName="Forfattere" ma:showField="Titl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progvalg" ma:index="30" nillable="true" ma:displayName="Sprogvalg" ma:default="2;#Dansk" ma:list="{358abd4b-6f7b-4eaf-9a01-7f8bac3f95ef}" ma:internalName="Sprogvalg" ma:showField="Title" ma:web="303eeafb-7dff-46db-9396-e9c651f530ea">
      <xsd:simpleType>
        <xsd:restriction base="dms:Lookup"/>
      </xsd:simpleType>
    </xsd:element>
    <xsd:element name="Listekode" ma:index="31" nillable="true" ma:displayName="Listekode" ma:internalName="Listekode">
      <xsd:simpleType>
        <xsd:restriction base="dms:Text">
          <xsd:maxLength value="255"/>
        </xsd:restriction>
      </xsd:simpleType>
    </xsd:element>
    <xsd:element name="Nummer" ma:index="32" nillable="true" ma:displayName="Nummer" ma:internalName="Nummer">
      <xsd:simpleType>
        <xsd:restriction base="dms:Text">
          <xsd:maxLength value="255"/>
        </xsd:restriction>
      </xsd:simpleType>
    </xsd:element>
    <xsd:element name="Noegleord" ma:index="33" nillable="true" ma:displayName="Nøgleord" ma:internalName="Noegleord">
      <xsd:simpleType>
        <xsd:restriction base="dms:Text">
          <xsd:maxLength value="255"/>
        </xsd:restriction>
      </xsd:simpleType>
    </xsd:element>
    <xsd:element name="Informationsserie" ma:index="34" nillable="true" ma:displayName="Historisk informationsserie" ma:internalName="Informationsserie">
      <xsd:simpleType>
        <xsd:restriction base="dms:Text">
          <xsd:maxLength value="255"/>
        </xsd:restriction>
      </xsd:simpleType>
    </xsd:element>
    <xsd:element name="Bekraeftelsesdato" ma:index="35" nillable="true" ma:displayName="Bekræftelsesdato" ma:format="DateTime" ma:internalName="Bekraeftelsesdato">
      <xsd:simpleType>
        <xsd:restriction base="dms:DateTime"/>
      </xsd:simpleType>
    </xsd:element>
    <xsd:element name="Revisionsdato" ma:index="36" nillable="true" ma:displayName="Revisionsdato" ma:format="DateTime" ma:internalName="Revisionsdato">
      <xsd:simpleType>
        <xsd:restriction base="dms:DateTime"/>
      </xsd:simpleType>
    </xsd:element>
    <xsd:element name="Sorteringsorden" ma:index="48" nillable="true" ma:displayName="Sorteringsorden" ma:decimals="0" ma:internalName="Sorteringsorden">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1fc47be7-e242-49d7-8745-326dae84948d" elementFormDefault="qualified">
    <xsd:import namespace="http://schemas.microsoft.com/office/2006/documentManagement/types"/>
    <xsd:import namespace="http://schemas.microsoft.com/office/infopath/2007/PartnerControls"/>
    <xsd:element name="Arkiveringsdato" ma:index="38" ma:displayName="Arkiveringsdato" ma:format="DateOnly" ma:internalName="Arkiveringsdato">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31ad1b1-3f52-4d85-9ee6-68eeea8ecdcd" elementFormDefault="qualified">
    <xsd:import namespace="http://schemas.microsoft.com/office/2006/documentManagement/types"/>
    <xsd:import namespace="http://schemas.microsoft.com/office/infopath/2007/PartnerControls"/>
    <xsd:element name="Projekter" ma:index="55" nillable="true" ma:displayName="Projekter" ma:list="ecf07d35-95fb-4bda-ad72-e46544058ec2" ma:internalName="Projekter" ma:showField="LinkTitleNoMenu" ma:web="303eeafb-7dff-46db-9396-e9c651f530ea">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bc7c0dc-e0e5-454a-a5a8-5041c22ec7ad" elementFormDefault="qualified">
    <xsd:import namespace="http://schemas.microsoft.com/office/2006/documentManagement/types"/>
    <xsd:import namespace="http://schemas.microsoft.com/office/infopath/2007/PartnerControls"/>
    <xsd:element name="WebInfoSubjects" ma:index="56" nillable="true" ma:displayName="Emneord" ma:description="Knyt emneord til din artikel. Benyttes primært til nyhedsbreve." ma:list="{c1fcffa3-db61-496d-89f0-dea25d970c75}" ma:internalName="WebInfoSubjects" ma:showField="LinkTitleNoMenu" ma:web="303eeafb-7dff-46db-9396-e9c651f530ea">
      <xsd:simpleType>
        <xsd:restriction base="dms:Unknown"/>
      </xsd:simpleType>
    </xsd:element>
    <xsd:element name="HitCount" ma:index="57" nillable="true" ma:displayName="HitCount (system)" ma:decimals="0" ma:default="0" ma:description="Antal gange et dokument er set af en bruger" ma:internalName="HitCount" ma:readOnly="false">
      <xsd:simpleType>
        <xsd:restriction base="dms:Number"/>
      </xsd:simpleType>
    </xsd:element>
    <xsd:element name="DisplayComments" ma:index="58" ma:displayName="Vis kommentarer" ma:default="1" ma:internalName="DisplayComments">
      <xsd:simpleType>
        <xsd:restriction base="dms:Boolean"/>
      </xsd:simpleType>
    </xsd:element>
    <xsd:element name="AllowComments" ma:index="59" ma:displayName="Tillad nye kommentarer" ma:default="1" ma:internalName="AllowComments">
      <xsd:simpleType>
        <xsd:restriction base="dms:Boolean"/>
      </xsd:simpleType>
    </xsd:element>
    <xsd:element name="PermalinkID" ma:index="60" nillable="true" ma:displayName="Permalink ID" ma:description="Unik ID for artiklen som kan benyttes til permalink" ma:hidden="true" ma:internalName="PermalinkID"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c683d05-9915-457a-94d8-2fab5ee7e1ce" elementFormDefault="qualified">
    <xsd:import namespace="http://schemas.microsoft.com/office/2006/documentManagement/types"/>
    <xsd:import namespace="http://schemas.microsoft.com/office/infopath/2007/PartnerControls"/>
    <xsd:element name="WebInfoMultiSelect" ma:index="61" nillable="true" ma:displayName="Tilvalg" ma:description="Mulighed for et antal tilvalg gemt i et samlet felt." ma:internalName="WebInfoMultiSelect">
      <xsd:simpleType>
        <xsd:restriction base="dms:Unknown"/>
      </xsd:simpleType>
    </xsd:element>
    <xsd:element name="TaksonomiTaxHTField0" ma:index="74" nillable="true" ma:taxonomy="true" ma:internalName="TaksonomiTaxHTField0" ma:taxonomyFieldName="Taksonomi" ma:displayName="Taksonomi" ma:fieldId="{6e43b4ee-656e-4e6d-875c-6c0fe73b7faf}" ma:taxonomyMulti="true" ma:sspId="2476898c-5e7e-458a-8d26-e528e2e6d5ce" ma:termSetId="65f14c63-6b42-47e9-9739-973b2f9a435e" ma:anchorId="00000000-0000-0000-0000-000000000000" ma:open="false" ma:isKeyword="false">
      <xsd:complexType>
        <xsd:sequence>
          <xsd:element ref="pc:Terms" minOccurs="0" maxOccurs="1"/>
        </xsd:sequence>
      </xsd:complexType>
    </xsd:element>
    <xsd:element name="Bevillingsgivere" ma:index="78" nillable="true" ma:displayName="Bevillingsgivere" ma:list="9ccd692b-b01f-4300-9d4e-b4fb85c2c995" ma:internalName="Bevillingsgivere" ma:showField="LinkTitleNoMenu" ma:web="303eeafb-7dff-46db-9396-e9c651f530ea">
      <xsd:simpleType>
        <xsd:restriction base="dms:Unknown"/>
      </xsd:simpleType>
    </xsd:element>
    <xsd:element name="FinanceYear" ma:index="79" nillable="true" ma:displayName="Bevillingsår" ma:decimals="0" ma:internalName="FinanceYear">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303eeafb-7dff-46db-9396-e9c651f530ea" elementFormDefault="qualified">
    <xsd:import namespace="http://schemas.microsoft.com/office/2006/documentManagement/types"/>
    <xsd:import namespace="http://schemas.microsoft.com/office/infopath/2007/PartnerControls"/>
    <xsd:element name="_dlc_DocId" ma:index="62" nillable="true" ma:displayName="Værdi for dokument-id" ma:description="Værdien af det dokument-id, der er tildelt dette element." ma:internalName="_dlc_DocId" ma:readOnly="true">
      <xsd:simpleType>
        <xsd:restriction base="dms:Text"/>
      </xsd:simpleType>
    </xsd:element>
    <xsd:element name="_dlc_DocIdUrl" ma:index="63" nillable="true" ma:displayName="Dokument-id" ma:description="Permanent link til dette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4" nillable="true" ma:displayName="Persist ID" ma:description="Keep ID on add." ma:hidden="true" ma:internalName="_dlc_DocIdPersistId" ma:readOnly="true">
      <xsd:simpleType>
        <xsd:restriction base="dms:Boolean"/>
      </xsd:simpleType>
    </xsd:element>
    <xsd:element name="TaxCatchAll" ma:index="75" nillable="true" ma:displayName="Taxonomy Catch All Column" ma:hidden="true" ma:list="{00a11604-cdb1-438d-8b4c-a208f6918db7}" ma:internalName="TaxCatchAll" ma:showField="CatchAllData" ma:web="303eeafb-7dff-46db-9396-e9c651f530ea">
      <xsd:complexType>
        <xsd:complexContent>
          <xsd:extension base="dms:MultiChoiceLookup">
            <xsd:sequence>
              <xsd:element name="Value" type="dms:Lookup" maxOccurs="unbounded" minOccurs="0" nillable="true"/>
            </xsd:sequence>
          </xsd:extension>
        </xsd:complexContent>
      </xsd:complexType>
    </xsd:element>
    <xsd:element name="TaxCatchAllLabel" ma:index="76" nillable="true" ma:displayName="Taxonomy Catch All Column1" ma:hidden="true" ma:list="{00a11604-cdb1-438d-8b4c-a208f6918db7}" ma:internalName="TaxCatchAllLabel" ma:readOnly="true" ma:showField="CatchAllDataLabel" ma:web="303eeafb-7dff-46db-9396-e9c651f530e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ma:readOnly="tru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ct:contentTypeSchema xmlns:ct="http://schemas.microsoft.com/office/2006/metadata/contentType" xmlns:ma="http://schemas.microsoft.com/office/2006/metadata/properties/metaAttributes" ct:_="" ma:_="" ma:contentTypeName="Artikelside" ma:contentTypeID="0x010100C568DB52D9D0A14D9B2FDCC96666E9F2007948130EC3DB064584E219954237AF3900242457EFB8B24247815D688C526CD44D00A17B773BFD7FDB4F8F3412C8AB5A85C3" ma:contentTypeVersion="0" ma:contentTypeDescription="Artikelside er en skabelon for systemindholdstyper, der er oprettet af funktionen for ressourcer til udgivelse. Det er den tilknyttede indholdstypeskabelon for de standardsidelayout, der bruges til at oprette artikelsider på websteder, hvor udgivelsesfunktionen er aktiveret." ma:contentTypeScope="" ma:versionID="a19c337ec340af1bb838ad6261d2f855">
  <xsd:schema xmlns:xsd="http://www.w3.org/2001/XMLSchema" xmlns:xs="http://www.w3.org/2001/XMLSchema" xmlns:p="http://schemas.microsoft.com/office/2006/metadata/properties" xmlns:ns1="http://schemas.microsoft.com/sharepoint/v3" targetNamespace="http://schemas.microsoft.com/office/2006/metadata/properties" ma:root="true" ma:fieldsID="eb60004005fa4da1e5b89724de2e0f6f" ns1:_="">
    <xsd:import namespace="http://schemas.microsoft.com/sharepoint/v3"/>
    <xsd:element name="properties">
      <xsd:complexType>
        <xsd:sequence>
          <xsd:element name="documentManagement">
            <xsd:complexType>
              <xsd:all>
                <xsd:element ref="ns1:Comments" minOccurs="0"/>
                <xsd:element ref="ns1:PublishingStartDate" minOccurs="0"/>
                <xsd:element ref="ns1:PublishingExpirationDate" minOccurs="0"/>
                <xsd:element ref="ns1:PublishingContact" minOccurs="0"/>
                <xsd:element ref="ns1:PublishingContactEmail" minOccurs="0"/>
                <xsd:element ref="ns1:PublishingContactName" minOccurs="0"/>
                <xsd:element ref="ns1:PublishingContactPicture" minOccurs="0"/>
                <xsd:element ref="ns1:PublishingPageLayout" minOccurs="0"/>
                <xsd:element ref="ns1:PublishingVariationGroupID" minOccurs="0"/>
                <xsd:element ref="ns1:PublishingVariationRelationshipLinkFieldID" minOccurs="0"/>
                <xsd:element ref="ns1:PublishingRollupImage" minOccurs="0"/>
                <xsd:element ref="ns1:Audience" minOccurs="0"/>
                <xsd:element ref="ns1:PublishingPageImage" minOccurs="0"/>
                <xsd:element ref="ns1:PublishingPageContent" minOccurs="0"/>
                <xsd:element ref="ns1:SummaryLinks" minOccurs="0"/>
                <xsd:element ref="ns1:ArticleByLine" minOccurs="0"/>
                <xsd:element ref="ns1:ArticleStartDate" minOccurs="0"/>
                <xsd:element ref="ns1:PublishingImageCaption" minOccurs="0"/>
                <xsd:element ref="ns1:HeaderStyleDefinit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8" nillable="true" ma:displayName="Kommentarer" ma:internalName="Comments">
      <xsd:simpleType>
        <xsd:restriction base="dms:Note">
          <xsd:maxLength value="255"/>
        </xsd:restriction>
      </xsd:simpleType>
    </xsd:element>
    <xsd:element name="PublishingStartDate" ma:index="9" nillable="true" ma:displayName="Startdato for planlægning" ma:description="" ma:hidden="true" ma:internalName="PublishingStartDate">
      <xsd:simpleType>
        <xsd:restriction base="dms:Unknown"/>
      </xsd:simpleType>
    </xsd:element>
    <xsd:element name="PublishingExpirationDate" ma:index="10" nillable="true" ma:displayName="Slutdato for planlægning" ma:description="" ma:hidden="true" ma:internalName="PublishingExpirationDate">
      <xsd:simpleType>
        <xsd:restriction base="dms:Unknown"/>
      </xsd:simpleType>
    </xsd:element>
    <xsd:element name="PublishingContact" ma:index="11" nillable="true" ma:displayName="Kontaktperson" ma:list="UserInfo" ma:internalName="PublishingContac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ingContactEmail" ma:index="12" nillable="true" ma:displayName="E-mail-adresse på kontaktperson" ma:internalName="PublishingContactEmail">
      <xsd:simpleType>
        <xsd:restriction base="dms:Text">
          <xsd:maxLength value="255"/>
        </xsd:restriction>
      </xsd:simpleType>
    </xsd:element>
    <xsd:element name="PublishingContactName" ma:index="13" nillable="true" ma:displayName="Navn på kontaktperson" ma:internalName="PublishingContactName">
      <xsd:simpleType>
        <xsd:restriction base="dms:Text">
          <xsd:maxLength value="255"/>
        </xsd:restriction>
      </xsd:simpleType>
    </xsd:element>
    <xsd:element name="PublishingContactPicture" ma:index="14" nillable="true" ma:displayName="Billede af kontaktperson" ma:format="Image" ma:internalName="PublishingContactPicture">
      <xsd:complexType>
        <xsd:complexContent>
          <xsd:extension base="dms:URL">
            <xsd:sequence>
              <xsd:element name="Url" type="dms:ValidUrl" minOccurs="0" nillable="true"/>
              <xsd:element name="Description" type="xsd:string" nillable="true"/>
            </xsd:sequence>
          </xsd:extension>
        </xsd:complexContent>
      </xsd:complexType>
    </xsd:element>
    <xsd:element name="PublishingPageLayout" ma:index="15" nillable="true" ma:displayName="Sidelayout" ma:internalName="PublishingPageLayout"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PublishingVariationGroupID" ma:index="16" nillable="true" ma:displayName="Variationsgruppe-id" ma:hidden="true" ma:internalName="PublishingVariationGroupID">
      <xsd:simpleType>
        <xsd:restriction base="dms:Text">
          <xsd:maxLength value="255"/>
        </xsd:restriction>
      </xsd:simpleType>
    </xsd:element>
    <xsd:element name="PublishingVariationRelationshipLinkFieldID" ma:index="17" nillable="true" ma:displayName="Relationshyperlink for variation" ma:hidden="true" ma:internalName="PublishingVariationRelationshipLinkFieldID">
      <xsd:complexType>
        <xsd:complexContent>
          <xsd:extension base="dms:URL">
            <xsd:sequence>
              <xsd:element name="Url" type="dms:ValidUrl" minOccurs="0" nillable="true"/>
              <xsd:element name="Description" type="xsd:string" nillable="true"/>
            </xsd:sequence>
          </xsd:extension>
        </xsd:complexContent>
      </xsd:complexType>
    </xsd:element>
    <xsd:element name="PublishingRollupImage" ma:index="18" nillable="true" ma:displayName="Opløftningsbillede" ma:internalName="PublishingRollupImage">
      <xsd:simpleType>
        <xsd:restriction base="dms:Unknown"/>
      </xsd:simpleType>
    </xsd:element>
    <xsd:element name="Audience" ma:index="19" nillable="true" ma:displayName="Målgrupper" ma:description="" ma:internalName="Audience">
      <xsd:simpleType>
        <xsd:restriction base="dms:Unknown"/>
      </xsd:simpleType>
    </xsd:element>
    <xsd:element name="PublishingPageImage" ma:index="20" nillable="true" ma:displayName="Sidebillede" ma:internalName="PublishingPageImage">
      <xsd:simpleType>
        <xsd:restriction base="dms:Unknown"/>
      </xsd:simpleType>
    </xsd:element>
    <xsd:element name="PublishingPageContent" ma:index="21" nillable="true" ma:displayName="Sideindhold" ma:internalName="PublishingPageContent">
      <xsd:simpleType>
        <xsd:restriction base="dms:Unknown"/>
      </xsd:simpleType>
    </xsd:element>
    <xsd:element name="SummaryLinks" ma:index="22" nillable="true" ma:displayName="Oversigtshyperlinks" ma:internalName="SummaryLinks">
      <xsd:simpleType>
        <xsd:restriction base="dms:Unknown"/>
      </xsd:simpleType>
    </xsd:element>
    <xsd:element name="ArticleByLine" ma:index="23" nillable="true" ma:displayName="Forfatterlinje" ma:internalName="ArticleByLine">
      <xsd:simpleType>
        <xsd:restriction base="dms:Text">
          <xsd:maxLength value="255"/>
        </xsd:restriction>
      </xsd:simpleType>
    </xsd:element>
    <xsd:element name="ArticleStartDate" ma:index="24" nillable="true" ma:displayName="Artikeldato" ma:format="DateOnly" ma:internalName="ArticleStartDate">
      <xsd:simpleType>
        <xsd:restriction base="dms:DateTime"/>
      </xsd:simpleType>
    </xsd:element>
    <xsd:element name="PublishingImageCaption" ma:index="25" nillable="true" ma:displayName="Billedtekst" ma:internalName="PublishingImageCaption">
      <xsd:simpleType>
        <xsd:restriction base="dms:Unknown"/>
      </xsd:simpleType>
    </xsd:element>
    <xsd:element name="HeaderStyleDefinitions" ma:index="26" nillable="true" ma:displayName="Typografidefinitioner" ma:hidden="true" ma:internalName="HeaderStyleDefinitions">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documentManagement>
    <PublishingRollupImage xmlns="http://schemas.microsoft.com/sharepoint/v3" xsi:nil="true"/>
    <PublishingContactEmail xmlns="http://schemas.microsoft.com/sharepoint/v3" xsi:nil="true"/>
    <HeaderStyleDefinitions xmlns="http://schemas.microsoft.com/sharepoint/v3" xsi:nil="true"/>
    <PublishingVariationRelationshipLinkFieldID xmlns="http://schemas.microsoft.com/sharepoint/v3">
      <Url xsi:nil="true"/>
      <Description xsi:nil="true"/>
    </PublishingVariationRelationshipLinkFieldID>
    <PublishingPageContent xmlns="http://schemas.microsoft.com/sharepoint/v3" xsi:nil="true"/>
    <PublishingVariationGroupID xmlns="http://schemas.microsoft.com/sharepoint/v3" xsi:nil="true"/>
    <ArticleStartDate xmlns="http://schemas.microsoft.com/sharepoint/v3">2014-12-15T10:38:40+00:00</ArticleStartDate>
    <ArticleByLine xmlns="http://schemas.microsoft.com/sharepoint/v3" xsi:nil="true"/>
    <PublishingImageCaption xmlns="http://schemas.microsoft.com/sharepoint/v3" xsi:nil="true"/>
    <Audience xmlns="http://schemas.microsoft.com/sharepoint/v3" xsi:nil="true"/>
    <PublishingPageImage xmlns="http://schemas.microsoft.com/sharepoint/v3" xsi:nil="true"/>
    <SummaryLinks xmlns="http://schemas.microsoft.com/sharepoint/v3">&lt;div title="_schemaversion" id="_3"&gt;
  &lt;div title="_view"&gt;
    &lt;span title="_columns"&gt;1&lt;/span&gt;
    &lt;span title="_linkstyle"&gt;&lt;/span&gt;
    &lt;span title="_groupstyle"&gt;&lt;/span&gt;
  &lt;/div&gt;
&lt;/div&gt;</SummaryLinks>
    <PublishingExpirationDate xmlns="http://schemas.microsoft.com/sharepoint/v3" xsi:nil="true"/>
    <PublishingContactPicture xmlns="http://schemas.microsoft.com/sharepoint/v3">
      <Url xsi:nil="true"/>
      <Description xsi:nil="true"/>
    </PublishingContactPicture>
    <PublishingStartDate xmlns="http://schemas.microsoft.com/sharepoint/v3" xsi:nil="true"/>
    <PublishingContact xmlns="http://schemas.microsoft.com/sharepoint/v3">
      <UserInfo>
        <DisplayName/>
        <AccountId xsi:nil="true"/>
        <AccountType/>
      </UserInfo>
    </PublishingContact>
    <PublishingContactName xmlns="http://schemas.microsoft.com/sharepoint/v3" xsi:nil="true"/>
    <Comments xmlns="http://schemas.microsoft.com/sharepoint/v3">Som en del af grundlaget for måling og beregning af kvælstofudledning er der udarbejdet kvælstofbalancer, beregninger af kvælstofudvaskning og kvælstofudledning på mark- og bedriftsniveau for Favrgaard for 2013.</Comments>
  </documentManagement>
</p:properties>
</file>

<file path=customXml/itemProps1.xml><?xml version="1.0" encoding="utf-8"?>
<ds:datastoreItem xmlns:ds="http://schemas.openxmlformats.org/officeDocument/2006/customXml" ds:itemID="{A32FD217-121C-491A-8D41-66A4A28E9AC3}"/>
</file>

<file path=customXml/itemProps2.xml><?xml version="1.0" encoding="utf-8"?>
<ds:datastoreItem xmlns:ds="http://schemas.openxmlformats.org/officeDocument/2006/customXml" ds:itemID="{CB1BDB2D-3538-482D-9885-C381F01E5F7F}"/>
</file>

<file path=customXml/itemProps3.xml><?xml version="1.0" encoding="utf-8"?>
<ds:datastoreItem xmlns:ds="http://schemas.openxmlformats.org/officeDocument/2006/customXml" ds:itemID="{6EC5E201-124B-4488-8C5B-D450CDBCE5F2}"/>
</file>

<file path=customXml/itemProps4.xml><?xml version="1.0" encoding="utf-8"?>
<ds:datastoreItem xmlns:ds="http://schemas.openxmlformats.org/officeDocument/2006/customXml" ds:itemID="{A9826FDA-8C2B-410D-AC2B-1F5F7B9C4E8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12</vt:i4>
      </vt:variant>
      <vt:variant>
        <vt:lpstr>Navngivne områder</vt:lpstr>
      </vt:variant>
      <vt:variant>
        <vt:i4>431</vt:i4>
      </vt:variant>
    </vt:vector>
  </HeadingPairs>
  <TitlesOfParts>
    <vt:vector size="443" baseType="lpstr">
      <vt:lpstr>Intro</vt:lpstr>
      <vt:lpstr>Mark</vt:lpstr>
      <vt:lpstr>Husdyr</vt:lpstr>
      <vt:lpstr>Udskrift</vt:lpstr>
      <vt:lpstr>Regn</vt:lpstr>
      <vt:lpstr>Data</vt:lpstr>
      <vt:lpstr>Ark1</vt:lpstr>
      <vt:lpstr>Pantmodel</vt:lpstr>
      <vt:lpstr>Nbal</vt:lpstr>
      <vt:lpstr>Regn2</vt:lpstr>
      <vt:lpstr>Udskrift2</vt:lpstr>
      <vt:lpstr>Normer</vt:lpstr>
      <vt:lpstr>Afgflg</vt:lpstr>
      <vt:lpstr>Afgkode</vt:lpstr>
      <vt:lpstr>Afgr</vt:lpstr>
      <vt:lpstr>AfgrKodeKl</vt:lpstr>
      <vt:lpstr>Afgrnavn</vt:lpstr>
      <vt:lpstr>AfstromData</vt:lpstr>
      <vt:lpstr>AfstrømKorrDÅ</vt:lpstr>
      <vt:lpstr>AfstrømKorrSÅ</vt:lpstr>
      <vt:lpstr>Afstrømning12</vt:lpstr>
      <vt:lpstr>Afstrømning34</vt:lpstr>
      <vt:lpstr>Arbejdslon</vt:lpstr>
      <vt:lpstr>ArbejdslonNavn</vt:lpstr>
      <vt:lpstr>ArbejdslonRaekke</vt:lpstr>
      <vt:lpstr>Areal1</vt:lpstr>
      <vt:lpstr>Areal2</vt:lpstr>
      <vt:lpstr>Areal3</vt:lpstr>
      <vt:lpstr>Areal4</vt:lpstr>
      <vt:lpstr>ArealKl</vt:lpstr>
      <vt:lpstr>BetalingOverskGylle12</vt:lpstr>
      <vt:lpstr>BetalingOverskGylle34</vt:lpstr>
      <vt:lpstr>BruttoudbAfgr12</vt:lpstr>
      <vt:lpstr>BruttoudbAfgr34</vt:lpstr>
      <vt:lpstr>BruttoudbEfterslaet12</vt:lpstr>
      <vt:lpstr>BruttoudbEfterslaet34</vt:lpstr>
      <vt:lpstr>BruttoudbHalm12</vt:lpstr>
      <vt:lpstr>BruttoudbHalm34</vt:lpstr>
      <vt:lpstr>BygValsetBehovFEIalt</vt:lpstr>
      <vt:lpstr>BygValsetBehovHkgIalt</vt:lpstr>
      <vt:lpstr>BygvalsetIalt12</vt:lpstr>
      <vt:lpstr>BygvalsetIalt34</vt:lpstr>
      <vt:lpstr>Bygvalsetpris</vt:lpstr>
      <vt:lpstr>DBgns1</vt:lpstr>
      <vt:lpstr>DBgns2</vt:lpstr>
      <vt:lpstr>DBgns3</vt:lpstr>
      <vt:lpstr>DBgns4</vt:lpstr>
      <vt:lpstr>DBIalt1</vt:lpstr>
      <vt:lpstr>DBIalt2</vt:lpstr>
      <vt:lpstr>DBIalt3</vt:lpstr>
      <vt:lpstr>DBIalt4</vt:lpstr>
      <vt:lpstr>DE08prHa12</vt:lpstr>
      <vt:lpstr>DE08prHa34</vt:lpstr>
      <vt:lpstr>DEAfsatEkstra12</vt:lpstr>
      <vt:lpstr>DEAfsatEkstra34</vt:lpstr>
      <vt:lpstr>DEEkstraHa12</vt:lpstr>
      <vt:lpstr>DEEkstraHa34</vt:lpstr>
      <vt:lpstr>DenitNr</vt:lpstr>
      <vt:lpstr>Deposition</vt:lpstr>
      <vt:lpstr>DEprHa12</vt:lpstr>
      <vt:lpstr>DEprHa34</vt:lpstr>
      <vt:lpstr>Diverse12</vt:lpstr>
      <vt:lpstr>Diverse34</vt:lpstr>
      <vt:lpstr>DiverseEfgr12</vt:lpstr>
      <vt:lpstr>DiverseEfgr34</vt:lpstr>
      <vt:lpstr>DyrkAreal1</vt:lpstr>
      <vt:lpstr>DyrkAreal12</vt:lpstr>
      <vt:lpstr>DyrkAreal2</vt:lpstr>
      <vt:lpstr>DyrkAreal3</vt:lpstr>
      <vt:lpstr>DyrkAreal34</vt:lpstr>
      <vt:lpstr>DyrkAreal4</vt:lpstr>
      <vt:lpstr>Efgr</vt:lpstr>
      <vt:lpstr>EfgrAreal12</vt:lpstr>
      <vt:lpstr>EfgrAreal34</vt:lpstr>
      <vt:lpstr>EfgrArealFf12</vt:lpstr>
      <vt:lpstr>EfgrArealFf34</vt:lpstr>
      <vt:lpstr>EfgrArealFrivillig12</vt:lpstr>
      <vt:lpstr>EfgrArealFrivillig34</vt:lpstr>
      <vt:lpstr>EfgrEkstraKvoteTillaeg12</vt:lpstr>
      <vt:lpstr>EfgrEkstraKvoteTillaeg34</vt:lpstr>
      <vt:lpstr>EfgrErstatKvoteReduk12</vt:lpstr>
      <vt:lpstr>EfgrErstatKvoteReduk34</vt:lpstr>
      <vt:lpstr>EfgrGrundareal12</vt:lpstr>
      <vt:lpstr>EfgrGrundareal34</vt:lpstr>
      <vt:lpstr>Efgrkonst</vt:lpstr>
      <vt:lpstr>EfgrKrav2010Ialtha12</vt:lpstr>
      <vt:lpstr>EfgrKrav2010Ialtha34</vt:lpstr>
      <vt:lpstr>EfgrKrav2010IaltPct12</vt:lpstr>
      <vt:lpstr>EfgrKrav2010IaltPct34</vt:lpstr>
      <vt:lpstr>EfgrKravIaltHa12</vt:lpstr>
      <vt:lpstr>EfgrKravIaltHa34</vt:lpstr>
      <vt:lpstr>EfgrKravIaltPct12</vt:lpstr>
      <vt:lpstr>EfgrKravIaltPct34</vt:lpstr>
      <vt:lpstr>EfgrKravMiljogodk</vt:lpstr>
      <vt:lpstr>EfgrKravVandplan12</vt:lpstr>
      <vt:lpstr>EfgrKravVandplan34</vt:lpstr>
      <vt:lpstr>Efgrnavn</vt:lpstr>
      <vt:lpstr>EfgrOverfort12</vt:lpstr>
      <vt:lpstr>EfgrOverfort34</vt:lpstr>
      <vt:lpstr>Efterafgrbeh</vt:lpstr>
      <vt:lpstr>EfterafgrbehNavn</vt:lpstr>
      <vt:lpstr>Efterslaetpris</vt:lpstr>
      <vt:lpstr>EftervirkningUdb1</vt:lpstr>
      <vt:lpstr>EftervirkningUdb2</vt:lpstr>
      <vt:lpstr>EftervirkningUdb3</vt:lpstr>
      <vt:lpstr>EftervirkningUdb4</vt:lpstr>
      <vt:lpstr>EnergiafgrAreal12</vt:lpstr>
      <vt:lpstr>EnergiafgrAreal34</vt:lpstr>
      <vt:lpstr>EnergiafgrArealFf12</vt:lpstr>
      <vt:lpstr>EnergiafgrArealFf34</vt:lpstr>
      <vt:lpstr>Flytning</vt:lpstr>
      <vt:lpstr>Foderbehov</vt:lpstr>
      <vt:lpstr>FoderkornBehovFEsvIalt</vt:lpstr>
      <vt:lpstr>FoderkornBehovHkgIalt</vt:lpstr>
      <vt:lpstr>FoderkornHkgIalt12</vt:lpstr>
      <vt:lpstr>FoderkornHkgIalt34</vt:lpstr>
      <vt:lpstr>FoderkornIalt12</vt:lpstr>
      <vt:lpstr>FoderkornIalt34</vt:lpstr>
      <vt:lpstr>FoderplanNavn</vt:lpstr>
      <vt:lpstr>GnsFEpris</vt:lpstr>
      <vt:lpstr>Godning12</vt:lpstr>
      <vt:lpstr>Godning34</vt:lpstr>
      <vt:lpstr>GodningEfgr12</vt:lpstr>
      <vt:lpstr>GodningEfgr34</vt:lpstr>
      <vt:lpstr>Godnspred12</vt:lpstr>
      <vt:lpstr>Godnspred34</vt:lpstr>
      <vt:lpstr>GodnspredEfgr12</vt:lpstr>
      <vt:lpstr>GodnspredEfgr34</vt:lpstr>
      <vt:lpstr>GraesIalt12</vt:lpstr>
      <vt:lpstr>GraesIalt34</vt:lpstr>
      <vt:lpstr>GronMarkAreal12</vt:lpstr>
      <vt:lpstr>GronMarkAreal34</vt:lpstr>
      <vt:lpstr>GronMarkPct12</vt:lpstr>
      <vt:lpstr>GronMarkPct34</vt:lpstr>
      <vt:lpstr>GrovfoderBehovFEIalt</vt:lpstr>
      <vt:lpstr>GrovfoderIalt12</vt:lpstr>
      <vt:lpstr>GrovfoderIalt34</vt:lpstr>
      <vt:lpstr>Grovfoderpris</vt:lpstr>
      <vt:lpstr>GylleTranspEkstra12</vt:lpstr>
      <vt:lpstr>GylleTranspEkstra34</vt:lpstr>
      <vt:lpstr>GylleTranspEkstraForsk</vt:lpstr>
      <vt:lpstr>Halmanvendelse</vt:lpstr>
      <vt:lpstr>Halmanvendelsenavn</vt:lpstr>
      <vt:lpstr>Halmpris</vt:lpstr>
      <vt:lpstr>HalmudbKolonneNr1</vt:lpstr>
      <vt:lpstr>HalmudbKolonneNr2</vt:lpstr>
      <vt:lpstr>HalmudbKolonneNr3</vt:lpstr>
      <vt:lpstr>HalmudbKolonneNr4</vt:lpstr>
      <vt:lpstr>Handelomkbygvalset</vt:lpstr>
      <vt:lpstr>Handelomkfoderkorn</vt:lpstr>
      <vt:lpstr>Handelomkgrovfoder</vt:lpstr>
      <vt:lpstr>Handelsomk12</vt:lpstr>
      <vt:lpstr>Handelsomk34</vt:lpstr>
      <vt:lpstr>HandelsomkForsk</vt:lpstr>
      <vt:lpstr>Harmoniareal</vt:lpstr>
      <vt:lpstr>Harmoniareal12</vt:lpstr>
      <vt:lpstr>Harmoniareal34</vt:lpstr>
      <vt:lpstr>HarmoniarealFf12</vt:lpstr>
      <vt:lpstr>HarmoniarealFf34</vt:lpstr>
      <vt:lpstr>HarmoniarealTab12</vt:lpstr>
      <vt:lpstr>HarmoniarealTab34</vt:lpstr>
      <vt:lpstr>HarmoniarealTabForsk</vt:lpstr>
      <vt:lpstr>HdgAnvendtIalt12</vt:lpstr>
      <vt:lpstr>HdgAnvendtIalt34</vt:lpstr>
      <vt:lpstr>HdgDEIalt</vt:lpstr>
      <vt:lpstr>HdgDEIaltKorr12</vt:lpstr>
      <vt:lpstr>HdgDEIaltKorr34</vt:lpstr>
      <vt:lpstr>HdgDyreart</vt:lpstr>
      <vt:lpstr>HdgEfgrAnvendtIalt12</vt:lpstr>
      <vt:lpstr>HdgEfgrAnvendtIalt34</vt:lpstr>
      <vt:lpstr>HdgNialt</vt:lpstr>
      <vt:lpstr>HdgNIalt12</vt:lpstr>
      <vt:lpstr>HdgNIalt34</vt:lpstr>
      <vt:lpstr>HdgNindtastetialt</vt:lpstr>
      <vt:lpstr>HdgNindtastetIalt12</vt:lpstr>
      <vt:lpstr>HdgNindtastetIalt34</vt:lpstr>
      <vt:lpstr>HdgNindtastetIaltEfgr12</vt:lpstr>
      <vt:lpstr>HdgNindtastetIaltEfgr34</vt:lpstr>
      <vt:lpstr>HdgNTilFordeling12</vt:lpstr>
      <vt:lpstr>HdgNTilFordeling34</vt:lpstr>
      <vt:lpstr>Hdgraekke</vt:lpstr>
      <vt:lpstr>HdgType</vt:lpstr>
      <vt:lpstr>HdgTypeNavn</vt:lpstr>
      <vt:lpstr>HdgVaerdi</vt:lpstr>
      <vt:lpstr>HdgVaerdiNbal</vt:lpstr>
      <vt:lpstr>Hjemkorsel12</vt:lpstr>
      <vt:lpstr>Hjemkorsel34</vt:lpstr>
      <vt:lpstr>Host12</vt:lpstr>
      <vt:lpstr>Host34</vt:lpstr>
      <vt:lpstr>HostEfgr12</vt:lpstr>
      <vt:lpstr>HostEfgr34</vt:lpstr>
      <vt:lpstr>Hostaar</vt:lpstr>
      <vt:lpstr>Husdyrgødning</vt:lpstr>
      <vt:lpstr>Husdyrgødningnavn</vt:lpstr>
      <vt:lpstr>JBKl</vt:lpstr>
      <vt:lpstr>JBnr</vt:lpstr>
      <vt:lpstr>Jordlejeomk12</vt:lpstr>
      <vt:lpstr>Jordlejeomk34</vt:lpstr>
      <vt:lpstr>JordlejeomkForsk</vt:lpstr>
      <vt:lpstr>Jordtype</vt:lpstr>
      <vt:lpstr>Jordtype1</vt:lpstr>
      <vt:lpstr>Jordtype2</vt:lpstr>
      <vt:lpstr>Jordtype3</vt:lpstr>
      <vt:lpstr>Jordtype4</vt:lpstr>
      <vt:lpstr>Jordtypenavn</vt:lpstr>
      <vt:lpstr>Klgraespris</vt:lpstr>
      <vt:lpstr>KmPrTime</vt:lpstr>
      <vt:lpstr>KornhelsaedIalt12</vt:lpstr>
      <vt:lpstr>KornhelsaedIalt34</vt:lpstr>
      <vt:lpstr>Kornhelsaedpris</vt:lpstr>
      <vt:lpstr>Koverskud12</vt:lpstr>
      <vt:lpstr>Koverskud34</vt:lpstr>
      <vt:lpstr>KprDEkvaeg</vt:lpstr>
      <vt:lpstr>KprDEsvin</vt:lpstr>
      <vt:lpstr>Kpris</vt:lpstr>
      <vt:lpstr>Kudvask</vt:lpstr>
      <vt:lpstr>Kvaegrace</vt:lpstr>
      <vt:lpstr>Kvotereduk12</vt:lpstr>
      <vt:lpstr>KvoteReduk34</vt:lpstr>
      <vt:lpstr>KvoteredukHa12</vt:lpstr>
      <vt:lpstr>KvoteredukHa34</vt:lpstr>
      <vt:lpstr>KvoteredukOver08DE</vt:lpstr>
      <vt:lpstr>KvoteredukUnder08DE</vt:lpstr>
      <vt:lpstr>KvoteTillaeg12</vt:lpstr>
      <vt:lpstr>KvoteTillaeg34</vt:lpstr>
      <vt:lpstr>KvoteTillaegHa12</vt:lpstr>
      <vt:lpstr>KvoteTillaegHa34</vt:lpstr>
      <vt:lpstr>KvoteTillaegOver08DE</vt:lpstr>
      <vt:lpstr>KvoteTillaegUnder08DE</vt:lpstr>
      <vt:lpstr>MajshelsaedIalt12</vt:lpstr>
      <vt:lpstr>MajshelsaedIalt34</vt:lpstr>
      <vt:lpstr>Majspris</vt:lpstr>
      <vt:lpstr>Markgruppe</vt:lpstr>
      <vt:lpstr>Marksprojt12</vt:lpstr>
      <vt:lpstr>Marksprojt34</vt:lpstr>
      <vt:lpstr>MarksprojtEfgr12</vt:lpstr>
      <vt:lpstr>MarksprojtEfgr34</vt:lpstr>
      <vt:lpstr>Markvand1</vt:lpstr>
      <vt:lpstr>Markvand12</vt:lpstr>
      <vt:lpstr>Markvand2</vt:lpstr>
      <vt:lpstr>Markvand3</vt:lpstr>
      <vt:lpstr>Markvand34</vt:lpstr>
      <vt:lpstr>Markvand4</vt:lpstr>
      <vt:lpstr>MarkvandEfgr12</vt:lpstr>
      <vt:lpstr>MarkvandEfgr34</vt:lpstr>
      <vt:lpstr>Markvanding</vt:lpstr>
      <vt:lpstr>Markvandingnavn</vt:lpstr>
      <vt:lpstr>Maskinomk</vt:lpstr>
      <vt:lpstr>MaskJust</vt:lpstr>
      <vt:lpstr>MellemafgrAreal12</vt:lpstr>
      <vt:lpstr>MellemafgrAreal34</vt:lpstr>
      <vt:lpstr>MellemafgrArealFf12</vt:lpstr>
      <vt:lpstr>MellemafgrArealFf34</vt:lpstr>
      <vt:lpstr>MerudbKolonneNr1</vt:lpstr>
      <vt:lpstr>MerudbKolonneNr2</vt:lpstr>
      <vt:lpstr>MerudbKolonneNr3</vt:lpstr>
      <vt:lpstr>MerudbKolonneNr4</vt:lpstr>
      <vt:lpstr>Mlafgrkonst</vt:lpstr>
      <vt:lpstr>MlafgrNUdvask</vt:lpstr>
      <vt:lpstr>mmprgang</vt:lpstr>
      <vt:lpstr>NBortfort12</vt:lpstr>
      <vt:lpstr>NBortfort34</vt:lpstr>
      <vt:lpstr>NedmuldMiljoEfgr12</vt:lpstr>
      <vt:lpstr>NedmuldMiljoEfgr34</vt:lpstr>
      <vt:lpstr>Nedmuldning12</vt:lpstr>
      <vt:lpstr>Nedmuldning34</vt:lpstr>
      <vt:lpstr>Nefteraarlerkons</vt:lpstr>
      <vt:lpstr>Nefteraarsandkons</vt:lpstr>
      <vt:lpstr>Nfjernetkons</vt:lpstr>
      <vt:lpstr>Nforaarkons</vt:lpstr>
      <vt:lpstr>Nitrat12</vt:lpstr>
      <vt:lpstr>Nitrat34</vt:lpstr>
      <vt:lpstr>NkforholdKvaeg</vt:lpstr>
      <vt:lpstr>NKforholdSvin</vt:lpstr>
      <vt:lpstr>Nlesafgr</vt:lpstr>
      <vt:lpstr>Nlesafskaering</vt:lpstr>
      <vt:lpstr>Nlesforfrugt</vt:lpstr>
      <vt:lpstr>Nmodel12</vt:lpstr>
      <vt:lpstr>Nmodel34</vt:lpstr>
      <vt:lpstr>NmodelNavn</vt:lpstr>
      <vt:lpstr>Nniveau1</vt:lpstr>
      <vt:lpstr>Nniveau12</vt:lpstr>
      <vt:lpstr>Nniveau2</vt:lpstr>
      <vt:lpstr>Nniveau3</vt:lpstr>
      <vt:lpstr>Nniveau34</vt:lpstr>
      <vt:lpstr>Nniveau4</vt:lpstr>
      <vt:lpstr>NniveauDelsaedsk1</vt:lpstr>
      <vt:lpstr>NniveauDelsaedsk2</vt:lpstr>
      <vt:lpstr>NniveauDelsaedsk3</vt:lpstr>
      <vt:lpstr>NniveauDelsaedsk4</vt:lpstr>
      <vt:lpstr>Nniveaukons</vt:lpstr>
      <vt:lpstr>NniveauReg</vt:lpstr>
      <vt:lpstr>NnormEfgrIalt12</vt:lpstr>
      <vt:lpstr>NnormEfgrIalt34</vt:lpstr>
      <vt:lpstr>Nnormialt</vt:lpstr>
      <vt:lpstr>NnormIalt12</vt:lpstr>
      <vt:lpstr>NnormIalt34</vt:lpstr>
      <vt:lpstr>NnormialtFordel</vt:lpstr>
      <vt:lpstr>NnormIaltFordel12</vt:lpstr>
      <vt:lpstr>NnormIaltFordel34</vt:lpstr>
      <vt:lpstr>NnormIaltFordelEfgr12</vt:lpstr>
      <vt:lpstr>NnormIaltFordelEfgr34</vt:lpstr>
      <vt:lpstr>NnormKolonneEfgr1</vt:lpstr>
      <vt:lpstr>NnormKolonneEfgr2</vt:lpstr>
      <vt:lpstr>NnormKolonneEfgr3</vt:lpstr>
      <vt:lpstr>NnormKolonneEfgr4</vt:lpstr>
      <vt:lpstr>NnormKolonneNr1</vt:lpstr>
      <vt:lpstr>NnormKolonneNr2</vt:lpstr>
      <vt:lpstr>NnormKolonneNr3</vt:lpstr>
      <vt:lpstr>NnormKolonneNr4</vt:lpstr>
      <vt:lpstr>NnormTilpasIalt12</vt:lpstr>
      <vt:lpstr>NnormTilpasIalt34</vt:lpstr>
      <vt:lpstr>NnormTilpasIaltEfgr12</vt:lpstr>
      <vt:lpstr>NnormTilpasIaltEfgr34</vt:lpstr>
      <vt:lpstr>NoptFaktor</vt:lpstr>
      <vt:lpstr>NormudbKolonneNr1</vt:lpstr>
      <vt:lpstr>NormudbKolonneNr2</vt:lpstr>
      <vt:lpstr>NormudbKolonneNr3</vt:lpstr>
      <vt:lpstr>NormudbKolonneNr4</vt:lpstr>
      <vt:lpstr>NormudbKolonneNrEfgr1</vt:lpstr>
      <vt:lpstr>NormudbKolonneNrEfgr2</vt:lpstr>
      <vt:lpstr>NormudbKolonneNrEfgr3</vt:lpstr>
      <vt:lpstr>NormudbKolonneNrEfgr4</vt:lpstr>
      <vt:lpstr>Noverskud12</vt:lpstr>
      <vt:lpstr>Noverskud34</vt:lpstr>
      <vt:lpstr>NPforholdKvaeg</vt:lpstr>
      <vt:lpstr>NPforholdSvin</vt:lpstr>
      <vt:lpstr>NprDEkvaeg</vt:lpstr>
      <vt:lpstr>NprDEsvin</vt:lpstr>
      <vt:lpstr>Npris</vt:lpstr>
      <vt:lpstr>NTilpasMetode</vt:lpstr>
      <vt:lpstr>NtilpasMetode12</vt:lpstr>
      <vt:lpstr>NtilpasMetode34</vt:lpstr>
      <vt:lpstr>Nudbindingkons</vt:lpstr>
      <vt:lpstr>Nudledning12</vt:lpstr>
      <vt:lpstr>Nudledning34</vt:lpstr>
      <vt:lpstr>Nudvaskning12</vt:lpstr>
      <vt:lpstr>Nudvaskning34</vt:lpstr>
      <vt:lpstr>Pantafgift</vt:lpstr>
      <vt:lpstr>Pantfaktor</vt:lpstr>
      <vt:lpstr>Plantevaern12</vt:lpstr>
      <vt:lpstr>Plantevaern34</vt:lpstr>
      <vt:lpstr>PlantevaernEfgr12</vt:lpstr>
      <vt:lpstr>PlantevaernEfgr34</vt:lpstr>
      <vt:lpstr>PlantevJust</vt:lpstr>
      <vt:lpstr>PlantevMiljoEfgr12</vt:lpstr>
      <vt:lpstr>PlantevMiljoEfgr34</vt:lpstr>
      <vt:lpstr>PlojHarv12</vt:lpstr>
      <vt:lpstr>PlojHarv34</vt:lpstr>
      <vt:lpstr>PlojJB</vt:lpstr>
      <vt:lpstr>PlojJB1</vt:lpstr>
      <vt:lpstr>PlojJB2</vt:lpstr>
      <vt:lpstr>PlojJB3</vt:lpstr>
      <vt:lpstr>PlojJB4</vt:lpstr>
      <vt:lpstr>Postnr</vt:lpstr>
      <vt:lpstr>Postnrliste</vt:lpstr>
      <vt:lpstr>PostnrNavn</vt:lpstr>
      <vt:lpstr>PostnrNbal</vt:lpstr>
      <vt:lpstr>Poverskud12</vt:lpstr>
      <vt:lpstr>Poverskud34</vt:lpstr>
      <vt:lpstr>PprDEkvaeg</vt:lpstr>
      <vt:lpstr>PprDEsvin</vt:lpstr>
      <vt:lpstr>Ppris</vt:lpstr>
      <vt:lpstr>PrisN</vt:lpstr>
      <vt:lpstr>Prisprmm</vt:lpstr>
      <vt:lpstr>ProteinTab12</vt:lpstr>
      <vt:lpstr>ProteinTab34</vt:lpstr>
      <vt:lpstr>ProteinTabForsk</vt:lpstr>
      <vt:lpstr>ProtFoderkornBasisKg12</vt:lpstr>
      <vt:lpstr>ProtFoderkornBasisKg34</vt:lpstr>
      <vt:lpstr>ProtFoderKornKorrKg12</vt:lpstr>
      <vt:lpstr>ProtFoderKornKorrKg34</vt:lpstr>
      <vt:lpstr>ProtVaerdiKg</vt:lpstr>
      <vt:lpstr>RaceNavn</vt:lpstr>
      <vt:lpstr>Randzoneareal12</vt:lpstr>
      <vt:lpstr>Randzoneareal34</vt:lpstr>
      <vt:lpstr>Randzonekrav12</vt:lpstr>
      <vt:lpstr>Randzonekrav34</vt:lpstr>
      <vt:lpstr>ReducUdledIaltKgN</vt:lpstr>
      <vt:lpstr>Regler12</vt:lpstr>
      <vt:lpstr>Regler34</vt:lpstr>
      <vt:lpstr>ReglerNavn</vt:lpstr>
      <vt:lpstr>ResulEftVarMask12</vt:lpstr>
      <vt:lpstr>ResulEftVarMask34</vt:lpstr>
      <vt:lpstr>ResulEftVarMaskForsk</vt:lpstr>
      <vt:lpstr>Retention1</vt:lpstr>
      <vt:lpstr>Retention2</vt:lpstr>
      <vt:lpstr>Retention3</vt:lpstr>
      <vt:lpstr>Retention4</vt:lpstr>
      <vt:lpstr>RetentionNbal</vt:lpstr>
      <vt:lpstr>RetentionReg</vt:lpstr>
      <vt:lpstr>SandLer1</vt:lpstr>
      <vt:lpstr>SandLer2</vt:lpstr>
      <vt:lpstr>SandLer3</vt:lpstr>
      <vt:lpstr>SandLer4</vt:lpstr>
      <vt:lpstr>SaaJB</vt:lpstr>
      <vt:lpstr>SaaJB1</vt:lpstr>
      <vt:lpstr>SaaJB2</vt:lpstr>
      <vt:lpstr>SaaJB3</vt:lpstr>
      <vt:lpstr>SaaJB4</vt:lpstr>
      <vt:lpstr>Saaning12</vt:lpstr>
      <vt:lpstr>Saaning34</vt:lpstr>
      <vt:lpstr>SaaningEfgr12</vt:lpstr>
      <vt:lpstr>SaaningEfgr34</vt:lpstr>
      <vt:lpstr>SaaningMiljoEfgr12</vt:lpstr>
      <vt:lpstr>SaaningMiljoEfgr34</vt:lpstr>
      <vt:lpstr>TabIaltKr</vt:lpstr>
      <vt:lpstr>Tandel</vt:lpstr>
      <vt:lpstr>Teknologi1</vt:lpstr>
      <vt:lpstr>Teknologi2</vt:lpstr>
      <vt:lpstr>TilskudEnegipilStand</vt:lpstr>
      <vt:lpstr>TilskudEnergipil</vt:lpstr>
      <vt:lpstr>TilskudIalt12</vt:lpstr>
      <vt:lpstr>TilskudIalt34</vt:lpstr>
      <vt:lpstr>TilskudRandz</vt:lpstr>
      <vt:lpstr>TilskudRandzStand</vt:lpstr>
      <vt:lpstr>TilskudVadomr</vt:lpstr>
      <vt:lpstr>TilskudVadomrStand</vt:lpstr>
      <vt:lpstr>TonPrLaes</vt:lpstr>
      <vt:lpstr>Torring12</vt:lpstr>
      <vt:lpstr>Torring34</vt:lpstr>
      <vt:lpstr>TorringNavn</vt:lpstr>
      <vt:lpstr>Torrring</vt:lpstr>
      <vt:lpstr>TranspGyllePris</vt:lpstr>
      <vt:lpstr>TranspGyllePrisEgen</vt:lpstr>
      <vt:lpstr>TranspGylleTimepris</vt:lpstr>
      <vt:lpstr>TranspMarkPris</vt:lpstr>
      <vt:lpstr>UdnKrav</vt:lpstr>
      <vt:lpstr>Udsaed12</vt:lpstr>
      <vt:lpstr>Udsaed34</vt:lpstr>
      <vt:lpstr>UdsaedEfgr12</vt:lpstr>
      <vt:lpstr>UdsaedEfgr34</vt:lpstr>
      <vt:lpstr>UdsaedJust</vt:lpstr>
      <vt:lpstr>UdsaedMiljoEfgr12</vt:lpstr>
      <vt:lpstr>UdsaedMiljoEfgr34</vt:lpstr>
      <vt:lpstr>Data!Udskriftsområde</vt:lpstr>
      <vt:lpstr>Udskrift!Udskriftsområde</vt:lpstr>
      <vt:lpstr>Udskrift2!Udskriftsområde</vt:lpstr>
      <vt:lpstr>Vadomradeareal12</vt:lpstr>
      <vt:lpstr>Vadomradeareal34</vt:lpstr>
      <vt:lpstr>VaerdiHusdyrgodning</vt:lpstr>
      <vt:lpstr>Vandmaskin</vt:lpstr>
      <vt:lpstr>Ydelse</vt:lpstr>
    </vt:vector>
  </TitlesOfParts>
  <Company>Dansk Landbrugsrådgivning, Landscentret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Kvælstofregnskab for Favrgaard 2013</dc:title>
  <dc:creator>Søren Kolind Hvid</dc:creator>
  <cp:lastModifiedBy>Lotte Buchtrup Hornbek</cp:lastModifiedBy>
  <cp:lastPrinted>2013-06-12T11:50:10Z</cp:lastPrinted>
  <dcterms:created xsi:type="dcterms:W3CDTF">2010-09-01T12:56:00Z</dcterms:created>
  <dcterms:modified xsi:type="dcterms:W3CDTF">2014-12-15T10:27:17Z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0x010100C568DB52D9D0A14D9B2FDCC96666E9F2007948130EC3DB064584E219954237AF3900242457EFB8B24247815D688C526CD44D00A17B773BFD7FDB4F8F3412C8AB5A85C3</vt:lpwstr>
  </property>
  <property fmtid="{D5CDD505-2E9C-101B-9397-08002B2CF9AE}" pid="3" name="_dlc_DocIdItemGuid">
    <vt:lpwstr>19e0d9c2-b7b8-4bad-be9b-6c92f6ea70e3</vt:lpwstr>
  </property>
  <property fmtid="{D5CDD505-2E9C-101B-9397-08002B2CF9AE}" pid="4" name="Taksonomi">
    <vt:lpwstr/>
  </property>
  <property fmtid="{D5CDD505-2E9C-101B-9397-08002B2CF9AE}" pid="5" name="HideInRollups">
    <vt:bool>false</vt:bool>
  </property>
  <property fmtid="{D5CDD505-2E9C-101B-9397-08002B2CF9AE}" pid="6" name="Revisionsdato">
    <vt:filetime>2014-12-15T09:37:00Z</vt:filetime>
  </property>
  <property fmtid="{D5CDD505-2E9C-101B-9397-08002B2CF9AE}" pid="7" name="WebInfo_FinansieringsLink">
    <vt:lpwstr>19e0d9c2-b7b8-4bad-be9b-6c92f6ea70e3</vt:lpwstr>
  </property>
  <property fmtid="{D5CDD505-2E9C-101B-9397-08002B2CF9AE}" pid="8" name="EnclosureFor">
    <vt:lpwstr/>
  </property>
  <property fmtid="{D5CDD505-2E9C-101B-9397-08002B2CF9AE}" pid="9" name="KnowledgeArticle">
    <vt:bool>false</vt:bool>
  </property>
</Properties>
</file>